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tmp" ContentType="image/png"/>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6.xml" ContentType="application/vnd.openxmlformats-officedocument.drawingml.chartshapes+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7.xml" ContentType="application/vnd.openxmlformats-officedocument.drawingml.chartshapes+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8.xml" ContentType="application/vnd.openxmlformats-officedocument.drawing+xml"/>
  <Override PartName="/xl/comments2.xml" ContentType="application/vnd.openxmlformats-officedocument.spreadsheetml.comments+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9.xml" ContentType="application/vnd.openxmlformats-officedocument.drawing+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drawings/drawing10.xml" ContentType="application/vnd.openxmlformats-officedocument.drawingml.chartshapes+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11.xml" ContentType="application/vnd.openxmlformats-officedocument.drawingml.chartshapes+xml"/>
  <Override PartName="/xl/comments3.xml" ContentType="application/vnd.openxmlformats-officedocument.spreadsheetml.comments+xml"/>
  <Override PartName="/xl/comments4.xml" ContentType="application/vnd.openxmlformats-officedocument.spreadsheetml.comments+xml"/>
  <Override PartName="/xl/drawings/drawing12.xml" ContentType="application/vnd.openxmlformats-officedocument.drawing+xml"/>
  <Override PartName="/xl/comments5.xml" ContentType="application/vnd.openxmlformats-officedocument.spreadsheetml.comments+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drawings/drawing13.xml" ContentType="application/vnd.openxmlformats-officedocument.drawingml.chartshapes+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drawings/drawing16.xml" ContentType="application/vnd.openxmlformats-officedocument.drawing+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drawings/drawing17.xml" ContentType="application/vnd.openxmlformats-officedocument.drawing+xml"/>
  <Override PartName="/xl/drawings/drawing18.xml" ContentType="application/vnd.openxmlformats-officedocument.drawing+xml"/>
  <Override PartName="/xl/comments6.xml" ContentType="application/vnd.openxmlformats-officedocument.spreadsheetml.comments+xml"/>
  <Override PartName="/xl/drawings/drawing19.xml" ContentType="application/vnd.openxmlformats-officedocument.drawing+xml"/>
  <Override PartName="/xl/comments7.xml" ContentType="application/vnd.openxmlformats-officedocument.spreadsheetml.comments+xml"/>
  <Override PartName="/xl/charts/chartEx1.xml" ContentType="application/vnd.ms-office.chartex+xml"/>
  <Override PartName="/xl/charts/style76.xml" ContentType="application/vnd.ms-office.chartstyle+xml"/>
  <Override PartName="/xl/charts/colors76.xml" ContentType="application/vnd.ms-office.chartcolorstyle+xml"/>
  <Override PartName="/xl/charts/chartEx2.xml" ContentType="application/vnd.ms-office.chartex+xml"/>
  <Override PartName="/xl/charts/style77.xml" ContentType="application/vnd.ms-office.chartstyle+xml"/>
  <Override PartName="/xl/charts/colors77.xml" ContentType="application/vnd.ms-office.chartcolorstyle+xml"/>
  <Override PartName="/xl/charts/chartEx3.xml" ContentType="application/vnd.ms-office.chartex+xml"/>
  <Override PartName="/xl/charts/style78.xml" ContentType="application/vnd.ms-office.chartstyle+xml"/>
  <Override PartName="/xl/charts/colors78.xml" ContentType="application/vnd.ms-office.chartcolorstyle+xml"/>
  <Override PartName="/xl/charts/chart76.xml" ContentType="application/vnd.openxmlformats-officedocument.drawingml.chart+xml"/>
  <Override PartName="/xl/charts/style79.xml" ContentType="application/vnd.ms-office.chartstyle+xml"/>
  <Override PartName="/xl/charts/colors7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ELO\Desktop\2024_08_28_Paper_PGF\MII_PGF_Tesis\"/>
    </mc:Choice>
  </mc:AlternateContent>
  <xr:revisionPtr revIDLastSave="0" documentId="13_ncr:1_{1824DB40-CCFB-4C0F-8D8C-AEC76E661CCB}" xr6:coauthVersionLast="47" xr6:coauthVersionMax="47" xr10:uidLastSave="{00000000-0000-0000-0000-000000000000}"/>
  <bookViews>
    <workbookView xWindow="-120" yWindow="-120" windowWidth="29040" windowHeight="15720" tabRatio="835" xr2:uid="{9BF4FD90-203B-495F-8F87-5603AB58A435}"/>
  </bookViews>
  <sheets>
    <sheet name="Consumo Eléctrico" sheetId="1" r:id="rId1"/>
    <sheet name="Consumo Térmico de la empresa" sheetId="2" r:id="rId2"/>
    <sheet name="Indicadores Energéticos" sheetId="3" r:id="rId3"/>
    <sheet name="Emisiones de GEI" sheetId="4" r:id="rId4"/>
    <sheet name="Cuantificador" sheetId="5" r:id="rId5"/>
    <sheet name="Inventario" sheetId="16" r:id="rId6"/>
    <sheet name="Pareto" sheetId="13" r:id="rId7"/>
    <sheet name="Balance Energético" sheetId="17" r:id="rId8"/>
    <sheet name="Balance Térmico" sheetId="6" r:id="rId9"/>
    <sheet name="Balance Eléctrico" sheetId="7" r:id="rId10"/>
    <sheet name="Balance de Materia" sheetId="8" r:id="rId11"/>
    <sheet name="Propuesta de Mejora" sheetId="9" r:id="rId12"/>
    <sheet name="Análisis costos" sheetId="12" r:id="rId13"/>
  </sheets>
  <externalReferences>
    <externalReference r:id="rId14"/>
  </externalReferences>
  <definedNames>
    <definedName name="_xlnm._FilterDatabase" localSheetId="0" hidden="1">'Consumo Eléctrico'!$X$637:$AF$662</definedName>
    <definedName name="_xlnm._FilterDatabase" localSheetId="6" hidden="1">Pareto!$P$50:$W$56</definedName>
    <definedName name="_Ref166757325" localSheetId="0">'Consumo Eléctrico'!$AJ$163</definedName>
    <definedName name="_Ref166765020" localSheetId="0">'Consumo Eléctrico'!$G$75</definedName>
    <definedName name="_xlchart.v1.0" hidden="1">'Análisis costos'!$B$189:$B$191</definedName>
    <definedName name="_xlchart.v1.1" hidden="1">'Análisis costos'!$C$188</definedName>
    <definedName name="_xlchart.v1.10" hidden="1">'Análisis costos'!$D$213</definedName>
    <definedName name="_xlchart.v1.11" hidden="1">'Análisis costos'!$D$214:$D$216</definedName>
    <definedName name="_xlchart.v1.12" hidden="1">'Análisis costos'!$E$213</definedName>
    <definedName name="_xlchart.v1.13" hidden="1">'Análisis costos'!$E$214:$E$216</definedName>
    <definedName name="_xlchart.v1.14" hidden="1">'Análisis costos'!$B$240:$B$244</definedName>
    <definedName name="_xlchart.v1.15" hidden="1">'Análisis costos'!$C$239</definedName>
    <definedName name="_xlchart.v1.16" hidden="1">'Análisis costos'!$C$240:$C$244</definedName>
    <definedName name="_xlchart.v1.17" hidden="1">'Análisis costos'!$D$239</definedName>
    <definedName name="_xlchart.v1.18" hidden="1">'Análisis costos'!$D$240:$D$244</definedName>
    <definedName name="_xlchart.v1.19" hidden="1">'Análisis costos'!$E$239</definedName>
    <definedName name="_xlchart.v1.2" hidden="1">'Análisis costos'!$C$189:$C$191</definedName>
    <definedName name="_xlchart.v1.20" hidden="1">'Análisis costos'!$E$240:$E$244</definedName>
    <definedName name="_xlchart.v1.3" hidden="1">'Análisis costos'!$D$188</definedName>
    <definedName name="_xlchart.v1.4" hidden="1">'Análisis costos'!$D$189:$D$191</definedName>
    <definedName name="_xlchart.v1.5" hidden="1">'Análisis costos'!$E$188</definedName>
    <definedName name="_xlchart.v1.6" hidden="1">'Análisis costos'!$E$189:$E$191</definedName>
    <definedName name="_xlchart.v1.7" hidden="1">'Análisis costos'!$B$214:$B$216</definedName>
    <definedName name="_xlchart.v1.8" hidden="1">'Análisis costos'!$C$213</definedName>
    <definedName name="_xlchart.v1.9" hidden="1">'Análisis costos'!$C$214:$C$216</definedName>
    <definedName name="POWER_USER_EXCEL_CHART_0C3E92C7_7122_4BCD_BE41_CA79122D9A12">'Balance Energético'!$H$4:$S$6</definedName>
    <definedName name="POWER_USER_EXCEL_CHART_32786930_8C68_4D96_B573_65ADC75C9CB6">'Balance Energético'!$H$4:$S$6</definedName>
    <definedName name="POWER_USER_EXCEL_CHART_8CFC428E_CDBF_457F_A59C_577F12BD97F4">'Balance Térmico'!$E$73:$H$76</definedName>
    <definedName name="POWER_USER_EXCEL_CHART_F369CD19_B1EC_48BB_85C9_292C8ACCD36A">'Balance Energético'!$H$4:$S$6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41" i="9" l="1"/>
  <c r="W58" i="12"/>
  <c r="W59" i="12"/>
  <c r="W60" i="12"/>
  <c r="W61" i="12"/>
  <c r="W57" i="12"/>
  <c r="V58" i="12"/>
  <c r="V59" i="12"/>
  <c r="V60" i="12"/>
  <c r="V61" i="12"/>
  <c r="V57" i="12"/>
  <c r="X61" i="12"/>
  <c r="Y61" i="12" s="1"/>
  <c r="Z61" i="12" s="1"/>
  <c r="AA61" i="12" s="1"/>
  <c r="AB61" i="12" s="1"/>
  <c r="AC61" i="12" s="1"/>
  <c r="AD61" i="12" s="1"/>
  <c r="AE61" i="12" s="1"/>
  <c r="AF61" i="12" s="1"/>
  <c r="AG61" i="12" s="1"/>
  <c r="AH61" i="12" s="1"/>
  <c r="AI61" i="12" s="1"/>
  <c r="AJ61" i="12" s="1"/>
  <c r="AK61" i="12" s="1"/>
  <c r="X60" i="12"/>
  <c r="Y60" i="12" s="1"/>
  <c r="Z60" i="12" s="1"/>
  <c r="AA60" i="12" s="1"/>
  <c r="AB60" i="12" s="1"/>
  <c r="AC60" i="12" s="1"/>
  <c r="AD60" i="12" s="1"/>
  <c r="AE60" i="12" s="1"/>
  <c r="AF60" i="12" s="1"/>
  <c r="AG60" i="12" s="1"/>
  <c r="AH60" i="12" s="1"/>
  <c r="AI60" i="12" s="1"/>
  <c r="AJ60" i="12" s="1"/>
  <c r="AK60" i="12" s="1"/>
  <c r="X59" i="12"/>
  <c r="Y59" i="12" s="1"/>
  <c r="Z59" i="12" s="1"/>
  <c r="AA59" i="12" s="1"/>
  <c r="AB59" i="12" s="1"/>
  <c r="AC59" i="12" s="1"/>
  <c r="AD59" i="12" s="1"/>
  <c r="AE59" i="12" s="1"/>
  <c r="AF59" i="12" s="1"/>
  <c r="AG59" i="12" s="1"/>
  <c r="AH59" i="12" s="1"/>
  <c r="AI59" i="12" s="1"/>
  <c r="AJ59" i="12" s="1"/>
  <c r="AK59" i="12" s="1"/>
  <c r="X58" i="12"/>
  <c r="Y58" i="12" s="1"/>
  <c r="Z58" i="12" s="1"/>
  <c r="AA58" i="12" s="1"/>
  <c r="AB58" i="12" s="1"/>
  <c r="AC58" i="12" s="1"/>
  <c r="AD58" i="12" s="1"/>
  <c r="AE58" i="12" s="1"/>
  <c r="AF58" i="12" s="1"/>
  <c r="AG58" i="12" s="1"/>
  <c r="AH58" i="12" s="1"/>
  <c r="AI58" i="12" s="1"/>
  <c r="AJ58" i="12" s="1"/>
  <c r="AK58" i="12" s="1"/>
  <c r="W62" i="12" l="1"/>
  <c r="X57" i="12"/>
  <c r="I10" i="17"/>
  <c r="J8" i="17"/>
  <c r="K8" i="17"/>
  <c r="L8" i="17"/>
  <c r="M8" i="17"/>
  <c r="N8" i="17"/>
  <c r="O8" i="17"/>
  <c r="P8" i="17"/>
  <c r="Q8" i="17"/>
  <c r="R8" i="17"/>
  <c r="S8" i="17"/>
  <c r="T8" i="17"/>
  <c r="I8" i="17"/>
  <c r="T7" i="17"/>
  <c r="F6" i="17"/>
  <c r="F7" i="17"/>
  <c r="F8" i="17"/>
  <c r="F9" i="17"/>
  <c r="F10" i="17"/>
  <c r="F11" i="17"/>
  <c r="F12" i="17"/>
  <c r="F13" i="17"/>
  <c r="F14" i="17"/>
  <c r="F15" i="17"/>
  <c r="F5" i="17"/>
  <c r="F17" i="17"/>
  <c r="E25" i="17"/>
  <c r="E24" i="17"/>
  <c r="B24" i="17"/>
  <c r="E23" i="17"/>
  <c r="B23" i="17"/>
  <c r="X62" i="12" l="1"/>
  <c r="Y57" i="12"/>
  <c r="Y62" i="12" l="1"/>
  <c r="Z57" i="12"/>
  <c r="Z62" i="12" l="1"/>
  <c r="AA57" i="12"/>
  <c r="AA62" i="12" l="1"/>
  <c r="AB57" i="12"/>
  <c r="AB62" i="12" l="1"/>
  <c r="AC57" i="12"/>
  <c r="AC62" i="12" l="1"/>
  <c r="AD57" i="12"/>
  <c r="AD62" i="12" l="1"/>
  <c r="AE57" i="12"/>
  <c r="AE62" i="12" l="1"/>
  <c r="AF57" i="12"/>
  <c r="AF62" i="12" l="1"/>
  <c r="AG57" i="12"/>
  <c r="AG62" i="12" l="1"/>
  <c r="AH57" i="12"/>
  <c r="AH62" i="12" l="1"/>
  <c r="AI57" i="12"/>
  <c r="AI62" i="12" l="1"/>
  <c r="AJ57" i="12"/>
  <c r="AJ62" i="12" l="1"/>
  <c r="AK57" i="12"/>
  <c r="AK62" i="12" s="1"/>
  <c r="E853" i="9" l="1"/>
  <c r="G136" i="1"/>
  <c r="P143" i="1"/>
  <c r="U140" i="1"/>
  <c r="U133" i="1"/>
  <c r="U132" i="1"/>
  <c r="T137" i="1" s="1"/>
  <c r="P138" i="1"/>
  <c r="P137" i="1"/>
  <c r="P140" i="1" s="1"/>
  <c r="Q133" i="1"/>
  <c r="Q132" i="1"/>
  <c r="D112" i="1"/>
  <c r="H112" i="1"/>
  <c r="T138" i="1" l="1"/>
  <c r="K104" i="1"/>
  <c r="R102" i="1" s="1"/>
  <c r="O104" i="1"/>
  <c r="E106" i="1"/>
  <c r="R110" i="1" l="1"/>
  <c r="Q102" i="1"/>
  <c r="C61" i="12" l="1"/>
  <c r="D61" i="12" s="1"/>
  <c r="E61" i="12" s="1"/>
  <c r="F61" i="12" s="1"/>
  <c r="G61" i="12" s="1"/>
  <c r="H61" i="12" s="1"/>
  <c r="I61" i="12" s="1"/>
  <c r="J61" i="12" s="1"/>
  <c r="K61" i="12" s="1"/>
  <c r="L61" i="12" s="1"/>
  <c r="M61" i="12" s="1"/>
  <c r="N61" i="12" s="1"/>
  <c r="O61" i="12" s="1"/>
  <c r="P61" i="12" s="1"/>
  <c r="Q61" i="12" s="1"/>
  <c r="C60" i="12"/>
  <c r="D60" i="12" s="1"/>
  <c r="E60" i="12" s="1"/>
  <c r="F60" i="12" s="1"/>
  <c r="G60" i="12" s="1"/>
  <c r="H60" i="12" s="1"/>
  <c r="I60" i="12" s="1"/>
  <c r="J60" i="12" s="1"/>
  <c r="K60" i="12" s="1"/>
  <c r="L60" i="12" s="1"/>
  <c r="M60" i="12" s="1"/>
  <c r="N60" i="12" s="1"/>
  <c r="O60" i="12" s="1"/>
  <c r="P60" i="12" s="1"/>
  <c r="Q60" i="12" s="1"/>
  <c r="C59" i="12"/>
  <c r="D59" i="12" s="1"/>
  <c r="E59" i="12" s="1"/>
  <c r="F59" i="12" s="1"/>
  <c r="G59" i="12" s="1"/>
  <c r="H59" i="12" s="1"/>
  <c r="I59" i="12" s="1"/>
  <c r="J59" i="12" s="1"/>
  <c r="K59" i="12" s="1"/>
  <c r="L59" i="12" s="1"/>
  <c r="M59" i="12" s="1"/>
  <c r="N59" i="12" s="1"/>
  <c r="O59" i="12" s="1"/>
  <c r="P59" i="12" s="1"/>
  <c r="Q59" i="12" s="1"/>
  <c r="C58" i="12"/>
  <c r="D58" i="12" s="1"/>
  <c r="E58" i="12" s="1"/>
  <c r="F58" i="12" s="1"/>
  <c r="G58" i="12" s="1"/>
  <c r="H58" i="12" s="1"/>
  <c r="I58" i="12" s="1"/>
  <c r="J58" i="12" s="1"/>
  <c r="K58" i="12" s="1"/>
  <c r="L58" i="12" s="1"/>
  <c r="M58" i="12" s="1"/>
  <c r="N58" i="12" s="1"/>
  <c r="O58" i="12" s="1"/>
  <c r="P58" i="12" s="1"/>
  <c r="Q58" i="12" s="1"/>
  <c r="C57" i="12"/>
  <c r="B61" i="12"/>
  <c r="B59" i="12"/>
  <c r="B57" i="12"/>
  <c r="D13" i="12"/>
  <c r="D57" i="12" l="1"/>
  <c r="C62" i="12"/>
  <c r="D62" i="12" l="1"/>
  <c r="E57" i="12"/>
  <c r="E62" i="12" l="1"/>
  <c r="F57" i="12"/>
  <c r="F62" i="12" l="1"/>
  <c r="G57" i="12"/>
  <c r="G62" i="12" l="1"/>
  <c r="H57" i="12"/>
  <c r="H62" i="12" l="1"/>
  <c r="I57" i="12"/>
  <c r="I62" i="12" l="1"/>
  <c r="J57" i="12"/>
  <c r="J62" i="12" l="1"/>
  <c r="K57" i="12"/>
  <c r="K62" i="12" l="1"/>
  <c r="L57" i="12"/>
  <c r="AB8" i="3"/>
  <c r="U18" i="2"/>
  <c r="T18" i="2"/>
  <c r="S18" i="2"/>
  <c r="L62" i="12" l="1"/>
  <c r="M57" i="12"/>
  <c r="F183" i="12"/>
  <c r="M62" i="12" l="1"/>
  <c r="N57" i="12"/>
  <c r="AE585" i="1"/>
  <c r="N62" i="12" l="1"/>
  <c r="O57" i="12"/>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B244" i="12"/>
  <c r="B243" i="12"/>
  <c r="B242" i="12"/>
  <c r="B241" i="12"/>
  <c r="B240" i="12"/>
  <c r="C216" i="12"/>
  <c r="C215" i="12"/>
  <c r="C214" i="12"/>
  <c r="C191" i="12"/>
  <c r="C190" i="12"/>
  <c r="C189" i="12"/>
  <c r="E182" i="12"/>
  <c r="D182" i="12"/>
  <c r="B182" i="12"/>
  <c r="E181" i="12"/>
  <c r="D181" i="12"/>
  <c r="B181" i="12"/>
  <c r="D180" i="12"/>
  <c r="B180" i="12"/>
  <c r="D179" i="12"/>
  <c r="B179" i="12"/>
  <c r="D178" i="12"/>
  <c r="B178" i="12"/>
  <c r="I169" i="12"/>
  <c r="C242" i="12" s="1"/>
  <c r="I168" i="12"/>
  <c r="G168" i="12"/>
  <c r="E167" i="12"/>
  <c r="C244" i="12" s="1"/>
  <c r="E166" i="12"/>
  <c r="C241" i="12" s="1"/>
  <c r="E165" i="12"/>
  <c r="N162" i="12"/>
  <c r="N161" i="12"/>
  <c r="N159" i="12"/>
  <c r="D156" i="12"/>
  <c r="I157" i="12" s="1"/>
  <c r="J157" i="12" s="1"/>
  <c r="C156" i="12"/>
  <c r="C157" i="12" s="1"/>
  <c r="E157" i="12" s="1"/>
  <c r="D151" i="12"/>
  <c r="N158" i="12" s="1"/>
  <c r="B151" i="12"/>
  <c r="O149" i="12"/>
  <c r="N148" i="12"/>
  <c r="P148" i="12" s="1"/>
  <c r="N164" i="12" s="1"/>
  <c r="C73" i="12"/>
  <c r="C182" i="12" s="1"/>
  <c r="C72" i="12"/>
  <c r="C71" i="12"/>
  <c r="C70" i="12"/>
  <c r="C69" i="12"/>
  <c r="C40" i="12"/>
  <c r="H169" i="12" s="1"/>
  <c r="C39" i="12"/>
  <c r="E33" i="12"/>
  <c r="G169" i="12" s="1"/>
  <c r="G170" i="12" s="1"/>
  <c r="C33" i="12"/>
  <c r="C32" i="12"/>
  <c r="E29" i="12"/>
  <c r="C167" i="12" s="1"/>
  <c r="C29" i="12"/>
  <c r="E28" i="12"/>
  <c r="C165" i="12" s="1"/>
  <c r="C28" i="12"/>
  <c r="E27" i="12"/>
  <c r="C166" i="12" s="1"/>
  <c r="C27" i="12"/>
  <c r="C21" i="12"/>
  <c r="C20" i="12"/>
  <c r="C914" i="9"/>
  <c r="C912" i="9"/>
  <c r="D911" i="9"/>
  <c r="C911" i="9"/>
  <c r="D910" i="9"/>
  <c r="C910" i="9"/>
  <c r="C909" i="9"/>
  <c r="C908" i="9"/>
  <c r="C907" i="9"/>
  <c r="C906" i="9"/>
  <c r="C899" i="9"/>
  <c r="C897" i="9"/>
  <c r="B888" i="9"/>
  <c r="D885" i="9"/>
  <c r="C885" i="9"/>
  <c r="E884" i="9"/>
  <c r="D884" i="9"/>
  <c r="C884" i="9"/>
  <c r="D882" i="9"/>
  <c r="D878" i="9"/>
  <c r="B878" i="9"/>
  <c r="B872" i="9"/>
  <c r="D869" i="9"/>
  <c r="D867" i="9"/>
  <c r="D866" i="9"/>
  <c r="D864" i="9"/>
  <c r="D863" i="9"/>
  <c r="D858" i="9"/>
  <c r="D853" i="9"/>
  <c r="E841" i="9"/>
  <c r="F839" i="9"/>
  <c r="E839" i="9"/>
  <c r="F838" i="9"/>
  <c r="E838" i="9"/>
  <c r="F837" i="9"/>
  <c r="E837" i="9"/>
  <c r="F836" i="9"/>
  <c r="E836" i="9"/>
  <c r="F835" i="9"/>
  <c r="E835" i="9"/>
  <c r="F834" i="9"/>
  <c r="E834" i="9"/>
  <c r="F833" i="9"/>
  <c r="E833" i="9"/>
  <c r="F832" i="9"/>
  <c r="E832" i="9"/>
  <c r="E826" i="9"/>
  <c r="F824" i="9"/>
  <c r="E824" i="9"/>
  <c r="F823" i="9"/>
  <c r="E823" i="9"/>
  <c r="F822" i="9"/>
  <c r="E822" i="9"/>
  <c r="F821" i="9"/>
  <c r="E821" i="9"/>
  <c r="F820" i="9"/>
  <c r="E820" i="9"/>
  <c r="F819" i="9"/>
  <c r="E819" i="9"/>
  <c r="F818" i="9"/>
  <c r="E818" i="9"/>
  <c r="F817" i="9"/>
  <c r="E817" i="9"/>
  <c r="K810" i="9"/>
  <c r="C810" i="9"/>
  <c r="K801" i="9"/>
  <c r="C801" i="9"/>
  <c r="K793" i="9"/>
  <c r="C793" i="9"/>
  <c r="K785" i="9"/>
  <c r="C785" i="9"/>
  <c r="K768" i="9"/>
  <c r="C768" i="9"/>
  <c r="K758" i="9"/>
  <c r="C758" i="9"/>
  <c r="K744" i="9"/>
  <c r="C744" i="9"/>
  <c r="K729" i="9"/>
  <c r="C729" i="9"/>
  <c r="L705" i="9"/>
  <c r="K705" i="9"/>
  <c r="J705" i="9"/>
  <c r="D705" i="9"/>
  <c r="C705" i="9"/>
  <c r="B705" i="9"/>
  <c r="L704" i="9"/>
  <c r="K704" i="9"/>
  <c r="J704" i="9"/>
  <c r="D704" i="9"/>
  <c r="C704" i="9"/>
  <c r="B704" i="9"/>
  <c r="K695" i="9"/>
  <c r="C695" i="9"/>
  <c r="K686" i="9"/>
  <c r="C686" i="9"/>
  <c r="K678" i="9"/>
  <c r="C678" i="9"/>
  <c r="K670" i="9"/>
  <c r="C670" i="9"/>
  <c r="K653" i="9"/>
  <c r="C653" i="9"/>
  <c r="K643" i="9"/>
  <c r="C643" i="9"/>
  <c r="K629" i="9"/>
  <c r="C629" i="9"/>
  <c r="K614" i="9"/>
  <c r="C614" i="9"/>
  <c r="L596" i="9"/>
  <c r="D596" i="9"/>
  <c r="L595" i="9"/>
  <c r="D595" i="9"/>
  <c r="L590" i="9"/>
  <c r="K590" i="9"/>
  <c r="J590" i="9"/>
  <c r="D590" i="9"/>
  <c r="C590" i="9"/>
  <c r="B590" i="9"/>
  <c r="L589" i="9"/>
  <c r="K589" i="9"/>
  <c r="J589" i="9"/>
  <c r="D589" i="9"/>
  <c r="C589" i="9"/>
  <c r="B589" i="9"/>
  <c r="B584" i="9"/>
  <c r="B578" i="9"/>
  <c r="B564" i="9"/>
  <c r="C558" i="9"/>
  <c r="C556" i="9"/>
  <c r="C555" i="9"/>
  <c r="D554" i="9"/>
  <c r="C554" i="9"/>
  <c r="C553" i="9"/>
  <c r="B553" i="9"/>
  <c r="C552" i="9"/>
  <c r="B552" i="9"/>
  <c r="C551" i="9"/>
  <c r="C542" i="9"/>
  <c r="C539" i="9"/>
  <c r="C537" i="9"/>
  <c r="C536" i="9"/>
  <c r="C532" i="9"/>
  <c r="H531" i="9"/>
  <c r="C530" i="9"/>
  <c r="C529" i="9"/>
  <c r="B524" i="9"/>
  <c r="D521" i="9"/>
  <c r="C521" i="9"/>
  <c r="E520" i="9"/>
  <c r="D520" i="9"/>
  <c r="C520" i="9"/>
  <c r="C517" i="9"/>
  <c r="C512" i="9"/>
  <c r="C511" i="9"/>
  <c r="B511" i="9"/>
  <c r="C510" i="9"/>
  <c r="B510" i="9"/>
  <c r="C506" i="9"/>
  <c r="C504" i="9"/>
  <c r="C503" i="9"/>
  <c r="D497" i="9"/>
  <c r="C497" i="9"/>
  <c r="C496" i="9"/>
  <c r="C495" i="9"/>
  <c r="C494" i="9"/>
  <c r="C493" i="9"/>
  <c r="E487" i="9"/>
  <c r="E483" i="9"/>
  <c r="E478" i="9"/>
  <c r="F474" i="9"/>
  <c r="C474" i="9"/>
  <c r="E473" i="9"/>
  <c r="B473" i="9"/>
  <c r="C469" i="9"/>
  <c r="C468" i="9"/>
  <c r="B465" i="9"/>
  <c r="C461" i="9"/>
  <c r="B456" i="9"/>
  <c r="F453" i="9"/>
  <c r="E453" i="9"/>
  <c r="D453" i="9"/>
  <c r="B451" i="9"/>
  <c r="G449" i="9"/>
  <c r="F449" i="9"/>
  <c r="E449" i="9"/>
  <c r="D449" i="9"/>
  <c r="C449" i="9"/>
  <c r="B449" i="9"/>
  <c r="A449" i="9"/>
  <c r="B447" i="9"/>
  <c r="G445" i="9"/>
  <c r="F445" i="9"/>
  <c r="E445" i="9"/>
  <c r="D445" i="9"/>
  <c r="C445" i="9"/>
  <c r="B445" i="9"/>
  <c r="A445" i="9"/>
  <c r="G443" i="9"/>
  <c r="F443" i="9"/>
  <c r="E443" i="9"/>
  <c r="D443" i="9"/>
  <c r="C443" i="9"/>
  <c r="B443" i="9"/>
  <c r="A443" i="9"/>
  <c r="F439" i="9"/>
  <c r="E439" i="9"/>
  <c r="D439" i="9"/>
  <c r="C439" i="9"/>
  <c r="B439" i="9"/>
  <c r="A439" i="9"/>
  <c r="F437" i="9"/>
  <c r="E437" i="9"/>
  <c r="B434" i="9"/>
  <c r="C428" i="9"/>
  <c r="C425" i="9"/>
  <c r="C423" i="9"/>
  <c r="C422" i="9"/>
  <c r="C421" i="9"/>
  <c r="C420" i="9"/>
  <c r="C414" i="9"/>
  <c r="C408" i="9"/>
  <c r="B408" i="9"/>
  <c r="B406" i="9"/>
  <c r="C402" i="9"/>
  <c r="D401" i="9"/>
  <c r="C401" i="9"/>
  <c r="C399" i="9"/>
  <c r="C394" i="9"/>
  <c r="B394" i="9"/>
  <c r="C393" i="9"/>
  <c r="B393" i="9"/>
  <c r="C392" i="9"/>
  <c r="B392" i="9"/>
  <c r="C388" i="9"/>
  <c r="C385" i="9"/>
  <c r="C384" i="9"/>
  <c r="C381" i="9"/>
  <c r="C377" i="9"/>
  <c r="C363" i="9"/>
  <c r="B356" i="9"/>
  <c r="C351" i="9"/>
  <c r="C348" i="9"/>
  <c r="C347" i="9"/>
  <c r="C344" i="9"/>
  <c r="C340" i="9"/>
  <c r="C326" i="9"/>
  <c r="B319" i="9"/>
  <c r="C314" i="9"/>
  <c r="C311" i="9"/>
  <c r="C310" i="9"/>
  <c r="C307" i="9"/>
  <c r="C303" i="9"/>
  <c r="C289" i="9"/>
  <c r="B282" i="9"/>
  <c r="B279" i="9"/>
  <c r="E274" i="9"/>
  <c r="D274" i="9"/>
  <c r="C274" i="9"/>
  <c r="B270" i="9"/>
  <c r="B266" i="9"/>
  <c r="H264" i="9"/>
  <c r="H263" i="9"/>
  <c r="G263" i="9"/>
  <c r="F263" i="9"/>
  <c r="E263" i="9"/>
  <c r="D263" i="9"/>
  <c r="C263" i="9"/>
  <c r="B263" i="9"/>
  <c r="H262" i="9"/>
  <c r="G262" i="9"/>
  <c r="F262" i="9"/>
  <c r="E262" i="9"/>
  <c r="D262" i="9"/>
  <c r="C262" i="9"/>
  <c r="B262" i="9"/>
  <c r="H261" i="9"/>
  <c r="G261" i="9"/>
  <c r="F261" i="9"/>
  <c r="E261" i="9"/>
  <c r="D261" i="9"/>
  <c r="C261" i="9"/>
  <c r="B261" i="9"/>
  <c r="H254" i="9"/>
  <c r="G254" i="9"/>
  <c r="F254" i="9"/>
  <c r="C254" i="9"/>
  <c r="H253" i="9"/>
  <c r="G253" i="9"/>
  <c r="F253" i="9"/>
  <c r="E253" i="9"/>
  <c r="D253" i="9"/>
  <c r="C253" i="9"/>
  <c r="B253" i="9"/>
  <c r="H252" i="9"/>
  <c r="G252" i="9"/>
  <c r="F252" i="9"/>
  <c r="E252" i="9"/>
  <c r="D252" i="9"/>
  <c r="C252" i="9"/>
  <c r="B252" i="9"/>
  <c r="H251" i="9"/>
  <c r="G251" i="9"/>
  <c r="F251" i="9"/>
  <c r="E251" i="9"/>
  <c r="D251" i="9"/>
  <c r="C251" i="9"/>
  <c r="B251" i="9"/>
  <c r="H250" i="9"/>
  <c r="G250" i="9"/>
  <c r="F250" i="9"/>
  <c r="E250" i="9"/>
  <c r="D250" i="9"/>
  <c r="C250" i="9"/>
  <c r="B250" i="9"/>
  <c r="H249" i="9"/>
  <c r="G249" i="9"/>
  <c r="F249" i="9"/>
  <c r="E249" i="9"/>
  <c r="D249" i="9"/>
  <c r="C249" i="9"/>
  <c r="B249" i="9"/>
  <c r="H248" i="9"/>
  <c r="G248" i="9"/>
  <c r="F248" i="9"/>
  <c r="H247" i="9"/>
  <c r="G247" i="9"/>
  <c r="F247" i="9"/>
  <c r="H246" i="9"/>
  <c r="G246" i="9"/>
  <c r="F246" i="9"/>
  <c r="E246" i="9"/>
  <c r="D246" i="9"/>
  <c r="C246" i="9"/>
  <c r="B246" i="9"/>
  <c r="H245" i="9"/>
  <c r="G245" i="9"/>
  <c r="F245" i="9"/>
  <c r="E245" i="9"/>
  <c r="D245" i="9"/>
  <c r="C245" i="9"/>
  <c r="B245" i="9"/>
  <c r="H244" i="9"/>
  <c r="G244" i="9"/>
  <c r="F244" i="9"/>
  <c r="E244" i="9"/>
  <c r="D244" i="9"/>
  <c r="C244" i="9"/>
  <c r="B244" i="9"/>
  <c r="H243" i="9"/>
  <c r="G243" i="9"/>
  <c r="F243" i="9"/>
  <c r="E243" i="9"/>
  <c r="D243" i="9"/>
  <c r="C243" i="9"/>
  <c r="B243" i="9"/>
  <c r="H242" i="9"/>
  <c r="G242" i="9"/>
  <c r="F242" i="9"/>
  <c r="E242" i="9"/>
  <c r="D242" i="9"/>
  <c r="C242" i="9"/>
  <c r="B242" i="9"/>
  <c r="H241" i="9"/>
  <c r="G241" i="9"/>
  <c r="F241" i="9"/>
  <c r="E241" i="9"/>
  <c r="D241" i="9"/>
  <c r="C241" i="9"/>
  <c r="B241" i="9"/>
  <c r="H240" i="9"/>
  <c r="G240" i="9"/>
  <c r="F240" i="9"/>
  <c r="E240" i="9"/>
  <c r="D240" i="9"/>
  <c r="C240" i="9"/>
  <c r="B240" i="9"/>
  <c r="H239" i="9"/>
  <c r="G239" i="9"/>
  <c r="F239" i="9"/>
  <c r="E239" i="9"/>
  <c r="D239" i="9"/>
  <c r="C239" i="9"/>
  <c r="B239" i="9"/>
  <c r="H238" i="9"/>
  <c r="G238" i="9"/>
  <c r="F238" i="9"/>
  <c r="E238" i="9"/>
  <c r="D238" i="9"/>
  <c r="C238" i="9"/>
  <c r="B238" i="9"/>
  <c r="H237" i="9"/>
  <c r="G237" i="9"/>
  <c r="F237" i="9"/>
  <c r="E237" i="9"/>
  <c r="D237" i="9"/>
  <c r="C237" i="9"/>
  <c r="B237" i="9"/>
  <c r="H236" i="9"/>
  <c r="G236" i="9"/>
  <c r="F236" i="9"/>
  <c r="E236" i="9"/>
  <c r="D236" i="9"/>
  <c r="C236" i="9"/>
  <c r="B236" i="9"/>
  <c r="H235" i="9"/>
  <c r="G235" i="9"/>
  <c r="F235" i="9"/>
  <c r="E235" i="9"/>
  <c r="D235" i="9"/>
  <c r="C235" i="9"/>
  <c r="B235" i="9"/>
  <c r="H234" i="9"/>
  <c r="G234" i="9"/>
  <c r="F234" i="9"/>
  <c r="E234" i="9"/>
  <c r="D234" i="9"/>
  <c r="C234" i="9"/>
  <c r="B234" i="9"/>
  <c r="B231" i="9"/>
  <c r="C225" i="9"/>
  <c r="C222" i="9"/>
  <c r="C220" i="9"/>
  <c r="D219" i="9"/>
  <c r="C219" i="9"/>
  <c r="C218" i="9"/>
  <c r="C217" i="9"/>
  <c r="C210" i="9"/>
  <c r="C201" i="9"/>
  <c r="B201" i="9"/>
  <c r="B199" i="9"/>
  <c r="C195" i="9"/>
  <c r="D194" i="9"/>
  <c r="C194" i="9"/>
  <c r="C192" i="9"/>
  <c r="D190" i="9"/>
  <c r="C189" i="9"/>
  <c r="C186" i="9"/>
  <c r="B176" i="9"/>
  <c r="C173" i="9"/>
  <c r="H162" i="9"/>
  <c r="G162" i="9"/>
  <c r="F162" i="9"/>
  <c r="D162" i="9"/>
  <c r="H161" i="9"/>
  <c r="G161" i="9"/>
  <c r="F161" i="9"/>
  <c r="E161" i="9"/>
  <c r="C161" i="9"/>
  <c r="B161" i="9"/>
  <c r="H160" i="9"/>
  <c r="G160" i="9"/>
  <c r="F160" i="9"/>
  <c r="E160" i="9"/>
  <c r="C160" i="9"/>
  <c r="B160" i="9"/>
  <c r="H159" i="9"/>
  <c r="G159" i="9"/>
  <c r="F159" i="9"/>
  <c r="E159" i="9"/>
  <c r="C159" i="9"/>
  <c r="B159" i="9"/>
  <c r="H158" i="9"/>
  <c r="G158" i="9"/>
  <c r="F158" i="9"/>
  <c r="E158" i="9"/>
  <c r="C158" i="9"/>
  <c r="B158" i="9"/>
  <c r="H157" i="9"/>
  <c r="G157" i="9"/>
  <c r="F157" i="9"/>
  <c r="E157" i="9"/>
  <c r="B157" i="9"/>
  <c r="H156" i="9"/>
  <c r="G156" i="9"/>
  <c r="F156" i="9"/>
  <c r="E156" i="9"/>
  <c r="B156" i="9"/>
  <c r="H155" i="9"/>
  <c r="G155" i="9"/>
  <c r="F155" i="9"/>
  <c r="E155" i="9"/>
  <c r="C155" i="9"/>
  <c r="B155" i="9"/>
  <c r="B152" i="9"/>
  <c r="B142" i="9"/>
  <c r="H139" i="9"/>
  <c r="G139" i="9"/>
  <c r="F139" i="9"/>
  <c r="D139" i="9"/>
  <c r="H138" i="9"/>
  <c r="G138" i="9"/>
  <c r="F138" i="9"/>
  <c r="E138" i="9"/>
  <c r="D138" i="9"/>
  <c r="C138" i="9"/>
  <c r="B138" i="9"/>
  <c r="H137" i="9"/>
  <c r="G137" i="9"/>
  <c r="F137" i="9"/>
  <c r="E137" i="9"/>
  <c r="D137" i="9"/>
  <c r="C137" i="9"/>
  <c r="B137" i="9"/>
  <c r="H136" i="9"/>
  <c r="G136" i="9"/>
  <c r="F136" i="9"/>
  <c r="E136" i="9"/>
  <c r="D136" i="9"/>
  <c r="C136" i="9"/>
  <c r="B136" i="9"/>
  <c r="H135" i="9"/>
  <c r="G135" i="9"/>
  <c r="F135" i="9"/>
  <c r="E135" i="9"/>
  <c r="D135" i="9"/>
  <c r="C135" i="9"/>
  <c r="B135" i="9"/>
  <c r="H134" i="9"/>
  <c r="G134" i="9"/>
  <c r="F134" i="9"/>
  <c r="E134" i="9"/>
  <c r="D134" i="9"/>
  <c r="C134" i="9"/>
  <c r="B134" i="9"/>
  <c r="H133" i="9"/>
  <c r="G133" i="9"/>
  <c r="F133" i="9"/>
  <c r="E133" i="9"/>
  <c r="D133" i="9"/>
  <c r="C133" i="9"/>
  <c r="B133" i="9"/>
  <c r="H132" i="9"/>
  <c r="G132" i="9"/>
  <c r="F132" i="9"/>
  <c r="E132" i="9"/>
  <c r="D132" i="9"/>
  <c r="C132" i="9"/>
  <c r="B132" i="9"/>
  <c r="E129" i="9"/>
  <c r="C129" i="9"/>
  <c r="D128" i="9"/>
  <c r="D127" i="9"/>
  <c r="D126" i="9"/>
  <c r="B124" i="9"/>
  <c r="C118" i="9"/>
  <c r="C115" i="9"/>
  <c r="C113" i="9"/>
  <c r="C112" i="9"/>
  <c r="C111" i="9"/>
  <c r="C110" i="9"/>
  <c r="C103" i="9"/>
  <c r="C96" i="9"/>
  <c r="B96" i="9"/>
  <c r="B94" i="9"/>
  <c r="C91" i="9"/>
  <c r="D90" i="9"/>
  <c r="C90" i="9"/>
  <c r="C88" i="9"/>
  <c r="G81" i="9"/>
  <c r="G78" i="9"/>
  <c r="G79" i="9" s="1"/>
  <c r="E72" i="9"/>
  <c r="E73" i="9" s="1"/>
  <c r="B61" i="9"/>
  <c r="D60" i="9"/>
  <c r="D59" i="9"/>
  <c r="H58" i="9"/>
  <c r="G58" i="9"/>
  <c r="E58" i="9"/>
  <c r="D58" i="9"/>
  <c r="H57" i="9"/>
  <c r="G57" i="9"/>
  <c r="F57" i="9"/>
  <c r="E57" i="9"/>
  <c r="D57" i="9"/>
  <c r="B57" i="9"/>
  <c r="H56" i="9"/>
  <c r="G56" i="9"/>
  <c r="F56" i="9"/>
  <c r="E56" i="9"/>
  <c r="D56" i="9"/>
  <c r="C56" i="9"/>
  <c r="H55" i="9"/>
  <c r="G55" i="9"/>
  <c r="F55" i="9"/>
  <c r="E55" i="9"/>
  <c r="D55" i="9"/>
  <c r="B55" i="9"/>
  <c r="H54" i="9"/>
  <c r="G54" i="9"/>
  <c r="F54" i="9"/>
  <c r="E54" i="9"/>
  <c r="D54" i="9"/>
  <c r="B54" i="9"/>
  <c r="H53" i="9"/>
  <c r="G53" i="9"/>
  <c r="F53" i="9"/>
  <c r="E53" i="9"/>
  <c r="D53" i="9"/>
  <c r="B53" i="9"/>
  <c r="H52" i="9"/>
  <c r="G52" i="9"/>
  <c r="F52" i="9"/>
  <c r="E52" i="9"/>
  <c r="D52" i="9"/>
  <c r="B52" i="9"/>
  <c r="H51" i="9"/>
  <c r="G51" i="9"/>
  <c r="F51" i="9"/>
  <c r="E51" i="9"/>
  <c r="D51" i="9"/>
  <c r="B51" i="9"/>
  <c r="H50" i="9"/>
  <c r="G50" i="9"/>
  <c r="F50" i="9"/>
  <c r="E50" i="9"/>
  <c r="D50" i="9"/>
  <c r="C50" i="9"/>
  <c r="H49" i="9"/>
  <c r="G49" i="9"/>
  <c r="F49" i="9"/>
  <c r="E49" i="9"/>
  <c r="D49" i="9"/>
  <c r="B49" i="9"/>
  <c r="H48" i="9"/>
  <c r="G48" i="9"/>
  <c r="F48" i="9"/>
  <c r="E48" i="9"/>
  <c r="D48" i="9"/>
  <c r="B48" i="9"/>
  <c r="H47" i="9"/>
  <c r="G47" i="9"/>
  <c r="F47" i="9"/>
  <c r="E47" i="9"/>
  <c r="D47" i="9"/>
  <c r="C47" i="9"/>
  <c r="H46" i="9"/>
  <c r="G46" i="9"/>
  <c r="F46" i="9"/>
  <c r="E46" i="9"/>
  <c r="D46" i="9"/>
  <c r="C46" i="9"/>
  <c r="H45" i="9"/>
  <c r="G45" i="9"/>
  <c r="F45" i="9"/>
  <c r="E45" i="9"/>
  <c r="D45" i="9"/>
  <c r="C45" i="9"/>
  <c r="H44" i="9"/>
  <c r="G44" i="9"/>
  <c r="F44" i="9"/>
  <c r="E44" i="9"/>
  <c r="D44" i="9"/>
  <c r="B44" i="9"/>
  <c r="B41" i="9"/>
  <c r="G38" i="9"/>
  <c r="E38" i="9"/>
  <c r="D38" i="9"/>
  <c r="G37" i="9"/>
  <c r="F37" i="9"/>
  <c r="E37" i="9"/>
  <c r="D37" i="9"/>
  <c r="C37" i="9"/>
  <c r="G36" i="9"/>
  <c r="F36" i="9"/>
  <c r="E36" i="9"/>
  <c r="D36" i="9"/>
  <c r="C36" i="9"/>
  <c r="G35" i="9"/>
  <c r="F35" i="9"/>
  <c r="E35" i="9"/>
  <c r="D35" i="9"/>
  <c r="C35" i="9"/>
  <c r="G34" i="9"/>
  <c r="F34" i="9"/>
  <c r="E34" i="9"/>
  <c r="D34" i="9"/>
  <c r="C34" i="9"/>
  <c r="G33" i="9"/>
  <c r="F33" i="9"/>
  <c r="E33" i="9"/>
  <c r="D33" i="9"/>
  <c r="C33" i="9"/>
  <c r="G32" i="9"/>
  <c r="F32" i="9"/>
  <c r="E32" i="9"/>
  <c r="D32" i="9"/>
  <c r="C32" i="9"/>
  <c r="G31" i="9"/>
  <c r="F31" i="9"/>
  <c r="E31" i="9"/>
  <c r="D31" i="9"/>
  <c r="C31" i="9"/>
  <c r="G30" i="9"/>
  <c r="F30" i="9"/>
  <c r="E30" i="9"/>
  <c r="D30" i="9"/>
  <c r="C30" i="9"/>
  <c r="G29" i="9"/>
  <c r="F29" i="9"/>
  <c r="E29" i="9"/>
  <c r="D29" i="9"/>
  <c r="C29" i="9"/>
  <c r="G28" i="9"/>
  <c r="F28" i="9"/>
  <c r="E28" i="9"/>
  <c r="D28" i="9"/>
  <c r="C28" i="9"/>
  <c r="G27" i="9"/>
  <c r="F27" i="9"/>
  <c r="E27" i="9"/>
  <c r="D27" i="9"/>
  <c r="C27" i="9"/>
  <c r="G26" i="9"/>
  <c r="F26" i="9"/>
  <c r="E26" i="9"/>
  <c r="D26" i="9"/>
  <c r="C26" i="9"/>
  <c r="G25" i="9"/>
  <c r="F25" i="9"/>
  <c r="E25" i="9"/>
  <c r="D25" i="9"/>
  <c r="C25" i="9"/>
  <c r="G24" i="9"/>
  <c r="F24" i="9"/>
  <c r="E24" i="9"/>
  <c r="D24" i="9"/>
  <c r="C24" i="9"/>
  <c r="C21" i="9"/>
  <c r="D19" i="9"/>
  <c r="B18" i="9"/>
  <c r="L26" i="8"/>
  <c r="C26" i="8"/>
  <c r="O17" i="8"/>
  <c r="F17" i="8"/>
  <c r="K16" i="8"/>
  <c r="B16" i="8"/>
  <c r="L10" i="8"/>
  <c r="C10" i="8"/>
  <c r="K6" i="8"/>
  <c r="B6" i="8"/>
  <c r="L10" i="7"/>
  <c r="C10" i="7"/>
  <c r="L9" i="7"/>
  <c r="C9" i="7"/>
  <c r="L8" i="7"/>
  <c r="C8" i="7"/>
  <c r="L7" i="7"/>
  <c r="C7" i="7"/>
  <c r="L6" i="7"/>
  <c r="C6" i="7"/>
  <c r="T77" i="6"/>
  <c r="S77" i="6"/>
  <c r="R77" i="6"/>
  <c r="Q77" i="6"/>
  <c r="P77" i="6"/>
  <c r="O77" i="6"/>
  <c r="H77" i="6"/>
  <c r="G77" i="6"/>
  <c r="F77" i="6"/>
  <c r="E77" i="6"/>
  <c r="D77" i="6"/>
  <c r="C77" i="6"/>
  <c r="T76" i="6"/>
  <c r="S76" i="6"/>
  <c r="R76" i="6"/>
  <c r="Q76" i="6"/>
  <c r="P76" i="6"/>
  <c r="O76" i="6"/>
  <c r="H76" i="6"/>
  <c r="G76" i="6"/>
  <c r="F76" i="6"/>
  <c r="E76" i="6"/>
  <c r="D76" i="6"/>
  <c r="C76" i="6"/>
  <c r="T75" i="6"/>
  <c r="S75" i="6"/>
  <c r="R75" i="6"/>
  <c r="Q75" i="6"/>
  <c r="P75" i="6"/>
  <c r="O75" i="6"/>
  <c r="H75" i="6"/>
  <c r="G75" i="6"/>
  <c r="F75" i="6"/>
  <c r="E75" i="6"/>
  <c r="D75" i="6"/>
  <c r="C75" i="6"/>
  <c r="T74" i="6"/>
  <c r="S74" i="6"/>
  <c r="R74" i="6"/>
  <c r="Q74" i="6"/>
  <c r="P74" i="6"/>
  <c r="O74" i="6"/>
  <c r="H74" i="6"/>
  <c r="G74" i="6"/>
  <c r="F74" i="6"/>
  <c r="E74" i="6"/>
  <c r="D74" i="6"/>
  <c r="C74" i="6"/>
  <c r="C67" i="6"/>
  <c r="O66" i="6"/>
  <c r="C66" i="6"/>
  <c r="O65" i="6"/>
  <c r="C65" i="6"/>
  <c r="O64" i="6"/>
  <c r="C64" i="6"/>
  <c r="C57" i="6"/>
  <c r="O56" i="6"/>
  <c r="C56" i="6"/>
  <c r="O50" i="6"/>
  <c r="C50" i="6"/>
  <c r="O49" i="6"/>
  <c r="C49" i="6"/>
  <c r="J47" i="6"/>
  <c r="C42" i="6"/>
  <c r="O41" i="6"/>
  <c r="C41" i="6"/>
  <c r="K37" i="6"/>
  <c r="J37" i="6"/>
  <c r="K36" i="6"/>
  <c r="J36" i="6"/>
  <c r="O35" i="6"/>
  <c r="C35" i="6"/>
  <c r="O34" i="6"/>
  <c r="C34" i="6"/>
  <c r="O27" i="6"/>
  <c r="C27" i="6"/>
  <c r="T26" i="6"/>
  <c r="O26" i="6"/>
  <c r="H26" i="6"/>
  <c r="C26" i="6"/>
  <c r="R25" i="6"/>
  <c r="F25" i="6"/>
  <c r="P18" i="6"/>
  <c r="O18" i="6"/>
  <c r="D18" i="6"/>
  <c r="C18" i="6"/>
  <c r="P17" i="6"/>
  <c r="O17" i="6"/>
  <c r="D17" i="6"/>
  <c r="C17" i="6"/>
  <c r="P16" i="6"/>
  <c r="O16" i="6"/>
  <c r="D16" i="6"/>
  <c r="C16" i="6"/>
  <c r="P15" i="6"/>
  <c r="O15" i="6"/>
  <c r="D15" i="6"/>
  <c r="C15" i="6"/>
  <c r="P14" i="6"/>
  <c r="O14" i="6"/>
  <c r="D14" i="6"/>
  <c r="C14" i="6"/>
  <c r="P13" i="6"/>
  <c r="O13" i="6"/>
  <c r="D13" i="6"/>
  <c r="C13" i="6"/>
  <c r="P12" i="6"/>
  <c r="O12" i="6"/>
  <c r="D12" i="6"/>
  <c r="C12" i="6"/>
  <c r="P11" i="6"/>
  <c r="O11" i="6"/>
  <c r="D11" i="6"/>
  <c r="C11" i="6"/>
  <c r="P10" i="6"/>
  <c r="O10" i="6"/>
  <c r="D10" i="6"/>
  <c r="C10" i="6"/>
  <c r="P9" i="6"/>
  <c r="O9" i="6"/>
  <c r="D9" i="6"/>
  <c r="C9" i="6"/>
  <c r="P8" i="6"/>
  <c r="O8" i="6"/>
  <c r="D8" i="6"/>
  <c r="C8" i="6"/>
  <c r="P7" i="6"/>
  <c r="O7" i="6"/>
  <c r="D7" i="6"/>
  <c r="C7" i="6"/>
  <c r="P6" i="6"/>
  <c r="O6" i="6"/>
  <c r="D6" i="6"/>
  <c r="C6" i="6"/>
  <c r="P5" i="6"/>
  <c r="O5" i="6"/>
  <c r="D5" i="6"/>
  <c r="C5" i="6"/>
  <c r="E17" i="17"/>
  <c r="E15" i="17"/>
  <c r="E14" i="17"/>
  <c r="E13" i="17"/>
  <c r="E12" i="17"/>
  <c r="E11" i="17"/>
  <c r="E10" i="17"/>
  <c r="E9" i="17"/>
  <c r="E8" i="17"/>
  <c r="E7" i="17"/>
  <c r="T6" i="17"/>
  <c r="S6" i="17"/>
  <c r="R6" i="17"/>
  <c r="Q6" i="17"/>
  <c r="P6" i="17"/>
  <c r="O6" i="17"/>
  <c r="N6" i="17"/>
  <c r="M6" i="17"/>
  <c r="L6" i="17"/>
  <c r="K6" i="17"/>
  <c r="J6" i="17"/>
  <c r="I6" i="17"/>
  <c r="E6" i="17"/>
  <c r="E5" i="17"/>
  <c r="S4" i="17"/>
  <c r="R4" i="17"/>
  <c r="Q4" i="17"/>
  <c r="P4" i="17"/>
  <c r="O4" i="17"/>
  <c r="N4" i="17"/>
  <c r="M4" i="17"/>
  <c r="L4" i="17"/>
  <c r="K4" i="17"/>
  <c r="J4" i="17"/>
  <c r="I4" i="17"/>
  <c r="N141" i="13"/>
  <c r="G141" i="13"/>
  <c r="F141" i="13"/>
  <c r="N137" i="13"/>
  <c r="L137" i="13"/>
  <c r="H137" i="13"/>
  <c r="G137" i="13"/>
  <c r="F137" i="13"/>
  <c r="N133" i="13"/>
  <c r="L133" i="13"/>
  <c r="H133" i="13"/>
  <c r="G133" i="13"/>
  <c r="F133" i="13"/>
  <c r="N131" i="13"/>
  <c r="H131" i="13"/>
  <c r="G131" i="13"/>
  <c r="F131" i="13"/>
  <c r="G119" i="13"/>
  <c r="F119" i="13"/>
  <c r="E119" i="13"/>
  <c r="C119" i="13"/>
  <c r="G118" i="13"/>
  <c r="F118" i="13"/>
  <c r="E118" i="13"/>
  <c r="G117" i="13"/>
  <c r="F117" i="13"/>
  <c r="E117" i="13"/>
  <c r="G116" i="13"/>
  <c r="F116" i="13"/>
  <c r="E116" i="13"/>
  <c r="L115" i="13"/>
  <c r="G115" i="13"/>
  <c r="F115" i="13"/>
  <c r="E115" i="13"/>
  <c r="H97" i="13"/>
  <c r="H94" i="13"/>
  <c r="F94" i="13"/>
  <c r="E94" i="13"/>
  <c r="H93" i="13"/>
  <c r="F93" i="13"/>
  <c r="H92" i="13"/>
  <c r="F92" i="13"/>
  <c r="H91" i="13"/>
  <c r="F91" i="13"/>
  <c r="H90" i="13"/>
  <c r="F90" i="13"/>
  <c r="H89" i="13"/>
  <c r="F89" i="13"/>
  <c r="H88" i="13"/>
  <c r="F88" i="13"/>
  <c r="L87" i="13"/>
  <c r="H87" i="13"/>
  <c r="F87" i="13"/>
  <c r="H86" i="13"/>
  <c r="F86" i="13"/>
  <c r="H85" i="13"/>
  <c r="F85" i="13"/>
  <c r="H84" i="13"/>
  <c r="F84" i="13"/>
  <c r="H83" i="13"/>
  <c r="F83" i="13"/>
  <c r="H82" i="13"/>
  <c r="F82" i="13"/>
  <c r="H81" i="13"/>
  <c r="F81" i="13"/>
  <c r="L80" i="13"/>
  <c r="H80" i="13"/>
  <c r="F80" i="13"/>
  <c r="BE77" i="13"/>
  <c r="AA77" i="13"/>
  <c r="T77" i="13"/>
  <c r="S77" i="13"/>
  <c r="BE75" i="13"/>
  <c r="AQ75" i="13"/>
  <c r="AO75" i="13"/>
  <c r="AA75" i="13"/>
  <c r="Z75" i="13"/>
  <c r="Y75" i="13"/>
  <c r="T75" i="13"/>
  <c r="BE74" i="13"/>
  <c r="AQ74" i="13"/>
  <c r="AO74" i="13"/>
  <c r="AA74" i="13"/>
  <c r="Z74" i="13"/>
  <c r="Y74" i="13"/>
  <c r="T74" i="13"/>
  <c r="Q74" i="13"/>
  <c r="BE73" i="13"/>
  <c r="AQ73" i="13"/>
  <c r="AO73" i="13"/>
  <c r="AA73" i="13"/>
  <c r="Z73" i="13"/>
  <c r="Y73" i="13"/>
  <c r="T73" i="13"/>
  <c r="Q73" i="13"/>
  <c r="BE72" i="13"/>
  <c r="AQ72" i="13"/>
  <c r="AO72" i="13"/>
  <c r="AA72" i="13"/>
  <c r="Z72" i="13"/>
  <c r="Y72" i="13"/>
  <c r="T72" i="13"/>
  <c r="Q72" i="13"/>
  <c r="M72" i="13"/>
  <c r="BE71" i="13"/>
  <c r="AQ71" i="13"/>
  <c r="AO71" i="13"/>
  <c r="AA71" i="13"/>
  <c r="Z71" i="13"/>
  <c r="Y71" i="13"/>
  <c r="T71" i="13"/>
  <c r="Q71" i="13"/>
  <c r="BE70" i="13"/>
  <c r="AQ70" i="13"/>
  <c r="AO70" i="13"/>
  <c r="AA70" i="13"/>
  <c r="Y70" i="13"/>
  <c r="T70" i="13"/>
  <c r="Q70" i="13"/>
  <c r="M70" i="13"/>
  <c r="BE69" i="13"/>
  <c r="AQ69" i="13"/>
  <c r="AO69" i="13"/>
  <c r="AA69" i="13"/>
  <c r="Z69" i="13"/>
  <c r="Y69" i="13"/>
  <c r="T69" i="13"/>
  <c r="Q69" i="13"/>
  <c r="M69" i="13"/>
  <c r="BE68" i="13"/>
  <c r="AQ68" i="13"/>
  <c r="AO68" i="13"/>
  <c r="AA68" i="13"/>
  <c r="Z68" i="13"/>
  <c r="Y68" i="13"/>
  <c r="T68" i="13"/>
  <c r="Q68" i="13"/>
  <c r="BE67" i="13"/>
  <c r="AQ67" i="13"/>
  <c r="AO67" i="13"/>
  <c r="AA67" i="13"/>
  <c r="Z67" i="13"/>
  <c r="Y67" i="13"/>
  <c r="T67" i="13"/>
  <c r="S67" i="13"/>
  <c r="Q67" i="13"/>
  <c r="BE66" i="13"/>
  <c r="AQ66" i="13"/>
  <c r="AO66" i="13"/>
  <c r="AA66" i="13"/>
  <c r="Z66" i="13"/>
  <c r="Y66" i="13"/>
  <c r="T66" i="13"/>
  <c r="S66" i="13"/>
  <c r="Q66" i="13"/>
  <c r="M66" i="13"/>
  <c r="H66" i="13"/>
  <c r="G66" i="13"/>
  <c r="BE65" i="13"/>
  <c r="AQ65" i="13"/>
  <c r="AQ77" i="13" s="1"/>
  <c r="AO65" i="13"/>
  <c r="AA65" i="13"/>
  <c r="Z65" i="13"/>
  <c r="Y65" i="13"/>
  <c r="T65" i="13"/>
  <c r="S65" i="13"/>
  <c r="H65" i="13"/>
  <c r="G65" i="13"/>
  <c r="BH64" i="13"/>
  <c r="BG64" i="13"/>
  <c r="H63" i="13"/>
  <c r="H62" i="13"/>
  <c r="H61" i="13"/>
  <c r="BE58" i="13"/>
  <c r="AA58" i="13"/>
  <c r="S58" i="13"/>
  <c r="BE56" i="13"/>
  <c r="AQ56" i="13"/>
  <c r="AO56" i="13"/>
  <c r="AA56" i="13"/>
  <c r="Z56" i="13"/>
  <c r="Y56" i="13"/>
  <c r="BE55" i="13"/>
  <c r="AQ55" i="13"/>
  <c r="AO55" i="13"/>
  <c r="AA55" i="13"/>
  <c r="Y55" i="13"/>
  <c r="Q55" i="13"/>
  <c r="I55" i="13"/>
  <c r="H55" i="13"/>
  <c r="G55" i="13"/>
  <c r="E55" i="13"/>
  <c r="BE54" i="13"/>
  <c r="AQ54" i="13"/>
  <c r="AO54" i="13"/>
  <c r="AA54" i="13"/>
  <c r="Z54" i="13"/>
  <c r="Y54" i="13"/>
  <c r="Q54" i="13"/>
  <c r="I54" i="13"/>
  <c r="H54" i="13"/>
  <c r="F54" i="13"/>
  <c r="BE53" i="13"/>
  <c r="AQ53" i="13"/>
  <c r="AO53" i="13"/>
  <c r="AA53" i="13"/>
  <c r="Z53" i="13"/>
  <c r="Y53" i="13"/>
  <c r="Q53" i="13"/>
  <c r="I53" i="13"/>
  <c r="H53" i="13"/>
  <c r="F53" i="13"/>
  <c r="BE52" i="13"/>
  <c r="AQ52" i="13"/>
  <c r="AO52" i="13"/>
  <c r="AA52" i="13"/>
  <c r="Z52" i="13"/>
  <c r="Y52" i="13"/>
  <c r="S52" i="13"/>
  <c r="Q52" i="13"/>
  <c r="I52" i="13"/>
  <c r="H52" i="13"/>
  <c r="F52" i="13"/>
  <c r="BE51" i="13"/>
  <c r="AQ51" i="13"/>
  <c r="AQ58" i="13" s="1"/>
  <c r="AO51" i="13"/>
  <c r="AA51" i="13"/>
  <c r="Z51" i="13"/>
  <c r="Y51" i="13"/>
  <c r="S51" i="13"/>
  <c r="L51" i="13"/>
  <c r="I51" i="13"/>
  <c r="H51" i="13"/>
  <c r="F51" i="13"/>
  <c r="BH50" i="13"/>
  <c r="BG50" i="13"/>
  <c r="BE50" i="13"/>
  <c r="I50" i="13"/>
  <c r="H50" i="13"/>
  <c r="F50" i="13"/>
  <c r="I49" i="13"/>
  <c r="H49" i="13"/>
  <c r="F49" i="13"/>
  <c r="L48" i="13"/>
  <c r="I48" i="13"/>
  <c r="H48" i="13"/>
  <c r="F48" i="13"/>
  <c r="W45" i="13"/>
  <c r="W43" i="13"/>
  <c r="L42" i="13"/>
  <c r="I42" i="13"/>
  <c r="H42" i="13"/>
  <c r="G42" i="13"/>
  <c r="W41" i="13"/>
  <c r="S41" i="13"/>
  <c r="I24" i="13"/>
  <c r="H24" i="13"/>
  <c r="G24" i="13"/>
  <c r="D24" i="13"/>
  <c r="I23" i="13"/>
  <c r="H23" i="13"/>
  <c r="G23" i="13"/>
  <c r="I22" i="13"/>
  <c r="H22" i="13"/>
  <c r="G22" i="13"/>
  <c r="I21" i="13"/>
  <c r="H21" i="13"/>
  <c r="G21" i="13"/>
  <c r="I20" i="13"/>
  <c r="H20" i="13"/>
  <c r="G20" i="13"/>
  <c r="I19" i="13"/>
  <c r="H19" i="13"/>
  <c r="G19" i="13"/>
  <c r="I18" i="13"/>
  <c r="H18" i="13"/>
  <c r="G18" i="13"/>
  <c r="I17" i="13"/>
  <c r="H17" i="13"/>
  <c r="G17" i="13"/>
  <c r="I16" i="13"/>
  <c r="H16" i="13"/>
  <c r="G16" i="13"/>
  <c r="L15" i="13"/>
  <c r="I15" i="13"/>
  <c r="H15" i="13"/>
  <c r="G15" i="13"/>
  <c r="I14" i="13"/>
  <c r="H14" i="13"/>
  <c r="G14" i="13"/>
  <c r="I13" i="13"/>
  <c r="H13" i="13"/>
  <c r="G13" i="13"/>
  <c r="I12" i="13"/>
  <c r="H12" i="13"/>
  <c r="G12" i="13"/>
  <c r="I11" i="13"/>
  <c r="H11" i="13"/>
  <c r="G11" i="13"/>
  <c r="I10" i="13"/>
  <c r="H10" i="13"/>
  <c r="G10" i="13"/>
  <c r="I9" i="13"/>
  <c r="H9" i="13"/>
  <c r="G9" i="13"/>
  <c r="I8" i="13"/>
  <c r="H8" i="13"/>
  <c r="G8" i="13"/>
  <c r="I7" i="13"/>
  <c r="H7" i="13"/>
  <c r="G7" i="13"/>
  <c r="I6" i="13"/>
  <c r="H6" i="13"/>
  <c r="G6" i="13"/>
  <c r="I5" i="13"/>
  <c r="H5" i="13"/>
  <c r="G5" i="13"/>
  <c r="L4" i="13"/>
  <c r="I4" i="13"/>
  <c r="H4" i="13"/>
  <c r="G4" i="13"/>
  <c r="BF115" i="16"/>
  <c r="BE115" i="16"/>
  <c r="BD115" i="16"/>
  <c r="BC115" i="16"/>
  <c r="BF114" i="16"/>
  <c r="BE114" i="16"/>
  <c r="BD114" i="16"/>
  <c r="BC114" i="16"/>
  <c r="BF113" i="16"/>
  <c r="BE113" i="16"/>
  <c r="BD113" i="16"/>
  <c r="BC113" i="16"/>
  <c r="BF112" i="16"/>
  <c r="BE112" i="16"/>
  <c r="BD112" i="16"/>
  <c r="BC112" i="16"/>
  <c r="BF111" i="16"/>
  <c r="BB111" i="16"/>
  <c r="AZ111" i="16"/>
  <c r="BF110" i="16"/>
  <c r="BB110" i="16"/>
  <c r="AZ110" i="16"/>
  <c r="BF109" i="16"/>
  <c r="BB109" i="16"/>
  <c r="AZ109" i="16"/>
  <c r="BF108" i="16"/>
  <c r="BB108" i="16"/>
  <c r="AZ108" i="16"/>
  <c r="BF107" i="16"/>
  <c r="BB107" i="16"/>
  <c r="AZ107" i="16"/>
  <c r="BF106" i="16"/>
  <c r="BB106" i="16"/>
  <c r="AZ106" i="16"/>
  <c r="BF105" i="16"/>
  <c r="BB105" i="16"/>
  <c r="AZ105" i="16"/>
  <c r="BF104" i="16"/>
  <c r="BB104" i="16"/>
  <c r="AZ104" i="16"/>
  <c r="BF103" i="16"/>
  <c r="BB103" i="16"/>
  <c r="AZ103" i="16"/>
  <c r="BF102" i="16"/>
  <c r="BB102" i="16"/>
  <c r="AZ102" i="16"/>
  <c r="BF101" i="16"/>
  <c r="BB101" i="16"/>
  <c r="AZ101" i="16"/>
  <c r="BF100" i="16"/>
  <c r="BB100" i="16"/>
  <c r="AZ100" i="16"/>
  <c r="BF99" i="16"/>
  <c r="BB99" i="16"/>
  <c r="AZ99" i="16"/>
  <c r="BF98" i="16"/>
  <c r="BB98" i="16"/>
  <c r="AZ98" i="16"/>
  <c r="BF97" i="16"/>
  <c r="BB97" i="16"/>
  <c r="AZ97" i="16"/>
  <c r="BF96" i="16"/>
  <c r="BB96" i="16"/>
  <c r="AZ96" i="16"/>
  <c r="BF95" i="16"/>
  <c r="BB95" i="16"/>
  <c r="AZ95" i="16"/>
  <c r="BF94" i="16"/>
  <c r="BB94" i="16"/>
  <c r="AZ94" i="16"/>
  <c r="BF93" i="16"/>
  <c r="BB93" i="16"/>
  <c r="AZ93" i="16"/>
  <c r="BF92" i="16"/>
  <c r="BB92" i="16"/>
  <c r="AZ92" i="16"/>
  <c r="BF91" i="16"/>
  <c r="BB91" i="16"/>
  <c r="AZ91" i="16"/>
  <c r="BF90" i="16"/>
  <c r="BB90" i="16"/>
  <c r="AZ90" i="16"/>
  <c r="BF89" i="16"/>
  <c r="BB89" i="16"/>
  <c r="AZ89" i="16"/>
  <c r="BF88" i="16"/>
  <c r="BB88" i="16"/>
  <c r="AW82" i="16"/>
  <c r="AV82" i="16"/>
  <c r="AU82" i="16"/>
  <c r="AN78" i="16"/>
  <c r="AM78" i="16"/>
  <c r="AN74" i="16"/>
  <c r="AM74" i="16"/>
  <c r="AN70" i="16"/>
  <c r="AM70" i="16"/>
  <c r="AN68" i="16"/>
  <c r="AM68" i="16"/>
  <c r="AG62" i="16"/>
  <c r="AF62" i="16"/>
  <c r="AE62" i="16"/>
  <c r="AC62" i="16"/>
  <c r="AG61" i="16"/>
  <c r="AF61" i="16"/>
  <c r="AE61" i="16"/>
  <c r="AG60" i="16"/>
  <c r="AF60" i="16"/>
  <c r="AE60" i="16"/>
  <c r="AG59" i="16"/>
  <c r="AF59" i="16"/>
  <c r="AE59" i="16"/>
  <c r="AG58" i="16"/>
  <c r="AF58" i="16"/>
  <c r="AE58" i="16"/>
  <c r="Z53" i="16"/>
  <c r="Y53" i="16"/>
  <c r="X53" i="16"/>
  <c r="U53" i="16"/>
  <c r="Z52" i="16"/>
  <c r="Y52" i="16"/>
  <c r="X52" i="16"/>
  <c r="Z51" i="16"/>
  <c r="Y51" i="16"/>
  <c r="X51" i="16"/>
  <c r="Z50" i="16"/>
  <c r="Y50" i="16"/>
  <c r="X50" i="16"/>
  <c r="Z49" i="16"/>
  <c r="Y49" i="16"/>
  <c r="X49" i="16"/>
  <c r="Z48" i="16"/>
  <c r="Y48" i="16"/>
  <c r="X48" i="16"/>
  <c r="Z47" i="16"/>
  <c r="Y47" i="16"/>
  <c r="X47" i="16"/>
  <c r="Z46" i="16"/>
  <c r="Y46" i="16"/>
  <c r="X46" i="16"/>
  <c r="Z45" i="16"/>
  <c r="Y45" i="16"/>
  <c r="X45" i="16"/>
  <c r="Z44" i="16"/>
  <c r="Y44" i="16"/>
  <c r="X44" i="16"/>
  <c r="Z43" i="16"/>
  <c r="Y43" i="16"/>
  <c r="X43" i="16"/>
  <c r="Z42" i="16"/>
  <c r="Y42" i="16"/>
  <c r="X42" i="16"/>
  <c r="Z41" i="16"/>
  <c r="Y41" i="16"/>
  <c r="X41" i="16"/>
  <c r="Z40" i="16"/>
  <c r="Y40" i="16"/>
  <c r="X40" i="16"/>
  <c r="Z39" i="16"/>
  <c r="Y39" i="16"/>
  <c r="X39" i="16"/>
  <c r="Z38" i="16"/>
  <c r="Y38" i="16"/>
  <c r="X38" i="16"/>
  <c r="Z37" i="16"/>
  <c r="Y37" i="16"/>
  <c r="X37" i="16"/>
  <c r="Z36" i="16"/>
  <c r="Y36" i="16"/>
  <c r="X36" i="16"/>
  <c r="Z35" i="16"/>
  <c r="Y35" i="16"/>
  <c r="X35" i="16"/>
  <c r="Z34" i="16"/>
  <c r="Y34" i="16"/>
  <c r="X34" i="16"/>
  <c r="Z33" i="16"/>
  <c r="Y33" i="16"/>
  <c r="X33" i="16"/>
  <c r="Q30" i="16"/>
  <c r="P30" i="16"/>
  <c r="O30" i="16"/>
  <c r="M30" i="16"/>
  <c r="Q29" i="16"/>
  <c r="P29" i="16"/>
  <c r="N29" i="16"/>
  <c r="Q28" i="16"/>
  <c r="P28" i="16"/>
  <c r="N28" i="16"/>
  <c r="Q27" i="16"/>
  <c r="P27" i="16"/>
  <c r="N27" i="16"/>
  <c r="Q26" i="16"/>
  <c r="P26" i="16"/>
  <c r="N26" i="16"/>
  <c r="Q25" i="16"/>
  <c r="P25" i="16"/>
  <c r="N25" i="16"/>
  <c r="Q24" i="16"/>
  <c r="P24" i="16"/>
  <c r="N24" i="16"/>
  <c r="Q23" i="16"/>
  <c r="P23" i="16"/>
  <c r="N23" i="16"/>
  <c r="H18" i="16"/>
  <c r="F18" i="16"/>
  <c r="H17" i="16"/>
  <c r="F17" i="16"/>
  <c r="H16" i="16"/>
  <c r="F16" i="16"/>
  <c r="H15" i="16"/>
  <c r="F15" i="16"/>
  <c r="H14" i="16"/>
  <c r="F14" i="16"/>
  <c r="H13" i="16"/>
  <c r="F13" i="16"/>
  <c r="H12" i="16"/>
  <c r="F12" i="16"/>
  <c r="H11" i="16"/>
  <c r="F11" i="16"/>
  <c r="H10" i="16"/>
  <c r="F10" i="16"/>
  <c r="H9" i="16"/>
  <c r="F9" i="16"/>
  <c r="H8" i="16"/>
  <c r="F8" i="16"/>
  <c r="H7" i="16"/>
  <c r="F7" i="16"/>
  <c r="H6" i="16"/>
  <c r="F6" i="16"/>
  <c r="H5" i="16"/>
  <c r="F5" i="16"/>
  <c r="H4" i="16"/>
  <c r="F4" i="16"/>
  <c r="G131" i="5"/>
  <c r="F131" i="5"/>
  <c r="V130" i="5"/>
  <c r="U130" i="5"/>
  <c r="H127" i="5"/>
  <c r="G127" i="5"/>
  <c r="F127" i="5"/>
  <c r="AA126" i="5"/>
  <c r="W126" i="5"/>
  <c r="V126" i="5"/>
  <c r="U126" i="5"/>
  <c r="L126" i="5"/>
  <c r="H123" i="5"/>
  <c r="G123" i="5"/>
  <c r="F123" i="5"/>
  <c r="AA122" i="5"/>
  <c r="W122" i="5"/>
  <c r="V122" i="5"/>
  <c r="U122" i="5"/>
  <c r="L122" i="5"/>
  <c r="H121" i="5"/>
  <c r="G121" i="5"/>
  <c r="F121" i="5"/>
  <c r="W120" i="5"/>
  <c r="V120" i="5"/>
  <c r="U120" i="5"/>
  <c r="V109" i="5"/>
  <c r="U109" i="5"/>
  <c r="T109" i="5"/>
  <c r="R109" i="5"/>
  <c r="G109" i="5"/>
  <c r="F109" i="5"/>
  <c r="E109" i="5"/>
  <c r="C109" i="5"/>
  <c r="V108" i="5"/>
  <c r="U108" i="5"/>
  <c r="T108" i="5"/>
  <c r="G108" i="5"/>
  <c r="F108" i="5"/>
  <c r="E108" i="5"/>
  <c r="V107" i="5"/>
  <c r="U107" i="5"/>
  <c r="T107" i="5"/>
  <c r="G107" i="5"/>
  <c r="F107" i="5"/>
  <c r="E107" i="5"/>
  <c r="V106" i="5"/>
  <c r="U106" i="5"/>
  <c r="T106" i="5"/>
  <c r="G106" i="5"/>
  <c r="F106" i="5"/>
  <c r="E106" i="5"/>
  <c r="V105" i="5"/>
  <c r="U105" i="5"/>
  <c r="T105" i="5"/>
  <c r="G105" i="5"/>
  <c r="F105" i="5"/>
  <c r="E105" i="5"/>
  <c r="W84" i="5"/>
  <c r="U84" i="5"/>
  <c r="H84" i="5"/>
  <c r="F84" i="5"/>
  <c r="W83" i="5"/>
  <c r="U83" i="5"/>
  <c r="H83" i="5"/>
  <c r="F83" i="5"/>
  <c r="W82" i="5"/>
  <c r="U82" i="5"/>
  <c r="H82" i="5"/>
  <c r="F82" i="5"/>
  <c r="W81" i="5"/>
  <c r="U81" i="5"/>
  <c r="H81" i="5"/>
  <c r="F81" i="5"/>
  <c r="W80" i="5"/>
  <c r="U80" i="5"/>
  <c r="H80" i="5"/>
  <c r="F80" i="5"/>
  <c r="W79" i="5"/>
  <c r="U79" i="5"/>
  <c r="H79" i="5"/>
  <c r="F79" i="5"/>
  <c r="W78" i="5"/>
  <c r="U78" i="5"/>
  <c r="H78" i="5"/>
  <c r="F78" i="5"/>
  <c r="W77" i="5"/>
  <c r="U77" i="5"/>
  <c r="H77" i="5"/>
  <c r="F77" i="5"/>
  <c r="W76" i="5"/>
  <c r="U76" i="5"/>
  <c r="H76" i="5"/>
  <c r="F76" i="5"/>
  <c r="W75" i="5"/>
  <c r="U75" i="5"/>
  <c r="H75" i="5"/>
  <c r="F75" i="5"/>
  <c r="W74" i="5"/>
  <c r="U74" i="5"/>
  <c r="H74" i="5"/>
  <c r="F74" i="5"/>
  <c r="W73" i="5"/>
  <c r="U73" i="5"/>
  <c r="H73" i="5"/>
  <c r="F73" i="5"/>
  <c r="W72" i="5"/>
  <c r="U72" i="5"/>
  <c r="H72" i="5"/>
  <c r="F72" i="5"/>
  <c r="W71" i="5"/>
  <c r="U71" i="5"/>
  <c r="H71" i="5"/>
  <c r="F71" i="5"/>
  <c r="W70" i="5"/>
  <c r="U70" i="5"/>
  <c r="H70" i="5"/>
  <c r="F70" i="5"/>
  <c r="X47" i="5"/>
  <c r="W47" i="5"/>
  <c r="V47" i="5"/>
  <c r="T47" i="5"/>
  <c r="I47" i="5"/>
  <c r="H47" i="5"/>
  <c r="G47" i="5"/>
  <c r="E47" i="5"/>
  <c r="X46" i="5"/>
  <c r="W46" i="5"/>
  <c r="U46" i="5"/>
  <c r="I46" i="5"/>
  <c r="H46" i="5"/>
  <c r="F46" i="5"/>
  <c r="X45" i="5"/>
  <c r="W45" i="5"/>
  <c r="U45" i="5"/>
  <c r="I45" i="5"/>
  <c r="H45" i="5"/>
  <c r="F45" i="5"/>
  <c r="X44" i="5"/>
  <c r="W44" i="5"/>
  <c r="U44" i="5"/>
  <c r="I44" i="5"/>
  <c r="H44" i="5"/>
  <c r="F44" i="5"/>
  <c r="X43" i="5"/>
  <c r="W43" i="5"/>
  <c r="U43" i="5"/>
  <c r="I43" i="5"/>
  <c r="H43" i="5"/>
  <c r="F43" i="5"/>
  <c r="X42" i="5"/>
  <c r="W42" i="5"/>
  <c r="U42" i="5"/>
  <c r="I42" i="5"/>
  <c r="H42" i="5"/>
  <c r="F42" i="5"/>
  <c r="X41" i="5"/>
  <c r="W41" i="5"/>
  <c r="U41" i="5"/>
  <c r="I41" i="5"/>
  <c r="H41" i="5"/>
  <c r="F41" i="5"/>
  <c r="X40" i="5"/>
  <c r="W40" i="5"/>
  <c r="U40" i="5"/>
  <c r="I40" i="5"/>
  <c r="H40" i="5"/>
  <c r="F40" i="5"/>
  <c r="X34" i="5"/>
  <c r="W34" i="5"/>
  <c r="V34" i="5"/>
  <c r="I34" i="5"/>
  <c r="H34" i="5"/>
  <c r="G34" i="5"/>
  <c r="X24" i="5"/>
  <c r="W24" i="5"/>
  <c r="V24" i="5"/>
  <c r="S24" i="5"/>
  <c r="I24" i="5"/>
  <c r="H24" i="5"/>
  <c r="G24" i="5"/>
  <c r="D24" i="5"/>
  <c r="X23" i="5"/>
  <c r="W23" i="5"/>
  <c r="V23" i="5"/>
  <c r="I23" i="5"/>
  <c r="H23" i="5"/>
  <c r="G23" i="5"/>
  <c r="X22" i="5"/>
  <c r="W22" i="5"/>
  <c r="V22" i="5"/>
  <c r="I22" i="5"/>
  <c r="H22" i="5"/>
  <c r="G22" i="5"/>
  <c r="X21" i="5"/>
  <c r="W21" i="5"/>
  <c r="V21" i="5"/>
  <c r="I21" i="5"/>
  <c r="H21" i="5"/>
  <c r="G21" i="5"/>
  <c r="X20" i="5"/>
  <c r="W20" i="5"/>
  <c r="V20" i="5"/>
  <c r="I20" i="5"/>
  <c r="H20" i="5"/>
  <c r="G20" i="5"/>
  <c r="X19" i="5"/>
  <c r="W19" i="5"/>
  <c r="V19" i="5"/>
  <c r="I19" i="5"/>
  <c r="H19" i="5"/>
  <c r="G19" i="5"/>
  <c r="X18" i="5"/>
  <c r="W18" i="5"/>
  <c r="V18" i="5"/>
  <c r="I18" i="5"/>
  <c r="H18" i="5"/>
  <c r="G18" i="5"/>
  <c r="X17" i="5"/>
  <c r="W17" i="5"/>
  <c r="V17" i="5"/>
  <c r="I17" i="5"/>
  <c r="H17" i="5"/>
  <c r="G17" i="5"/>
  <c r="X16" i="5"/>
  <c r="W16" i="5"/>
  <c r="V16" i="5"/>
  <c r="I16" i="5"/>
  <c r="H16" i="5"/>
  <c r="G16" i="5"/>
  <c r="X15" i="5"/>
  <c r="W15" i="5"/>
  <c r="V15" i="5"/>
  <c r="I15" i="5"/>
  <c r="H15" i="5"/>
  <c r="G15" i="5"/>
  <c r="X14" i="5"/>
  <c r="W14" i="5"/>
  <c r="V14" i="5"/>
  <c r="I14" i="5"/>
  <c r="H14" i="5"/>
  <c r="G14" i="5"/>
  <c r="X13" i="5"/>
  <c r="W13" i="5"/>
  <c r="V13" i="5"/>
  <c r="I13" i="5"/>
  <c r="H13" i="5"/>
  <c r="G13" i="5"/>
  <c r="X12" i="5"/>
  <c r="W12" i="5"/>
  <c r="V12" i="5"/>
  <c r="I12" i="5"/>
  <c r="H12" i="5"/>
  <c r="G12" i="5"/>
  <c r="X11" i="5"/>
  <c r="W11" i="5"/>
  <c r="V11" i="5"/>
  <c r="I11" i="5"/>
  <c r="H11" i="5"/>
  <c r="G11" i="5"/>
  <c r="X10" i="5"/>
  <c r="W10" i="5"/>
  <c r="V10" i="5"/>
  <c r="I10" i="5"/>
  <c r="H10" i="5"/>
  <c r="G10" i="5"/>
  <c r="X9" i="5"/>
  <c r="W9" i="5"/>
  <c r="V9" i="5"/>
  <c r="I9" i="5"/>
  <c r="H9" i="5"/>
  <c r="G9" i="5"/>
  <c r="X8" i="5"/>
  <c r="W8" i="5"/>
  <c r="V8" i="5"/>
  <c r="I8" i="5"/>
  <c r="H8" i="5"/>
  <c r="G8" i="5"/>
  <c r="X7" i="5"/>
  <c r="W7" i="5"/>
  <c r="V7" i="5"/>
  <c r="I7" i="5"/>
  <c r="H7" i="5"/>
  <c r="G7" i="5"/>
  <c r="X6" i="5"/>
  <c r="W6" i="5"/>
  <c r="V6" i="5"/>
  <c r="I6" i="5"/>
  <c r="H6" i="5"/>
  <c r="G6" i="5"/>
  <c r="X5" i="5"/>
  <c r="W5" i="5"/>
  <c r="V5" i="5"/>
  <c r="I5" i="5"/>
  <c r="H5" i="5"/>
  <c r="G5" i="5"/>
  <c r="X4" i="5"/>
  <c r="W4" i="5"/>
  <c r="V4" i="5"/>
  <c r="I4" i="5"/>
  <c r="H4" i="5"/>
  <c r="G4" i="5"/>
  <c r="H58" i="4"/>
  <c r="F58" i="4"/>
  <c r="L52" i="4"/>
  <c r="D52" i="4"/>
  <c r="N46" i="4"/>
  <c r="J46" i="4"/>
  <c r="F46" i="4"/>
  <c r="B46" i="4"/>
  <c r="N45" i="4"/>
  <c r="J45" i="4"/>
  <c r="F45" i="4"/>
  <c r="B45" i="4"/>
  <c r="N44" i="4"/>
  <c r="J44" i="4"/>
  <c r="F44" i="4"/>
  <c r="B44" i="4"/>
  <c r="N43" i="4"/>
  <c r="J43" i="4"/>
  <c r="F43" i="4"/>
  <c r="B43" i="4"/>
  <c r="N42" i="4"/>
  <c r="J42" i="4"/>
  <c r="F42" i="4"/>
  <c r="B42" i="4"/>
  <c r="N41" i="4"/>
  <c r="J41" i="4"/>
  <c r="F41" i="4"/>
  <c r="B41" i="4"/>
  <c r="N40" i="4"/>
  <c r="J40" i="4"/>
  <c r="F40" i="4"/>
  <c r="B40" i="4"/>
  <c r="N39" i="4"/>
  <c r="J39" i="4"/>
  <c r="F39" i="4"/>
  <c r="B39" i="4"/>
  <c r="N38" i="4"/>
  <c r="J38" i="4"/>
  <c r="F38" i="4"/>
  <c r="B38" i="4"/>
  <c r="N37" i="4"/>
  <c r="J37" i="4"/>
  <c r="F37" i="4"/>
  <c r="B37" i="4"/>
  <c r="N36" i="4"/>
  <c r="J36" i="4"/>
  <c r="F36" i="4"/>
  <c r="B36" i="4"/>
  <c r="N35" i="4"/>
  <c r="J35" i="4"/>
  <c r="F35" i="4"/>
  <c r="B35" i="4"/>
  <c r="L16" i="4"/>
  <c r="D16" i="4"/>
  <c r="L12" i="4"/>
  <c r="D12" i="4"/>
  <c r="Q11" i="4"/>
  <c r="I538" i="9" s="1"/>
  <c r="L7" i="4"/>
  <c r="D7" i="4"/>
  <c r="C159" i="3"/>
  <c r="C155" i="3"/>
  <c r="C149" i="3"/>
  <c r="C145" i="3"/>
  <c r="Y59" i="3"/>
  <c r="K59" i="3"/>
  <c r="Y58" i="3"/>
  <c r="K58" i="3"/>
  <c r="Y57" i="3"/>
  <c r="K57" i="3"/>
  <c r="Y56" i="3"/>
  <c r="K56" i="3"/>
  <c r="Y55" i="3"/>
  <c r="K55" i="3"/>
  <c r="Y54" i="3"/>
  <c r="K54" i="3"/>
  <c r="Y53" i="3"/>
  <c r="K53" i="3"/>
  <c r="Y52" i="3"/>
  <c r="K52" i="3"/>
  <c r="Y51" i="3"/>
  <c r="K51" i="3"/>
  <c r="Y50" i="3"/>
  <c r="K50" i="3"/>
  <c r="Y49" i="3"/>
  <c r="K49" i="3"/>
  <c r="Y48" i="3"/>
  <c r="K48" i="3"/>
  <c r="Q41" i="3"/>
  <c r="Q40" i="3"/>
  <c r="Q39" i="3"/>
  <c r="Q38" i="3"/>
  <c r="Q37" i="3"/>
  <c r="Q36" i="3"/>
  <c r="Q35" i="3"/>
  <c r="Q34" i="3"/>
  <c r="Q33" i="3"/>
  <c r="Q32" i="3"/>
  <c r="Q31" i="3"/>
  <c r="Q30" i="3"/>
  <c r="P29" i="3"/>
  <c r="V21" i="3"/>
  <c r="Q21" i="3"/>
  <c r="P21" i="3"/>
  <c r="O21" i="3"/>
  <c r="J21" i="3"/>
  <c r="E21" i="3"/>
  <c r="D21" i="3"/>
  <c r="C21" i="3"/>
  <c r="V20" i="3"/>
  <c r="Q20" i="3"/>
  <c r="P20" i="3"/>
  <c r="O20" i="3"/>
  <c r="J20" i="3"/>
  <c r="E20" i="3"/>
  <c r="D20" i="3"/>
  <c r="C20" i="3"/>
  <c r="V19" i="3"/>
  <c r="O19" i="3"/>
  <c r="M19" i="3"/>
  <c r="W59" i="3" s="1"/>
  <c r="J19" i="3"/>
  <c r="C19" i="3"/>
  <c r="A19" i="3"/>
  <c r="I59" i="3" s="1"/>
  <c r="I90" i="3" s="1"/>
  <c r="V18" i="3"/>
  <c r="O18" i="3"/>
  <c r="M18" i="3"/>
  <c r="W58" i="3" s="1"/>
  <c r="J18" i="3"/>
  <c r="C18" i="3"/>
  <c r="A18" i="3"/>
  <c r="I58" i="3" s="1"/>
  <c r="I89" i="3" s="1"/>
  <c r="V17" i="3"/>
  <c r="M17" i="3"/>
  <c r="W57" i="3" s="1"/>
  <c r="J17" i="3"/>
  <c r="A17" i="3"/>
  <c r="I57" i="3" s="1"/>
  <c r="I88" i="3" s="1"/>
  <c r="V16" i="3"/>
  <c r="O16" i="3"/>
  <c r="M16" i="3"/>
  <c r="W56" i="3" s="1"/>
  <c r="J16" i="3"/>
  <c r="C16" i="3"/>
  <c r="A16" i="3"/>
  <c r="I56" i="3" s="1"/>
  <c r="I87" i="3" s="1"/>
  <c r="AB15" i="3"/>
  <c r="N157" i="12" s="1"/>
  <c r="V15" i="3"/>
  <c r="O15" i="3"/>
  <c r="M15" i="3"/>
  <c r="W55" i="3" s="1"/>
  <c r="J15" i="3"/>
  <c r="C15" i="3"/>
  <c r="A15" i="3"/>
  <c r="I55" i="3" s="1"/>
  <c r="I86" i="3" s="1"/>
  <c r="V14" i="3"/>
  <c r="O14" i="3"/>
  <c r="M14" i="3"/>
  <c r="W54" i="3" s="1"/>
  <c r="J14" i="3"/>
  <c r="C14" i="3"/>
  <c r="A14" i="3"/>
  <c r="I54" i="3" s="1"/>
  <c r="I85" i="3" s="1"/>
  <c r="V13" i="3"/>
  <c r="O13" i="3"/>
  <c r="M13" i="3"/>
  <c r="W53" i="3" s="1"/>
  <c r="J13" i="3"/>
  <c r="C13" i="3"/>
  <c r="A13" i="3"/>
  <c r="I53" i="3" s="1"/>
  <c r="I84" i="3" s="1"/>
  <c r="V12" i="3"/>
  <c r="O12" i="3"/>
  <c r="M12" i="3"/>
  <c r="W52" i="3" s="1"/>
  <c r="J12" i="3"/>
  <c r="C12" i="3"/>
  <c r="A12" i="3"/>
  <c r="I52" i="3" s="1"/>
  <c r="I83" i="3" s="1"/>
  <c r="V11" i="3"/>
  <c r="O11" i="3"/>
  <c r="M11" i="3"/>
  <c r="W51" i="3" s="1"/>
  <c r="J11" i="3"/>
  <c r="C11" i="3"/>
  <c r="A11" i="3"/>
  <c r="I51" i="3" s="1"/>
  <c r="I82" i="3" s="1"/>
  <c r="V10" i="3"/>
  <c r="O10" i="3"/>
  <c r="M10" i="3"/>
  <c r="W50" i="3" s="1"/>
  <c r="J10" i="3"/>
  <c r="C10" i="3"/>
  <c r="A10" i="3"/>
  <c r="I50" i="3" s="1"/>
  <c r="I81" i="3" s="1"/>
  <c r="V9" i="3"/>
  <c r="O9" i="3"/>
  <c r="M9" i="3"/>
  <c r="W49" i="3" s="1"/>
  <c r="J9" i="3"/>
  <c r="C9" i="3"/>
  <c r="A9" i="3"/>
  <c r="I49" i="3" s="1"/>
  <c r="I80" i="3" s="1"/>
  <c r="V8" i="3"/>
  <c r="O8" i="3"/>
  <c r="M8" i="3"/>
  <c r="W48" i="3" s="1"/>
  <c r="J8" i="3"/>
  <c r="C8" i="3"/>
  <c r="A8" i="3"/>
  <c r="I48" i="3" s="1"/>
  <c r="I79" i="3" s="1"/>
  <c r="S77" i="2"/>
  <c r="S69" i="2"/>
  <c r="D69" i="2"/>
  <c r="C69" i="2"/>
  <c r="S68" i="2"/>
  <c r="D68" i="2"/>
  <c r="C68" i="2"/>
  <c r="S67" i="2"/>
  <c r="D67" i="2"/>
  <c r="B67" i="2"/>
  <c r="N16" i="6" s="1"/>
  <c r="S66" i="2"/>
  <c r="G66" i="2"/>
  <c r="D66" i="2"/>
  <c r="B66" i="2"/>
  <c r="N15" i="6" s="1"/>
  <c r="S65" i="2"/>
  <c r="G65" i="2"/>
  <c r="D65" i="2"/>
  <c r="B65" i="2"/>
  <c r="N14" i="6" s="1"/>
  <c r="S64" i="2"/>
  <c r="D64" i="2"/>
  <c r="B64" i="2"/>
  <c r="N13" i="6" s="1"/>
  <c r="S63" i="2"/>
  <c r="G63" i="2"/>
  <c r="D63" i="2"/>
  <c r="B63" i="2"/>
  <c r="F59" i="2" s="1"/>
  <c r="S62" i="2"/>
  <c r="G62" i="2"/>
  <c r="D62" i="2"/>
  <c r="B62" i="2"/>
  <c r="F58" i="2" s="1"/>
  <c r="S61" i="2"/>
  <c r="G61" i="2"/>
  <c r="D61" i="2"/>
  <c r="B61" i="2"/>
  <c r="N10" i="6" s="1"/>
  <c r="S60" i="2"/>
  <c r="G60" i="2"/>
  <c r="D60" i="2"/>
  <c r="B60" i="2"/>
  <c r="N9" i="6" s="1"/>
  <c r="S59" i="2"/>
  <c r="G59" i="2"/>
  <c r="D59" i="2"/>
  <c r="B59" i="2"/>
  <c r="N8" i="6" s="1"/>
  <c r="S58" i="2"/>
  <c r="G58" i="2"/>
  <c r="D58" i="2"/>
  <c r="B58" i="2"/>
  <c r="N7" i="6" s="1"/>
  <c r="S57" i="2"/>
  <c r="G57" i="2"/>
  <c r="D57" i="2"/>
  <c r="B57" i="2"/>
  <c r="N6" i="6" s="1"/>
  <c r="S56" i="2"/>
  <c r="G56" i="2"/>
  <c r="D56" i="2"/>
  <c r="B56" i="2"/>
  <c r="N5" i="6" s="1"/>
  <c r="G55" i="2"/>
  <c r="G54" i="2"/>
  <c r="G53" i="2"/>
  <c r="G52" i="2"/>
  <c r="G51" i="2"/>
  <c r="G50" i="2"/>
  <c r="D50" i="2"/>
  <c r="G49" i="2"/>
  <c r="D49" i="2"/>
  <c r="G48" i="2"/>
  <c r="D48" i="2"/>
  <c r="G47" i="2"/>
  <c r="C47" i="2"/>
  <c r="G46" i="2"/>
  <c r="C46" i="2"/>
  <c r="G45" i="2"/>
  <c r="G44" i="2"/>
  <c r="G43" i="2"/>
  <c r="G42" i="2"/>
  <c r="G41" i="2"/>
  <c r="G40" i="2"/>
  <c r="S39" i="2"/>
  <c r="G39" i="2"/>
  <c r="F39" i="2"/>
  <c r="S38" i="2"/>
  <c r="D38" i="2"/>
  <c r="C38" i="2"/>
  <c r="S37" i="2"/>
  <c r="D37" i="2"/>
  <c r="C37" i="2"/>
  <c r="S36" i="2"/>
  <c r="D36" i="2"/>
  <c r="B36" i="2"/>
  <c r="B16" i="6" s="1"/>
  <c r="S35" i="2"/>
  <c r="D35" i="2"/>
  <c r="B35" i="2"/>
  <c r="F50" i="2" s="1"/>
  <c r="S34" i="2"/>
  <c r="D34" i="2"/>
  <c r="B34" i="2"/>
  <c r="F49" i="2" s="1"/>
  <c r="S33" i="2"/>
  <c r="D33" i="2"/>
  <c r="B33" i="2"/>
  <c r="B13" i="6" s="1"/>
  <c r="S32" i="2"/>
  <c r="D32" i="2"/>
  <c r="B32" i="2"/>
  <c r="B12" i="6" s="1"/>
  <c r="S31" i="2"/>
  <c r="D31" i="2"/>
  <c r="B31" i="2"/>
  <c r="B11" i="6" s="1"/>
  <c r="S30" i="2"/>
  <c r="D30" i="2"/>
  <c r="B30" i="2"/>
  <c r="F45" i="2" s="1"/>
  <c r="S29" i="2"/>
  <c r="D29" i="2"/>
  <c r="B29" i="2"/>
  <c r="B9" i="6" s="1"/>
  <c r="S28" i="2"/>
  <c r="D28" i="2"/>
  <c r="B28" i="2"/>
  <c r="B8" i="6" s="1"/>
  <c r="S27" i="2"/>
  <c r="D27" i="2"/>
  <c r="B27" i="2"/>
  <c r="F42" i="2" s="1"/>
  <c r="S26" i="2"/>
  <c r="D26" i="2"/>
  <c r="B26" i="2"/>
  <c r="F41" i="2" s="1"/>
  <c r="F25" i="2"/>
  <c r="D25" i="2"/>
  <c r="B25" i="2"/>
  <c r="B5" i="6" s="1"/>
  <c r="D19" i="2"/>
  <c r="G18" i="2"/>
  <c r="D18" i="2"/>
  <c r="D17" i="2"/>
  <c r="C16" i="2"/>
  <c r="C15" i="2"/>
  <c r="G14" i="2"/>
  <c r="O13" i="2"/>
  <c r="G12" i="2"/>
  <c r="O10" i="2"/>
  <c r="O9" i="2"/>
  <c r="N9" i="2"/>
  <c r="R8" i="2"/>
  <c r="O8" i="2"/>
  <c r="D8" i="2"/>
  <c r="D7" i="2"/>
  <c r="D5" i="2"/>
  <c r="D4" i="2"/>
  <c r="D3" i="2"/>
  <c r="Z947" i="1"/>
  <c r="AF923" i="1"/>
  <c r="N922" i="1"/>
  <c r="P914" i="1"/>
  <c r="Q914" i="1" s="1"/>
  <c r="P917" i="1" s="1"/>
  <c r="P918" i="1" s="1"/>
  <c r="AA906" i="1"/>
  <c r="AA905" i="1"/>
  <c r="AA904" i="1"/>
  <c r="AA903" i="1"/>
  <c r="AA902" i="1"/>
  <c r="AA901" i="1"/>
  <c r="AA900" i="1"/>
  <c r="AA899" i="1"/>
  <c r="Z899" i="1"/>
  <c r="O863" i="1"/>
  <c r="N863" i="1"/>
  <c r="M863" i="1"/>
  <c r="O862" i="1"/>
  <c r="N862" i="1"/>
  <c r="M862" i="1"/>
  <c r="AA861" i="1"/>
  <c r="L861" i="1"/>
  <c r="K861" i="1"/>
  <c r="J861" i="1"/>
  <c r="AA860" i="1"/>
  <c r="L860" i="1"/>
  <c r="K860" i="1"/>
  <c r="J860" i="1"/>
  <c r="AA859" i="1"/>
  <c r="L859" i="1"/>
  <c r="K859" i="1"/>
  <c r="J859" i="1"/>
  <c r="AA858" i="1"/>
  <c r="L858" i="1"/>
  <c r="K858" i="1"/>
  <c r="J858" i="1"/>
  <c r="AA857" i="1"/>
  <c r="L857" i="1"/>
  <c r="K857" i="1"/>
  <c r="J857" i="1"/>
  <c r="AA856" i="1"/>
  <c r="L856" i="1"/>
  <c r="K856" i="1"/>
  <c r="J856" i="1"/>
  <c r="AA855" i="1"/>
  <c r="L855" i="1"/>
  <c r="K855" i="1"/>
  <c r="J855" i="1"/>
  <c r="AA854" i="1"/>
  <c r="L854" i="1"/>
  <c r="K854" i="1"/>
  <c r="J854" i="1"/>
  <c r="AA853" i="1"/>
  <c r="L853" i="1"/>
  <c r="K853" i="1"/>
  <c r="J853" i="1"/>
  <c r="AA852" i="1"/>
  <c r="L852" i="1"/>
  <c r="K852" i="1"/>
  <c r="J852" i="1"/>
  <c r="AA851" i="1"/>
  <c r="L851" i="1"/>
  <c r="K851" i="1"/>
  <c r="J851" i="1"/>
  <c r="AA850" i="1"/>
  <c r="L850" i="1"/>
  <c r="K850" i="1"/>
  <c r="J850" i="1"/>
  <c r="AA849" i="1"/>
  <c r="L849" i="1"/>
  <c r="K849" i="1"/>
  <c r="J849" i="1"/>
  <c r="AA848" i="1"/>
  <c r="L848" i="1"/>
  <c r="K848" i="1"/>
  <c r="J848" i="1"/>
  <c r="AA847" i="1"/>
  <c r="L847" i="1"/>
  <c r="K847" i="1"/>
  <c r="J847" i="1"/>
  <c r="AA846" i="1"/>
  <c r="L846" i="1"/>
  <c r="K846" i="1"/>
  <c r="J846" i="1"/>
  <c r="AA845" i="1"/>
  <c r="L845" i="1"/>
  <c r="K845" i="1"/>
  <c r="J845" i="1"/>
  <c r="AA844" i="1"/>
  <c r="L844" i="1"/>
  <c r="K844" i="1"/>
  <c r="J844" i="1"/>
  <c r="AA843" i="1"/>
  <c r="L843" i="1"/>
  <c r="K843" i="1"/>
  <c r="J843" i="1"/>
  <c r="AA842" i="1"/>
  <c r="L842" i="1"/>
  <c r="K842" i="1"/>
  <c r="J842" i="1"/>
  <c r="AA841" i="1"/>
  <c r="L841" i="1"/>
  <c r="K841" i="1"/>
  <c r="J841" i="1"/>
  <c r="AA840" i="1"/>
  <c r="L840" i="1"/>
  <c r="K840" i="1"/>
  <c r="J840" i="1"/>
  <c r="AA839" i="1"/>
  <c r="L839" i="1"/>
  <c r="K839" i="1"/>
  <c r="J839" i="1"/>
  <c r="AA838" i="1"/>
  <c r="AA862" i="1" s="1"/>
  <c r="L838" i="1"/>
  <c r="K838" i="1"/>
  <c r="J838" i="1"/>
  <c r="L833" i="1"/>
  <c r="M833" i="1" s="1"/>
  <c r="Y832" i="1"/>
  <c r="L832" i="1"/>
  <c r="M832" i="1" s="1"/>
  <c r="L831" i="1"/>
  <c r="U830" i="1"/>
  <c r="U829" i="1"/>
  <c r="U828" i="1"/>
  <c r="U827" i="1"/>
  <c r="S824" i="1"/>
  <c r="S830" i="1" s="1"/>
  <c r="S823" i="1"/>
  <c r="S829" i="1" s="1"/>
  <c r="Q823" i="1"/>
  <c r="O823" i="1" s="1"/>
  <c r="O829" i="1" s="1"/>
  <c r="S822" i="1"/>
  <c r="S828" i="1" s="1"/>
  <c r="S821" i="1"/>
  <c r="S827" i="1" s="1"/>
  <c r="U816" i="1"/>
  <c r="V815" i="1"/>
  <c r="V814" i="1"/>
  <c r="V813" i="1"/>
  <c r="O813" i="1"/>
  <c r="O812" i="1"/>
  <c r="AA811" i="1"/>
  <c r="N811" i="1"/>
  <c r="F861" i="1" s="1"/>
  <c r="G861" i="1" s="1"/>
  <c r="AA810" i="1"/>
  <c r="AA945" i="1" s="1"/>
  <c r="AB945" i="1" s="1"/>
  <c r="AE945" i="1" s="1"/>
  <c r="N810" i="1"/>
  <c r="F860" i="1" s="1"/>
  <c r="G860" i="1" s="1"/>
  <c r="AA809" i="1"/>
  <c r="N809" i="1"/>
  <c r="F859" i="1" s="1"/>
  <c r="G859" i="1" s="1"/>
  <c r="AA808" i="1"/>
  <c r="N808" i="1"/>
  <c r="F858" i="1" s="1"/>
  <c r="G858" i="1" s="1"/>
  <c r="AA807" i="1"/>
  <c r="N807" i="1"/>
  <c r="F857" i="1" s="1"/>
  <c r="G857" i="1" s="1"/>
  <c r="AA806" i="1"/>
  <c r="M941" i="1" s="1"/>
  <c r="N941" i="1" s="1"/>
  <c r="P941" i="1" s="1"/>
  <c r="N806" i="1"/>
  <c r="F856" i="1" s="1"/>
  <c r="G856" i="1" s="1"/>
  <c r="AA805" i="1"/>
  <c r="N805" i="1"/>
  <c r="F855" i="1" s="1"/>
  <c r="G855" i="1" s="1"/>
  <c r="AA804" i="1"/>
  <c r="N804" i="1"/>
  <c r="F854" i="1" s="1"/>
  <c r="G854" i="1" s="1"/>
  <c r="AA803" i="1"/>
  <c r="N803" i="1"/>
  <c r="F853" i="1" s="1"/>
  <c r="G853" i="1" s="1"/>
  <c r="AA802" i="1"/>
  <c r="AA937" i="1" s="1"/>
  <c r="AB937" i="1" s="1"/>
  <c r="AE937" i="1" s="1"/>
  <c r="N802" i="1"/>
  <c r="F852" i="1" s="1"/>
  <c r="G852" i="1" s="1"/>
  <c r="AA801" i="1"/>
  <c r="N801" i="1"/>
  <c r="F851" i="1" s="1"/>
  <c r="G851" i="1" s="1"/>
  <c r="AA800" i="1"/>
  <c r="N800" i="1"/>
  <c r="F850" i="1" s="1"/>
  <c r="G850" i="1" s="1"/>
  <c r="AA799" i="1"/>
  <c r="N799" i="1"/>
  <c r="F849" i="1" s="1"/>
  <c r="G849" i="1" s="1"/>
  <c r="AA798" i="1"/>
  <c r="M933" i="1" s="1"/>
  <c r="N933" i="1" s="1"/>
  <c r="P933" i="1" s="1"/>
  <c r="N798" i="1"/>
  <c r="F848" i="1" s="1"/>
  <c r="G848" i="1" s="1"/>
  <c r="AA797" i="1"/>
  <c r="N797" i="1"/>
  <c r="F847" i="1" s="1"/>
  <c r="G847" i="1" s="1"/>
  <c r="AA796" i="1"/>
  <c r="N796" i="1"/>
  <c r="F846" i="1" s="1"/>
  <c r="G846" i="1" s="1"/>
  <c r="AA795" i="1"/>
  <c r="N795" i="1"/>
  <c r="F845" i="1" s="1"/>
  <c r="G845" i="1" s="1"/>
  <c r="AA794" i="1"/>
  <c r="AA929" i="1" s="1"/>
  <c r="AB929" i="1" s="1"/>
  <c r="AE929" i="1" s="1"/>
  <c r="N794" i="1"/>
  <c r="F844" i="1" s="1"/>
  <c r="G844" i="1" s="1"/>
  <c r="AA793" i="1"/>
  <c r="N793" i="1"/>
  <c r="F843" i="1" s="1"/>
  <c r="G843" i="1" s="1"/>
  <c r="AA792" i="1"/>
  <c r="N792" i="1"/>
  <c r="F842" i="1" s="1"/>
  <c r="G842" i="1" s="1"/>
  <c r="AA791" i="1"/>
  <c r="N791" i="1"/>
  <c r="F841" i="1" s="1"/>
  <c r="G841" i="1" s="1"/>
  <c r="AA790" i="1"/>
  <c r="M925" i="1" s="1"/>
  <c r="N925" i="1" s="1"/>
  <c r="P925" i="1" s="1"/>
  <c r="N790" i="1"/>
  <c r="F840" i="1" s="1"/>
  <c r="G840" i="1" s="1"/>
  <c r="AA789" i="1"/>
  <c r="N789" i="1"/>
  <c r="F839" i="1" s="1"/>
  <c r="G839" i="1" s="1"/>
  <c r="AA788" i="1"/>
  <c r="N788" i="1"/>
  <c r="P812" i="1" s="1"/>
  <c r="AB787" i="1"/>
  <c r="AA787" i="1"/>
  <c r="U786" i="1"/>
  <c r="O814" i="1" s="1"/>
  <c r="R786" i="1"/>
  <c r="U785" i="1"/>
  <c r="U784" i="1"/>
  <c r="U781" i="1"/>
  <c r="AA769" i="1"/>
  <c r="AD729" i="1"/>
  <c r="U666" i="1"/>
  <c r="T666" i="1"/>
  <c r="T664" i="1"/>
  <c r="T663" i="1"/>
  <c r="AD661" i="1"/>
  <c r="AB661" i="1"/>
  <c r="W661" i="1" s="1"/>
  <c r="AD660" i="1"/>
  <c r="AB660" i="1"/>
  <c r="W660" i="1" s="1"/>
  <c r="AD659" i="1"/>
  <c r="AB659" i="1"/>
  <c r="W659" i="1" s="1"/>
  <c r="AD658" i="1"/>
  <c r="AB658" i="1"/>
  <c r="W658" i="1" s="1"/>
  <c r="AD657" i="1"/>
  <c r="AB657" i="1"/>
  <c r="W657" i="1" s="1"/>
  <c r="AD656" i="1"/>
  <c r="AB656" i="1"/>
  <c r="W656" i="1" s="1"/>
  <c r="AD655" i="1"/>
  <c r="AB655" i="1"/>
  <c r="W655" i="1" s="1"/>
  <c r="AD654" i="1"/>
  <c r="AB654" i="1"/>
  <c r="W654" i="1" s="1"/>
  <c r="AD653" i="1"/>
  <c r="AB653" i="1"/>
  <c r="W653" i="1" s="1"/>
  <c r="AD652" i="1"/>
  <c r="AB652" i="1"/>
  <c r="W652" i="1" s="1"/>
  <c r="AD651" i="1"/>
  <c r="AB651" i="1"/>
  <c r="W651" i="1" s="1"/>
  <c r="AD650" i="1"/>
  <c r="AB650" i="1"/>
  <c r="W650" i="1" s="1"/>
  <c r="AD649" i="1"/>
  <c r="AB649" i="1"/>
  <c r="W649" i="1" s="1"/>
  <c r="AD648" i="1"/>
  <c r="AB648" i="1"/>
  <c r="W648" i="1" s="1"/>
  <c r="AD647" i="1"/>
  <c r="AB647" i="1"/>
  <c r="W647" i="1" s="1"/>
  <c r="AD646" i="1"/>
  <c r="AB646" i="1"/>
  <c r="W646" i="1" s="1"/>
  <c r="AD645" i="1"/>
  <c r="AB645" i="1"/>
  <c r="W645" i="1" s="1"/>
  <c r="AD644" i="1"/>
  <c r="AB644" i="1"/>
  <c r="W644" i="1" s="1"/>
  <c r="AD643" i="1"/>
  <c r="AB643" i="1"/>
  <c r="W643" i="1" s="1"/>
  <c r="AD642" i="1"/>
  <c r="AB642" i="1"/>
  <c r="W642" i="1" s="1"/>
  <c r="AD641" i="1"/>
  <c r="AB641" i="1"/>
  <c r="W641" i="1" s="1"/>
  <c r="AD640" i="1"/>
  <c r="AB640" i="1"/>
  <c r="W640" i="1" s="1"/>
  <c r="AD639" i="1"/>
  <c r="AB639" i="1"/>
  <c r="W639" i="1" s="1"/>
  <c r="AD638" i="1"/>
  <c r="AB638" i="1"/>
  <c r="W638" i="1" s="1"/>
  <c r="W664" i="1" s="1"/>
  <c r="AA604" i="1"/>
  <c r="AA695" i="1" s="1"/>
  <c r="Z604" i="1"/>
  <c r="Z695" i="1" s="1"/>
  <c r="Z744" i="1" s="1"/>
  <c r="Z787" i="1" s="1"/>
  <c r="Y604" i="1"/>
  <c r="Y695" i="1" s="1"/>
  <c r="Y744" i="1" s="1"/>
  <c r="Y787" i="1" s="1"/>
  <c r="X604" i="1"/>
  <c r="X695" i="1" s="1"/>
  <c r="X744" i="1" s="1"/>
  <c r="X787" i="1" s="1"/>
  <c r="X431" i="1"/>
  <c r="AC416" i="1"/>
  <c r="Z416" i="1"/>
  <c r="AC415" i="1"/>
  <c r="Z439" i="1" s="1"/>
  <c r="Z415" i="1"/>
  <c r="AC414" i="1"/>
  <c r="Z414" i="1"/>
  <c r="AC413" i="1"/>
  <c r="Z443" i="1" s="1"/>
  <c r="Z413" i="1"/>
  <c r="AF412" i="1"/>
  <c r="AC412" i="1"/>
  <c r="Z412" i="1"/>
  <c r="Z411" i="1"/>
  <c r="AD385" i="1"/>
  <c r="AC385" i="1"/>
  <c r="Z387" i="1" s="1"/>
  <c r="AB385" i="1"/>
  <c r="AA385" i="1"/>
  <c r="Y426" i="1" s="1"/>
  <c r="Z385" i="1"/>
  <c r="AD384" i="1"/>
  <c r="AC384" i="1"/>
  <c r="AB384" i="1"/>
  <c r="AA384" i="1"/>
  <c r="Y428" i="1" s="1"/>
  <c r="AB436" i="1" s="1"/>
  <c r="Z384" i="1"/>
  <c r="AD383" i="1"/>
  <c r="AC383" i="1"/>
  <c r="AB383" i="1"/>
  <c r="AA383" i="1"/>
  <c r="AC372" i="1"/>
  <c r="Z372" i="1"/>
  <c r="AC371" i="1"/>
  <c r="Z371" i="1"/>
  <c r="AC370" i="1"/>
  <c r="Z370" i="1"/>
  <c r="AC369" i="1"/>
  <c r="Z369" i="1"/>
  <c r="AC368" i="1"/>
  <c r="Z368" i="1"/>
  <c r="Z367" i="1"/>
  <c r="AA351" i="1"/>
  <c r="Z351" i="1"/>
  <c r="Z355" i="1" s="1"/>
  <c r="Y357" i="1" s="1"/>
  <c r="AA350" i="1"/>
  <c r="Z350" i="1"/>
  <c r="AA349" i="1"/>
  <c r="Z349" i="1"/>
  <c r="X246" i="1"/>
  <c r="AC231" i="1"/>
  <c r="Z231" i="1"/>
  <c r="AC230" i="1"/>
  <c r="Z230" i="1"/>
  <c r="AC229" i="1"/>
  <c r="Z229" i="1"/>
  <c r="AC228" i="1"/>
  <c r="Z256" i="1" s="1"/>
  <c r="Z228" i="1"/>
  <c r="AC227" i="1"/>
  <c r="Z227" i="1"/>
  <c r="Z226" i="1"/>
  <c r="AD208" i="1"/>
  <c r="AC208" i="1"/>
  <c r="Z210" i="1" s="1"/>
  <c r="AB208" i="1"/>
  <c r="AA208" i="1"/>
  <c r="Y241" i="1" s="1"/>
  <c r="Z208" i="1"/>
  <c r="AD207" i="1"/>
  <c r="AC207" i="1"/>
  <c r="AB207" i="1"/>
  <c r="AA207" i="1"/>
  <c r="Y243" i="1" s="1"/>
  <c r="AB251" i="1" s="1"/>
  <c r="Z207" i="1"/>
  <c r="AD206" i="1"/>
  <c r="AC206" i="1"/>
  <c r="AB206" i="1"/>
  <c r="AA206" i="1"/>
  <c r="AC195" i="1"/>
  <c r="Z195" i="1"/>
  <c r="AC194" i="1"/>
  <c r="Z194" i="1"/>
  <c r="AC193" i="1"/>
  <c r="Z193" i="1"/>
  <c r="AC192" i="1"/>
  <c r="Z192" i="1"/>
  <c r="AC191" i="1"/>
  <c r="Z191" i="1"/>
  <c r="Z190" i="1"/>
  <c r="AA174" i="1"/>
  <c r="Z174" i="1"/>
  <c r="Z178" i="1" s="1"/>
  <c r="Y180" i="1" s="1"/>
  <c r="AA173" i="1"/>
  <c r="Z173" i="1"/>
  <c r="AA172" i="1"/>
  <c r="Z172" i="1"/>
  <c r="J135" i="1"/>
  <c r="U127" i="1"/>
  <c r="B126" i="1"/>
  <c r="M118" i="1"/>
  <c r="F118" i="1"/>
  <c r="F119" i="1" s="1"/>
  <c r="G134" i="1" s="1"/>
  <c r="B112" i="1"/>
  <c r="M104" i="1"/>
  <c r="L104" i="1"/>
  <c r="R97" i="1"/>
  <c r="Y97" i="1" s="1"/>
  <c r="P97" i="1"/>
  <c r="X97" i="1" s="1"/>
  <c r="G97" i="1"/>
  <c r="E97" i="1"/>
  <c r="R96" i="1"/>
  <c r="Y96" i="1" s="1"/>
  <c r="P96" i="1"/>
  <c r="X96" i="1" s="1"/>
  <c r="G96" i="1"/>
  <c r="E96" i="1"/>
  <c r="R95" i="1"/>
  <c r="Y95" i="1" s="1"/>
  <c r="Y626" i="1" s="1"/>
  <c r="P95" i="1"/>
  <c r="X95" i="1" s="1"/>
  <c r="G95" i="1"/>
  <c r="E95" i="1"/>
  <c r="R94" i="1"/>
  <c r="Y94" i="1" s="1"/>
  <c r="Y625" i="1" s="1"/>
  <c r="P94" i="1"/>
  <c r="X94" i="1" s="1"/>
  <c r="G94" i="1"/>
  <c r="E94" i="1"/>
  <c r="R93" i="1"/>
  <c r="Y93" i="1" s="1"/>
  <c r="P93" i="1"/>
  <c r="X93" i="1" s="1"/>
  <c r="G93" i="1"/>
  <c r="E93" i="1"/>
  <c r="R92" i="1"/>
  <c r="Y92" i="1" s="1"/>
  <c r="P92" i="1"/>
  <c r="X92" i="1" s="1"/>
  <c r="X623" i="1" s="1"/>
  <c r="X714" i="1" s="1"/>
  <c r="X763" i="1" s="1"/>
  <c r="X806" i="1" s="1"/>
  <c r="X856" i="1" s="1"/>
  <c r="X941" i="1" s="1"/>
  <c r="G92" i="1"/>
  <c r="E92" i="1"/>
  <c r="R91" i="1"/>
  <c r="Y91" i="1" s="1"/>
  <c r="P91" i="1"/>
  <c r="X91" i="1" s="1"/>
  <c r="G91" i="1"/>
  <c r="E91" i="1"/>
  <c r="R90" i="1"/>
  <c r="Y90" i="1" s="1"/>
  <c r="P90" i="1"/>
  <c r="X90" i="1" s="1"/>
  <c r="G90" i="1"/>
  <c r="E90" i="1"/>
  <c r="R89" i="1"/>
  <c r="Y89" i="1" s="1"/>
  <c r="P89" i="1"/>
  <c r="X89" i="1" s="1"/>
  <c r="G89" i="1"/>
  <c r="E89" i="1"/>
  <c r="R88" i="1"/>
  <c r="Y88" i="1" s="1"/>
  <c r="P88" i="1"/>
  <c r="X88" i="1" s="1"/>
  <c r="G88" i="1"/>
  <c r="E88" i="1"/>
  <c r="R87" i="1"/>
  <c r="Y87" i="1" s="1"/>
  <c r="P87" i="1"/>
  <c r="X87" i="1" s="1"/>
  <c r="G87" i="1"/>
  <c r="E87" i="1"/>
  <c r="R86" i="1"/>
  <c r="Y86" i="1" s="1"/>
  <c r="Y617" i="1" s="1"/>
  <c r="P86" i="1"/>
  <c r="X86" i="1" s="1"/>
  <c r="G86" i="1"/>
  <c r="E86" i="1"/>
  <c r="R85" i="1"/>
  <c r="Y85" i="1" s="1"/>
  <c r="P85" i="1"/>
  <c r="X85" i="1" s="1"/>
  <c r="G85" i="1"/>
  <c r="E85" i="1"/>
  <c r="R84" i="1"/>
  <c r="Y84" i="1" s="1"/>
  <c r="P84" i="1"/>
  <c r="X84" i="1" s="1"/>
  <c r="G84" i="1"/>
  <c r="E84" i="1"/>
  <c r="R83" i="1"/>
  <c r="Y83" i="1" s="1"/>
  <c r="P83" i="1"/>
  <c r="X83" i="1" s="1"/>
  <c r="G83" i="1"/>
  <c r="E83" i="1"/>
  <c r="R82" i="1"/>
  <c r="Y82" i="1" s="1"/>
  <c r="P82" i="1"/>
  <c r="X82" i="1" s="1"/>
  <c r="G82" i="1"/>
  <c r="E82" i="1"/>
  <c r="R81" i="1"/>
  <c r="Y81" i="1" s="1"/>
  <c r="P81" i="1"/>
  <c r="X81" i="1" s="1"/>
  <c r="G81" i="1"/>
  <c r="E81" i="1"/>
  <c r="R80" i="1"/>
  <c r="Y80" i="1" s="1"/>
  <c r="P80" i="1"/>
  <c r="X80" i="1" s="1"/>
  <c r="G80" i="1"/>
  <c r="E80" i="1"/>
  <c r="R79" i="1"/>
  <c r="Y79" i="1" s="1"/>
  <c r="P79" i="1"/>
  <c r="X79" i="1" s="1"/>
  <c r="G79" i="1"/>
  <c r="E79" i="1"/>
  <c r="R78" i="1"/>
  <c r="Y78" i="1" s="1"/>
  <c r="P78" i="1"/>
  <c r="X78" i="1" s="1"/>
  <c r="G78" i="1"/>
  <c r="E78" i="1"/>
  <c r="R77" i="1"/>
  <c r="Y77" i="1" s="1"/>
  <c r="P77" i="1"/>
  <c r="X77" i="1" s="1"/>
  <c r="G77" i="1"/>
  <c r="E77" i="1"/>
  <c r="R76" i="1"/>
  <c r="Y76" i="1" s="1"/>
  <c r="P76" i="1"/>
  <c r="X76" i="1" s="1"/>
  <c r="X607" i="1" s="1"/>
  <c r="X698" i="1" s="1"/>
  <c r="X747" i="1" s="1"/>
  <c r="X790" i="1" s="1"/>
  <c r="X840" i="1" s="1"/>
  <c r="X925" i="1" s="1"/>
  <c r="G76" i="1"/>
  <c r="E76" i="1"/>
  <c r="R75" i="1"/>
  <c r="Y75" i="1" s="1"/>
  <c r="Y606" i="1" s="1"/>
  <c r="P75" i="1"/>
  <c r="X75" i="1" s="1"/>
  <c r="X606" i="1" s="1"/>
  <c r="X697" i="1" s="1"/>
  <c r="X746" i="1" s="1"/>
  <c r="X789" i="1" s="1"/>
  <c r="X839" i="1" s="1"/>
  <c r="X924" i="1" s="1"/>
  <c r="G75" i="1"/>
  <c r="E75" i="1"/>
  <c r="R74" i="1"/>
  <c r="Y74" i="1" s="1"/>
  <c r="Y605" i="1" s="1"/>
  <c r="Y696" i="1" s="1"/>
  <c r="P74" i="1"/>
  <c r="X74" i="1" s="1"/>
  <c r="G74" i="1"/>
  <c r="E74" i="1"/>
  <c r="R73" i="1"/>
  <c r="M117" i="1" s="1"/>
  <c r="G73" i="1"/>
  <c r="B125" i="1" s="1"/>
  <c r="C31" i="1"/>
  <c r="E31" i="1" s="1"/>
  <c r="J67" i="2" s="1"/>
  <c r="K67" i="2" s="1"/>
  <c r="I30" i="1"/>
  <c r="C30" i="1"/>
  <c r="E30" i="1" s="1"/>
  <c r="J66" i="2" s="1"/>
  <c r="K66" i="2" s="1"/>
  <c r="C29" i="1"/>
  <c r="E29" i="1" s="1"/>
  <c r="J65" i="2" s="1"/>
  <c r="K65" i="2" s="1"/>
  <c r="I28" i="1"/>
  <c r="Q94" i="1" s="1"/>
  <c r="C28" i="1"/>
  <c r="E28" i="1" s="1"/>
  <c r="J64" i="2" s="1"/>
  <c r="K64" i="2" s="1"/>
  <c r="I27" i="1"/>
  <c r="F93" i="1" s="1"/>
  <c r="C27" i="1"/>
  <c r="E27" i="1" s="1"/>
  <c r="J63" i="2" s="1"/>
  <c r="K63" i="2" s="1"/>
  <c r="I26" i="1"/>
  <c r="F92" i="1" s="1"/>
  <c r="C26" i="1"/>
  <c r="E26" i="1" s="1"/>
  <c r="J62" i="2" s="1"/>
  <c r="K62" i="2" s="1"/>
  <c r="I25" i="1"/>
  <c r="F91" i="1" s="1"/>
  <c r="C25" i="1"/>
  <c r="E25" i="1" s="1"/>
  <c r="J61" i="2" s="1"/>
  <c r="K61" i="2" s="1"/>
  <c r="I24" i="1"/>
  <c r="C24" i="1"/>
  <c r="E24" i="1" s="1"/>
  <c r="J60" i="2" s="1"/>
  <c r="K60" i="2" s="1"/>
  <c r="I23" i="1"/>
  <c r="Q89" i="1" s="1"/>
  <c r="C23" i="1"/>
  <c r="E23" i="1" s="1"/>
  <c r="J59" i="2" s="1"/>
  <c r="K59" i="2" s="1"/>
  <c r="H35" i="1"/>
  <c r="G35" i="1"/>
  <c r="F35" i="1"/>
  <c r="C22" i="1"/>
  <c r="E22" i="1" s="1"/>
  <c r="J58" i="2" s="1"/>
  <c r="K58" i="2" s="1"/>
  <c r="I21" i="1"/>
  <c r="F87" i="1" s="1"/>
  <c r="C21" i="1"/>
  <c r="E21" i="1" s="1"/>
  <c r="J57" i="2" s="1"/>
  <c r="K57" i="2" s="1"/>
  <c r="I20" i="1"/>
  <c r="F86" i="1" s="1"/>
  <c r="C20" i="1"/>
  <c r="E20" i="1" s="1"/>
  <c r="J56" i="2" s="1"/>
  <c r="I19" i="1"/>
  <c r="C19" i="1"/>
  <c r="E19" i="1" s="1"/>
  <c r="J36" i="2" s="1"/>
  <c r="K36" i="2" s="1"/>
  <c r="I18" i="1"/>
  <c r="C18" i="1"/>
  <c r="E18" i="1" s="1"/>
  <c r="J35" i="2" s="1"/>
  <c r="K35" i="2" s="1"/>
  <c r="I17" i="1"/>
  <c r="C17" i="1"/>
  <c r="E17" i="1" s="1"/>
  <c r="J34" i="2" s="1"/>
  <c r="K34" i="2" s="1"/>
  <c r="I16" i="1"/>
  <c r="C16" i="1"/>
  <c r="E16" i="1" s="1"/>
  <c r="J33" i="2" s="1"/>
  <c r="K33" i="2" s="1"/>
  <c r="I15" i="1"/>
  <c r="C15" i="1"/>
  <c r="E15" i="1" s="1"/>
  <c r="J32" i="2" s="1"/>
  <c r="K32" i="2" s="1"/>
  <c r="I14" i="1"/>
  <c r="Q80" i="1" s="1"/>
  <c r="C14" i="1"/>
  <c r="E14" i="1" s="1"/>
  <c r="J31" i="2" s="1"/>
  <c r="K31" i="2" s="1"/>
  <c r="I13" i="1"/>
  <c r="C13" i="1"/>
  <c r="E13" i="1" s="1"/>
  <c r="J30" i="2" s="1"/>
  <c r="K30" i="2" s="1"/>
  <c r="I12" i="1"/>
  <c r="Q78" i="1" s="1"/>
  <c r="C12" i="1"/>
  <c r="E12" i="1" s="1"/>
  <c r="J29" i="2" s="1"/>
  <c r="K29" i="2" s="1"/>
  <c r="I11" i="1"/>
  <c r="C11" i="1"/>
  <c r="E11" i="1" s="1"/>
  <c r="J28" i="2" s="1"/>
  <c r="K28" i="2" s="1"/>
  <c r="I10" i="1"/>
  <c r="C10" i="1"/>
  <c r="E10" i="1" s="1"/>
  <c r="J27" i="2" s="1"/>
  <c r="K27" i="2" s="1"/>
  <c r="I9" i="1"/>
  <c r="C9" i="1"/>
  <c r="E9" i="1" s="1"/>
  <c r="J26" i="2" s="1"/>
  <c r="K26" i="2" s="1"/>
  <c r="H33" i="1"/>
  <c r="G32" i="1"/>
  <c r="E8" i="1"/>
  <c r="J25" i="2" s="1"/>
  <c r="Q110" i="1" l="1"/>
  <c r="Q111" i="1" s="1"/>
  <c r="R126" i="1" s="1"/>
  <c r="AB664" i="1"/>
  <c r="W665" i="1"/>
  <c r="AB665" i="1" s="1"/>
  <c r="P863" i="1"/>
  <c r="O62" i="12"/>
  <c r="P57" i="12"/>
  <c r="B189" i="12"/>
  <c r="B214" i="12" s="1"/>
  <c r="B70" i="12"/>
  <c r="B190" i="12"/>
  <c r="B215" i="12" s="1"/>
  <c r="B69" i="12"/>
  <c r="C170" i="12"/>
  <c r="B191" i="12"/>
  <c r="B216" i="12" s="1"/>
  <c r="B71" i="12"/>
  <c r="B72" i="12"/>
  <c r="B39" i="12"/>
  <c r="B60" i="12" s="1"/>
  <c r="B73" i="12"/>
  <c r="B40" i="12"/>
  <c r="B58" i="12" s="1"/>
  <c r="H168" i="12"/>
  <c r="H170" i="12" s="1"/>
  <c r="C41" i="12"/>
  <c r="C178" i="12"/>
  <c r="C74" i="12"/>
  <c r="C179" i="12"/>
  <c r="C90" i="12"/>
  <c r="C180" i="12"/>
  <c r="C106" i="12"/>
  <c r="C181" i="12"/>
  <c r="C127" i="12"/>
  <c r="E128" i="12" s="1"/>
  <c r="C243" i="12"/>
  <c r="E170" i="12"/>
  <c r="C240" i="12"/>
  <c r="I170" i="12"/>
  <c r="C193" i="12"/>
  <c r="D189" i="12"/>
  <c r="D190" i="12"/>
  <c r="D191" i="12"/>
  <c r="C218" i="12"/>
  <c r="C203" i="12" s="1"/>
  <c r="D214" i="12"/>
  <c r="D215" i="12"/>
  <c r="D216" i="12"/>
  <c r="F48" i="4"/>
  <c r="F56" i="4" s="1"/>
  <c r="G56" i="4" s="1"/>
  <c r="F47" i="4"/>
  <c r="G35" i="4"/>
  <c r="N48" i="4"/>
  <c r="N47" i="4"/>
  <c r="O35" i="4"/>
  <c r="G36" i="4"/>
  <c r="O36" i="4"/>
  <c r="G37" i="4"/>
  <c r="O37" i="4"/>
  <c r="G38" i="4"/>
  <c r="O38" i="4"/>
  <c r="G39" i="4"/>
  <c r="O39" i="4"/>
  <c r="G40" i="4"/>
  <c r="O40" i="4"/>
  <c r="G41" i="4"/>
  <c r="O41" i="4"/>
  <c r="G42" i="4"/>
  <c r="O42" i="4"/>
  <c r="G43" i="4"/>
  <c r="O43" i="4"/>
  <c r="G44" i="4"/>
  <c r="O44" i="4"/>
  <c r="G45" i="4"/>
  <c r="O45" i="4"/>
  <c r="G46" i="4"/>
  <c r="O46" i="4"/>
  <c r="AP75" i="13"/>
  <c r="BF75" i="13" s="1"/>
  <c r="AP74" i="13"/>
  <c r="BF74" i="13" s="1"/>
  <c r="AP73" i="13"/>
  <c r="BF73" i="13" s="1"/>
  <c r="AP72" i="13"/>
  <c r="BF72" i="13" s="1"/>
  <c r="AP71" i="13"/>
  <c r="BF71" i="13" s="1"/>
  <c r="AP69" i="13"/>
  <c r="BF69" i="13" s="1"/>
  <c r="AP68" i="13"/>
  <c r="BF68" i="13" s="1"/>
  <c r="AP67" i="13"/>
  <c r="BF67" i="13" s="1"/>
  <c r="AP66" i="13"/>
  <c r="BF66" i="13" s="1"/>
  <c r="AP65" i="13"/>
  <c r="BF65" i="13" s="1"/>
  <c r="AP56" i="13"/>
  <c r="BF56" i="13" s="1"/>
  <c r="AP54" i="13"/>
  <c r="BF54" i="13" s="1"/>
  <c r="AP53" i="13"/>
  <c r="BF53" i="13" s="1"/>
  <c r="AP52" i="13"/>
  <c r="BF52" i="13" s="1"/>
  <c r="AP51" i="13"/>
  <c r="BF51" i="13" s="1"/>
  <c r="F59" i="4"/>
  <c r="G58" i="4"/>
  <c r="I531" i="9"/>
  <c r="D91" i="9"/>
  <c r="G82" i="9"/>
  <c r="C221" i="9"/>
  <c r="D195" i="9"/>
  <c r="E194" i="9" s="1"/>
  <c r="D186" i="9"/>
  <c r="C424" i="9"/>
  <c r="D402" i="9"/>
  <c r="E401" i="9" s="1"/>
  <c r="D399" i="9"/>
  <c r="Q83" i="1"/>
  <c r="J17" i="1"/>
  <c r="Q84" i="1"/>
  <c r="J18" i="1"/>
  <c r="Q85" i="1"/>
  <c r="J19" i="1"/>
  <c r="J21" i="1"/>
  <c r="F32" i="1"/>
  <c r="I31" i="1"/>
  <c r="J20" i="1"/>
  <c r="I29" i="1"/>
  <c r="J29" i="1" s="1"/>
  <c r="H32" i="1"/>
  <c r="L862" i="1"/>
  <c r="L863" i="1"/>
  <c r="J863" i="1"/>
  <c r="F34" i="1"/>
  <c r="T665" i="1"/>
  <c r="U787" i="1"/>
  <c r="V816" i="1"/>
  <c r="L834" i="1"/>
  <c r="F43" i="2"/>
  <c r="F62" i="2"/>
  <c r="F54" i="2"/>
  <c r="F52" i="2"/>
  <c r="F57" i="2"/>
  <c r="Z84" i="1"/>
  <c r="N17" i="3"/>
  <c r="X57" i="3" s="1"/>
  <c r="K44" i="4"/>
  <c r="L44" i="4" s="1"/>
  <c r="Q95" i="1"/>
  <c r="F95" i="1"/>
  <c r="X608" i="1"/>
  <c r="X699" i="1" s="1"/>
  <c r="X748" i="1" s="1"/>
  <c r="X791" i="1" s="1"/>
  <c r="X841" i="1" s="1"/>
  <c r="X926" i="1" s="1"/>
  <c r="X108" i="1"/>
  <c r="X291" i="1" s="1"/>
  <c r="Y611" i="1"/>
  <c r="Y111" i="1"/>
  <c r="Y294" i="1" s="1"/>
  <c r="Y616" i="1"/>
  <c r="Y116" i="1"/>
  <c r="Y299" i="1" s="1"/>
  <c r="X621" i="1"/>
  <c r="X712" i="1" s="1"/>
  <c r="X761" i="1" s="1"/>
  <c r="X804" i="1" s="1"/>
  <c r="X854" i="1" s="1"/>
  <c r="X939" i="1" s="1"/>
  <c r="X121" i="1"/>
  <c r="X304" i="1" s="1"/>
  <c r="Y608" i="1"/>
  <c r="Y108" i="1"/>
  <c r="Y291" i="1" s="1"/>
  <c r="X613" i="1"/>
  <c r="X704" i="1" s="1"/>
  <c r="X753" i="1" s="1"/>
  <c r="X796" i="1" s="1"/>
  <c r="X846" i="1" s="1"/>
  <c r="X931" i="1" s="1"/>
  <c r="X113" i="1"/>
  <c r="X296" i="1" s="1"/>
  <c r="Y621" i="1"/>
  <c r="Y121" i="1"/>
  <c r="Y304" i="1" s="1"/>
  <c r="Z89" i="1"/>
  <c r="Y613" i="1"/>
  <c r="Y113" i="1"/>
  <c r="Y296" i="1" s="1"/>
  <c r="X625" i="1"/>
  <c r="X716" i="1" s="1"/>
  <c r="X765" i="1" s="1"/>
  <c r="X808" i="1" s="1"/>
  <c r="X858" i="1" s="1"/>
  <c r="X943" i="1" s="1"/>
  <c r="X125" i="1"/>
  <c r="X308" i="1" s="1"/>
  <c r="Z80" i="1"/>
  <c r="X617" i="1"/>
  <c r="X708" i="1" s="1"/>
  <c r="X757" i="1" s="1"/>
  <c r="X800" i="1" s="1"/>
  <c r="X850" i="1" s="1"/>
  <c r="X935" i="1" s="1"/>
  <c r="X117" i="1"/>
  <c r="X300" i="1" s="1"/>
  <c r="Z83" i="1"/>
  <c r="Z85" i="1"/>
  <c r="Z94" i="1"/>
  <c r="X609" i="1"/>
  <c r="X700" i="1" s="1"/>
  <c r="X749" i="1" s="1"/>
  <c r="X792" i="1" s="1"/>
  <c r="X842" i="1" s="1"/>
  <c r="X927" i="1" s="1"/>
  <c r="X109" i="1"/>
  <c r="X292" i="1" s="1"/>
  <c r="X622" i="1"/>
  <c r="X713" i="1" s="1"/>
  <c r="X762" i="1" s="1"/>
  <c r="X805" i="1" s="1"/>
  <c r="X855" i="1" s="1"/>
  <c r="X940" i="1" s="1"/>
  <c r="X122" i="1"/>
  <c r="X305" i="1" s="1"/>
  <c r="X614" i="1"/>
  <c r="X705" i="1" s="1"/>
  <c r="X754" i="1" s="1"/>
  <c r="X797" i="1" s="1"/>
  <c r="X847" i="1" s="1"/>
  <c r="X932" i="1" s="1"/>
  <c r="X114" i="1"/>
  <c r="X297" i="1" s="1"/>
  <c r="Y622" i="1"/>
  <c r="Y122" i="1"/>
  <c r="Y305" i="1" s="1"/>
  <c r="N19" i="3"/>
  <c r="S19" i="3" s="1"/>
  <c r="U19" i="3" s="1"/>
  <c r="K46" i="4"/>
  <c r="L46" i="4" s="1"/>
  <c r="Q97" i="1"/>
  <c r="F97" i="1"/>
  <c r="J31" i="1"/>
  <c r="Y697" i="1"/>
  <c r="Y746" i="1" s="1"/>
  <c r="Y789" i="1" s="1"/>
  <c r="Y839" i="1" s="1"/>
  <c r="Y924" i="1" s="1"/>
  <c r="AA606" i="1"/>
  <c r="Y614" i="1"/>
  <c r="Y114" i="1"/>
  <c r="Y297" i="1" s="1"/>
  <c r="X619" i="1"/>
  <c r="X710" i="1" s="1"/>
  <c r="X759" i="1" s="1"/>
  <c r="X802" i="1" s="1"/>
  <c r="X852" i="1" s="1"/>
  <c r="X937" i="1" s="1"/>
  <c r="X119" i="1"/>
  <c r="X302" i="1" s="1"/>
  <c r="Z78" i="1"/>
  <c r="C43" i="4"/>
  <c r="D43" i="4" s="1"/>
  <c r="B16" i="3"/>
  <c r="P38" i="3" s="1"/>
  <c r="R38" i="3" s="1"/>
  <c r="S38" i="3" s="1"/>
  <c r="Q82" i="1"/>
  <c r="F82" i="1"/>
  <c r="J16" i="1"/>
  <c r="X611" i="1"/>
  <c r="X702" i="1" s="1"/>
  <c r="X751" i="1" s="1"/>
  <c r="X794" i="1" s="1"/>
  <c r="X844" i="1" s="1"/>
  <c r="X929" i="1" s="1"/>
  <c r="X111" i="1"/>
  <c r="X294" i="1" s="1"/>
  <c r="X616" i="1"/>
  <c r="X707" i="1" s="1"/>
  <c r="X756" i="1" s="1"/>
  <c r="X799" i="1" s="1"/>
  <c r="X849" i="1" s="1"/>
  <c r="X934" i="1" s="1"/>
  <c r="X116" i="1"/>
  <c r="X299" i="1" s="1"/>
  <c r="Y619" i="1"/>
  <c r="Y119" i="1"/>
  <c r="Y302" i="1" s="1"/>
  <c r="Y624" i="1"/>
  <c r="Y124" i="1"/>
  <c r="Y307" i="1" s="1"/>
  <c r="C36" i="4"/>
  <c r="D36" i="4" s="1"/>
  <c r="B9" i="3"/>
  <c r="J49" i="3" s="1"/>
  <c r="J80" i="3" s="1"/>
  <c r="C40" i="4"/>
  <c r="D40" i="4" s="1"/>
  <c r="B13" i="3"/>
  <c r="J53" i="3" s="1"/>
  <c r="J84" i="3" s="1"/>
  <c r="Q75" i="1"/>
  <c r="Y609" i="1"/>
  <c r="Y109" i="1"/>
  <c r="Y292" i="1" s="1"/>
  <c r="X612" i="1"/>
  <c r="X703" i="1" s="1"/>
  <c r="X752" i="1" s="1"/>
  <c r="X795" i="1" s="1"/>
  <c r="X845" i="1" s="1"/>
  <c r="X930" i="1" s="1"/>
  <c r="X112" i="1"/>
  <c r="X295" i="1" s="1"/>
  <c r="F84" i="1"/>
  <c r="Y708" i="1"/>
  <c r="Y757" i="1" s="1"/>
  <c r="Y800" i="1" s="1"/>
  <c r="Y850" i="1" s="1"/>
  <c r="Y935" i="1" s="1"/>
  <c r="AA617" i="1"/>
  <c r="X620" i="1"/>
  <c r="X711" i="1" s="1"/>
  <c r="X760" i="1" s="1"/>
  <c r="X803" i="1" s="1"/>
  <c r="X853" i="1" s="1"/>
  <c r="X938" i="1" s="1"/>
  <c r="X120" i="1"/>
  <c r="X303" i="1" s="1"/>
  <c r="Y106" i="1"/>
  <c r="J37" i="2"/>
  <c r="K25" i="2"/>
  <c r="K37" i="2" s="1"/>
  <c r="B11" i="3"/>
  <c r="J51" i="3" s="1"/>
  <c r="J82" i="3" s="1"/>
  <c r="C38" i="4"/>
  <c r="D38" i="4" s="1"/>
  <c r="C42" i="4"/>
  <c r="D42" i="4" s="1"/>
  <c r="B15" i="3"/>
  <c r="J55" i="3" s="1"/>
  <c r="J86" i="3" s="1"/>
  <c r="J9" i="1"/>
  <c r="J11" i="1"/>
  <c r="J13" i="1"/>
  <c r="J15" i="1"/>
  <c r="G34" i="1"/>
  <c r="X605" i="1"/>
  <c r="X696" i="1" s="1"/>
  <c r="X745" i="1" s="1"/>
  <c r="X788" i="1" s="1"/>
  <c r="X838" i="1" s="1"/>
  <c r="X923" i="1" s="1"/>
  <c r="X106" i="1"/>
  <c r="X289" i="1" s="1"/>
  <c r="Y607" i="1"/>
  <c r="Y107" i="1"/>
  <c r="Y290" i="1" s="1"/>
  <c r="F79" i="1"/>
  <c r="Y612" i="1"/>
  <c r="Y112" i="1"/>
  <c r="Y295" i="1" s="1"/>
  <c r="X615" i="1"/>
  <c r="X706" i="1" s="1"/>
  <c r="X755" i="1" s="1"/>
  <c r="X798" i="1" s="1"/>
  <c r="X848" i="1" s="1"/>
  <c r="X933" i="1" s="1"/>
  <c r="X115" i="1"/>
  <c r="X298" i="1" s="1"/>
  <c r="Y620" i="1"/>
  <c r="Y120" i="1"/>
  <c r="Y303" i="1" s="1"/>
  <c r="Z436" i="1"/>
  <c r="I22" i="1"/>
  <c r="N12" i="3"/>
  <c r="X52" i="3" s="1"/>
  <c r="K39" i="4"/>
  <c r="L39" i="4" s="1"/>
  <c r="K41" i="4"/>
  <c r="L41" i="4" s="1"/>
  <c r="N14" i="3"/>
  <c r="X54" i="3" s="1"/>
  <c r="N16" i="3"/>
  <c r="S16" i="3" s="1"/>
  <c r="U16" i="3" s="1"/>
  <c r="K43" i="4"/>
  <c r="L43" i="4" s="1"/>
  <c r="H34" i="1"/>
  <c r="Y745" i="1"/>
  <c r="AA605" i="1"/>
  <c r="F77" i="1"/>
  <c r="X610" i="1"/>
  <c r="X701" i="1" s="1"/>
  <c r="X750" i="1" s="1"/>
  <c r="X793" i="1" s="1"/>
  <c r="X843" i="1" s="1"/>
  <c r="X928" i="1" s="1"/>
  <c r="X110" i="1"/>
  <c r="X293" i="1" s="1"/>
  <c r="Y615" i="1"/>
  <c r="Y115" i="1"/>
  <c r="Y298" i="1" s="1"/>
  <c r="X618" i="1"/>
  <c r="X709" i="1" s="1"/>
  <c r="X758" i="1" s="1"/>
  <c r="X801" i="1" s="1"/>
  <c r="X851" i="1" s="1"/>
  <c r="X936" i="1" s="1"/>
  <c r="X118" i="1"/>
  <c r="X301" i="1" s="1"/>
  <c r="F90" i="1"/>
  <c r="Q91" i="1"/>
  <c r="Y623" i="1"/>
  <c r="Y123" i="1"/>
  <c r="Y306" i="1" s="1"/>
  <c r="Y717" i="1"/>
  <c r="Y766" i="1" s="1"/>
  <c r="Y809" i="1" s="1"/>
  <c r="Y859" i="1" s="1"/>
  <c r="Y944" i="1" s="1"/>
  <c r="AA626" i="1"/>
  <c r="X628" i="1"/>
  <c r="X719" i="1" s="1"/>
  <c r="X768" i="1" s="1"/>
  <c r="X811" i="1" s="1"/>
  <c r="X861" i="1" s="1"/>
  <c r="X946" i="1" s="1"/>
  <c r="X128" i="1"/>
  <c r="X311" i="1" s="1"/>
  <c r="V107" i="1"/>
  <c r="X123" i="1"/>
  <c r="X306" i="1" s="1"/>
  <c r="Y126" i="1"/>
  <c r="Y309" i="1" s="1"/>
  <c r="C44" i="4"/>
  <c r="D44" i="4" s="1"/>
  <c r="B17" i="3"/>
  <c r="G17" i="3" s="1"/>
  <c r="I17" i="3" s="1"/>
  <c r="C46" i="4"/>
  <c r="D46" i="4" s="1"/>
  <c r="B19" i="3"/>
  <c r="J59" i="3" s="1"/>
  <c r="J90" i="3" s="1"/>
  <c r="N9" i="3"/>
  <c r="K36" i="4"/>
  <c r="L36" i="4" s="1"/>
  <c r="J24" i="1"/>
  <c r="J26" i="1"/>
  <c r="J28" i="1"/>
  <c r="F33" i="1"/>
  <c r="I34" i="1"/>
  <c r="J34" i="1" s="1"/>
  <c r="F75" i="1"/>
  <c r="Y610" i="1"/>
  <c r="Y110" i="1"/>
  <c r="Y293" i="1" s="1"/>
  <c r="F85" i="1"/>
  <c r="Q86" i="1"/>
  <c r="Y618" i="1"/>
  <c r="Y118" i="1"/>
  <c r="Y301" i="1" s="1"/>
  <c r="F94" i="1"/>
  <c r="Y628" i="1"/>
  <c r="Y128" i="1"/>
  <c r="Y311" i="1" s="1"/>
  <c r="X107" i="1"/>
  <c r="X290" i="1" s="1"/>
  <c r="Y117" i="1"/>
  <c r="Y300" i="1" s="1"/>
  <c r="Z252" i="1"/>
  <c r="AG227" i="1"/>
  <c r="AF227" i="1"/>
  <c r="C37" i="4"/>
  <c r="D37" i="4" s="1"/>
  <c r="B10" i="3"/>
  <c r="P32" i="3" s="1"/>
  <c r="R32" i="3" s="1"/>
  <c r="S32" i="3" s="1"/>
  <c r="B12" i="3"/>
  <c r="J52" i="3" s="1"/>
  <c r="J83" i="3" s="1"/>
  <c r="C39" i="4"/>
  <c r="D39" i="4" s="1"/>
  <c r="C41" i="4"/>
  <c r="D41" i="4" s="1"/>
  <c r="B14" i="3"/>
  <c r="P36" i="3" s="1"/>
  <c r="R36" i="3" s="1"/>
  <c r="S36" i="3" s="1"/>
  <c r="G33" i="1"/>
  <c r="Q76" i="1"/>
  <c r="F80" i="1"/>
  <c r="Q81" i="1"/>
  <c r="X627" i="1"/>
  <c r="X718" i="1" s="1"/>
  <c r="X767" i="1" s="1"/>
  <c r="X810" i="1" s="1"/>
  <c r="X860" i="1" s="1"/>
  <c r="X945" i="1" s="1"/>
  <c r="X127" i="1"/>
  <c r="X310" i="1" s="1"/>
  <c r="I8" i="1"/>
  <c r="J10" i="1"/>
  <c r="J12" i="1"/>
  <c r="J14" i="1"/>
  <c r="N18" i="3"/>
  <c r="X58" i="3" s="1"/>
  <c r="K45" i="4"/>
  <c r="L45" i="4" s="1"/>
  <c r="F96" i="1"/>
  <c r="Q96" i="1"/>
  <c r="F83" i="1"/>
  <c r="Q92" i="1"/>
  <c r="Y716" i="1"/>
  <c r="Y765" i="1" s="1"/>
  <c r="Y808" i="1" s="1"/>
  <c r="Y858" i="1" s="1"/>
  <c r="Y943" i="1" s="1"/>
  <c r="AA625" i="1"/>
  <c r="Y627" i="1"/>
  <c r="Y629" i="1" s="1"/>
  <c r="Y127" i="1"/>
  <c r="Y310" i="1" s="1"/>
  <c r="N11" i="3"/>
  <c r="K38" i="4"/>
  <c r="L38" i="4" s="1"/>
  <c r="K40" i="4"/>
  <c r="L40" i="4" s="1"/>
  <c r="N13" i="3"/>
  <c r="X53" i="3" s="1"/>
  <c r="N15" i="3"/>
  <c r="S15" i="3" s="1"/>
  <c r="U15" i="3" s="1"/>
  <c r="K42" i="4"/>
  <c r="L42" i="4" s="1"/>
  <c r="J30" i="1"/>
  <c r="F78" i="1"/>
  <c r="Q79" i="1"/>
  <c r="Q87" i="1"/>
  <c r="X624" i="1"/>
  <c r="X715" i="1" s="1"/>
  <c r="X764" i="1" s="1"/>
  <c r="X807" i="1" s="1"/>
  <c r="X857" i="1" s="1"/>
  <c r="X942" i="1" s="1"/>
  <c r="X124" i="1"/>
  <c r="X307" i="1" s="1"/>
  <c r="X626" i="1"/>
  <c r="X717" i="1" s="1"/>
  <c r="X766" i="1" s="1"/>
  <c r="X809" i="1" s="1"/>
  <c r="X859" i="1" s="1"/>
  <c r="X944" i="1" s="1"/>
  <c r="X126" i="1"/>
  <c r="X309" i="1" s="1"/>
  <c r="C45" i="4"/>
  <c r="D45" i="4" s="1"/>
  <c r="B18" i="3"/>
  <c r="P40" i="3" s="1"/>
  <c r="R40" i="3" s="1"/>
  <c r="S40" i="3" s="1"/>
  <c r="N8" i="3"/>
  <c r="R8" i="3" s="1"/>
  <c r="K35" i="4"/>
  <c r="J23" i="1"/>
  <c r="J25" i="1"/>
  <c r="J27" i="1"/>
  <c r="F76" i="1"/>
  <c r="Q77" i="1"/>
  <c r="F81" i="1"/>
  <c r="F89" i="1"/>
  <c r="Q90" i="1"/>
  <c r="Q93" i="1"/>
  <c r="Z251" i="1"/>
  <c r="Y125" i="1"/>
  <c r="Y308" i="1" s="1"/>
  <c r="Q828" i="1"/>
  <c r="Q822" i="1" s="1"/>
  <c r="O822" i="1" s="1"/>
  <c r="O828" i="1" s="1"/>
  <c r="S785" i="1"/>
  <c r="AD662" i="1"/>
  <c r="AA926" i="1"/>
  <c r="AB926" i="1" s="1"/>
  <c r="AE926" i="1" s="1"/>
  <c r="M926" i="1"/>
  <c r="N926" i="1" s="1"/>
  <c r="P926" i="1" s="1"/>
  <c r="AA934" i="1"/>
  <c r="AB934" i="1" s="1"/>
  <c r="AE934" i="1" s="1"/>
  <c r="M934" i="1"/>
  <c r="N934" i="1" s="1"/>
  <c r="P934" i="1" s="1"/>
  <c r="AA942" i="1"/>
  <c r="AB942" i="1" s="1"/>
  <c r="AE942" i="1" s="1"/>
  <c r="M942" i="1"/>
  <c r="N942" i="1" s="1"/>
  <c r="P942" i="1" s="1"/>
  <c r="M831" i="1"/>
  <c r="M834" i="1" s="1"/>
  <c r="N812" i="1"/>
  <c r="N813" i="1"/>
  <c r="AA941" i="1"/>
  <c r="AB941" i="1" s="1"/>
  <c r="AE941" i="1" s="1"/>
  <c r="M924" i="1"/>
  <c r="N924" i="1" s="1"/>
  <c r="P924" i="1" s="1"/>
  <c r="AA924" i="1"/>
  <c r="AB924" i="1" s="1"/>
  <c r="AE924" i="1" s="1"/>
  <c r="M932" i="1"/>
  <c r="N932" i="1" s="1"/>
  <c r="P932" i="1" s="1"/>
  <c r="AA932" i="1"/>
  <c r="AB932" i="1" s="1"/>
  <c r="AE932" i="1" s="1"/>
  <c r="M940" i="1"/>
  <c r="N940" i="1" s="1"/>
  <c r="P940" i="1" s="1"/>
  <c r="AA940" i="1"/>
  <c r="AB940" i="1" s="1"/>
  <c r="AE940" i="1" s="1"/>
  <c r="F838" i="1"/>
  <c r="G838" i="1" s="1"/>
  <c r="AA933" i="1"/>
  <c r="AB933" i="1" s="1"/>
  <c r="AE933" i="1" s="1"/>
  <c r="M923" i="1"/>
  <c r="N923" i="1" s="1"/>
  <c r="P923" i="1" s="1"/>
  <c r="AA923" i="1"/>
  <c r="M931" i="1"/>
  <c r="N931" i="1" s="1"/>
  <c r="P931" i="1" s="1"/>
  <c r="AA931" i="1"/>
  <c r="AB931" i="1" s="1"/>
  <c r="AE931" i="1" s="1"/>
  <c r="M939" i="1"/>
  <c r="N939" i="1" s="1"/>
  <c r="P939" i="1" s="1"/>
  <c r="AA939" i="1"/>
  <c r="AB939" i="1" s="1"/>
  <c r="AE939" i="1" s="1"/>
  <c r="AA925" i="1"/>
  <c r="AB925" i="1" s="1"/>
  <c r="AE925" i="1" s="1"/>
  <c r="M930" i="1"/>
  <c r="N930" i="1" s="1"/>
  <c r="P930" i="1" s="1"/>
  <c r="AA930" i="1"/>
  <c r="AB930" i="1" s="1"/>
  <c r="AE930" i="1" s="1"/>
  <c r="M938" i="1"/>
  <c r="N938" i="1" s="1"/>
  <c r="P938" i="1" s="1"/>
  <c r="AA938" i="1"/>
  <c r="AB938" i="1" s="1"/>
  <c r="AE938" i="1" s="1"/>
  <c r="M946" i="1"/>
  <c r="N946" i="1" s="1"/>
  <c r="P946" i="1" s="1"/>
  <c r="AA946" i="1"/>
  <c r="AB946" i="1" s="1"/>
  <c r="AE946" i="1" s="1"/>
  <c r="J862" i="1"/>
  <c r="K863" i="1"/>
  <c r="I863" i="1" s="1"/>
  <c r="M945" i="1"/>
  <c r="N945" i="1" s="1"/>
  <c r="P945" i="1" s="1"/>
  <c r="K862" i="1"/>
  <c r="M937" i="1"/>
  <c r="N937" i="1" s="1"/>
  <c r="P937" i="1" s="1"/>
  <c r="AA928" i="1"/>
  <c r="AB928" i="1" s="1"/>
  <c r="AE928" i="1" s="1"/>
  <c r="M928" i="1"/>
  <c r="N928" i="1" s="1"/>
  <c r="P928" i="1" s="1"/>
  <c r="AA936" i="1"/>
  <c r="AB936" i="1" s="1"/>
  <c r="AE936" i="1" s="1"/>
  <c r="M936" i="1"/>
  <c r="N936" i="1" s="1"/>
  <c r="P936" i="1" s="1"/>
  <c r="AA944" i="1"/>
  <c r="AB944" i="1" s="1"/>
  <c r="AE944" i="1" s="1"/>
  <c r="M944" i="1"/>
  <c r="N944" i="1" s="1"/>
  <c r="P944" i="1" s="1"/>
  <c r="AA812" i="1"/>
  <c r="AA907" i="1"/>
  <c r="M929" i="1"/>
  <c r="N929" i="1" s="1"/>
  <c r="P929" i="1" s="1"/>
  <c r="AA927" i="1"/>
  <c r="AB927" i="1" s="1"/>
  <c r="AE927" i="1" s="1"/>
  <c r="M927" i="1"/>
  <c r="N927" i="1" s="1"/>
  <c r="P927" i="1" s="1"/>
  <c r="AA935" i="1"/>
  <c r="AB935" i="1" s="1"/>
  <c r="M935" i="1"/>
  <c r="N935" i="1" s="1"/>
  <c r="P935" i="1" s="1"/>
  <c r="AA943" i="1"/>
  <c r="AB943" i="1" s="1"/>
  <c r="AE943" i="1" s="1"/>
  <c r="M943" i="1"/>
  <c r="N943" i="1" s="1"/>
  <c r="P943" i="1" s="1"/>
  <c r="F55" i="2"/>
  <c r="F61" i="2"/>
  <c r="P35" i="3"/>
  <c r="R35" i="3" s="1"/>
  <c r="S35" i="3" s="1"/>
  <c r="B7" i="6"/>
  <c r="F53" i="2"/>
  <c r="F56" i="2"/>
  <c r="F12" i="3"/>
  <c r="F13" i="3"/>
  <c r="R14" i="3"/>
  <c r="T14" i="3" s="1"/>
  <c r="R15" i="3"/>
  <c r="T15" i="3" s="1"/>
  <c r="B15" i="6"/>
  <c r="X55" i="3"/>
  <c r="G12" i="3"/>
  <c r="I12" i="3" s="1"/>
  <c r="S14" i="3"/>
  <c r="U14" i="3" s="1"/>
  <c r="J68" i="2"/>
  <c r="X48" i="3"/>
  <c r="X51" i="3"/>
  <c r="F40" i="2"/>
  <c r="F44" i="2"/>
  <c r="F47" i="2"/>
  <c r="F63" i="2"/>
  <c r="S8" i="3"/>
  <c r="J54" i="3"/>
  <c r="J85" i="3" s="1"/>
  <c r="N12" i="6"/>
  <c r="T8" i="3"/>
  <c r="R19" i="3"/>
  <c r="T19" i="3" s="1"/>
  <c r="X59" i="3"/>
  <c r="B6" i="6"/>
  <c r="B10" i="6"/>
  <c r="B14" i="6"/>
  <c r="K56" i="2"/>
  <c r="K68" i="2" s="1"/>
  <c r="R9" i="3"/>
  <c r="T9" i="3" s="1"/>
  <c r="N11" i="6"/>
  <c r="F48" i="2"/>
  <c r="F51" i="2"/>
  <c r="F60" i="2"/>
  <c r="R16" i="3"/>
  <c r="T16" i="3" s="1"/>
  <c r="P34" i="3"/>
  <c r="R34" i="3" s="1"/>
  <c r="S34" i="3" s="1"/>
  <c r="F46" i="2"/>
  <c r="P62" i="12" l="1"/>
  <c r="Q57" i="12"/>
  <c r="Q62" i="12" s="1"/>
  <c r="D218" i="12"/>
  <c r="E214" i="12"/>
  <c r="E215" i="12" s="1"/>
  <c r="E216" i="12" s="1"/>
  <c r="E218" i="12" s="1"/>
  <c r="D193" i="12"/>
  <c r="E189" i="12"/>
  <c r="E190" i="12" s="1"/>
  <c r="E191" i="12" s="1"/>
  <c r="E193" i="12" s="1"/>
  <c r="C204" i="12"/>
  <c r="C246" i="12"/>
  <c r="D240" i="12"/>
  <c r="K170" i="12"/>
  <c r="D243" i="12"/>
  <c r="E107" i="12"/>
  <c r="E91" i="12"/>
  <c r="C183" i="12"/>
  <c r="C184" i="12" s="1"/>
  <c r="F60" i="4"/>
  <c r="G60" i="4" s="1"/>
  <c r="G59" i="4"/>
  <c r="O48" i="4"/>
  <c r="O47" i="4"/>
  <c r="G48" i="4"/>
  <c r="E156" i="12" s="1"/>
  <c r="I172" i="12" s="1"/>
  <c r="G47" i="4"/>
  <c r="E180" i="12"/>
  <c r="C426" i="9"/>
  <c r="C46" i="12"/>
  <c r="D167" i="12" s="1"/>
  <c r="D424" i="9"/>
  <c r="E179" i="12"/>
  <c r="C223" i="9"/>
  <c r="C45" i="12"/>
  <c r="D166" i="12" s="1"/>
  <c r="D221" i="9"/>
  <c r="C114" i="9"/>
  <c r="E90" i="9"/>
  <c r="G19" i="3"/>
  <c r="I19" i="3" s="1"/>
  <c r="F17" i="3"/>
  <c r="P39" i="3"/>
  <c r="R39" i="3" s="1"/>
  <c r="S39" i="3" s="1"/>
  <c r="X56" i="3"/>
  <c r="J57" i="3"/>
  <c r="J88" i="3" s="1"/>
  <c r="G13" i="3"/>
  <c r="I13" i="3" s="1"/>
  <c r="F16" i="3"/>
  <c r="H16" i="3" s="1"/>
  <c r="F10" i="3"/>
  <c r="H10" i="3" s="1"/>
  <c r="F19" i="3"/>
  <c r="P37" i="3"/>
  <c r="R37" i="3" s="1"/>
  <c r="S37" i="3" s="1"/>
  <c r="F15" i="3"/>
  <c r="P41" i="3"/>
  <c r="R41" i="3" s="1"/>
  <c r="S41" i="3" s="1"/>
  <c r="G15" i="3"/>
  <c r="I15" i="3" s="1"/>
  <c r="G16" i="3"/>
  <c r="I16" i="3" s="1"/>
  <c r="J50" i="3"/>
  <c r="J81" i="3" s="1"/>
  <c r="G10" i="3"/>
  <c r="I10" i="3" s="1"/>
  <c r="J56" i="3"/>
  <c r="J87" i="3" s="1"/>
  <c r="F18" i="3"/>
  <c r="J58" i="3"/>
  <c r="J89" i="3" s="1"/>
  <c r="G18" i="3"/>
  <c r="I18" i="3" s="1"/>
  <c r="R18" i="3"/>
  <c r="T18" i="3" s="1"/>
  <c r="G9" i="3"/>
  <c r="I9" i="3" s="1"/>
  <c r="S17" i="3"/>
  <c r="U17" i="3" s="1"/>
  <c r="F9" i="3"/>
  <c r="H9" i="3" s="1"/>
  <c r="G14" i="3"/>
  <c r="I14" i="3" s="1"/>
  <c r="R17" i="3"/>
  <c r="T17" i="3" s="1"/>
  <c r="S13" i="3"/>
  <c r="U13" i="3" s="1"/>
  <c r="F14" i="3"/>
  <c r="H14" i="3" s="1"/>
  <c r="R13" i="3"/>
  <c r="T13" i="3" s="1"/>
  <c r="N814" i="1"/>
  <c r="S779" i="1"/>
  <c r="R785" i="1" s="1"/>
  <c r="Z79" i="1"/>
  <c r="R11" i="3"/>
  <c r="T11" i="3" s="1"/>
  <c r="S11" i="3"/>
  <c r="U11" i="3" s="1"/>
  <c r="Y494" i="1"/>
  <c r="AA494" i="1" s="1"/>
  <c r="Y528" i="1"/>
  <c r="Y332" i="1"/>
  <c r="Y462" i="1" s="1"/>
  <c r="AA311" i="1"/>
  <c r="Y701" i="1"/>
  <c r="Y750" i="1" s="1"/>
  <c r="Y793" i="1" s="1"/>
  <c r="Y843" i="1" s="1"/>
  <c r="Y928" i="1" s="1"/>
  <c r="AA610" i="1"/>
  <c r="X49" i="3"/>
  <c r="S9" i="3"/>
  <c r="U9" i="3" s="1"/>
  <c r="X494" i="1"/>
  <c r="X528" i="1"/>
  <c r="X332" i="1"/>
  <c r="X462" i="1" s="1"/>
  <c r="X518" i="1"/>
  <c r="X327" i="1"/>
  <c r="X457" i="1" s="1"/>
  <c r="X484" i="1"/>
  <c r="Y630" i="1"/>
  <c r="Y631" i="1" s="1"/>
  <c r="X481" i="1"/>
  <c r="X515" i="1"/>
  <c r="AA708" i="1"/>
  <c r="X516" i="1"/>
  <c r="X482" i="1"/>
  <c r="AA697" i="1"/>
  <c r="Y488" i="1"/>
  <c r="AA488" i="1" s="1"/>
  <c r="Y329" i="1"/>
  <c r="Y459" i="1" s="1"/>
  <c r="AA305" i="1"/>
  <c r="Y522" i="1"/>
  <c r="Z620" i="1"/>
  <c r="AC89" i="1"/>
  <c r="AB89" i="1"/>
  <c r="Z120" i="1"/>
  <c r="AA89" i="1"/>
  <c r="AA120" i="1" s="1"/>
  <c r="X521" i="1"/>
  <c r="X487" i="1"/>
  <c r="Z77" i="1"/>
  <c r="Y527" i="1"/>
  <c r="Y493" i="1"/>
  <c r="AA493" i="1" s="1"/>
  <c r="AA310" i="1"/>
  <c r="Z81" i="1"/>
  <c r="Y719" i="1"/>
  <c r="Y768" i="1" s="1"/>
  <c r="Y811" i="1" s="1"/>
  <c r="Y861" i="1" s="1"/>
  <c r="Y946" i="1" s="1"/>
  <c r="AA628" i="1"/>
  <c r="Y632" i="1"/>
  <c r="P33" i="3"/>
  <c r="R33" i="3" s="1"/>
  <c r="S33" i="3" s="1"/>
  <c r="G11" i="3"/>
  <c r="I11" i="3" s="1"/>
  <c r="F11" i="3"/>
  <c r="Y713" i="1"/>
  <c r="Y762" i="1" s="1"/>
  <c r="Y805" i="1" s="1"/>
  <c r="Y855" i="1" s="1"/>
  <c r="Y940" i="1" s="1"/>
  <c r="AA622" i="1"/>
  <c r="Z625" i="1"/>
  <c r="AC94" i="1"/>
  <c r="Z125" i="1"/>
  <c r="AA94" i="1"/>
  <c r="AA125" i="1" s="1"/>
  <c r="AB94" i="1"/>
  <c r="X526" i="1"/>
  <c r="X492" i="1"/>
  <c r="AA716" i="1"/>
  <c r="AB625" i="1"/>
  <c r="Z76" i="1"/>
  <c r="Y484" i="1"/>
  <c r="AA484" i="1" s="1"/>
  <c r="AA301" i="1"/>
  <c r="Y327" i="1"/>
  <c r="Y457" i="1" s="1"/>
  <c r="Y518" i="1"/>
  <c r="Y706" i="1"/>
  <c r="Y755" i="1" s="1"/>
  <c r="Y798" i="1" s="1"/>
  <c r="Y848" i="1" s="1"/>
  <c r="Y933" i="1" s="1"/>
  <c r="AA615" i="1"/>
  <c r="Y788" i="1"/>
  <c r="N10" i="3"/>
  <c r="K37" i="4"/>
  <c r="F88" i="1"/>
  <c r="J22" i="1"/>
  <c r="Q88" i="1"/>
  <c r="I35" i="1"/>
  <c r="J35" i="1" s="1"/>
  <c r="Y703" i="1"/>
  <c r="Y752" i="1" s="1"/>
  <c r="Y795" i="1" s="1"/>
  <c r="Y845" i="1" s="1"/>
  <c r="Y930" i="1" s="1"/>
  <c r="AA612" i="1"/>
  <c r="X478" i="1"/>
  <c r="X512" i="1"/>
  <c r="X324" i="1"/>
  <c r="X454" i="1" s="1"/>
  <c r="Z616" i="1"/>
  <c r="Z707" i="1" s="1"/>
  <c r="AA85" i="1"/>
  <c r="AA116" i="1" s="1"/>
  <c r="AC85" i="1"/>
  <c r="Z116" i="1"/>
  <c r="AB85" i="1"/>
  <c r="X525" i="1"/>
  <c r="X491" i="1"/>
  <c r="Y712" i="1"/>
  <c r="Y761" i="1" s="1"/>
  <c r="Y804" i="1" s="1"/>
  <c r="Y854" i="1" s="1"/>
  <c r="Y939" i="1" s="1"/>
  <c r="AA621" i="1"/>
  <c r="Y707" i="1"/>
  <c r="Y756" i="1" s="1"/>
  <c r="Y799" i="1" s="1"/>
  <c r="Y849" i="1" s="1"/>
  <c r="Y934" i="1" s="1"/>
  <c r="AA616" i="1"/>
  <c r="Y515" i="1"/>
  <c r="Y481" i="1"/>
  <c r="AA481" i="1" s="1"/>
  <c r="AA298" i="1"/>
  <c r="Y482" i="1"/>
  <c r="AA482" i="1" s="1"/>
  <c r="AA299" i="1"/>
  <c r="Y516" i="1"/>
  <c r="S18" i="3"/>
  <c r="U18" i="3" s="1"/>
  <c r="Y709" i="1"/>
  <c r="Y758" i="1" s="1"/>
  <c r="Y801" i="1" s="1"/>
  <c r="Y851" i="1" s="1"/>
  <c r="Y936" i="1" s="1"/>
  <c r="AA618" i="1"/>
  <c r="Y523" i="1"/>
  <c r="Y489" i="1"/>
  <c r="AA489" i="1" s="1"/>
  <c r="Y330" i="1"/>
  <c r="Y460" i="1" s="1"/>
  <c r="AA306" i="1"/>
  <c r="X510" i="1"/>
  <c r="X476" i="1"/>
  <c r="Y524" i="1"/>
  <c r="Y490" i="1"/>
  <c r="AA490" i="1" s="1"/>
  <c r="AA307" i="1"/>
  <c r="Y331" i="1"/>
  <c r="Y461" i="1" s="1"/>
  <c r="X485" i="1"/>
  <c r="X519" i="1"/>
  <c r="Z97" i="1"/>
  <c r="X522" i="1"/>
  <c r="X488" i="1"/>
  <c r="X329" i="1"/>
  <c r="X459" i="1" s="1"/>
  <c r="Z614" i="1"/>
  <c r="Z705" i="1" s="1"/>
  <c r="Z114" i="1"/>
  <c r="AC83" i="1"/>
  <c r="AB83" i="1"/>
  <c r="AA83" i="1"/>
  <c r="AA114" i="1" s="1"/>
  <c r="X513" i="1"/>
  <c r="X479" i="1"/>
  <c r="Y511" i="1"/>
  <c r="Y323" i="1"/>
  <c r="Y453" i="1" s="1"/>
  <c r="Y477" i="1"/>
  <c r="AA477" i="1" s="1"/>
  <c r="AA294" i="1"/>
  <c r="AB923" i="1"/>
  <c r="AA947" i="1"/>
  <c r="S12" i="3"/>
  <c r="U12" i="3" s="1"/>
  <c r="AB949" i="1"/>
  <c r="AE935" i="1"/>
  <c r="Z93" i="1"/>
  <c r="X524" i="1"/>
  <c r="X490" i="1"/>
  <c r="X331" i="1"/>
  <c r="X461" i="1" s="1"/>
  <c r="Z92" i="1"/>
  <c r="Z86" i="1"/>
  <c r="Y526" i="1"/>
  <c r="AA309" i="1"/>
  <c r="Y492" i="1"/>
  <c r="AA492" i="1" s="1"/>
  <c r="Y714" i="1"/>
  <c r="Y763" i="1" s="1"/>
  <c r="Y806" i="1" s="1"/>
  <c r="Y856" i="1" s="1"/>
  <c r="Y941" i="1" s="1"/>
  <c r="AA623" i="1"/>
  <c r="AC490" i="1"/>
  <c r="AC482" i="1"/>
  <c r="Y550" i="1"/>
  <c r="AC494" i="1"/>
  <c r="AC481" i="1"/>
  <c r="AC477" i="1"/>
  <c r="AC488" i="1"/>
  <c r="Y507" i="1"/>
  <c r="Y473" i="1"/>
  <c r="AA473" i="1" s="1"/>
  <c r="AA290" i="1"/>
  <c r="Y242" i="1"/>
  <c r="Y244" i="1" s="1"/>
  <c r="Y289" i="1"/>
  <c r="Y509" i="1"/>
  <c r="Y475" i="1"/>
  <c r="AA475" i="1" s="1"/>
  <c r="AA292" i="1"/>
  <c r="Y322" i="1"/>
  <c r="Y452" i="1" s="1"/>
  <c r="Y715" i="1"/>
  <c r="Y764" i="1" s="1"/>
  <c r="Y807" i="1" s="1"/>
  <c r="Y857" i="1" s="1"/>
  <c r="Y942" i="1" s="1"/>
  <c r="AA624" i="1"/>
  <c r="Y513" i="1"/>
  <c r="Y479" i="1"/>
  <c r="AA479" i="1" s="1"/>
  <c r="AA296" i="1"/>
  <c r="Y702" i="1"/>
  <c r="Y751" i="1" s="1"/>
  <c r="Y794" i="1" s="1"/>
  <c r="Y844" i="1" s="1"/>
  <c r="Y929" i="1" s="1"/>
  <c r="AA611" i="1"/>
  <c r="Y478" i="1"/>
  <c r="AA478" i="1" s="1"/>
  <c r="Y324" i="1"/>
  <c r="Y454" i="1" s="1"/>
  <c r="AA295" i="1"/>
  <c r="Y512" i="1"/>
  <c r="Z609" i="1"/>
  <c r="Z700" i="1" s="1"/>
  <c r="Z109" i="1"/>
  <c r="AC78" i="1"/>
  <c r="AB78" i="1"/>
  <c r="AA78" i="1"/>
  <c r="AA109" i="1" s="1"/>
  <c r="Z611" i="1"/>
  <c r="Z702" i="1" s="1"/>
  <c r="Z111" i="1"/>
  <c r="AC80" i="1"/>
  <c r="AB80" i="1"/>
  <c r="AA80" i="1"/>
  <c r="AA111" i="1" s="1"/>
  <c r="Z95" i="1"/>
  <c r="Z90" i="1"/>
  <c r="K12" i="4"/>
  <c r="N12" i="4" s="1"/>
  <c r="L35" i="4"/>
  <c r="K7" i="4"/>
  <c r="N7" i="4" s="1"/>
  <c r="N9" i="4" s="1"/>
  <c r="K16" i="4"/>
  <c r="N16" i="4" s="1"/>
  <c r="N18" i="4" s="1"/>
  <c r="B8" i="3"/>
  <c r="C35" i="4"/>
  <c r="I33" i="1"/>
  <c r="Q74" i="1"/>
  <c r="J8" i="1"/>
  <c r="J40" i="1" s="1"/>
  <c r="I32" i="1"/>
  <c r="J32" i="1" s="1"/>
  <c r="F74" i="1"/>
  <c r="Y517" i="1"/>
  <c r="Y483" i="1"/>
  <c r="AA483" i="1" s="1"/>
  <c r="Y326" i="1"/>
  <c r="Y456" i="1" s="1"/>
  <c r="AA300" i="1"/>
  <c r="X489" i="1"/>
  <c r="X523" i="1"/>
  <c r="X330" i="1"/>
  <c r="X460" i="1" s="1"/>
  <c r="Z91" i="1"/>
  <c r="Y486" i="1"/>
  <c r="AA486" i="1" s="1"/>
  <c r="Y520" i="1"/>
  <c r="AA303" i="1"/>
  <c r="Y328" i="1"/>
  <c r="Y458" i="1" s="1"/>
  <c r="Y698" i="1"/>
  <c r="Y747" i="1" s="1"/>
  <c r="Y790" i="1" s="1"/>
  <c r="Y840" i="1" s="1"/>
  <c r="Y925" i="1" s="1"/>
  <c r="AA607" i="1"/>
  <c r="X486" i="1"/>
  <c r="X520" i="1"/>
  <c r="X328" i="1"/>
  <c r="X458" i="1" s="1"/>
  <c r="Y700" i="1"/>
  <c r="Y749" i="1" s="1"/>
  <c r="Y792" i="1" s="1"/>
  <c r="Y842" i="1" s="1"/>
  <c r="Y927" i="1" s="1"/>
  <c r="AA609" i="1"/>
  <c r="Y519" i="1"/>
  <c r="Y485" i="1"/>
  <c r="AA485" i="1" s="1"/>
  <c r="AA302" i="1"/>
  <c r="Y480" i="1"/>
  <c r="AA480" i="1" s="1"/>
  <c r="AA297" i="1"/>
  <c r="Y514" i="1"/>
  <c r="Y325" i="1"/>
  <c r="Y455" i="1" s="1"/>
  <c r="X509" i="1"/>
  <c r="X475" i="1"/>
  <c r="X322" i="1"/>
  <c r="X452" i="1" s="1"/>
  <c r="X517" i="1"/>
  <c r="X326" i="1"/>
  <c r="X456" i="1" s="1"/>
  <c r="X483" i="1"/>
  <c r="Y704" i="1"/>
  <c r="Y753" i="1" s="1"/>
  <c r="Y796" i="1" s="1"/>
  <c r="Y846" i="1" s="1"/>
  <c r="Y931" i="1" s="1"/>
  <c r="AA613" i="1"/>
  <c r="Y474" i="1"/>
  <c r="AA474" i="1" s="1"/>
  <c r="AA291" i="1"/>
  <c r="Y321" i="1"/>
  <c r="Y451" i="1" s="1"/>
  <c r="Y508" i="1"/>
  <c r="X508" i="1"/>
  <c r="X474" i="1"/>
  <c r="X321" i="1"/>
  <c r="X451" i="1" s="1"/>
  <c r="Z615" i="1"/>
  <c r="Z706" i="1" s="1"/>
  <c r="Z115" i="1"/>
  <c r="AC84" i="1"/>
  <c r="AB84" i="1"/>
  <c r="AA84" i="1"/>
  <c r="AA115" i="1" s="1"/>
  <c r="Y525" i="1"/>
  <c r="Y491" i="1"/>
  <c r="AA491" i="1" s="1"/>
  <c r="AA308" i="1"/>
  <c r="Y718" i="1"/>
  <c r="Y767" i="1" s="1"/>
  <c r="Y810" i="1" s="1"/>
  <c r="Y860" i="1" s="1"/>
  <c r="Y945" i="1" s="1"/>
  <c r="AA627" i="1"/>
  <c r="AA717" i="1"/>
  <c r="X477" i="1"/>
  <c r="X511" i="1"/>
  <c r="X323" i="1"/>
  <c r="X453" i="1" s="1"/>
  <c r="X514" i="1"/>
  <c r="X480" i="1"/>
  <c r="X325" i="1"/>
  <c r="X455" i="1" s="1"/>
  <c r="Y521" i="1"/>
  <c r="Y487" i="1"/>
  <c r="AA487" i="1" s="1"/>
  <c r="AA304" i="1"/>
  <c r="P31" i="3"/>
  <c r="R31" i="3" s="1"/>
  <c r="S31" i="3" s="1"/>
  <c r="R12" i="3"/>
  <c r="T12" i="3" s="1"/>
  <c r="Z87" i="1"/>
  <c r="Z96" i="1"/>
  <c r="X493" i="1"/>
  <c r="X527" i="1"/>
  <c r="X473" i="1"/>
  <c r="X507" i="1"/>
  <c r="Y476" i="1"/>
  <c r="AA476" i="1" s="1"/>
  <c r="Y510" i="1"/>
  <c r="AA293" i="1"/>
  <c r="AA696" i="1"/>
  <c r="Y711" i="1"/>
  <c r="Y760" i="1" s="1"/>
  <c r="Y803" i="1" s="1"/>
  <c r="Y853" i="1" s="1"/>
  <c r="Y938" i="1" s="1"/>
  <c r="AA620" i="1"/>
  <c r="X506" i="1"/>
  <c r="X472" i="1"/>
  <c r="X320" i="1"/>
  <c r="X450" i="1" s="1"/>
  <c r="Z75" i="1"/>
  <c r="Y710" i="1"/>
  <c r="Y759" i="1" s="1"/>
  <c r="Y802" i="1" s="1"/>
  <c r="Y852" i="1" s="1"/>
  <c r="Y937" i="1" s="1"/>
  <c r="AA619" i="1"/>
  <c r="Z82" i="1"/>
  <c r="Y705" i="1"/>
  <c r="Y754" i="1" s="1"/>
  <c r="Y797" i="1" s="1"/>
  <c r="Y847" i="1" s="1"/>
  <c r="Y932" i="1" s="1"/>
  <c r="AA614" i="1"/>
  <c r="Y699" i="1"/>
  <c r="Y748" i="1" s="1"/>
  <c r="Y791" i="1" s="1"/>
  <c r="Y841" i="1" s="1"/>
  <c r="Y926" i="1" s="1"/>
  <c r="AA608" i="1"/>
  <c r="K83" i="3"/>
  <c r="H12" i="3"/>
  <c r="K86" i="3"/>
  <c r="H15" i="3"/>
  <c r="K84" i="3"/>
  <c r="H13" i="3"/>
  <c r="K89" i="3"/>
  <c r="H18" i="3"/>
  <c r="K87" i="3"/>
  <c r="K90" i="3"/>
  <c r="H19" i="3"/>
  <c r="U8" i="3"/>
  <c r="H17" i="3"/>
  <c r="K88" i="3"/>
  <c r="Y246" i="1" l="1"/>
  <c r="Z255" i="1" s="1"/>
  <c r="C102" i="12"/>
  <c r="C101" i="12"/>
  <c r="C100" i="12"/>
  <c r="C99" i="12"/>
  <c r="C98" i="12"/>
  <c r="C97" i="12"/>
  <c r="C96" i="12"/>
  <c r="C95" i="12"/>
  <c r="C94" i="12"/>
  <c r="C93" i="12"/>
  <c r="D93" i="12" s="1"/>
  <c r="C144" i="12"/>
  <c r="C143" i="12"/>
  <c r="C142" i="12"/>
  <c r="C141" i="12"/>
  <c r="C140" i="12"/>
  <c r="C139" i="12"/>
  <c r="C138" i="12"/>
  <c r="C137" i="12"/>
  <c r="C136" i="12"/>
  <c r="C135" i="12"/>
  <c r="C134" i="12"/>
  <c r="C133" i="12"/>
  <c r="C132" i="12"/>
  <c r="C131" i="12"/>
  <c r="C130" i="12"/>
  <c r="D130" i="12" s="1"/>
  <c r="C123" i="12"/>
  <c r="C122" i="12"/>
  <c r="C121" i="12"/>
  <c r="C120" i="12"/>
  <c r="C119" i="12"/>
  <c r="C118" i="12"/>
  <c r="C117" i="12"/>
  <c r="C116" i="12"/>
  <c r="C115" i="12"/>
  <c r="C114" i="12"/>
  <c r="C113" i="12"/>
  <c r="C112" i="12"/>
  <c r="C111" i="12"/>
  <c r="C110" i="12"/>
  <c r="C109" i="12"/>
  <c r="D109" i="12" s="1"/>
  <c r="E240" i="12"/>
  <c r="D241" i="12"/>
  <c r="D244" i="12"/>
  <c r="D242" i="12"/>
  <c r="E178" i="12"/>
  <c r="E183" i="12" s="1"/>
  <c r="C116" i="9"/>
  <c r="C44" i="12"/>
  <c r="D114" i="9"/>
  <c r="K81" i="3"/>
  <c r="K80" i="3"/>
  <c r="K85" i="3"/>
  <c r="AC479" i="1"/>
  <c r="AC486" i="1"/>
  <c r="AC484" i="1"/>
  <c r="AC492" i="1"/>
  <c r="AC491" i="1"/>
  <c r="AA707" i="1"/>
  <c r="AB616" i="1"/>
  <c r="Y769" i="1"/>
  <c r="Z607" i="1"/>
  <c r="Z698" i="1" s="1"/>
  <c r="Z107" i="1"/>
  <c r="AC76" i="1"/>
  <c r="AB76" i="1"/>
  <c r="AA76" i="1"/>
  <c r="AA107" i="1" s="1"/>
  <c r="Z303" i="1"/>
  <c r="AC120" i="1"/>
  <c r="AB120" i="1"/>
  <c r="D35" i="4"/>
  <c r="C48" i="4"/>
  <c r="C12" i="4"/>
  <c r="F12" i="4" s="1"/>
  <c r="C16" i="4"/>
  <c r="F16" i="4" s="1"/>
  <c r="F18" i="4" s="1"/>
  <c r="C7" i="4"/>
  <c r="F7" i="4" s="1"/>
  <c r="F9" i="4" s="1"/>
  <c r="C47" i="4"/>
  <c r="AA699" i="1"/>
  <c r="Z622" i="1"/>
  <c r="Z122" i="1"/>
  <c r="AC91" i="1"/>
  <c r="AB91" i="1"/>
  <c r="AA91" i="1"/>
  <c r="AA122" i="1" s="1"/>
  <c r="J48" i="3"/>
  <c r="J79" i="3" s="1"/>
  <c r="F8" i="3"/>
  <c r="B20" i="3"/>
  <c r="P30" i="3"/>
  <c r="R30" i="3" s="1"/>
  <c r="S30" i="3" s="1"/>
  <c r="G8" i="3"/>
  <c r="B21" i="3"/>
  <c r="C151" i="12" s="1"/>
  <c r="AA715" i="1"/>
  <c r="AC480" i="1"/>
  <c r="AD480" i="1" s="1"/>
  <c r="AC474" i="1"/>
  <c r="Z617" i="1"/>
  <c r="Z117" i="1"/>
  <c r="AC86" i="1"/>
  <c r="AB86" i="1"/>
  <c r="AA86" i="1"/>
  <c r="AA117" i="1" s="1"/>
  <c r="AA706" i="1"/>
  <c r="AB615" i="1"/>
  <c r="Z308" i="1"/>
  <c r="AB125" i="1"/>
  <c r="AC125" i="1"/>
  <c r="AA701" i="1"/>
  <c r="Z621" i="1"/>
  <c r="AB90" i="1"/>
  <c r="Z121" i="1"/>
  <c r="AA90" i="1"/>
  <c r="AA121" i="1" s="1"/>
  <c r="AC90" i="1"/>
  <c r="Z606" i="1"/>
  <c r="Z697" i="1" s="1"/>
  <c r="AA75" i="1"/>
  <c r="AC75" i="1"/>
  <c r="AB75" i="1"/>
  <c r="AA698" i="1"/>
  <c r="AB607" i="1"/>
  <c r="Z626" i="1"/>
  <c r="AC95" i="1"/>
  <c r="AB95" i="1"/>
  <c r="Z126" i="1"/>
  <c r="AA95" i="1"/>
  <c r="AA126" i="1" s="1"/>
  <c r="Z624" i="1"/>
  <c r="Z124" i="1"/>
  <c r="AC93" i="1"/>
  <c r="AB93" i="1"/>
  <c r="AA93" i="1"/>
  <c r="AA124" i="1" s="1"/>
  <c r="AD477" i="1"/>
  <c r="Z297" i="1"/>
  <c r="AC114" i="1"/>
  <c r="AB114" i="1"/>
  <c r="AA712" i="1"/>
  <c r="AD616" i="1"/>
  <c r="Z88" i="1"/>
  <c r="AA705" i="1"/>
  <c r="AB614" i="1"/>
  <c r="Z627" i="1"/>
  <c r="AC96" i="1"/>
  <c r="Z127" i="1"/>
  <c r="AB96" i="1"/>
  <c r="AA96" i="1"/>
  <c r="AA127" i="1" s="1"/>
  <c r="F99" i="1"/>
  <c r="H74" i="1" s="1"/>
  <c r="I74" i="1" s="1"/>
  <c r="AB109" i="1"/>
  <c r="Z292" i="1"/>
  <c r="AC109" i="1"/>
  <c r="AC493" i="1"/>
  <c r="AD493" i="1" s="1"/>
  <c r="AC476" i="1"/>
  <c r="AD476" i="1" s="1"/>
  <c r="AD614" i="1"/>
  <c r="AD482" i="1"/>
  <c r="Z716" i="1"/>
  <c r="AD625" i="1"/>
  <c r="AA719" i="1"/>
  <c r="Z711" i="1"/>
  <c r="AD620" i="1"/>
  <c r="Z610" i="1"/>
  <c r="Z701" i="1" s="1"/>
  <c r="Z110" i="1"/>
  <c r="AC79" i="1"/>
  <c r="AB79" i="1"/>
  <c r="AA79" i="1"/>
  <c r="AA110" i="1" s="1"/>
  <c r="AA718" i="1"/>
  <c r="AB627" i="1"/>
  <c r="AC115" i="1"/>
  <c r="AB115" i="1"/>
  <c r="Z298" i="1"/>
  <c r="AD474" i="1"/>
  <c r="AD609" i="1"/>
  <c r="AA702" i="1"/>
  <c r="AB611" i="1"/>
  <c r="AC485" i="1"/>
  <c r="AD485" i="1" s="1"/>
  <c r="AA714" i="1"/>
  <c r="Z623" i="1"/>
  <c r="AA92" i="1"/>
  <c r="AA123" i="1" s="1"/>
  <c r="Z123" i="1"/>
  <c r="AC92" i="1"/>
  <c r="AB92" i="1"/>
  <c r="AA713" i="1"/>
  <c r="AB622" i="1"/>
  <c r="Z608" i="1"/>
  <c r="Z699" i="1" s="1"/>
  <c r="Z108" i="1"/>
  <c r="AB77" i="1"/>
  <c r="AA77" i="1"/>
  <c r="AA108" i="1" s="1"/>
  <c r="AC77" i="1"/>
  <c r="Z628" i="1"/>
  <c r="AB628" i="1" s="1"/>
  <c r="AB97" i="1"/>
  <c r="Z128" i="1"/>
  <c r="AC97" i="1"/>
  <c r="AA97" i="1"/>
  <c r="AA128" i="1" s="1"/>
  <c r="Z618" i="1"/>
  <c r="Z118" i="1"/>
  <c r="AC87" i="1"/>
  <c r="AB87" i="1"/>
  <c r="AA87" i="1"/>
  <c r="AA118" i="1" s="1"/>
  <c r="AD615" i="1"/>
  <c r="AA704" i="1"/>
  <c r="AA700" i="1"/>
  <c r="AB609" i="1"/>
  <c r="AD490" i="1"/>
  <c r="AD481" i="1"/>
  <c r="L37" i="4"/>
  <c r="L48" i="4" s="1"/>
  <c r="K48" i="4"/>
  <c r="K47" i="4"/>
  <c r="Z612" i="1"/>
  <c r="Z703" i="1" s="1"/>
  <c r="Z112" i="1"/>
  <c r="AC81" i="1"/>
  <c r="AB81" i="1"/>
  <c r="AA81" i="1"/>
  <c r="AA112" i="1" s="1"/>
  <c r="Z613" i="1"/>
  <c r="Z113" i="1"/>
  <c r="AB82" i="1"/>
  <c r="AA82" i="1"/>
  <c r="AA113" i="1" s="1"/>
  <c r="AC82" i="1"/>
  <c r="AA711" i="1"/>
  <c r="AB620" i="1"/>
  <c r="Q98" i="1"/>
  <c r="S74" i="1" s="1"/>
  <c r="T74" i="1" s="1"/>
  <c r="Z74" i="1"/>
  <c r="AC111" i="1"/>
  <c r="AB111" i="1"/>
  <c r="Z294" i="1"/>
  <c r="AC473" i="1"/>
  <c r="AD473" i="1" s="1"/>
  <c r="AC487" i="1"/>
  <c r="AD487" i="1" s="1"/>
  <c r="AC475" i="1"/>
  <c r="AD475" i="1" s="1"/>
  <c r="AD492" i="1"/>
  <c r="AA709" i="1"/>
  <c r="AB618" i="1"/>
  <c r="X50" i="3"/>
  <c r="S10" i="3"/>
  <c r="R10" i="3"/>
  <c r="N21" i="3"/>
  <c r="N20" i="3"/>
  <c r="AD484" i="1"/>
  <c r="K82" i="3"/>
  <c r="H11" i="3"/>
  <c r="AD494" i="1"/>
  <c r="AE923" i="1"/>
  <c r="AB948" i="1"/>
  <c r="AB950" i="1" s="1"/>
  <c r="AB947" i="1"/>
  <c r="AA710" i="1"/>
  <c r="AD491" i="1"/>
  <c r="AD486" i="1"/>
  <c r="S43" i="13"/>
  <c r="S45" i="13" s="1"/>
  <c r="Z728" i="1"/>
  <c r="Z731" i="1" s="1"/>
  <c r="J33" i="1"/>
  <c r="J41" i="1" s="1"/>
  <c r="I36" i="1"/>
  <c r="AD611" i="1"/>
  <c r="AD479" i="1"/>
  <c r="Y472" i="1"/>
  <c r="Y506" i="1"/>
  <c r="Y320" i="1"/>
  <c r="AA289" i="1"/>
  <c r="AC489" i="1"/>
  <c r="AD489" i="1" s="1"/>
  <c r="AC478" i="1"/>
  <c r="AD478" i="1" s="1"/>
  <c r="AC483" i="1"/>
  <c r="AD483" i="1" s="1"/>
  <c r="Z299" i="1"/>
  <c r="AC116" i="1"/>
  <c r="AB116" i="1"/>
  <c r="AA703" i="1"/>
  <c r="AB612" i="1"/>
  <c r="Y838" i="1"/>
  <c r="Y812" i="1"/>
  <c r="AD488" i="1"/>
  <c r="AB613" i="1" l="1"/>
  <c r="Z704" i="1"/>
  <c r="AA721" i="1"/>
  <c r="AA720" i="1"/>
  <c r="D246" i="12"/>
  <c r="E241" i="12"/>
  <c r="E242" i="12" s="1"/>
  <c r="E243" i="12" s="1"/>
  <c r="E244" i="12" s="1"/>
  <c r="E246" i="12" s="1"/>
  <c r="D110" i="12"/>
  <c r="E109" i="12"/>
  <c r="D131" i="12"/>
  <c r="E130" i="12"/>
  <c r="D94" i="12"/>
  <c r="E93" i="12"/>
  <c r="D165" i="12"/>
  <c r="D170" i="12" s="1"/>
  <c r="C47" i="12"/>
  <c r="C50" i="12" s="1"/>
  <c r="D50" i="12" s="1"/>
  <c r="L47" i="4"/>
  <c r="S88" i="1"/>
  <c r="T88" i="1" s="1"/>
  <c r="H88" i="1"/>
  <c r="I88" i="1" s="1"/>
  <c r="AD608" i="1"/>
  <c r="Z751" i="1"/>
  <c r="AB702" i="1"/>
  <c r="S84" i="1"/>
  <c r="T84" i="1" s="1"/>
  <c r="S85" i="1"/>
  <c r="T85" i="1" s="1"/>
  <c r="S83" i="1"/>
  <c r="T83" i="1" s="1"/>
  <c r="S78" i="1"/>
  <c r="T78" i="1" s="1"/>
  <c r="S89" i="1"/>
  <c r="T89" i="1" s="1"/>
  <c r="S80" i="1"/>
  <c r="T80" i="1" s="1"/>
  <c r="S94" i="1"/>
  <c r="T94" i="1" s="1"/>
  <c r="S97" i="1"/>
  <c r="T97" i="1" s="1"/>
  <c r="S90" i="1"/>
  <c r="T90" i="1" s="1"/>
  <c r="S81" i="1"/>
  <c r="T81" i="1" s="1"/>
  <c r="S92" i="1"/>
  <c r="T92" i="1" s="1"/>
  <c r="S82" i="1"/>
  <c r="T82" i="1" s="1"/>
  <c r="S87" i="1"/>
  <c r="T87" i="1" s="1"/>
  <c r="S77" i="1"/>
  <c r="T77" i="1" s="1"/>
  <c r="S79" i="1"/>
  <c r="T79" i="1" s="1"/>
  <c r="S86" i="1"/>
  <c r="T86" i="1" s="1"/>
  <c r="S91" i="1"/>
  <c r="T91" i="1" s="1"/>
  <c r="S96" i="1"/>
  <c r="T96" i="1" s="1"/>
  <c r="S76" i="1"/>
  <c r="T76" i="1" s="1"/>
  <c r="S93" i="1"/>
  <c r="T93" i="1" s="1"/>
  <c r="S95" i="1"/>
  <c r="T95" i="1" s="1"/>
  <c r="S75" i="1"/>
  <c r="T75" i="1" s="1"/>
  <c r="AC123" i="1"/>
  <c r="AB123" i="1"/>
  <c r="Z306" i="1"/>
  <c r="AD610" i="1"/>
  <c r="Z619" i="1"/>
  <c r="Z119" i="1"/>
  <c r="AC88" i="1"/>
  <c r="AB88" i="1"/>
  <c r="AA88" i="1"/>
  <c r="AA119" i="1" s="1"/>
  <c r="Z304" i="1"/>
  <c r="AC121" i="1"/>
  <c r="AB121" i="1"/>
  <c r="N147" i="12"/>
  <c r="N155" i="12"/>
  <c r="G153" i="12"/>
  <c r="I151" i="12"/>
  <c r="Z520" i="1"/>
  <c r="Z328" i="1"/>
  <c r="Z458" i="1" s="1"/>
  <c r="Z486" i="1"/>
  <c r="AB486" i="1" s="1"/>
  <c r="AB303" i="1"/>
  <c r="AC303" i="1" s="1"/>
  <c r="Y862" i="1"/>
  <c r="Y923" i="1"/>
  <c r="Y947" i="1" s="1"/>
  <c r="Z295" i="1"/>
  <c r="AC112" i="1"/>
  <c r="AB112" i="1"/>
  <c r="Z749" i="1"/>
  <c r="AB700" i="1"/>
  <c r="Z509" i="1"/>
  <c r="Z475" i="1"/>
  <c r="AB475" i="1" s="1"/>
  <c r="AB292" i="1"/>
  <c r="AC292" i="1" s="1"/>
  <c r="Z322" i="1"/>
  <c r="Z452" i="1" s="1"/>
  <c r="AC126" i="1"/>
  <c r="Z309" i="1"/>
  <c r="AB126" i="1"/>
  <c r="Z525" i="1"/>
  <c r="Z491" i="1"/>
  <c r="AB491" i="1" s="1"/>
  <c r="AB308" i="1"/>
  <c r="AC308" i="1" s="1"/>
  <c r="Z300" i="1"/>
  <c r="AC117" i="1"/>
  <c r="AB117" i="1"/>
  <c r="I8" i="3"/>
  <c r="G21" i="3"/>
  <c r="G20" i="3"/>
  <c r="T10" i="3"/>
  <c r="R20" i="3"/>
  <c r="C147" i="3" s="1"/>
  <c r="R21" i="3"/>
  <c r="AB113" i="1"/>
  <c r="Z296" i="1"/>
  <c r="AC113" i="1"/>
  <c r="AD612" i="1"/>
  <c r="AB706" i="1"/>
  <c r="Z755" i="1"/>
  <c r="Z714" i="1"/>
  <c r="AD623" i="1"/>
  <c r="Z760" i="1"/>
  <c r="AB711" i="1"/>
  <c r="AC127" i="1"/>
  <c r="AB127" i="1"/>
  <c r="Z310" i="1"/>
  <c r="AB707" i="1"/>
  <c r="Z756" i="1"/>
  <c r="Z712" i="1"/>
  <c r="AD621" i="1"/>
  <c r="Z708" i="1"/>
  <c r="AD617" i="1"/>
  <c r="AB617" i="1"/>
  <c r="AC122" i="1"/>
  <c r="AB122" i="1"/>
  <c r="Z305" i="1"/>
  <c r="Y450" i="1"/>
  <c r="Y464" i="1" s="1"/>
  <c r="Y427" i="1"/>
  <c r="Y334" i="1"/>
  <c r="Y555" i="1" s="1"/>
  <c r="U10" i="3"/>
  <c r="S21" i="3"/>
  <c r="S20" i="3"/>
  <c r="C148" i="3" s="1"/>
  <c r="Z511" i="1"/>
  <c r="Z323" i="1"/>
  <c r="Z453" i="1" s="1"/>
  <c r="Z477" i="1"/>
  <c r="AB477" i="1" s="1"/>
  <c r="AB294" i="1"/>
  <c r="AC294" i="1" s="1"/>
  <c r="AD613" i="1"/>
  <c r="AB623" i="1"/>
  <c r="AB705" i="1"/>
  <c r="Z754" i="1"/>
  <c r="AB621" i="1"/>
  <c r="AB610" i="1"/>
  <c r="Z713" i="1"/>
  <c r="AD622" i="1"/>
  <c r="Z709" i="1"/>
  <c r="AD618" i="1"/>
  <c r="Z293" i="1"/>
  <c r="AC110" i="1"/>
  <c r="AB110" i="1"/>
  <c r="Y531" i="1"/>
  <c r="Y530" i="1"/>
  <c r="AC506" i="1" s="1"/>
  <c r="Y529" i="1"/>
  <c r="Q56" i="13"/>
  <c r="S46" i="13"/>
  <c r="C11" i="7" s="1"/>
  <c r="Q75" i="13"/>
  <c r="Z311" i="1"/>
  <c r="AC128" i="1"/>
  <c r="AB128" i="1"/>
  <c r="H93" i="1"/>
  <c r="I93" i="1" s="1"/>
  <c r="H91" i="1"/>
  <c r="I91" i="1" s="1"/>
  <c r="H92" i="1"/>
  <c r="I92" i="1" s="1"/>
  <c r="H86" i="1"/>
  <c r="I86" i="1" s="1"/>
  <c r="H87" i="1"/>
  <c r="I87" i="1" s="1"/>
  <c r="H96" i="1"/>
  <c r="I96" i="1" s="1"/>
  <c r="H94" i="1"/>
  <c r="I94" i="1" s="1"/>
  <c r="H79" i="1"/>
  <c r="I79" i="1" s="1"/>
  <c r="H95" i="1"/>
  <c r="I95" i="1" s="1"/>
  <c r="H76" i="1"/>
  <c r="I76" i="1" s="1"/>
  <c r="H85" i="1"/>
  <c r="I85" i="1" s="1"/>
  <c r="H89" i="1"/>
  <c r="I89" i="1" s="1"/>
  <c r="H84" i="1"/>
  <c r="I84" i="1" s="1"/>
  <c r="H77" i="1"/>
  <c r="I77" i="1" s="1"/>
  <c r="H81" i="1"/>
  <c r="I81" i="1" s="1"/>
  <c r="H97" i="1"/>
  <c r="I97" i="1" s="1"/>
  <c r="H78" i="1"/>
  <c r="I78" i="1" s="1"/>
  <c r="H75" i="1"/>
  <c r="I75" i="1" s="1"/>
  <c r="H80" i="1"/>
  <c r="I80" i="1" s="1"/>
  <c r="H83" i="1"/>
  <c r="I83" i="1" s="1"/>
  <c r="H90" i="1"/>
  <c r="I90" i="1" s="1"/>
  <c r="H82" i="1"/>
  <c r="I82" i="1" s="1"/>
  <c r="Z718" i="1"/>
  <c r="AD627" i="1"/>
  <c r="Z307" i="1"/>
  <c r="AC124" i="1"/>
  <c r="AB124" i="1"/>
  <c r="Z717" i="1"/>
  <c r="AD626" i="1"/>
  <c r="AB626" i="1"/>
  <c r="K79" i="3"/>
  <c r="H8" i="3"/>
  <c r="F20" i="3"/>
  <c r="R23" i="3" s="1"/>
  <c r="F21" i="3"/>
  <c r="Z8" i="3" s="1"/>
  <c r="T98" i="1"/>
  <c r="T99" i="1" s="1"/>
  <c r="T100" i="1" s="1"/>
  <c r="T101" i="1" s="1"/>
  <c r="S127" i="1" s="1"/>
  <c r="R128" i="1" s="1"/>
  <c r="AA472" i="1"/>
  <c r="Y495" i="1"/>
  <c r="AC472" i="1"/>
  <c r="AC495" i="1" s="1"/>
  <c r="Z481" i="1"/>
  <c r="AB481" i="1" s="1"/>
  <c r="Z515" i="1"/>
  <c r="AB298" i="1"/>
  <c r="AC298" i="1" s="1"/>
  <c r="Z715" i="1"/>
  <c r="AD624" i="1"/>
  <c r="AD606" i="1"/>
  <c r="AB606" i="1"/>
  <c r="AB624" i="1"/>
  <c r="D48" i="4"/>
  <c r="E151" i="12" s="1"/>
  <c r="D47" i="4"/>
  <c r="AC107" i="1"/>
  <c r="AB107" i="1"/>
  <c r="Z290" i="1"/>
  <c r="Z480" i="1"/>
  <c r="AB480" i="1" s="1"/>
  <c r="AB297" i="1"/>
  <c r="AC297" i="1" s="1"/>
  <c r="Z514" i="1"/>
  <c r="Z325" i="1"/>
  <c r="Z455" i="1" s="1"/>
  <c r="Z516" i="1"/>
  <c r="Z482" i="1"/>
  <c r="AB482" i="1" s="1"/>
  <c r="AB299" i="1"/>
  <c r="AC299" i="1" s="1"/>
  <c r="Z605" i="1"/>
  <c r="Z696" i="1" s="1"/>
  <c r="Z100" i="1"/>
  <c r="AC74" i="1"/>
  <c r="AC98" i="1" s="1"/>
  <c r="AI75" i="1"/>
  <c r="AB74" i="1"/>
  <c r="AB98" i="1" s="1"/>
  <c r="AI77" i="1"/>
  <c r="AA74" i="1"/>
  <c r="AA106" i="1" s="1"/>
  <c r="Z106" i="1"/>
  <c r="Z98" i="1"/>
  <c r="AB118" i="1"/>
  <c r="Z301" i="1"/>
  <c r="AC118" i="1"/>
  <c r="Z719" i="1"/>
  <c r="AD628" i="1"/>
  <c r="Z291" i="1"/>
  <c r="AC108" i="1"/>
  <c r="AB108" i="1"/>
  <c r="Z765" i="1"/>
  <c r="AB716" i="1"/>
  <c r="AB608" i="1"/>
  <c r="AD607" i="1"/>
  <c r="D95" i="12" l="1"/>
  <c r="E94" i="12"/>
  <c r="D132" i="12"/>
  <c r="E131" i="12"/>
  <c r="D111" i="12"/>
  <c r="E110" i="12"/>
  <c r="I99" i="1"/>
  <c r="I100" i="1" s="1"/>
  <c r="I101" i="1" s="1"/>
  <c r="I102" i="1" s="1"/>
  <c r="H135" i="1" s="1"/>
  <c r="AA516" i="1"/>
  <c r="AB516" i="1"/>
  <c r="N156" i="12"/>
  <c r="C143" i="3"/>
  <c r="K143" i="3" s="1"/>
  <c r="Z524" i="1"/>
  <c r="Z331" i="1"/>
  <c r="Z461" i="1" s="1"/>
  <c r="Z490" i="1"/>
  <c r="AB490" i="1" s="1"/>
  <c r="AB307" i="1"/>
  <c r="AC307" i="1" s="1"/>
  <c r="AB709" i="1"/>
  <c r="Z758" i="1"/>
  <c r="U20" i="3"/>
  <c r="C158" i="3" s="1"/>
  <c r="U21" i="3"/>
  <c r="Z752" i="1"/>
  <c r="AB703" i="1"/>
  <c r="AF749" i="1"/>
  <c r="AB749" i="1"/>
  <c r="AE749" i="1" s="1"/>
  <c r="M792" i="1"/>
  <c r="Z521" i="1"/>
  <c r="Z487" i="1"/>
  <c r="AB487" i="1" s="1"/>
  <c r="AB304" i="1"/>
  <c r="AC304" i="1" s="1"/>
  <c r="Z489" i="1"/>
  <c r="AB489" i="1" s="1"/>
  <c r="Z523" i="1"/>
  <c r="Z330" i="1"/>
  <c r="Z460" i="1" s="1"/>
  <c r="AB306" i="1"/>
  <c r="AC306" i="1" s="1"/>
  <c r="AB698" i="1"/>
  <c r="Z747" i="1"/>
  <c r="Z768" i="1"/>
  <c r="AB719" i="1"/>
  <c r="H153" i="12"/>
  <c r="E172" i="12"/>
  <c r="AA515" i="1"/>
  <c r="AB515" i="1"/>
  <c r="H20" i="3"/>
  <c r="C153" i="3" s="1"/>
  <c r="H21" i="3"/>
  <c r="Y551" i="1"/>
  <c r="Y554" i="1"/>
  <c r="AC527" i="1"/>
  <c r="AC517" i="1"/>
  <c r="AC515" i="1"/>
  <c r="AC513" i="1"/>
  <c r="AC511" i="1"/>
  <c r="AC508" i="1"/>
  <c r="AC516" i="1"/>
  <c r="AC528" i="1"/>
  <c r="AC526" i="1"/>
  <c r="AC519" i="1"/>
  <c r="AC514" i="1"/>
  <c r="AC510" i="1"/>
  <c r="AC522" i="1"/>
  <c r="AC520" i="1"/>
  <c r="AC512" i="1"/>
  <c r="AC524" i="1"/>
  <c r="AC507" i="1"/>
  <c r="AC518" i="1"/>
  <c r="AC525" i="1"/>
  <c r="AC523" i="1"/>
  <c r="AC509" i="1"/>
  <c r="AC521" i="1"/>
  <c r="Z753" i="1"/>
  <c r="AB704" i="1"/>
  <c r="Z757" i="1"/>
  <c r="AB708" i="1"/>
  <c r="I20" i="3"/>
  <c r="C154" i="3" s="1"/>
  <c r="I21" i="3"/>
  <c r="Z492" i="1"/>
  <c r="AB492" i="1" s="1"/>
  <c r="Z526" i="1"/>
  <c r="AB309" i="1"/>
  <c r="AC309" i="1" s="1"/>
  <c r="AA520" i="1"/>
  <c r="AB520" i="1"/>
  <c r="T20" i="3"/>
  <c r="C157" i="3" s="1"/>
  <c r="T21" i="3"/>
  <c r="AD123" i="1"/>
  <c r="AD107" i="1"/>
  <c r="AD122" i="1"/>
  <c r="AD117" i="1"/>
  <c r="AD126" i="1"/>
  <c r="AD121" i="1"/>
  <c r="AD111" i="1"/>
  <c r="AD106" i="1"/>
  <c r="AD120" i="1"/>
  <c r="AD116" i="1"/>
  <c r="AD119" i="1"/>
  <c r="AD115" i="1"/>
  <c r="AD110" i="1"/>
  <c r="AD95" i="1"/>
  <c r="AD128" i="1"/>
  <c r="AD125" i="1"/>
  <c r="AD114" i="1"/>
  <c r="AD97" i="1"/>
  <c r="AD84" i="1"/>
  <c r="AD74" i="1"/>
  <c r="AD127" i="1"/>
  <c r="AD108" i="1"/>
  <c r="AD96" i="1"/>
  <c r="AD92" i="1"/>
  <c r="AD89" i="1"/>
  <c r="AD81" i="1"/>
  <c r="AD76" i="1"/>
  <c r="AD124" i="1"/>
  <c r="AD86" i="1"/>
  <c r="AD78" i="1"/>
  <c r="AD91" i="1"/>
  <c r="AD83" i="1"/>
  <c r="AD113" i="1"/>
  <c r="AD88" i="1"/>
  <c r="AD80" i="1"/>
  <c r="AD85" i="1"/>
  <c r="AD75" i="1"/>
  <c r="AD109" i="1"/>
  <c r="AD90" i="1"/>
  <c r="AD82" i="1"/>
  <c r="AD77" i="1"/>
  <c r="AD118" i="1"/>
  <c r="AD112" i="1"/>
  <c r="AD94" i="1"/>
  <c r="AD93" i="1"/>
  <c r="AD87" i="1"/>
  <c r="AD79" i="1"/>
  <c r="AA514" i="1"/>
  <c r="AB514" i="1"/>
  <c r="Z767" i="1"/>
  <c r="AB718" i="1"/>
  <c r="AB713" i="1"/>
  <c r="Z762" i="1"/>
  <c r="Z438" i="1"/>
  <c r="Y429" i="1"/>
  <c r="AF760" i="1"/>
  <c r="AB760" i="1"/>
  <c r="AE760" i="1" s="1"/>
  <c r="M803" i="1"/>
  <c r="Z513" i="1"/>
  <c r="Z479" i="1"/>
  <c r="AB479" i="1" s="1"/>
  <c r="AB296" i="1"/>
  <c r="AC296" i="1" s="1"/>
  <c r="J151" i="12"/>
  <c r="N160" i="12"/>
  <c r="AF751" i="1"/>
  <c r="M794" i="1"/>
  <c r="AB751" i="1"/>
  <c r="AE751" i="1" s="1"/>
  <c r="Z244" i="1"/>
  <c r="Z132" i="1"/>
  <c r="Z129" i="1"/>
  <c r="AC106" i="1"/>
  <c r="Z289" i="1"/>
  <c r="AB106" i="1"/>
  <c r="Z253" i="1"/>
  <c r="Q58" i="13"/>
  <c r="Z55" i="13"/>
  <c r="AA509" i="1"/>
  <c r="AB509" i="1"/>
  <c r="AF506" i="1"/>
  <c r="Z484" i="1"/>
  <c r="AB484" i="1" s="1"/>
  <c r="AB301" i="1"/>
  <c r="AC301" i="1" s="1"/>
  <c r="Z518" i="1"/>
  <c r="Z327" i="1"/>
  <c r="Z457" i="1" s="1"/>
  <c r="Z528" i="1"/>
  <c r="Z494" i="1"/>
  <c r="AB494" i="1" s="1"/>
  <c r="Z332" i="1"/>
  <c r="Z462" i="1" s="1"/>
  <c r="AB311" i="1"/>
  <c r="AC311" i="1" s="1"/>
  <c r="Z761" i="1"/>
  <c r="AB712" i="1"/>
  <c r="Z512" i="1"/>
  <c r="Z478" i="1"/>
  <c r="AB478" i="1" s="1"/>
  <c r="AB295" i="1"/>
  <c r="AC295" i="1" s="1"/>
  <c r="Z324" i="1"/>
  <c r="Z454" i="1" s="1"/>
  <c r="Z527" i="1"/>
  <c r="Z493" i="1"/>
  <c r="AB493" i="1" s="1"/>
  <c r="AB310" i="1"/>
  <c r="AC310" i="1" s="1"/>
  <c r="Z508" i="1"/>
  <c r="Z321" i="1"/>
  <c r="Z451" i="1" s="1"/>
  <c r="Z474" i="1"/>
  <c r="AB474" i="1" s="1"/>
  <c r="AB291" i="1"/>
  <c r="AC291" i="1" s="1"/>
  <c r="AA8" i="3"/>
  <c r="C144" i="3"/>
  <c r="K144" i="3" s="1"/>
  <c r="AA525" i="1"/>
  <c r="AB525" i="1"/>
  <c r="AB701" i="1"/>
  <c r="Z750" i="1"/>
  <c r="Q77" i="13"/>
  <c r="R75" i="13" s="1"/>
  <c r="Z70" i="13"/>
  <c r="Z488" i="1"/>
  <c r="AB488" i="1" s="1"/>
  <c r="Z329" i="1"/>
  <c r="Z459" i="1" s="1"/>
  <c r="AB305" i="1"/>
  <c r="AC305" i="1" s="1"/>
  <c r="Z522" i="1"/>
  <c r="AF756" i="1"/>
  <c r="M799" i="1"/>
  <c r="AB756" i="1"/>
  <c r="AE756" i="1" s="1"/>
  <c r="AB714" i="1"/>
  <c r="Z763" i="1"/>
  <c r="Z517" i="1"/>
  <c r="Z483" i="1"/>
  <c r="AB483" i="1" s="1"/>
  <c r="Z326" i="1"/>
  <c r="Z456" i="1" s="1"/>
  <c r="AB300" i="1"/>
  <c r="AC300" i="1" s="1"/>
  <c r="AC119" i="1"/>
  <c r="AB119" i="1"/>
  <c r="Z302" i="1"/>
  <c r="AB699" i="1"/>
  <c r="Z748" i="1"/>
  <c r="Z476" i="1"/>
  <c r="AB476" i="1" s="1"/>
  <c r="Z510" i="1"/>
  <c r="AB293" i="1"/>
  <c r="AC293" i="1" s="1"/>
  <c r="AB715" i="1"/>
  <c r="Z764" i="1"/>
  <c r="AF765" i="1"/>
  <c r="AB765" i="1"/>
  <c r="AE765" i="1" s="1"/>
  <c r="M808" i="1"/>
  <c r="AD605" i="1"/>
  <c r="AB605" i="1"/>
  <c r="Z473" i="1"/>
  <c r="AB473" i="1" s="1"/>
  <c r="Z507" i="1"/>
  <c r="AB290" i="1"/>
  <c r="AC290" i="1" s="1"/>
  <c r="AB697" i="1"/>
  <c r="Z746" i="1"/>
  <c r="AA495" i="1"/>
  <c r="AD472" i="1"/>
  <c r="AD495" i="1" s="1"/>
  <c r="AB717" i="1"/>
  <c r="Z766" i="1"/>
  <c r="L11" i="7"/>
  <c r="L12" i="7" s="1"/>
  <c r="C12" i="7"/>
  <c r="AF754" i="1"/>
  <c r="AB754" i="1"/>
  <c r="AE754" i="1" s="1"/>
  <c r="M797" i="1"/>
  <c r="AA511" i="1"/>
  <c r="AB511" i="1"/>
  <c r="AF755" i="1"/>
  <c r="M798" i="1"/>
  <c r="AB755" i="1"/>
  <c r="AE755" i="1" s="1"/>
  <c r="N149" i="12"/>
  <c r="P147" i="12"/>
  <c r="N163" i="12" s="1"/>
  <c r="Z710" i="1"/>
  <c r="AD619" i="1"/>
  <c r="AB619" i="1"/>
  <c r="Z721" i="1" l="1"/>
  <c r="Z720" i="1"/>
  <c r="D112" i="12"/>
  <c r="E111" i="12"/>
  <c r="D133" i="12"/>
  <c r="E132" i="12"/>
  <c r="D96" i="12"/>
  <c r="E95" i="12"/>
  <c r="Z906" i="1"/>
  <c r="D15" i="17"/>
  <c r="S5" i="17" s="1"/>
  <c r="S7" i="17" s="1"/>
  <c r="D847" i="1"/>
  <c r="Z797" i="1"/>
  <c r="AA512" i="1"/>
  <c r="AB512" i="1"/>
  <c r="AA518" i="1"/>
  <c r="AB518" i="1"/>
  <c r="AF93" i="1"/>
  <c r="AE93" i="1"/>
  <c r="AF75" i="1"/>
  <c r="AE75" i="1"/>
  <c r="AF86" i="1"/>
  <c r="AE86" i="1"/>
  <c r="AF127" i="1"/>
  <c r="AE127" i="1"/>
  <c r="AF110" i="1"/>
  <c r="AE110" i="1"/>
  <c r="AF126" i="1"/>
  <c r="AE126" i="1"/>
  <c r="AF757" i="1"/>
  <c r="AB757" i="1"/>
  <c r="M800" i="1"/>
  <c r="AF518" i="1"/>
  <c r="AF519" i="1"/>
  <c r="AF517" i="1"/>
  <c r="AF746" i="1"/>
  <c r="AB746" i="1"/>
  <c r="AE746" i="1" s="1"/>
  <c r="M789" i="1"/>
  <c r="D858" i="1"/>
  <c r="Z808" i="1"/>
  <c r="AF748" i="1"/>
  <c r="M791" i="1"/>
  <c r="AB748" i="1"/>
  <c r="AE748" i="1" s="1"/>
  <c r="AA517" i="1"/>
  <c r="AB517" i="1"/>
  <c r="AA508" i="1"/>
  <c r="AB508" i="1"/>
  <c r="AP55" i="13"/>
  <c r="Z58" i="13"/>
  <c r="AA513" i="1"/>
  <c r="AB513" i="1"/>
  <c r="AF94" i="1"/>
  <c r="AE94" i="1"/>
  <c r="AF85" i="1"/>
  <c r="AE85" i="1"/>
  <c r="AF124" i="1"/>
  <c r="AE124" i="1"/>
  <c r="AF74" i="1"/>
  <c r="AE74" i="1"/>
  <c r="AF115" i="1"/>
  <c r="AE115" i="1"/>
  <c r="AE117" i="1"/>
  <c r="AF117" i="1"/>
  <c r="AF507" i="1"/>
  <c r="AF526" i="1"/>
  <c r="AF527" i="1"/>
  <c r="AA523" i="1"/>
  <c r="AB523" i="1"/>
  <c r="AF763" i="1"/>
  <c r="M806" i="1"/>
  <c r="AB763" i="1"/>
  <c r="AE763" i="1" s="1"/>
  <c r="AF761" i="1"/>
  <c r="M804" i="1"/>
  <c r="AB761" i="1"/>
  <c r="AE761" i="1" s="1"/>
  <c r="U56" i="13"/>
  <c r="U53" i="13"/>
  <c r="U51" i="13"/>
  <c r="U54" i="13"/>
  <c r="Q59" i="13"/>
  <c r="Q60" i="13" s="1"/>
  <c r="U55" i="13"/>
  <c r="U52" i="13"/>
  <c r="D853" i="1"/>
  <c r="Z803" i="1"/>
  <c r="AF767" i="1"/>
  <c r="M810" i="1"/>
  <c r="AB767" i="1"/>
  <c r="AE767" i="1" s="1"/>
  <c r="AF112" i="1"/>
  <c r="AE112" i="1"/>
  <c r="AF80" i="1"/>
  <c r="AE80" i="1"/>
  <c r="AE76" i="1"/>
  <c r="AF76" i="1"/>
  <c r="AF84" i="1"/>
  <c r="AE84" i="1"/>
  <c r="AF119" i="1"/>
  <c r="AE119" i="1"/>
  <c r="AE122" i="1"/>
  <c r="AF122" i="1"/>
  <c r="AF524" i="1"/>
  <c r="AF528" i="1"/>
  <c r="AB752" i="1"/>
  <c r="AE752" i="1" s="1"/>
  <c r="AF752" i="1"/>
  <c r="M795" i="1"/>
  <c r="AA524" i="1"/>
  <c r="AB524" i="1"/>
  <c r="Z745" i="1"/>
  <c r="AB696" i="1"/>
  <c r="D848" i="1"/>
  <c r="Z798" i="1"/>
  <c r="D11" i="7"/>
  <c r="D8" i="7"/>
  <c r="D6" i="7"/>
  <c r="D9" i="7"/>
  <c r="D7" i="7"/>
  <c r="D10" i="7"/>
  <c r="Z519" i="1"/>
  <c r="Z485" i="1"/>
  <c r="AB485" i="1" s="1"/>
  <c r="AB302" i="1"/>
  <c r="AC302" i="1" s="1"/>
  <c r="AC529" i="1"/>
  <c r="Z794" i="1"/>
  <c r="D844" i="1"/>
  <c r="AF118" i="1"/>
  <c r="AE118" i="1"/>
  <c r="AF88" i="1"/>
  <c r="AE88" i="1"/>
  <c r="AE81" i="1"/>
  <c r="AF81" i="1"/>
  <c r="AF97" i="1"/>
  <c r="AE97" i="1"/>
  <c r="AF116" i="1"/>
  <c r="AE116" i="1"/>
  <c r="AF107" i="1"/>
  <c r="AE107" i="1"/>
  <c r="AA526" i="1"/>
  <c r="AB526" i="1"/>
  <c r="AF753" i="1"/>
  <c r="M796" i="1"/>
  <c r="AB753" i="1"/>
  <c r="AE753" i="1" s="1"/>
  <c r="AF512" i="1"/>
  <c r="AF516" i="1"/>
  <c r="M11" i="7"/>
  <c r="M10" i="7"/>
  <c r="M8" i="7"/>
  <c r="M9" i="7"/>
  <c r="M6" i="7"/>
  <c r="M7" i="7"/>
  <c r="AA507" i="1"/>
  <c r="AB507" i="1"/>
  <c r="Z77" i="13"/>
  <c r="AP70" i="13"/>
  <c r="AA527" i="1"/>
  <c r="AB527" i="1"/>
  <c r="AB129" i="1"/>
  <c r="AF77" i="1"/>
  <c r="AE77" i="1"/>
  <c r="AF113" i="1"/>
  <c r="AE113" i="1"/>
  <c r="AE89" i="1"/>
  <c r="AF89" i="1"/>
  <c r="AF114" i="1"/>
  <c r="AE114" i="1"/>
  <c r="AF120" i="1"/>
  <c r="AE120" i="1"/>
  <c r="AF123" i="1"/>
  <c r="AE123" i="1"/>
  <c r="AF521" i="1"/>
  <c r="AF520" i="1"/>
  <c r="AF508" i="1"/>
  <c r="AF768" i="1"/>
  <c r="AB768" i="1"/>
  <c r="AE768" i="1" s="1"/>
  <c r="M811" i="1"/>
  <c r="AF764" i="1"/>
  <c r="M807" i="1"/>
  <c r="AB764" i="1"/>
  <c r="AE764" i="1" s="1"/>
  <c r="AF766" i="1"/>
  <c r="AB766" i="1"/>
  <c r="AE766" i="1" s="1"/>
  <c r="M809" i="1"/>
  <c r="D849" i="1"/>
  <c r="Z799" i="1"/>
  <c r="Z472" i="1"/>
  <c r="Z506" i="1"/>
  <c r="Z320" i="1"/>
  <c r="AB289" i="1"/>
  <c r="AC289" i="1" s="1"/>
  <c r="Z437" i="1"/>
  <c r="Y431" i="1"/>
  <c r="Z442" i="1" s="1"/>
  <c r="AF82" i="1"/>
  <c r="AE82" i="1"/>
  <c r="AF83" i="1"/>
  <c r="AE83" i="1"/>
  <c r="AE92" i="1"/>
  <c r="AF92" i="1"/>
  <c r="AF125" i="1"/>
  <c r="AE125" i="1"/>
  <c r="AF106" i="1"/>
  <c r="AE106" i="1"/>
  <c r="AF509" i="1"/>
  <c r="AF522" i="1"/>
  <c r="AF511" i="1"/>
  <c r="AF747" i="1"/>
  <c r="M790" i="1"/>
  <c r="AB747" i="1"/>
  <c r="AE747" i="1" s="1"/>
  <c r="AA521" i="1"/>
  <c r="AB521" i="1"/>
  <c r="AF758" i="1"/>
  <c r="AB758" i="1"/>
  <c r="AE758" i="1" s="1"/>
  <c r="M801" i="1"/>
  <c r="AA528" i="1"/>
  <c r="AB528" i="1"/>
  <c r="AC129" i="1"/>
  <c r="AF79" i="1"/>
  <c r="AE79" i="1"/>
  <c r="AF90" i="1"/>
  <c r="AE90" i="1"/>
  <c r="AF91" i="1"/>
  <c r="AE91" i="1"/>
  <c r="AE96" i="1"/>
  <c r="AF96" i="1"/>
  <c r="AF128" i="1"/>
  <c r="AE128" i="1"/>
  <c r="AF111" i="1"/>
  <c r="AE111" i="1"/>
  <c r="AF523" i="1"/>
  <c r="AF510" i="1"/>
  <c r="AF513" i="1"/>
  <c r="Z792" i="1"/>
  <c r="D842" i="1"/>
  <c r="U75" i="13"/>
  <c r="W75" i="13" s="1"/>
  <c r="Y885" i="1" s="1"/>
  <c r="R68" i="13"/>
  <c r="U74" i="13"/>
  <c r="U65" i="13"/>
  <c r="U70" i="13"/>
  <c r="R69" i="13"/>
  <c r="U71" i="13"/>
  <c r="R67" i="13"/>
  <c r="R74" i="13"/>
  <c r="D14" i="17" s="1"/>
  <c r="R5" i="17" s="1"/>
  <c r="R7" i="17" s="1"/>
  <c r="R72" i="13"/>
  <c r="U67" i="13"/>
  <c r="U66" i="13"/>
  <c r="U69" i="13"/>
  <c r="W69" i="13" s="1"/>
  <c r="Y882" i="1" s="1"/>
  <c r="R66" i="13"/>
  <c r="R65" i="13"/>
  <c r="R71" i="13"/>
  <c r="D11" i="17" s="1"/>
  <c r="O5" i="17" s="1"/>
  <c r="O7" i="17" s="1"/>
  <c r="U68" i="13"/>
  <c r="R73" i="13"/>
  <c r="D13" i="17" s="1"/>
  <c r="Q5" i="17" s="1"/>
  <c r="Q7" i="17" s="1"/>
  <c r="U72" i="13"/>
  <c r="R70" i="13"/>
  <c r="U73" i="13"/>
  <c r="Z759" i="1"/>
  <c r="AB710" i="1"/>
  <c r="AD629" i="1"/>
  <c r="AA510" i="1"/>
  <c r="AB510" i="1"/>
  <c r="AA522" i="1"/>
  <c r="AB522" i="1"/>
  <c r="AF750" i="1"/>
  <c r="AB750" i="1"/>
  <c r="AE750" i="1" s="1"/>
  <c r="M793" i="1"/>
  <c r="AF762" i="1"/>
  <c r="AB762" i="1"/>
  <c r="AE762" i="1" s="1"/>
  <c r="M805" i="1"/>
  <c r="AF87" i="1"/>
  <c r="AE87" i="1"/>
  <c r="AF109" i="1"/>
  <c r="AE109" i="1"/>
  <c r="AF78" i="1"/>
  <c r="AE78" i="1"/>
  <c r="AF108" i="1"/>
  <c r="AE108" i="1"/>
  <c r="AF95" i="1"/>
  <c r="AE95" i="1"/>
  <c r="AF121" i="1"/>
  <c r="AE121" i="1"/>
  <c r="AF525" i="1"/>
  <c r="AF514" i="1"/>
  <c r="AF515" i="1"/>
  <c r="AB720" i="1" l="1"/>
  <c r="AC696" i="1"/>
  <c r="AC697" i="1" s="1"/>
  <c r="AC698" i="1" s="1"/>
  <c r="AC699" i="1" s="1"/>
  <c r="AC700" i="1" s="1"/>
  <c r="AC701" i="1" s="1"/>
  <c r="AC702" i="1" s="1"/>
  <c r="AC703" i="1" s="1"/>
  <c r="AC704" i="1" s="1"/>
  <c r="AC705" i="1" s="1"/>
  <c r="AC706" i="1" s="1"/>
  <c r="AC707" i="1" s="1"/>
  <c r="AC708" i="1" s="1"/>
  <c r="AC709" i="1" s="1"/>
  <c r="AB721" i="1"/>
  <c r="D97" i="12"/>
  <c r="E96" i="12"/>
  <c r="D134" i="12"/>
  <c r="E133" i="12"/>
  <c r="D113" i="12"/>
  <c r="E112" i="12"/>
  <c r="AF529" i="1"/>
  <c r="W70" i="13"/>
  <c r="Y883" i="1" s="1"/>
  <c r="D855" i="1"/>
  <c r="Z805" i="1"/>
  <c r="AB66" i="13"/>
  <c r="AB65" i="13"/>
  <c r="AB69" i="13"/>
  <c r="AB71" i="13"/>
  <c r="AB68" i="13"/>
  <c r="AB75" i="13"/>
  <c r="AB74" i="13"/>
  <c r="AB72" i="13"/>
  <c r="AB67" i="13"/>
  <c r="AB73" i="13"/>
  <c r="Z844" i="1"/>
  <c r="E844" i="1"/>
  <c r="V51" i="13"/>
  <c r="V52" i="13" s="1"/>
  <c r="V53" i="13" s="1"/>
  <c r="V54" i="13" s="1"/>
  <c r="V55" i="13" s="1"/>
  <c r="V56" i="13" s="1"/>
  <c r="V58" i="13" s="1"/>
  <c r="U58" i="13"/>
  <c r="AE757" i="1"/>
  <c r="D10" i="17"/>
  <c r="N5" i="17" s="1"/>
  <c r="N7" i="17" s="1"/>
  <c r="N70" i="13"/>
  <c r="Z904" i="1"/>
  <c r="W66" i="13"/>
  <c r="Y881" i="1" s="1"/>
  <c r="W65" i="13"/>
  <c r="Y880" i="1" s="1"/>
  <c r="V65" i="13"/>
  <c r="V66" i="13" s="1"/>
  <c r="V67" i="13" s="1"/>
  <c r="V68" i="13" s="1"/>
  <c r="V69" i="13" s="1"/>
  <c r="V70" i="13" s="1"/>
  <c r="V71" i="13" s="1"/>
  <c r="V72" i="13" s="1"/>
  <c r="V73" i="13" s="1"/>
  <c r="V74" i="13" s="1"/>
  <c r="V75" i="13" s="1"/>
  <c r="V77" i="13" s="1"/>
  <c r="U77" i="13"/>
  <c r="Z450" i="1"/>
  <c r="Z464" i="1" s="1"/>
  <c r="Z429" i="1"/>
  <c r="Z334" i="1"/>
  <c r="Y553" i="1" s="1"/>
  <c r="Z440" i="1"/>
  <c r="AF794" i="1"/>
  <c r="AB794" i="1"/>
  <c r="AE794" i="1" s="1"/>
  <c r="D12" i="7"/>
  <c r="AF803" i="1"/>
  <c r="AB803" i="1"/>
  <c r="AE803" i="1" s="1"/>
  <c r="AB55" i="13"/>
  <c r="AB56" i="13"/>
  <c r="AB53" i="13"/>
  <c r="AB51" i="13"/>
  <c r="AB54" i="13"/>
  <c r="AB52" i="13"/>
  <c r="AF759" i="1"/>
  <c r="M802" i="1"/>
  <c r="AB759" i="1"/>
  <c r="AE759" i="1" s="1"/>
  <c r="W72" i="13"/>
  <c r="Y884" i="1" s="1"/>
  <c r="Z531" i="1"/>
  <c r="Z530" i="1"/>
  <c r="AD519" i="1" s="1"/>
  <c r="Z529" i="1"/>
  <c r="AA506" i="1"/>
  <c r="AB506" i="1"/>
  <c r="Z853" i="1"/>
  <c r="E853" i="1"/>
  <c r="AP58" i="13"/>
  <c r="BF55" i="13"/>
  <c r="Z791" i="1"/>
  <c r="D841" i="1"/>
  <c r="Z902" i="1"/>
  <c r="D8" i="17"/>
  <c r="L5" i="17" s="1"/>
  <c r="L7" i="17" s="1"/>
  <c r="Z495" i="1"/>
  <c r="AD496" i="1" s="1"/>
  <c r="AB472" i="1"/>
  <c r="D857" i="1"/>
  <c r="Z807" i="1"/>
  <c r="Z795" i="1"/>
  <c r="D845" i="1"/>
  <c r="D843" i="1"/>
  <c r="Z793" i="1"/>
  <c r="D840" i="1"/>
  <c r="Z790" i="1"/>
  <c r="AF798" i="1"/>
  <c r="AB798" i="1"/>
  <c r="AE798" i="1" s="1"/>
  <c r="D854" i="1"/>
  <c r="Z804" i="1"/>
  <c r="AF808" i="1"/>
  <c r="AB808" i="1"/>
  <c r="AE808" i="1" s="1"/>
  <c r="AF797" i="1"/>
  <c r="AB797" i="1"/>
  <c r="AE797" i="1" s="1"/>
  <c r="N72" i="13"/>
  <c r="Z905" i="1"/>
  <c r="D12" i="17"/>
  <c r="P5" i="17" s="1"/>
  <c r="P7" i="17" s="1"/>
  <c r="D7" i="17"/>
  <c r="K5" i="17" s="1"/>
  <c r="K7" i="17" s="1"/>
  <c r="Z901" i="1"/>
  <c r="E842" i="1"/>
  <c r="Z842" i="1"/>
  <c r="D851" i="1"/>
  <c r="Z801" i="1"/>
  <c r="AF799" i="1"/>
  <c r="AB799" i="1"/>
  <c r="AE799" i="1" s="1"/>
  <c r="D861" i="1"/>
  <c r="Z811" i="1"/>
  <c r="M12" i="7"/>
  <c r="AA519" i="1"/>
  <c r="AB519" i="1"/>
  <c r="E848" i="1"/>
  <c r="Z848" i="1"/>
  <c r="E858" i="1"/>
  <c r="Z858" i="1"/>
  <c r="E847" i="1"/>
  <c r="Z847" i="1"/>
  <c r="R77" i="13"/>
  <c r="D5" i="17"/>
  <c r="AF792" i="1"/>
  <c r="AB792" i="1"/>
  <c r="AE792" i="1" s="1"/>
  <c r="Z849" i="1"/>
  <c r="E849" i="1"/>
  <c r="AB70" i="13"/>
  <c r="AC710" i="1"/>
  <c r="AC711" i="1" s="1"/>
  <c r="AC712" i="1" s="1"/>
  <c r="AC713" i="1" s="1"/>
  <c r="AC714" i="1" s="1"/>
  <c r="AC715" i="1" s="1"/>
  <c r="AC716" i="1" s="1"/>
  <c r="AC717" i="1" s="1"/>
  <c r="AC718" i="1" s="1"/>
  <c r="AC719" i="1" s="1"/>
  <c r="L66" i="13"/>
  <c r="S60" i="13"/>
  <c r="L70" i="13"/>
  <c r="F65" i="13"/>
  <c r="F66" i="13"/>
  <c r="L69" i="13"/>
  <c r="L72" i="13"/>
  <c r="H73" i="13"/>
  <c r="D839" i="1"/>
  <c r="Z789" i="1"/>
  <c r="N66" i="13"/>
  <c r="Z900" i="1"/>
  <c r="D6" i="17"/>
  <c r="J5" i="17" s="1"/>
  <c r="J7" i="17" s="1"/>
  <c r="N69" i="13"/>
  <c r="Z903" i="1"/>
  <c r="D9" i="17"/>
  <c r="M5" i="17" s="1"/>
  <c r="M7" i="17" s="1"/>
  <c r="D859" i="1"/>
  <c r="Z809" i="1"/>
  <c r="BF70" i="13"/>
  <c r="BF77" i="13" s="1"/>
  <c r="AP77" i="13"/>
  <c r="D846" i="1"/>
  <c r="Z796" i="1"/>
  <c r="AF745" i="1"/>
  <c r="M788" i="1"/>
  <c r="AB745" i="1"/>
  <c r="AF739" i="1"/>
  <c r="Z769" i="1"/>
  <c r="D860" i="1"/>
  <c r="Z810" i="1"/>
  <c r="D856" i="1"/>
  <c r="Z806" i="1"/>
  <c r="D850" i="1"/>
  <c r="Z800" i="1"/>
  <c r="O781" i="1"/>
  <c r="M813" i="1"/>
  <c r="AJ697" i="1" l="1"/>
  <c r="AJ698" i="1"/>
  <c r="AJ699" i="1"/>
  <c r="AJ700" i="1"/>
  <c r="AJ701" i="1"/>
  <c r="AJ702" i="1"/>
  <c r="AJ703" i="1"/>
  <c r="AJ704" i="1"/>
  <c r="AJ705" i="1"/>
  <c r="AJ706" i="1"/>
  <c r="AJ707" i="1"/>
  <c r="AJ708" i="1"/>
  <c r="AJ709" i="1"/>
  <c r="AJ710" i="1"/>
  <c r="AJ711" i="1"/>
  <c r="AJ712" i="1"/>
  <c r="AJ713" i="1"/>
  <c r="AJ714" i="1"/>
  <c r="AJ715" i="1"/>
  <c r="AJ716" i="1"/>
  <c r="AJ717" i="1"/>
  <c r="AJ718" i="1"/>
  <c r="AJ719" i="1"/>
  <c r="AJ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696" i="1"/>
  <c r="AI723" i="1"/>
  <c r="AK708" i="1"/>
  <c r="AK709" i="1"/>
  <c r="AK710" i="1"/>
  <c r="AK711" i="1"/>
  <c r="AK712" i="1"/>
  <c r="AK713" i="1"/>
  <c r="AK714" i="1"/>
  <c r="AK715" i="1"/>
  <c r="AK716" i="1"/>
  <c r="AK717" i="1"/>
  <c r="AK718" i="1"/>
  <c r="AK719" i="1"/>
  <c r="AK705" i="1"/>
  <c r="AK707" i="1"/>
  <c r="AK706" i="1"/>
  <c r="AK700" i="1"/>
  <c r="AK702" i="1"/>
  <c r="AK697" i="1"/>
  <c r="AK699" i="1"/>
  <c r="AK701" i="1"/>
  <c r="AK704" i="1"/>
  <c r="AK698" i="1"/>
  <c r="AK703" i="1"/>
  <c r="AK696" i="1"/>
  <c r="AL696" i="1"/>
  <c r="D114" i="12"/>
  <c r="E113" i="12"/>
  <c r="D135" i="12"/>
  <c r="E134" i="12"/>
  <c r="D98" i="12"/>
  <c r="E97" i="12"/>
  <c r="Y886" i="1"/>
  <c r="Z907" i="1"/>
  <c r="AA529" i="1"/>
  <c r="E846" i="1"/>
  <c r="Z846" i="1"/>
  <c r="E845" i="1"/>
  <c r="Z845" i="1"/>
  <c r="E841" i="1"/>
  <c r="Z841" i="1"/>
  <c r="F69" i="13"/>
  <c r="H72" i="13"/>
  <c r="H74" i="13" s="1"/>
  <c r="AF848" i="1"/>
  <c r="AB848" i="1"/>
  <c r="AE848" i="1" s="1"/>
  <c r="E854" i="1"/>
  <c r="Z854" i="1"/>
  <c r="AF795" i="1"/>
  <c r="AB795" i="1"/>
  <c r="AE795" i="1" s="1"/>
  <c r="AF791" i="1"/>
  <c r="AB791" i="1"/>
  <c r="AE791" i="1" s="1"/>
  <c r="Z861" i="1"/>
  <c r="E861" i="1"/>
  <c r="BG70" i="13"/>
  <c r="BG67" i="13"/>
  <c r="BG66" i="13"/>
  <c r="BG72" i="13"/>
  <c r="BG71" i="13"/>
  <c r="BG69" i="13"/>
  <c r="BG74" i="13"/>
  <c r="BG68" i="13"/>
  <c r="BG65" i="13"/>
  <c r="BG75" i="13"/>
  <c r="BG73" i="13"/>
  <c r="AF807" i="1"/>
  <c r="AB807" i="1"/>
  <c r="AE807" i="1" s="1"/>
  <c r="BF58" i="13"/>
  <c r="BG55" i="13" s="1"/>
  <c r="Y552" i="1"/>
  <c r="AC552" i="1" s="1"/>
  <c r="AD511" i="1"/>
  <c r="AD516" i="1"/>
  <c r="AD514" i="1"/>
  <c r="AD525" i="1"/>
  <c r="AD515" i="1"/>
  <c r="AD520" i="1"/>
  <c r="AD509" i="1"/>
  <c r="AD527" i="1"/>
  <c r="AD510" i="1"/>
  <c r="AD508" i="1"/>
  <c r="AD523" i="1"/>
  <c r="AD526" i="1"/>
  <c r="AD507" i="1"/>
  <c r="AD528" i="1"/>
  <c r="AD512" i="1"/>
  <c r="AD521" i="1"/>
  <c r="AD522" i="1"/>
  <c r="AD524" i="1"/>
  <c r="AD518" i="1"/>
  <c r="AD517" i="1"/>
  <c r="AD513" i="1"/>
  <c r="AB58" i="13"/>
  <c r="AC51" i="13"/>
  <c r="AC52" i="13" s="1"/>
  <c r="AC53" i="13" s="1"/>
  <c r="AC54" i="13" s="1"/>
  <c r="AC55" i="13" s="1"/>
  <c r="AC56" i="13" s="1"/>
  <c r="AC58" i="13" s="1"/>
  <c r="AF789" i="1"/>
  <c r="AB789" i="1"/>
  <c r="AE789" i="1" s="1"/>
  <c r="D17" i="17"/>
  <c r="I5" i="17"/>
  <c r="AF801" i="1"/>
  <c r="AB801" i="1"/>
  <c r="AE801" i="1" s="1"/>
  <c r="Z857" i="1"/>
  <c r="E857" i="1"/>
  <c r="AR55" i="13"/>
  <c r="AR56" i="13"/>
  <c r="AR51" i="13"/>
  <c r="AR52" i="13"/>
  <c r="AR53" i="13"/>
  <c r="AR54" i="13"/>
  <c r="AF844" i="1"/>
  <c r="AB844" i="1"/>
  <c r="AE844" i="1" s="1"/>
  <c r="AF810" i="1"/>
  <c r="AB810" i="1"/>
  <c r="AE810" i="1" s="1"/>
  <c r="E860" i="1"/>
  <c r="Z860" i="1"/>
  <c r="AF809" i="1"/>
  <c r="AB809" i="1"/>
  <c r="AE809" i="1" s="1"/>
  <c r="AF800" i="1"/>
  <c r="AB800" i="1"/>
  <c r="AB770" i="1"/>
  <c r="AE745" i="1"/>
  <c r="AB769" i="1"/>
  <c r="AF738" i="1"/>
  <c r="AF740" i="1" s="1"/>
  <c r="Z859" i="1"/>
  <c r="E859" i="1"/>
  <c r="E839" i="1"/>
  <c r="Z839" i="1"/>
  <c r="L75" i="13"/>
  <c r="Z851" i="1"/>
  <c r="E851" i="1"/>
  <c r="AF790" i="1"/>
  <c r="AB790" i="1"/>
  <c r="AE790" i="1" s="1"/>
  <c r="AC65" i="13"/>
  <c r="AC66" i="13" s="1"/>
  <c r="AC67" i="13" s="1"/>
  <c r="AC68" i="13" s="1"/>
  <c r="AC69" i="13" s="1"/>
  <c r="AC70" i="13" s="1"/>
  <c r="AC71" i="13" s="1"/>
  <c r="AC72" i="13" s="1"/>
  <c r="AC73" i="13" s="1"/>
  <c r="AC74" i="13" s="1"/>
  <c r="AC75" i="13" s="1"/>
  <c r="AC77" i="13" s="1"/>
  <c r="AB77" i="13"/>
  <c r="AF849" i="1"/>
  <c r="AB849" i="1"/>
  <c r="AE849" i="1" s="1"/>
  <c r="AF804" i="1"/>
  <c r="AB804" i="1"/>
  <c r="AE804" i="1" s="1"/>
  <c r="AB847" i="1"/>
  <c r="AE847" i="1" s="1"/>
  <c r="AF847" i="1"/>
  <c r="AE519" i="1"/>
  <c r="AG519" i="1"/>
  <c r="AF842" i="1"/>
  <c r="AB842" i="1"/>
  <c r="AE842" i="1" s="1"/>
  <c r="Z840" i="1"/>
  <c r="E840" i="1"/>
  <c r="AF853" i="1"/>
  <c r="AB853" i="1"/>
  <c r="AE853" i="1" s="1"/>
  <c r="AF793" i="1"/>
  <c r="AB793" i="1"/>
  <c r="AE793" i="1" s="1"/>
  <c r="AB529" i="1"/>
  <c r="D852" i="1"/>
  <c r="Z802" i="1"/>
  <c r="AB771" i="1"/>
  <c r="AF805" i="1"/>
  <c r="AB805" i="1"/>
  <c r="AE805" i="1" s="1"/>
  <c r="AR70" i="13"/>
  <c r="AR71" i="13"/>
  <c r="AR66" i="13"/>
  <c r="AR73" i="13"/>
  <c r="AR69" i="13"/>
  <c r="AR68" i="13"/>
  <c r="AR67" i="13"/>
  <c r="AR65" i="13"/>
  <c r="AR74" i="13"/>
  <c r="AR75" i="13"/>
  <c r="AR72" i="13"/>
  <c r="E850" i="1"/>
  <c r="Z850" i="1"/>
  <c r="L812" i="1"/>
  <c r="AF782" i="1"/>
  <c r="Z788" i="1"/>
  <c r="D838" i="1"/>
  <c r="M812" i="1"/>
  <c r="O780" i="1"/>
  <c r="AF806" i="1"/>
  <c r="AB806" i="1"/>
  <c r="AE806" i="1" s="1"/>
  <c r="E856" i="1"/>
  <c r="Z856" i="1"/>
  <c r="AF796" i="1"/>
  <c r="AB796" i="1"/>
  <c r="AE796" i="1" s="1"/>
  <c r="AF858" i="1"/>
  <c r="AB858" i="1"/>
  <c r="AE858" i="1" s="1"/>
  <c r="AB811" i="1"/>
  <c r="AE811" i="1" s="1"/>
  <c r="AF811" i="1"/>
  <c r="E843" i="1"/>
  <c r="Z843" i="1"/>
  <c r="AD506" i="1"/>
  <c r="Z855" i="1"/>
  <c r="E855" i="1"/>
  <c r="D99" i="12" l="1"/>
  <c r="E98" i="12"/>
  <c r="D136" i="12"/>
  <c r="E135" i="12"/>
  <c r="D115" i="12"/>
  <c r="E114" i="12"/>
  <c r="AS65" i="13"/>
  <c r="AS66" i="13" s="1"/>
  <c r="AS67" i="13" s="1"/>
  <c r="AS68" i="13" s="1"/>
  <c r="AS69" i="13" s="1"/>
  <c r="AS70" i="13" s="1"/>
  <c r="AS71" i="13" s="1"/>
  <c r="AS72" i="13" s="1"/>
  <c r="AS73" i="13" s="1"/>
  <c r="AS74" i="13" s="1"/>
  <c r="AS75" i="13" s="1"/>
  <c r="AS77" i="13" s="1"/>
  <c r="AR77" i="13"/>
  <c r="AE517" i="1"/>
  <c r="AG517" i="1"/>
  <c r="AE526" i="1"/>
  <c r="AG526" i="1"/>
  <c r="AE525" i="1"/>
  <c r="AG525" i="1"/>
  <c r="M76" i="13"/>
  <c r="AE513" i="1"/>
  <c r="AG513" i="1"/>
  <c r="AB860" i="1"/>
  <c r="AE860" i="1" s="1"/>
  <c r="AF860" i="1"/>
  <c r="I7" i="17"/>
  <c r="T5" i="17"/>
  <c r="AE518" i="1"/>
  <c r="AG518" i="1"/>
  <c r="AE523" i="1"/>
  <c r="AG523" i="1"/>
  <c r="AE514" i="1"/>
  <c r="AG514" i="1"/>
  <c r="AF841" i="1"/>
  <c r="AB841" i="1"/>
  <c r="AE841" i="1" s="1"/>
  <c r="AD529" i="1"/>
  <c r="AE506" i="1"/>
  <c r="AG506" i="1"/>
  <c r="AF802" i="1"/>
  <c r="AB802" i="1"/>
  <c r="AE802" i="1" s="1"/>
  <c r="AF840" i="1"/>
  <c r="AB840" i="1"/>
  <c r="AE840" i="1" s="1"/>
  <c r="AF851" i="1"/>
  <c r="AB851" i="1"/>
  <c r="AE851" i="1" s="1"/>
  <c r="AS51" i="13"/>
  <c r="AS52" i="13" s="1"/>
  <c r="AS53" i="13" s="1"/>
  <c r="AS54" i="13" s="1"/>
  <c r="AS55" i="13" s="1"/>
  <c r="AS56" i="13" s="1"/>
  <c r="AS58" i="13" s="1"/>
  <c r="AR58" i="13"/>
  <c r="AE524" i="1"/>
  <c r="AG524" i="1"/>
  <c r="AE508" i="1"/>
  <c r="AG508" i="1"/>
  <c r="AE516" i="1"/>
  <c r="AG516" i="1"/>
  <c r="AB843" i="1"/>
  <c r="AE843" i="1" s="1"/>
  <c r="AF843" i="1"/>
  <c r="AF856" i="1"/>
  <c r="AB856" i="1"/>
  <c r="AE856" i="1" s="1"/>
  <c r="Q827" i="1"/>
  <c r="S784" i="1"/>
  <c r="AF850" i="1"/>
  <c r="AB850" i="1"/>
  <c r="AB772" i="1"/>
  <c r="AE522" i="1"/>
  <c r="AG522" i="1"/>
  <c r="AE510" i="1"/>
  <c r="AG510" i="1"/>
  <c r="AE511" i="1"/>
  <c r="AG511" i="1"/>
  <c r="AB854" i="1"/>
  <c r="AE854" i="1" s="1"/>
  <c r="AF854" i="1"/>
  <c r="AB845" i="1"/>
  <c r="AE845" i="1" s="1"/>
  <c r="AF845" i="1"/>
  <c r="AE515" i="1"/>
  <c r="AG515" i="1"/>
  <c r="E852" i="1"/>
  <c r="Z852" i="1"/>
  <c r="AB839" i="1"/>
  <c r="AE839" i="1" s="1"/>
  <c r="AF839" i="1"/>
  <c r="AE800" i="1"/>
  <c r="AE521" i="1"/>
  <c r="AG521" i="1"/>
  <c r="AE527" i="1"/>
  <c r="AG527" i="1"/>
  <c r="BG77" i="13"/>
  <c r="BH65" i="13"/>
  <c r="BH66" i="13" s="1"/>
  <c r="BH67" i="13" s="1"/>
  <c r="BH68" i="13" s="1"/>
  <c r="BH69" i="13" s="1"/>
  <c r="BH70" i="13" s="1"/>
  <c r="BH71" i="13" s="1"/>
  <c r="BH72" i="13" s="1"/>
  <c r="BH73" i="13" s="1"/>
  <c r="BH74" i="13" s="1"/>
  <c r="BH75" i="13" s="1"/>
  <c r="BH77" i="13" s="1"/>
  <c r="AF788" i="1"/>
  <c r="Z812" i="1"/>
  <c r="AB788" i="1"/>
  <c r="AF859" i="1"/>
  <c r="AB859" i="1"/>
  <c r="AE859" i="1" s="1"/>
  <c r="AE507" i="1"/>
  <c r="AG507" i="1"/>
  <c r="AE512" i="1"/>
  <c r="AG512" i="1"/>
  <c r="AE509" i="1"/>
  <c r="AG509" i="1"/>
  <c r="AF846" i="1"/>
  <c r="AB846" i="1"/>
  <c r="AE846" i="1" s="1"/>
  <c r="AB855" i="1"/>
  <c r="AE855" i="1" s="1"/>
  <c r="AF855" i="1"/>
  <c r="B849" i="1"/>
  <c r="E838" i="1"/>
  <c r="C849" i="1" s="1"/>
  <c r="Z838" i="1"/>
  <c r="AF857" i="1"/>
  <c r="AB857" i="1"/>
  <c r="AE857" i="1" s="1"/>
  <c r="AE528" i="1"/>
  <c r="AG528" i="1"/>
  <c r="AE520" i="1"/>
  <c r="AG520" i="1"/>
  <c r="BG54" i="13"/>
  <c r="BG52" i="13"/>
  <c r="BG53" i="13"/>
  <c r="BG56" i="13"/>
  <c r="BG51" i="13"/>
  <c r="AF861" i="1"/>
  <c r="AB861" i="1"/>
  <c r="AE861" i="1" s="1"/>
  <c r="D116" i="12" l="1"/>
  <c r="E115" i="12"/>
  <c r="D137" i="12"/>
  <c r="E136" i="12"/>
  <c r="D100" i="12"/>
  <c r="E99" i="12"/>
  <c r="AB852" i="1"/>
  <c r="AE852" i="1" s="1"/>
  <c r="AF852" i="1"/>
  <c r="Q821" i="1"/>
  <c r="O821" i="1" s="1"/>
  <c r="O827" i="1" s="1"/>
  <c r="Q830" i="1"/>
  <c r="Q824" i="1" s="1"/>
  <c r="O824" i="1" s="1"/>
  <c r="O830" i="1" s="1"/>
  <c r="AB812" i="1"/>
  <c r="AE788" i="1"/>
  <c r="AB813" i="1"/>
  <c r="AF781" i="1"/>
  <c r="AF783" i="1" s="1"/>
  <c r="Z862" i="1"/>
  <c r="AF838" i="1"/>
  <c r="AB838" i="1"/>
  <c r="AB814" i="1"/>
  <c r="BH51" i="13"/>
  <c r="BH52" i="13" s="1"/>
  <c r="BH53" i="13" s="1"/>
  <c r="BH54" i="13" s="1"/>
  <c r="BH55" i="13" s="1"/>
  <c r="BH56" i="13" s="1"/>
  <c r="BH58" i="13" s="1"/>
  <c r="BG58" i="13"/>
  <c r="M814" i="1"/>
  <c r="S778" i="1"/>
  <c r="S787" i="1"/>
  <c r="AG529" i="1"/>
  <c r="AH506" i="1" s="1"/>
  <c r="AE850" i="1"/>
  <c r="AB864" i="1"/>
  <c r="AC861" i="1"/>
  <c r="AE529" i="1"/>
  <c r="D101" i="12" l="1"/>
  <c r="E100" i="12"/>
  <c r="D138" i="12"/>
  <c r="E137" i="12"/>
  <c r="D117" i="12"/>
  <c r="E116" i="12"/>
  <c r="AB815" i="1"/>
  <c r="R784" i="1"/>
  <c r="R787" i="1" s="1"/>
  <c r="S781" i="1"/>
  <c r="AB863" i="1"/>
  <c r="AB865" i="1" s="1"/>
  <c r="AB862" i="1"/>
  <c r="AE838" i="1"/>
  <c r="AC849" i="1"/>
  <c r="AJ506" i="1"/>
  <c r="AK506" i="1" s="1"/>
  <c r="Y549" i="1"/>
  <c r="AC548" i="1" s="1"/>
  <c r="AI506" i="1"/>
  <c r="AC606" i="1" l="1"/>
  <c r="AC607" i="1"/>
  <c r="AC608" i="1"/>
  <c r="AC609" i="1"/>
  <c r="AC610" i="1"/>
  <c r="AC611" i="1"/>
  <c r="AC612" i="1"/>
  <c r="AC613" i="1"/>
  <c r="AC614" i="1"/>
  <c r="AC615" i="1"/>
  <c r="AC616" i="1"/>
  <c r="AC617" i="1"/>
  <c r="AC618" i="1"/>
  <c r="AC619" i="1"/>
  <c r="AC620" i="1"/>
  <c r="AC621" i="1"/>
  <c r="AC622" i="1"/>
  <c r="AC623" i="1"/>
  <c r="AC624" i="1"/>
  <c r="AC625" i="1"/>
  <c r="AC626" i="1"/>
  <c r="AC627" i="1"/>
  <c r="AC628" i="1"/>
  <c r="D118" i="12"/>
  <c r="E117" i="12"/>
  <c r="D139" i="12"/>
  <c r="E138" i="12"/>
  <c r="D102" i="12"/>
  <c r="E102" i="12" s="1"/>
  <c r="E101" i="12"/>
  <c r="AC652" i="1"/>
  <c r="AC649" i="1"/>
  <c r="AC645" i="1"/>
  <c r="AC646" i="1"/>
  <c r="AC657" i="1"/>
  <c r="AC656" i="1"/>
  <c r="AC639" i="1"/>
  <c r="AC647" i="1"/>
  <c r="AC648" i="1"/>
  <c r="AC640" i="1"/>
  <c r="AC653" i="1"/>
  <c r="AC605" i="1"/>
  <c r="AC661" i="1"/>
  <c r="AC550" i="1"/>
  <c r="AF556" i="1" s="1"/>
  <c r="AC643" i="1"/>
  <c r="AC650" i="1"/>
  <c r="AC641" i="1"/>
  <c r="AC642" i="1"/>
  <c r="AC655" i="1"/>
  <c r="AC651" i="1"/>
  <c r="AC658" i="1"/>
  <c r="AC644" i="1"/>
  <c r="AC654" i="1"/>
  <c r="AE655" i="1"/>
  <c r="AE658" i="1"/>
  <c r="AE650" i="1"/>
  <c r="AE661" i="1"/>
  <c r="AE656" i="1"/>
  <c r="AE648" i="1"/>
  <c r="AE659" i="1"/>
  <c r="AE651" i="1"/>
  <c r="AE654" i="1"/>
  <c r="AE660" i="1"/>
  <c r="AE652" i="1"/>
  <c r="AE641" i="1"/>
  <c r="AE653" i="1"/>
  <c r="AE644" i="1"/>
  <c r="AE647" i="1"/>
  <c r="AE639" i="1"/>
  <c r="AE642" i="1"/>
  <c r="AE649" i="1"/>
  <c r="AE645" i="1"/>
  <c r="AE640" i="1"/>
  <c r="AE657" i="1"/>
  <c r="AE643" i="1"/>
  <c r="AE646" i="1"/>
  <c r="AE638" i="1"/>
  <c r="AF638" i="1" s="1"/>
  <c r="AC638" i="1"/>
  <c r="AC659" i="1"/>
  <c r="AC660" i="1"/>
  <c r="AD674" i="1" l="1"/>
  <c r="AA676" i="1" s="1"/>
  <c r="AA678" i="1" s="1"/>
  <c r="D140" i="12"/>
  <c r="E139" i="12"/>
  <c r="D119" i="12"/>
  <c r="E118" i="12"/>
  <c r="AF639" i="1"/>
  <c r="AF640" i="1" s="1"/>
  <c r="AF641" i="1" s="1"/>
  <c r="AF642" i="1" s="1"/>
  <c r="AF643" i="1" s="1"/>
  <c r="AF644" i="1" s="1"/>
  <c r="AF645" i="1" s="1"/>
  <c r="AF646" i="1" s="1"/>
  <c r="AF647" i="1" s="1"/>
  <c r="AF648" i="1" s="1"/>
  <c r="AF649" i="1" s="1"/>
  <c r="AF650" i="1" s="1"/>
  <c r="AF651" i="1" s="1"/>
  <c r="AF652" i="1" s="1"/>
  <c r="AF653" i="1" s="1"/>
  <c r="AF654" i="1" s="1"/>
  <c r="AF655" i="1" s="1"/>
  <c r="AF656" i="1" s="1"/>
  <c r="AF657" i="1" s="1"/>
  <c r="AF658" i="1" s="1"/>
  <c r="AF659" i="1" s="1"/>
  <c r="AF660" i="1" s="1"/>
  <c r="AF661" i="1" s="1"/>
  <c r="AC554" i="1"/>
  <c r="AF554" i="1" s="1"/>
  <c r="AC662" i="1"/>
  <c r="AC629" i="1"/>
  <c r="D120" i="12" l="1"/>
  <c r="E119" i="12"/>
  <c r="D141" i="12"/>
  <c r="E140" i="12"/>
  <c r="D142" i="12" l="1"/>
  <c r="E141" i="12"/>
  <c r="D121" i="12"/>
  <c r="E120" i="12"/>
  <c r="D122" i="12" l="1"/>
  <c r="E121" i="12"/>
  <c r="D143" i="12"/>
  <c r="E142" i="12"/>
  <c r="D144" i="12" l="1"/>
  <c r="E144" i="12" s="1"/>
  <c r="E143" i="12"/>
  <c r="D123" i="12"/>
  <c r="E123" i="12" s="1"/>
  <c r="E12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ELO</author>
    <author>PGF</author>
  </authors>
  <commentList>
    <comment ref="F3" authorId="0" shapeId="0" xr:uid="{7AAA0B89-E63C-4F99-8CDD-B34AB29D9A26}">
      <text>
        <r>
          <rPr>
            <b/>
            <sz val="9"/>
            <color indexed="81"/>
            <rFont val="Tahoma"/>
            <family val="2"/>
          </rPr>
          <t>ELO:</t>
        </r>
        <r>
          <rPr>
            <sz val="9"/>
            <color indexed="81"/>
            <rFont val="Tahoma"/>
            <family val="2"/>
          </rPr>
          <t xml:space="preserve">
Día
</t>
        </r>
      </text>
    </comment>
    <comment ref="G3" authorId="0" shapeId="0" xr:uid="{6419C8E1-E328-41C4-9218-BE4613D9689B}">
      <text>
        <r>
          <rPr>
            <b/>
            <sz val="9"/>
            <color indexed="81"/>
            <rFont val="Tahoma"/>
            <family val="2"/>
          </rPr>
          <t>ELO:</t>
        </r>
        <r>
          <rPr>
            <sz val="9"/>
            <color indexed="81"/>
            <rFont val="Tahoma"/>
            <family val="2"/>
          </rPr>
          <t xml:space="preserve">
Punta</t>
        </r>
      </text>
    </comment>
    <comment ref="H3" authorId="0" shapeId="0" xr:uid="{70331EE7-3179-4340-AE69-9CE665B6C3EB}">
      <text>
        <r>
          <rPr>
            <b/>
            <sz val="9"/>
            <color indexed="81"/>
            <rFont val="Tahoma"/>
            <family val="2"/>
          </rPr>
          <t>ELO:</t>
        </r>
        <r>
          <rPr>
            <sz val="9"/>
            <color indexed="81"/>
            <rFont val="Tahoma"/>
            <family val="2"/>
          </rPr>
          <t xml:space="preserve">
Noche</t>
        </r>
      </text>
    </comment>
    <comment ref="S98" authorId="1" shapeId="0" xr:uid="{E2624571-27C3-4B2C-951C-D67E11EE80AF}">
      <text>
        <r>
          <rPr>
            <b/>
            <sz val="9"/>
            <color indexed="81"/>
            <rFont val="Tahoma"/>
            <family val="2"/>
          </rPr>
          <t>PGF:</t>
        </r>
        <r>
          <rPr>
            <sz val="9"/>
            <color indexed="81"/>
            <rFont val="Tahoma"/>
            <family val="2"/>
          </rPr>
          <t xml:space="preserve">
sumatoria cuadrados</t>
        </r>
      </text>
    </comment>
    <comment ref="AF226" authorId="1" shapeId="0" xr:uid="{CFE754E7-7370-4345-83CC-E58CF30BB075}">
      <text>
        <r>
          <rPr>
            <b/>
            <sz val="9"/>
            <color indexed="81"/>
            <rFont val="Tahoma"/>
            <family val="2"/>
          </rPr>
          <t>PGF:</t>
        </r>
        <r>
          <rPr>
            <sz val="9"/>
            <color indexed="81"/>
            <rFont val="Tahoma"/>
            <family val="2"/>
          </rPr>
          <t xml:space="preserve">
Obtenida de tabla</t>
        </r>
      </text>
    </comment>
    <comment ref="AF411" authorId="1" shapeId="0" xr:uid="{25F01612-BB1E-46D7-9CE0-6F1AC28D4672}">
      <text>
        <r>
          <rPr>
            <b/>
            <sz val="9"/>
            <color indexed="81"/>
            <rFont val="Tahoma"/>
            <family val="2"/>
          </rPr>
          <t>PGF:</t>
        </r>
        <r>
          <rPr>
            <sz val="9"/>
            <color indexed="81"/>
            <rFont val="Tahoma"/>
            <family val="2"/>
          </rPr>
          <t xml:space="preserve">
Obtenida de tabla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ELO</author>
  </authors>
  <commentList>
    <comment ref="B5" authorId="0" shapeId="0" xr:uid="{42120512-EE8C-4848-BE37-0C499C8B679D}">
      <text>
        <r>
          <rPr>
            <b/>
            <sz val="9"/>
            <color indexed="81"/>
            <rFont val="Tahoma"/>
            <family val="2"/>
          </rPr>
          <t>ELO:</t>
        </r>
        <r>
          <rPr>
            <sz val="9"/>
            <color indexed="81"/>
            <rFont val="Tahoma"/>
            <family val="2"/>
          </rPr>
          <t xml:space="preserve">
Por galon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PGF</author>
  </authors>
  <commentList>
    <comment ref="G52" authorId="0" shapeId="0" xr:uid="{35C787A5-6CB5-4952-9D55-FF32969398B3}">
      <text>
        <r>
          <rPr>
            <b/>
            <sz val="9"/>
            <color indexed="81"/>
            <rFont val="Tahoma"/>
            <family val="2"/>
          </rPr>
          <t>PGF:</t>
        </r>
        <r>
          <rPr>
            <sz val="9"/>
            <color indexed="81"/>
            <rFont val="Tahoma"/>
            <family val="2"/>
          </rPr>
          <t xml:space="preserve">
Verificar</t>
        </r>
      </text>
    </comment>
    <comment ref="O52" authorId="0" shapeId="0" xr:uid="{45949396-85E3-4DC8-A731-64684A9AC1EB}">
      <text>
        <r>
          <rPr>
            <b/>
            <sz val="9"/>
            <color indexed="81"/>
            <rFont val="Tahoma"/>
            <family val="2"/>
          </rPr>
          <t>PGF:</t>
        </r>
        <r>
          <rPr>
            <sz val="9"/>
            <color indexed="81"/>
            <rFont val="Tahoma"/>
            <family val="2"/>
          </rPr>
          <t xml:space="preserve">
Verificar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PGF</author>
  </authors>
  <commentList>
    <comment ref="U39" authorId="0" shapeId="0" xr:uid="{5AA6E13E-3F13-45AA-8A83-0DF775591DF1}">
      <text>
        <r>
          <rPr>
            <b/>
            <sz val="9"/>
            <color indexed="81"/>
            <rFont val="Tahoma"/>
            <family val="2"/>
          </rPr>
          <t>PGF:</t>
        </r>
        <r>
          <rPr>
            <sz val="9"/>
            <color indexed="81"/>
            <rFont val="Tahoma"/>
            <family val="2"/>
          </rPr>
          <t xml:space="preserve">
Relación de Eficiencia Energética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PGF</author>
  </authors>
  <commentList>
    <comment ref="F47" authorId="0" shapeId="0" xr:uid="{7031AF3F-2F89-464E-94DA-7A9113EA65D5}">
      <text>
        <r>
          <rPr>
            <b/>
            <sz val="9"/>
            <color indexed="81"/>
            <rFont val="Tahoma"/>
            <family val="2"/>
          </rPr>
          <t>PGF:</t>
        </r>
        <r>
          <rPr>
            <sz val="9"/>
            <color indexed="81"/>
            <rFont val="Tahoma"/>
            <family val="2"/>
          </rPr>
          <t xml:space="preserve">
Relación de Eficiencia Energética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PGF</author>
    <author>ELO</author>
  </authors>
  <commentList>
    <comment ref="E131" authorId="0" shapeId="0" xr:uid="{E9BCF72D-8E5B-44EB-BA3A-6589229E7E4E}">
      <text>
        <r>
          <rPr>
            <b/>
            <sz val="9"/>
            <color indexed="81"/>
            <rFont val="Tahoma"/>
            <family val="2"/>
          </rPr>
          <t>PGF:</t>
        </r>
        <r>
          <rPr>
            <sz val="9"/>
            <color indexed="81"/>
            <rFont val="Tahoma"/>
            <family val="2"/>
          </rPr>
          <t xml:space="preserve">
Relación de Eficiencia Energética
</t>
        </r>
      </text>
    </comment>
    <comment ref="E154" authorId="0" shapeId="0" xr:uid="{66CC44F9-591F-4602-B438-33FBE787B48F}">
      <text>
        <r>
          <rPr>
            <b/>
            <sz val="9"/>
            <color indexed="81"/>
            <rFont val="Tahoma"/>
            <family val="2"/>
          </rPr>
          <t>PGF:</t>
        </r>
        <r>
          <rPr>
            <sz val="9"/>
            <color indexed="81"/>
            <rFont val="Tahoma"/>
            <family val="2"/>
          </rPr>
          <t xml:space="preserve">
Relación de Eficiencia Energética
</t>
        </r>
      </text>
    </comment>
    <comment ref="B500" authorId="0" shapeId="0" xr:uid="{F42A04A7-6D4C-4078-8534-B7344AD6F6FE}">
      <text>
        <r>
          <rPr>
            <b/>
            <sz val="9"/>
            <color indexed="81"/>
            <rFont val="Tahoma"/>
            <family val="2"/>
          </rPr>
          <t>PGF:</t>
        </r>
        <r>
          <rPr>
            <sz val="9"/>
            <color indexed="81"/>
            <rFont val="Tahoma"/>
            <family val="2"/>
          </rPr>
          <t xml:space="preserve">
Gas licuado de petróleo</t>
        </r>
      </text>
    </comment>
    <comment ref="L598" authorId="1" shapeId="0" xr:uid="{576AF46C-F2FA-48E7-9398-6EE2AD677706}">
      <text>
        <r>
          <rPr>
            <b/>
            <sz val="9"/>
            <color indexed="81"/>
            <rFont val="Tahoma"/>
            <family val="2"/>
          </rPr>
          <t>ELO:</t>
        </r>
        <r>
          <rPr>
            <sz val="9"/>
            <color indexed="81"/>
            <rFont val="Tahoma"/>
            <family val="2"/>
          </rPr>
          <t xml:space="preserve">
Fibra de vidrio</t>
        </r>
      </text>
    </comment>
    <comment ref="L713" authorId="1" shapeId="0" xr:uid="{5E3FC28C-E37E-4436-9478-5E2ED259BF4C}">
      <text>
        <r>
          <rPr>
            <b/>
            <sz val="9"/>
            <color indexed="81"/>
            <rFont val="Tahoma"/>
            <family val="2"/>
          </rPr>
          <t>ELO:</t>
        </r>
        <r>
          <rPr>
            <sz val="9"/>
            <color indexed="81"/>
            <rFont val="Tahoma"/>
            <family val="2"/>
          </rPr>
          <t xml:space="preserve">
Fibra de vidrio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PGF</author>
  </authors>
  <commentList>
    <comment ref="D5" authorId="0" shapeId="0" xr:uid="{E8767E7B-96A6-4011-881A-52519F2805F0}">
      <text>
        <r>
          <rPr>
            <b/>
            <sz val="9"/>
            <color indexed="81"/>
            <rFont val="Tahoma"/>
            <family val="2"/>
          </rPr>
          <t>PGF:</t>
        </r>
        <r>
          <rPr>
            <sz val="9"/>
            <color indexed="81"/>
            <rFont val="Tahoma"/>
            <family val="2"/>
          </rPr>
          <t xml:space="preserve">
https://es.statista.com/estadisticas/1189953/tasa-de-inflacion-chile/
</t>
        </r>
      </text>
    </comment>
    <comment ref="D6" authorId="0" shapeId="0" xr:uid="{C3F4D40A-29B0-4F0E-AA82-61B8BEEABB6C}">
      <text>
        <r>
          <rPr>
            <b/>
            <sz val="9"/>
            <color indexed="81"/>
            <rFont val="Tahoma"/>
            <family val="2"/>
          </rPr>
          <t>PGF:</t>
        </r>
        <r>
          <rPr>
            <sz val="9"/>
            <color indexed="81"/>
            <rFont val="Tahoma"/>
            <family val="2"/>
          </rPr>
          <t xml:space="preserve">
https://www.df.cl/economia-y-politica/macro/reajuste-en-el-valor-de-las-tarifas-electricas-aumentaria-en-dos-decimas
</t>
        </r>
      </text>
    </comment>
    <comment ref="D7" authorId="0" shapeId="0" xr:uid="{A631E349-CC13-4147-B963-B10AC0CBDC2F}">
      <text>
        <r>
          <rPr>
            <b/>
            <sz val="9"/>
            <color indexed="81"/>
            <rFont val="Tahoma"/>
            <family val="2"/>
          </rPr>
          <t>PGF:</t>
        </r>
        <r>
          <rPr>
            <sz val="9"/>
            <color indexed="81"/>
            <rFont val="Tahoma"/>
            <family val="2"/>
          </rPr>
          <t xml:space="preserve">
https://www.theclinic.cl/2024/05/13/precio-de-la-parafina-aumento-en-un-24-en-un-ano/</t>
        </r>
      </text>
    </comment>
    <comment ref="D10" authorId="0" shapeId="0" xr:uid="{FBFD0883-BB2E-47AC-8792-91CB6AEEFEB3}">
      <text>
        <r>
          <rPr>
            <b/>
            <sz val="9"/>
            <color indexed="81"/>
            <rFont val="Tahoma"/>
            <family val="2"/>
          </rPr>
          <t>PGF:</t>
        </r>
        <r>
          <rPr>
            <sz val="9"/>
            <color indexed="81"/>
            <rFont val="Tahoma"/>
            <family val="2"/>
          </rPr>
          <t xml:space="preserve">
Banco Central Chile</t>
        </r>
      </text>
    </comment>
    <comment ref="D12" authorId="0" shapeId="0" xr:uid="{BF03D188-5576-4841-A9DC-5938EFE0EE83}">
      <text>
        <r>
          <rPr>
            <b/>
            <sz val="9"/>
            <color indexed="81"/>
            <rFont val="Tahoma"/>
            <family val="2"/>
          </rPr>
          <t>PGF:</t>
        </r>
        <r>
          <rPr>
            <sz val="9"/>
            <color indexed="81"/>
            <rFont val="Tahoma"/>
            <family val="2"/>
          </rPr>
          <t xml:space="preserve">
Banco Central Chile</t>
        </r>
      </text>
    </comment>
  </commentList>
</comments>
</file>

<file path=xl/sharedStrings.xml><?xml version="1.0" encoding="utf-8"?>
<sst xmlns="http://schemas.openxmlformats.org/spreadsheetml/2006/main" count="3404" uniqueCount="1181">
  <si>
    <t>Medio</t>
  </si>
  <si>
    <t>PERÍODO FACTURA</t>
  </si>
  <si>
    <t>CONSUMO [kWh]</t>
  </si>
  <si>
    <t>Mes</t>
  </si>
  <si>
    <t>Inicio</t>
  </si>
  <si>
    <t>Término</t>
  </si>
  <si>
    <t>Días</t>
  </si>
  <si>
    <t>Horario Llano (08:00 - 18:00)</t>
  </si>
  <si>
    <t xml:space="preserve">Horario Punta (18:00 - 22:00) </t>
  </si>
  <si>
    <t xml:space="preserve">Horario Valle (22:00 - 08:00) </t>
  </si>
  <si>
    <t>Total Consumo [kWh]</t>
  </si>
  <si>
    <t>Media (mes) 2022</t>
  </si>
  <si>
    <t>Total (anual) 2022</t>
  </si>
  <si>
    <t>Media (mes) 2023</t>
  </si>
  <si>
    <t>Total (anual) 2023</t>
  </si>
  <si>
    <t>Horas x día</t>
  </si>
  <si>
    <t>Media Consumo mes</t>
  </si>
  <si>
    <t>Media Consumo anual</t>
  </si>
  <si>
    <t>Media Costo mes</t>
  </si>
  <si>
    <t>Media Costo anual</t>
  </si>
  <si>
    <t>Media Costo Galón</t>
  </si>
  <si>
    <t>Comportamiento del consumo de combustible expresado en Giga Joule de energía</t>
  </si>
  <si>
    <t>Comportamiento de indicador de desempeño energético para emulsión asfáltica</t>
  </si>
  <si>
    <t>Comportamiento de indicador de desempeño energético para mezcla asfáltica</t>
  </si>
  <si>
    <t>Comportamiento de indicador de desempeño energético para emulsiones asfálticas</t>
  </si>
  <si>
    <t>Indicadores energéticos establecidos para la empresa</t>
  </si>
  <si>
    <t>Energéticos</t>
  </si>
  <si>
    <t>Ambientales</t>
  </si>
  <si>
    <t>Inventario de motores de la empresa</t>
  </si>
  <si>
    <t>Datos de consumo eléctrico de molino coloidal</t>
  </si>
  <si>
    <t>Inventario de aires acondicionados de la empresa</t>
  </si>
  <si>
    <t>Inventario de luminarias de la empresa</t>
  </si>
  <si>
    <t>Inventario de equipo de laboratorio de mayor uso</t>
  </si>
  <si>
    <t>Inventario de quemadores de queroseno</t>
  </si>
  <si>
    <t>Kerosene [gal]</t>
  </si>
  <si>
    <t>parafina</t>
  </si>
  <si>
    <t>kerosene</t>
  </si>
  <si>
    <t>20 litros</t>
  </si>
  <si>
    <t>media</t>
  </si>
  <si>
    <t>top</t>
  </si>
  <si>
    <t>1 dollar</t>
  </si>
  <si>
    <t>galon USD</t>
  </si>
  <si>
    <t>galon $</t>
  </si>
  <si>
    <t>✓</t>
  </si>
  <si>
    <t>galones x día</t>
  </si>
  <si>
    <t>Kerosene [US$]</t>
  </si>
  <si>
    <t>Total Energía [GJ]</t>
  </si>
  <si>
    <t>https://es.converterin.com/economia-de-combustible/us-galones-de-gasoil-to-joule.html</t>
  </si>
  <si>
    <t>Conversterin</t>
  </si>
  <si>
    <t>US galon de kerosene</t>
  </si>
  <si>
    <t>Joule</t>
  </si>
  <si>
    <t>Giga Joule</t>
  </si>
  <si>
    <t>Consumo de Kerosene año 2022</t>
  </si>
  <si>
    <t>Consumo de Kerosene año 2023</t>
  </si>
  <si>
    <t xml:space="preserve">Consumo Energía Eléctrica [kWh] </t>
  </si>
  <si>
    <t xml:space="preserve">Consumo Térmico [Gal Kerosene] </t>
  </si>
  <si>
    <r>
      <t>Emulsión Asfáltica [m</t>
    </r>
    <r>
      <rPr>
        <sz val="11"/>
        <color theme="1"/>
        <rFont val="Aptos Narrow"/>
        <family val="2"/>
      </rPr>
      <t>³</t>
    </r>
    <r>
      <rPr>
        <sz val="11"/>
        <color theme="1"/>
        <rFont val="Aptos Narrow"/>
        <family val="2"/>
        <scheme val="minor"/>
      </rPr>
      <t xml:space="preserve">] </t>
    </r>
  </si>
  <si>
    <r>
      <t>Mezcla Asfáltica [m</t>
    </r>
    <r>
      <rPr>
        <sz val="11"/>
        <color theme="1"/>
        <rFont val="Aptos Narrow"/>
        <family val="2"/>
      </rPr>
      <t>³</t>
    </r>
    <r>
      <rPr>
        <sz val="11"/>
        <color theme="1"/>
        <rFont val="Aptos Narrow"/>
        <family val="2"/>
        <scheme val="minor"/>
      </rPr>
      <t xml:space="preserve">] </t>
    </r>
  </si>
  <si>
    <r>
      <t>kWh/m</t>
    </r>
    <r>
      <rPr>
        <sz val="11"/>
        <color theme="1"/>
        <rFont val="Aptos Narrow"/>
        <family val="2"/>
      </rPr>
      <t>³ Emulsión</t>
    </r>
  </si>
  <si>
    <r>
      <t>kWh/m</t>
    </r>
    <r>
      <rPr>
        <sz val="11"/>
        <color theme="1"/>
        <rFont val="Aptos Narrow"/>
        <family val="2"/>
      </rPr>
      <t>³ Mezcla</t>
    </r>
  </si>
  <si>
    <r>
      <t>kg CO</t>
    </r>
    <r>
      <rPr>
        <sz val="11"/>
        <color theme="1"/>
        <rFont val="Calibri"/>
        <family val="2"/>
      </rPr>
      <t>₂</t>
    </r>
    <r>
      <rPr>
        <sz val="11"/>
        <color theme="1"/>
        <rFont val="Aptos Narrow"/>
        <family val="2"/>
      </rPr>
      <t>/m³ Emulsión</t>
    </r>
  </si>
  <si>
    <r>
      <t>kg CO</t>
    </r>
    <r>
      <rPr>
        <sz val="11"/>
        <color theme="1"/>
        <rFont val="Calibri"/>
        <family val="2"/>
      </rPr>
      <t>₂</t>
    </r>
    <r>
      <rPr>
        <sz val="11"/>
        <color theme="1"/>
        <rFont val="Aptos Narrow"/>
        <family val="2"/>
      </rPr>
      <t>/m³ Mezcla</t>
    </r>
  </si>
  <si>
    <t>Media</t>
  </si>
  <si>
    <t>factor</t>
  </si>
  <si>
    <t>Total</t>
  </si>
  <si>
    <t>Historia de consumo de combustible y energía de la empresa 2022</t>
  </si>
  <si>
    <t>Datos de consumo de combustible 2022</t>
  </si>
  <si>
    <t>Datos de consumo de combustible 2023</t>
  </si>
  <si>
    <t>Historia de consumo de combustible y energía de la empresa 2023</t>
  </si>
  <si>
    <t>Indicadores Energéticos de empresa 2022</t>
  </si>
  <si>
    <t>Indicadores Energéticos de empresa 2023</t>
  </si>
  <si>
    <r>
      <t>Kerosene gal /m</t>
    </r>
    <r>
      <rPr>
        <sz val="11"/>
        <color theme="1"/>
        <rFont val="Aptos Narrow"/>
        <family val="2"/>
      </rPr>
      <t>³ Emulsión</t>
    </r>
  </si>
  <si>
    <t>[kWh/m³]</t>
  </si>
  <si>
    <t>Media de producción de emulsión asfáltica</t>
  </si>
  <si>
    <t>Media de producción de mezcla asfáltica</t>
  </si>
  <si>
    <t>[kg CO₂/m³]</t>
  </si>
  <si>
    <t>[gal /m³]</t>
  </si>
  <si>
    <t>Media del consumo de galon de kerosene por producción de emulsión</t>
  </si>
  <si>
    <t>http://energiaabierta.cl/visualizaciones/factor-de-emision-sic-sing/</t>
  </si>
  <si>
    <t>Consumo Energía Eléctrica [kWh]</t>
  </si>
  <si>
    <r>
      <t>Emisiones totales por consumo eléctrico [Ton CO</t>
    </r>
    <r>
      <rPr>
        <sz val="11"/>
        <color theme="1"/>
        <rFont val="Calibri"/>
        <family val="2"/>
      </rPr>
      <t>₂</t>
    </r>
    <r>
      <rPr>
        <sz val="11"/>
        <color theme="1"/>
        <rFont val="Aptos Narrow"/>
        <family val="2"/>
      </rPr>
      <t>]</t>
    </r>
  </si>
  <si>
    <t>Consumo Energía Térmica [GJ]</t>
  </si>
  <si>
    <r>
      <t>Emisiones totales por consumo térmico [Ton CO</t>
    </r>
    <r>
      <rPr>
        <sz val="11"/>
        <color theme="1"/>
        <rFont val="Calibri"/>
        <family val="2"/>
      </rPr>
      <t>₂</t>
    </r>
    <r>
      <rPr>
        <sz val="11"/>
        <color theme="1"/>
        <rFont val="Aptos Narrow"/>
        <family val="2"/>
      </rPr>
      <t>]</t>
    </r>
  </si>
  <si>
    <t>https://4echile.cl/wp-content/uploads/2023/01/Gui%CC%81a-Complementaria-Herramienta-Costo-de-Abatimiento-GIZ.pdf</t>
  </si>
  <si>
    <t>https://www.coordinador.cl/novedades/sistema-electrico-redujo-21-sus-emisiones-en-2023-y-se-espera-que-siga-creciendo-participacion-de-energia-renovable-variable/</t>
  </si>
  <si>
    <t>emisión [Ton CO₂]</t>
  </si>
  <si>
    <t>emisión [Kg CO₂]</t>
  </si>
  <si>
    <t>Calcular</t>
  </si>
  <si>
    <t>gal diarios</t>
  </si>
  <si>
    <t>Área</t>
  </si>
  <si>
    <t>Descripción</t>
  </si>
  <si>
    <t>Capacidad instalada [kW]</t>
  </si>
  <si>
    <t>Hora de uso diario</t>
  </si>
  <si>
    <t>Factor de carga</t>
  </si>
  <si>
    <t>[Kwh]/día</t>
  </si>
  <si>
    <t>[Kwh]/mes</t>
  </si>
  <si>
    <t>[Kwh]/año</t>
  </si>
  <si>
    <t>Bomba de pozo</t>
  </si>
  <si>
    <t>Bomba mezclador</t>
  </si>
  <si>
    <t>Bomba para ácido</t>
  </si>
  <si>
    <t>Bomba de kereosene (calentar agua)</t>
  </si>
  <si>
    <t>Bomba para jabón (estanque de preparación)</t>
  </si>
  <si>
    <t>Bomba de jabón (agua preparada)</t>
  </si>
  <si>
    <t>Motor rotador emulsión</t>
  </si>
  <si>
    <t>Agua jabonosa y aditivos</t>
  </si>
  <si>
    <t>Bomba de asfalto</t>
  </si>
  <si>
    <t>Bomba de asfalfo ex</t>
  </si>
  <si>
    <t>Bomba de asfalto in</t>
  </si>
  <si>
    <t>Motor aceite térmico</t>
  </si>
  <si>
    <t>Bomba de emulsión</t>
  </si>
  <si>
    <t>Motor de mezcladora</t>
  </si>
  <si>
    <t>Bomba de emulsiones</t>
  </si>
  <si>
    <t>Emulsión</t>
  </si>
  <si>
    <t>Almacenamiento</t>
  </si>
  <si>
    <t>Motor reductor de chispa</t>
  </si>
  <si>
    <t>Motor banda transportadora</t>
  </si>
  <si>
    <t>Bomba de agua</t>
  </si>
  <si>
    <t>Bomba contra incendio</t>
  </si>
  <si>
    <t>Nodriza</t>
  </si>
  <si>
    <t>Molino coloidal</t>
  </si>
  <si>
    <t>Mini Split</t>
  </si>
  <si>
    <t>Lab. de Control</t>
  </si>
  <si>
    <t>Tipo</t>
  </si>
  <si>
    <t>Capacidad [BTU/h]</t>
  </si>
  <si>
    <t>Potencia [kW]</t>
  </si>
  <si>
    <t>EER</t>
  </si>
  <si>
    <t>Horas Semana</t>
  </si>
  <si>
    <t>Horas año</t>
  </si>
  <si>
    <t>Consumo anual [kWh/año]</t>
  </si>
  <si>
    <t>https://reformaenergeticamalaga.es/como-convertir-btu-en-kw-pasar-transformar.html?btu=1</t>
  </si>
  <si>
    <t>Eficiencia energética = (Energía de salida útil / Energía de entrada) x 100%</t>
  </si>
  <si>
    <t>EER = 12,000 BTU/h / 1,200 W</t>
  </si>
  <si>
    <t>EER = 10</t>
  </si>
  <si>
    <t>Lab. de Suelos</t>
  </si>
  <si>
    <t>Oficinas 1</t>
  </si>
  <si>
    <t>Oficinas 2</t>
  </si>
  <si>
    <t>Oficinas 3</t>
  </si>
  <si>
    <t>Sala de reuniones</t>
  </si>
  <si>
    <t>Central</t>
  </si>
  <si>
    <t>Potencia [W]</t>
  </si>
  <si>
    <t>Cantidad</t>
  </si>
  <si>
    <t>Potencia instalada [W]</t>
  </si>
  <si>
    <t>Uso aproximado (h/día)</t>
  </si>
  <si>
    <t>Tubo fluorescente</t>
  </si>
  <si>
    <t>Foco fluorescente</t>
  </si>
  <si>
    <t>Perimetrales</t>
  </si>
  <si>
    <t>Lámpara fluorescente</t>
  </si>
  <si>
    <t>Oficina Lab de Control</t>
  </si>
  <si>
    <t>Exteriores</t>
  </si>
  <si>
    <t>Lab Suelos</t>
  </si>
  <si>
    <t>Lab I+D</t>
  </si>
  <si>
    <t>Baños</t>
  </si>
  <si>
    <t>Pasillo</t>
  </si>
  <si>
    <t>Cocina</t>
  </si>
  <si>
    <t>Horas de uso /día</t>
  </si>
  <si>
    <t>[kWh]/día</t>
  </si>
  <si>
    <t>[kWh]/mes</t>
  </si>
  <si>
    <t>[kWh]/año</t>
  </si>
  <si>
    <t>Reómetro</t>
  </si>
  <si>
    <t>Hornos (3)</t>
  </si>
  <si>
    <t>RTFO</t>
  </si>
  <si>
    <t>Capacidad de procesamiento  gal/hora (placa)</t>
  </si>
  <si>
    <t>Capacidad de generación de energía kBTU/hora (placa)</t>
  </si>
  <si>
    <t>Combustible consumido gal/mes</t>
  </si>
  <si>
    <t>Consumo anual gal/año</t>
  </si>
  <si>
    <t>Quemador kerosene</t>
  </si>
  <si>
    <t>Quemador kerosene (caldera aceite térmico)</t>
  </si>
  <si>
    <t>Almacenamiento y recirculación de asfalto</t>
  </si>
  <si>
    <t>1,2 a 5,5</t>
  </si>
  <si>
    <t>175 a 170</t>
  </si>
  <si>
    <t>Emisiones totales de la empresa 2022</t>
  </si>
  <si>
    <t>Emisiones totales de la empresa 2023</t>
  </si>
  <si>
    <t>Histórico de Factura Eléctrica 2022-2023</t>
  </si>
  <si>
    <t>Valor</t>
  </si>
  <si>
    <t>Unidades</t>
  </si>
  <si>
    <t>Densidad Kerosene</t>
  </si>
  <si>
    <t>Poder calorífico</t>
  </si>
  <si>
    <t>Media consumo Kerosene</t>
  </si>
  <si>
    <t>Total Energía mensual</t>
  </si>
  <si>
    <t>[kg/gal]</t>
  </si>
  <si>
    <t>[kJ/kg]</t>
  </si>
  <si>
    <t>[gal/mes]</t>
  </si>
  <si>
    <t>[GJ]</t>
  </si>
  <si>
    <t>Energía total mensual requerida por el proceso</t>
  </si>
  <si>
    <t>Energía total mensual requerida para calentamiento de asfalto</t>
  </si>
  <si>
    <t>Energía para calentar asfalto</t>
  </si>
  <si>
    <t>Cantidad de asfalto mensual</t>
  </si>
  <si>
    <t>Densidad del asfalto</t>
  </si>
  <si>
    <t>Capacidad calórica del asfalto</t>
  </si>
  <si>
    <t>Temperatura inicial</t>
  </si>
  <si>
    <t>Temperatura final</t>
  </si>
  <si>
    <t>Cantidad de combustible</t>
  </si>
  <si>
    <t>[kg/mes]</t>
  </si>
  <si>
    <t>[GJ/mes]</t>
  </si>
  <si>
    <t>[kJ/kg] °C</t>
  </si>
  <si>
    <t>[kg/galón]</t>
  </si>
  <si>
    <t>°C</t>
  </si>
  <si>
    <t>Porcentaje de combustible</t>
  </si>
  <si>
    <t>Q= Energía requerida [Gj]</t>
  </si>
  <si>
    <t>m= Masa del asfalto [kg]</t>
  </si>
  <si>
    <t>Cp= Capacidad calórifica del asfalto [kJ/kg°C]</t>
  </si>
  <si>
    <t>▲T= Delta de temperatura  [°C]</t>
  </si>
  <si>
    <t>Energía total mensual requerida para calentamiento de agua</t>
  </si>
  <si>
    <t>Energía para calentar agua</t>
  </si>
  <si>
    <t>Cantidad de agua mensual</t>
  </si>
  <si>
    <t>Capacidad calórica del agua</t>
  </si>
  <si>
    <t>Densidad del agua</t>
  </si>
  <si>
    <t>[KJ/mes]</t>
  </si>
  <si>
    <t>Energía total mensual requerida para calentamiento de aceite térmico</t>
  </si>
  <si>
    <t>Energía para calentar aceite térmico</t>
  </si>
  <si>
    <t>Distribución</t>
  </si>
  <si>
    <t>gal kerosene/año</t>
  </si>
  <si>
    <t>Porcentaje</t>
  </si>
  <si>
    <t>[GJ/año]</t>
  </si>
  <si>
    <t>Calentamiento de asfalto</t>
  </si>
  <si>
    <t>Calentamiento aceite térmico</t>
  </si>
  <si>
    <t>Calentamiento de agua</t>
  </si>
  <si>
    <t>Distribución de consumo de kerosene 2022</t>
  </si>
  <si>
    <t>Distribución de consumo de kerosene 2023</t>
  </si>
  <si>
    <t>Balance eléctrico de la planta</t>
  </si>
  <si>
    <t>Consumidor</t>
  </si>
  <si>
    <t>%</t>
  </si>
  <si>
    <t>Emulsiones</t>
  </si>
  <si>
    <t>Aires acondicionados</t>
  </si>
  <si>
    <t>Equipos de laboratorio</t>
  </si>
  <si>
    <t>Otros</t>
  </si>
  <si>
    <t>Consumo ref. factura</t>
  </si>
  <si>
    <t>Luminarias</t>
  </si>
  <si>
    <t>Volúmenes de composición anual de emulsión asfáltica</t>
  </si>
  <si>
    <t>Producción total anual (gal)</t>
  </si>
  <si>
    <t>Asfalto (gal)</t>
  </si>
  <si>
    <t>Agua (gal)</t>
  </si>
  <si>
    <t>Otros (gal)</t>
  </si>
  <si>
    <r>
      <t>Ton de CO</t>
    </r>
    <r>
      <rPr>
        <sz val="11"/>
        <color theme="1"/>
        <rFont val="Calibri"/>
        <family val="2"/>
      </rPr>
      <t>₂</t>
    </r>
    <r>
      <rPr>
        <sz val="11"/>
        <color theme="1"/>
        <rFont val="Aptos Narrow"/>
        <family val="2"/>
        <scheme val="minor"/>
      </rPr>
      <t>/MWh  (factor por emisión de combustible)</t>
    </r>
  </si>
  <si>
    <t>Emulsión asfáltica</t>
  </si>
  <si>
    <t>Agua</t>
  </si>
  <si>
    <t>Asfalto</t>
  </si>
  <si>
    <t>Situación actual</t>
  </si>
  <si>
    <t>Viabilidad técnica</t>
  </si>
  <si>
    <t>Viabilidad económica</t>
  </si>
  <si>
    <t>Propuestas</t>
  </si>
  <si>
    <t>Viabilidad ambiental</t>
  </si>
  <si>
    <t>Cambios</t>
  </si>
  <si>
    <t>Situación propuesta</t>
  </si>
  <si>
    <t>Motores</t>
  </si>
  <si>
    <t>Quemadores</t>
  </si>
  <si>
    <t>Tuberías</t>
  </si>
  <si>
    <t>Pérdidas sin aislamiento</t>
  </si>
  <si>
    <t>Pérdidas con aislamiento</t>
  </si>
  <si>
    <t>Convencionales</t>
  </si>
  <si>
    <t>Tecnología LED</t>
  </si>
  <si>
    <t>Nuevo Consumo [kWh/año]</t>
  </si>
  <si>
    <t>Ahorro [kWh/año]</t>
  </si>
  <si>
    <t>Beneficio económico =</t>
  </si>
  <si>
    <t>https://www.sasipa.cl/tarifas-electricas/</t>
  </si>
  <si>
    <t>Precio de la energía Chile</t>
  </si>
  <si>
    <t>[US$/año]</t>
  </si>
  <si>
    <t>Costo Tecnología LED 18 W</t>
  </si>
  <si>
    <t>Convencionales a reemplazar</t>
  </si>
  <si>
    <t>Costo inversión</t>
  </si>
  <si>
    <t xml:space="preserve">Beneficio económico </t>
  </si>
  <si>
    <t>Beneficio ambiental =</t>
  </si>
  <si>
    <t>Resumen viabilidad económica y ambiental</t>
  </si>
  <si>
    <t>Medida de EE</t>
  </si>
  <si>
    <t>Cambio por tecnología LED</t>
  </si>
  <si>
    <t>Consumo actual</t>
  </si>
  <si>
    <t>Consumo propuesto</t>
  </si>
  <si>
    <t>% de ahorro</t>
  </si>
  <si>
    <t>Beneficio ecnómico</t>
  </si>
  <si>
    <t>Inversión</t>
  </si>
  <si>
    <t>PSRI</t>
  </si>
  <si>
    <t>Vida útil</t>
  </si>
  <si>
    <t>Beneficio ambiental</t>
  </si>
  <si>
    <t>Ahorro</t>
  </si>
  <si>
    <t>https://powerenergy.cl/producto/tubo-de-vidrio-t8-120cm-18w-frio</t>
  </si>
  <si>
    <t>Aires Acondicionados</t>
  </si>
  <si>
    <t>Tipo Central</t>
  </si>
  <si>
    <t>Nr</t>
  </si>
  <si>
    <t>Unidad de calor</t>
  </si>
  <si>
    <t>Factor de carga del equipo</t>
  </si>
  <si>
    <t>Factor de potencia del equipo</t>
  </si>
  <si>
    <t>Ejemplo</t>
  </si>
  <si>
    <t>Consumo anual propuesto [kWh/año]</t>
  </si>
  <si>
    <t>Ahorros anuales=</t>
  </si>
  <si>
    <t>Mini Split tecnología inverter</t>
  </si>
  <si>
    <t>Central tecnología inverter</t>
  </si>
  <si>
    <t>Reducción de potencia</t>
  </si>
  <si>
    <r>
      <t>Toneladas de CO</t>
    </r>
    <r>
      <rPr>
        <sz val="11"/>
        <color theme="1"/>
        <rFont val="Calibri"/>
        <family val="2"/>
      </rPr>
      <t>₂</t>
    </r>
    <r>
      <rPr>
        <sz val="11"/>
        <color theme="1"/>
        <rFont val="Aptos Narrow"/>
        <family val="2"/>
        <scheme val="minor"/>
      </rPr>
      <t xml:space="preserve"> no emitidas</t>
    </r>
  </si>
  <si>
    <t>Tecnología Inverter</t>
  </si>
  <si>
    <t>Motores con mayor consumo</t>
  </si>
  <si>
    <t>Sustituir aires acondicionados Mini split por modelos que posean la misma capcidad de enfriamiento, pero con un consumo menor de potencia</t>
  </si>
  <si>
    <t>Con tecnología más eficiente logrando un ERR de 11</t>
  </si>
  <si>
    <t>Sustituir aires acondicionados Central por modelos que posean la misma capcidad de enfriamiento, pero con un consumo menor de potencia</t>
  </si>
  <si>
    <t>Con tecnología más eficiente logrando un ERR de 10.4</t>
  </si>
  <si>
    <t>Tecnología a utilizar: Inverter</t>
  </si>
  <si>
    <t>Sustituir motores con la misma capacidad y con una mayor eficiencia</t>
  </si>
  <si>
    <t>Eficiencia</t>
  </si>
  <si>
    <t>Capacidad</t>
  </si>
  <si>
    <t>Horas de uso año</t>
  </si>
  <si>
    <t>Rebobinado (01 vez)</t>
  </si>
  <si>
    <t>Eficiencia real</t>
  </si>
  <si>
    <t>Ahorro consumo eléctrico anual</t>
  </si>
  <si>
    <t>Motor</t>
  </si>
  <si>
    <t>Mayor Eficiencia</t>
  </si>
  <si>
    <t>Fracción de carga actual</t>
  </si>
  <si>
    <t>Propuesta</t>
  </si>
  <si>
    <t>Número de rebobinados</t>
  </si>
  <si>
    <t>Costo de rebobinado</t>
  </si>
  <si>
    <t>Eficiencia actual real</t>
  </si>
  <si>
    <t>Eficiencia propuesta</t>
  </si>
  <si>
    <t>Horas de uso</t>
  </si>
  <si>
    <t>Potencia propuesta</t>
  </si>
  <si>
    <t>Potencia actual</t>
  </si>
  <si>
    <t>HP</t>
  </si>
  <si>
    <t>Ahorro económico</t>
  </si>
  <si>
    <t>Período simple de recuperación</t>
  </si>
  <si>
    <t xml:space="preserve">Período simple de recuperación </t>
  </si>
  <si>
    <t>Alta eficiencia</t>
  </si>
  <si>
    <t>Cotizar Motores</t>
  </si>
  <si>
    <t>Combustible</t>
  </si>
  <si>
    <t>Kerosene</t>
  </si>
  <si>
    <t>Volumen anual</t>
  </si>
  <si>
    <t>Energía</t>
  </si>
  <si>
    <t>Q=</t>
  </si>
  <si>
    <t>Mezcla asfáltica en frío</t>
  </si>
  <si>
    <t>Grava(kg)</t>
  </si>
  <si>
    <t>real</t>
  </si>
  <si>
    <t>Dato identificado en Balance térmico; Calentamiento Aceite Térmico</t>
  </si>
  <si>
    <t>Dato identificado en Balance térmico; Calentamiento de Agua</t>
  </si>
  <si>
    <t>Quemador kerosene (recirculación aceite térmico)</t>
  </si>
  <si>
    <t>Dato identificado en Balance térmico; Calentamiento Asfalto</t>
  </si>
  <si>
    <t>Oficial</t>
  </si>
  <si>
    <t>Sustituir quemadores más eficientes</t>
  </si>
  <si>
    <t>Quemador CG10-24 Beckett</t>
  </si>
  <si>
    <t>Gas licuado de petroleo</t>
  </si>
  <si>
    <t>Gas Natural</t>
  </si>
  <si>
    <t xml:space="preserve">Nueva tecnología </t>
  </si>
  <si>
    <t>Potencia</t>
  </si>
  <si>
    <t>Potencia quemadores actuales</t>
  </si>
  <si>
    <t>Potencia quemadores propuestos</t>
  </si>
  <si>
    <t>Delta</t>
  </si>
  <si>
    <t>Adicional en el mismo periodo actual</t>
  </si>
  <si>
    <t>Reduce el tiempo de calentamiento de agua y aceite térmico</t>
  </si>
  <si>
    <t>Requerimiento</t>
  </si>
  <si>
    <t>Actual</t>
  </si>
  <si>
    <t>Estimación de conversión de BTU anuales necesarias</t>
  </si>
  <si>
    <t>Estimación del volumen de kerosene</t>
  </si>
  <si>
    <t>Estimación del volumen de kerosene para los 5 quemadores</t>
  </si>
  <si>
    <t>Parámetros tecnología actual</t>
  </si>
  <si>
    <t>Número de quemadores</t>
  </si>
  <si>
    <t>Potencia anual requerida actual</t>
  </si>
  <si>
    <t>Volumen anual consumo de Kerosene</t>
  </si>
  <si>
    <t>Costo anual total de kerosene</t>
  </si>
  <si>
    <t>Precio Kerosene (galón)</t>
  </si>
  <si>
    <t>Precio base de GLP</t>
  </si>
  <si>
    <t>Costo anual de GLP</t>
  </si>
  <si>
    <t>Masa anual de GLP</t>
  </si>
  <si>
    <t>Estimación de ahorros</t>
  </si>
  <si>
    <t>Ahorro por uso de GLP</t>
  </si>
  <si>
    <t>Inversión total</t>
  </si>
  <si>
    <t>Precio</t>
  </si>
  <si>
    <t xml:space="preserve">Vida útil </t>
  </si>
  <si>
    <t>15 años</t>
  </si>
  <si>
    <t>Ir a Inicio</t>
  </si>
  <si>
    <t>Determinar emisiones GEI con actual combustible y con el nuevo combustible propuesto</t>
  </si>
  <si>
    <t>Parámetros Kerosene</t>
  </si>
  <si>
    <t>Energía requerida por el proceso</t>
  </si>
  <si>
    <t>Factor de emisión</t>
  </si>
  <si>
    <r>
      <t>Ton CO</t>
    </r>
    <r>
      <rPr>
        <sz val="11"/>
        <color theme="1"/>
        <rFont val="Calibri"/>
        <family val="2"/>
      </rPr>
      <t xml:space="preserve">₂ </t>
    </r>
    <r>
      <rPr>
        <sz val="11"/>
        <color theme="1"/>
        <rFont val="Aptos Narrow"/>
        <family val="2"/>
        <scheme val="minor"/>
      </rPr>
      <t xml:space="preserve"> generados anual</t>
    </r>
  </si>
  <si>
    <t>Parámetros GLP</t>
  </si>
  <si>
    <t>Emisiones evitadas</t>
  </si>
  <si>
    <t>Cambio quemadores</t>
  </si>
  <si>
    <t>GLP</t>
  </si>
  <si>
    <t>Tuberías que transportan el asfalto como producto terminado hasta el almacenamiento no se encuentran aisladas</t>
  </si>
  <si>
    <t>Generando pérdidas de calor hacia al ambiente</t>
  </si>
  <si>
    <t>Pérdida de calor</t>
  </si>
  <si>
    <t>20 a 30°C</t>
  </si>
  <si>
    <t>Datos piping</t>
  </si>
  <si>
    <t>φ " Tubería</t>
  </si>
  <si>
    <t>Longitud</t>
  </si>
  <si>
    <t>Temperatura superficie</t>
  </si>
  <si>
    <t>Aislante de fibra de vidrio en tuberías, con el objetivo de reducir pérdidas de calor</t>
  </si>
  <si>
    <t>Evitar a la vez, la alteración de la viscosidad del asfalto que genera tapones en secciones del piping</t>
  </si>
  <si>
    <t>Nomenclatura</t>
  </si>
  <si>
    <t>Significado</t>
  </si>
  <si>
    <t>C</t>
  </si>
  <si>
    <t>Esp</t>
  </si>
  <si>
    <t>Top</t>
  </si>
  <si>
    <t>Tsup</t>
  </si>
  <si>
    <t>Ta</t>
  </si>
  <si>
    <t>Kais</t>
  </si>
  <si>
    <t>V</t>
  </si>
  <si>
    <t>Emss</t>
  </si>
  <si>
    <t>do</t>
  </si>
  <si>
    <t>Coeficiente (forma tuberías)</t>
  </si>
  <si>
    <t>Espesor aislante</t>
  </si>
  <si>
    <t>Temperatura de operación</t>
  </si>
  <si>
    <t>Temperatura supuesta de la superficie del termoaislante</t>
  </si>
  <si>
    <t>Emisividad de la superficie aislada</t>
  </si>
  <si>
    <r>
      <rPr>
        <b/>
        <sz val="11"/>
        <color theme="1"/>
        <rFont val="Aptos Narrow"/>
        <family val="2"/>
        <scheme val="minor"/>
      </rPr>
      <t>Emisividad</t>
    </r>
    <r>
      <rPr>
        <sz val="11"/>
        <color theme="1"/>
        <rFont val="Aptos Narrow"/>
        <family val="2"/>
        <scheme val="minor"/>
      </rPr>
      <t xml:space="preserve">:  Llamada antiguamente </t>
    </r>
    <r>
      <rPr>
        <u/>
        <sz val="11"/>
        <color theme="1"/>
        <rFont val="Aptos Narrow"/>
        <family val="2"/>
        <scheme val="minor"/>
      </rPr>
      <t>emitancia</t>
    </r>
    <r>
      <rPr>
        <sz val="11"/>
        <color theme="1"/>
        <rFont val="Aptos Narrow"/>
        <family val="2"/>
        <scheme val="minor"/>
      </rPr>
      <t>, es la proporción de radiación térmica emitida por una superficie u objeto debido a su temperatura.</t>
    </r>
  </si>
  <si>
    <t>Diámetro exterior de la tubería sin aislamiento</t>
  </si>
  <si>
    <t>Velocidad del viento</t>
  </si>
  <si>
    <t>Diámetro interior de la tubería sin aislamiento</t>
  </si>
  <si>
    <r>
      <t>d</t>
    </r>
    <r>
      <rPr>
        <sz val="8"/>
        <color theme="1"/>
        <rFont val="Aptos Narrow"/>
        <family val="2"/>
        <scheme val="minor"/>
      </rPr>
      <t>a (diámetro aislado)</t>
    </r>
  </si>
  <si>
    <t>Cálculo del díametro aislado, da [m]</t>
  </si>
  <si>
    <t>Cálculo del coeficente de transferencia de calor por convección natural y forzada</t>
  </si>
  <si>
    <r>
      <t>desde la superficie aisalda hacia el ambiente, hc [W/m</t>
    </r>
    <r>
      <rPr>
        <u/>
        <sz val="14.3"/>
        <color theme="1"/>
        <rFont val="Aptos Narrow"/>
        <family val="2"/>
      </rPr>
      <t>²</t>
    </r>
    <r>
      <rPr>
        <u/>
        <sz val="11"/>
        <color theme="1"/>
        <rFont val="Aptos Narrow"/>
        <family val="2"/>
      </rPr>
      <t>K]</t>
    </r>
  </si>
  <si>
    <r>
      <t>hc</t>
    </r>
    <r>
      <rPr>
        <sz val="8"/>
        <color theme="1"/>
        <rFont val="Aptos Narrow"/>
        <family val="2"/>
        <scheme val="minor"/>
      </rPr>
      <t xml:space="preserve"> (coeficiente de convección)</t>
    </r>
  </si>
  <si>
    <r>
      <t>hr</t>
    </r>
    <r>
      <rPr>
        <sz val="8"/>
        <color theme="1"/>
        <rFont val="Aptos Narrow"/>
        <family val="2"/>
        <scheme val="minor"/>
      </rPr>
      <t xml:space="preserve"> (coeficiente de radiación)</t>
    </r>
  </si>
  <si>
    <t>Cálculo del coeficente de transferencia de calor global, hs [W/m²K]</t>
  </si>
  <si>
    <t>Cálculo del coeficente de transferencia de calor por radiación, hr [W/m²K]</t>
  </si>
  <si>
    <r>
      <t>hs</t>
    </r>
    <r>
      <rPr>
        <sz val="8"/>
        <color theme="1"/>
        <rFont val="Aptos Narrow"/>
        <family val="2"/>
        <scheme val="minor"/>
      </rPr>
      <t xml:space="preserve"> (coeficiente global)</t>
    </r>
  </si>
  <si>
    <t>Cálculo del flujo de calor, q [W/m]</t>
  </si>
  <si>
    <r>
      <t>q</t>
    </r>
    <r>
      <rPr>
        <sz val="8"/>
        <color theme="1"/>
        <rFont val="Aptos Narrow"/>
        <family val="2"/>
        <scheme val="minor"/>
      </rPr>
      <t xml:space="preserve"> (flujo de calor)</t>
    </r>
  </si>
  <si>
    <t>Conversión a Kcal/mh</t>
  </si>
  <si>
    <t>Cálculo del flujo de calor total</t>
  </si>
  <si>
    <t>Pérdidas totales anuales por falta de aislamiento</t>
  </si>
  <si>
    <r>
      <t>q</t>
    </r>
    <r>
      <rPr>
        <sz val="9"/>
        <color theme="1"/>
        <rFont val="Aptos Narrow"/>
        <family val="2"/>
        <scheme val="minor"/>
      </rPr>
      <t xml:space="preserve">t </t>
    </r>
    <r>
      <rPr>
        <sz val="8"/>
        <color theme="1"/>
        <rFont val="Aptos Narrow"/>
        <family val="2"/>
        <scheme val="minor"/>
      </rPr>
      <t>(flujo de calor total)</t>
    </r>
  </si>
  <si>
    <t>Pérdidas  totales anuales</t>
  </si>
  <si>
    <t>Determinar pérdida de calor tubería de 4"</t>
  </si>
  <si>
    <t>Determinar pérdida de calor tubería de 3"</t>
  </si>
  <si>
    <t>Resumen de datos estimados para tramos de tuberías</t>
  </si>
  <si>
    <t>3"</t>
  </si>
  <si>
    <t>4"</t>
  </si>
  <si>
    <t>Ahorro energético para tubería de 3"</t>
  </si>
  <si>
    <t>Ahorro energético para tubería de 4"</t>
  </si>
  <si>
    <t>Ahorro energético tuberías</t>
  </si>
  <si>
    <t>Ahorro energético</t>
  </si>
  <si>
    <t>Ahorro en combustible</t>
  </si>
  <si>
    <t>Kilojoules</t>
  </si>
  <si>
    <t>Kilocalorias</t>
  </si>
  <si>
    <t>Conversiones</t>
  </si>
  <si>
    <t>Ahorro de combustible</t>
  </si>
  <si>
    <t>Beneficio económico se obtiene en función del combustible que no se utiliza para calentar las tuberías cuando estas se enfrían</t>
  </si>
  <si>
    <t>Beneficio económico</t>
  </si>
  <si>
    <t xml:space="preserve">Precio metro lineal de aislante por tubería  es de </t>
  </si>
  <si>
    <t>Inversión anual</t>
  </si>
  <si>
    <r>
      <t>Cuantificado en función de la toneladas de CO</t>
    </r>
    <r>
      <rPr>
        <sz val="11"/>
        <color theme="1"/>
        <rFont val="Calibri"/>
        <family val="2"/>
      </rPr>
      <t>₂</t>
    </r>
    <r>
      <rPr>
        <sz val="11"/>
        <color theme="1"/>
        <rFont val="Aptos Narrow"/>
        <family val="2"/>
        <scheme val="minor"/>
      </rPr>
      <t xml:space="preserve"> no emitidas por el uso de combustibles</t>
    </r>
  </si>
  <si>
    <t>Aislamiento tuberías</t>
  </si>
  <si>
    <t>Fibra de vidrio</t>
  </si>
  <si>
    <t xml:space="preserve">% de ahorro </t>
  </si>
  <si>
    <t>La planta posee una caldera para calentamiento de aceite térmico</t>
  </si>
  <si>
    <t>Uso por operación de proceso</t>
  </si>
  <si>
    <t>Mantenimiento tuberías</t>
  </si>
  <si>
    <t>Motor de reductores 3/8</t>
  </si>
  <si>
    <t>Motor de reductores 3/4</t>
  </si>
  <si>
    <t>Dato Clave</t>
  </si>
  <si>
    <t>Ejemplo Oficina de Control</t>
  </si>
  <si>
    <t>Eficiencia actual</t>
  </si>
  <si>
    <t>https://energia.gob.cl/indicadores-ambientales-factor-de-emisiones-gei-del-sistema-electrico-nacional</t>
  </si>
  <si>
    <t>Factor de emisiones GEI del Sistema Eléctrico Nacional</t>
  </si>
  <si>
    <t>Conversión</t>
  </si>
  <si>
    <t>Parámetros tecnología propuesta GLP</t>
  </si>
  <si>
    <t>Temperatura del aire al interior de la cavidad</t>
  </si>
  <si>
    <t>https://www.aquapress.cl/motores-electricos-/1343-motor-electrico-nicolini-15-hp-11-kw.html</t>
  </si>
  <si>
    <t>https://imatesa.cl/nuestros-productos/117-1654-mot-vemat-trif-025-a-30hp-01-a-22-kw-2-4-6-polos-vtb.html</t>
  </si>
  <si>
    <t>Alto</t>
  </si>
  <si>
    <t>Económico</t>
  </si>
  <si>
    <t>Energía Eléctrica</t>
  </si>
  <si>
    <t>Combustible (Kerosene)</t>
  </si>
  <si>
    <t>Cotizar</t>
  </si>
  <si>
    <t>Costos Energía Eléctrica y Kerosene</t>
  </si>
  <si>
    <t>Ahorros energéticos</t>
  </si>
  <si>
    <t>Medidas a implementar</t>
  </si>
  <si>
    <t>Ahorro por año</t>
  </si>
  <si>
    <t>Energía Térmica</t>
  </si>
  <si>
    <t>-</t>
  </si>
  <si>
    <t>Potencia requerida actual</t>
  </si>
  <si>
    <t>Anual</t>
  </si>
  <si>
    <t>Inversiones por medidas de EE</t>
  </si>
  <si>
    <t>Medidas</t>
  </si>
  <si>
    <t>Depreciaciones</t>
  </si>
  <si>
    <t>Valor libro</t>
  </si>
  <si>
    <t>Depreciación anual</t>
  </si>
  <si>
    <t>Año</t>
  </si>
  <si>
    <t>Depreciación</t>
  </si>
  <si>
    <t>Depreciación acumulada</t>
  </si>
  <si>
    <t>Venta en libros</t>
  </si>
  <si>
    <t>Depreciación cambio de aires acondicionados</t>
  </si>
  <si>
    <t>Depreciación cambio de motores</t>
  </si>
  <si>
    <t>Depreciación cambio de quemadores</t>
  </si>
  <si>
    <t>Línea Base</t>
  </si>
  <si>
    <t>USEs</t>
  </si>
  <si>
    <t>Costo</t>
  </si>
  <si>
    <t>GEI</t>
  </si>
  <si>
    <t>Beneficios aplicación de recomendaciones</t>
  </si>
  <si>
    <t>Recomendación</t>
  </si>
  <si>
    <t>kWh/año</t>
  </si>
  <si>
    <t>$/año</t>
  </si>
  <si>
    <t>galones/año</t>
  </si>
  <si>
    <t>Reducción de GEI</t>
  </si>
  <si>
    <t>Sustitución de luminarias - tecnología LED</t>
  </si>
  <si>
    <t>Sustitución aires acondicionados - tecnología Inverter</t>
  </si>
  <si>
    <t>Sustitución motores - alta eficiencia</t>
  </si>
  <si>
    <t>Sustitución quemadores - GNL</t>
  </si>
  <si>
    <t>Aislamiento de tuberías -piping asfalto</t>
  </si>
  <si>
    <t>Recomendaciones técnicas</t>
  </si>
  <si>
    <r>
      <t>tCO</t>
    </r>
    <r>
      <rPr>
        <b/>
        <sz val="11"/>
        <color rgb="FF002060"/>
        <rFont val="Calibri"/>
        <family val="2"/>
      </rPr>
      <t>₂</t>
    </r>
    <r>
      <rPr>
        <b/>
        <sz val="11"/>
        <color rgb="FF002060"/>
        <rFont val="Aptos Narrow"/>
        <family val="2"/>
        <scheme val="minor"/>
      </rPr>
      <t>e/año</t>
    </r>
  </si>
  <si>
    <t>$</t>
  </si>
  <si>
    <t>Retorno</t>
  </si>
  <si>
    <t>Recomedación</t>
  </si>
  <si>
    <t>HidroCarburo</t>
  </si>
  <si>
    <t>% acum</t>
  </si>
  <si>
    <t>USE´s</t>
  </si>
  <si>
    <t>Consumo de Energía Actual</t>
  </si>
  <si>
    <t>Consumo de Energía Propuesto</t>
  </si>
  <si>
    <t>Usos de Energía</t>
  </si>
  <si>
    <t>Consumo [kwh]</t>
  </si>
  <si>
    <t>directo pgf</t>
  </si>
  <si>
    <t>https://es.converterin.com/economia-de-combustible/gigajoule-to-us-galones-de-kerosene.html</t>
  </si>
  <si>
    <t>Factor de conversión de GJ a kW</t>
  </si>
  <si>
    <t>GEI Totales actual de la planta</t>
  </si>
  <si>
    <t>Verificar</t>
  </si>
  <si>
    <t>Valor relevante</t>
  </si>
  <si>
    <t>Ajuste PGF</t>
  </si>
  <si>
    <t>Desde Propuesta de Mejora</t>
  </si>
  <si>
    <t>Reducción GEI Energía Térmica</t>
  </si>
  <si>
    <t>*****</t>
  </si>
  <si>
    <t>KWh totales de la planta</t>
  </si>
  <si>
    <t>Electricidad</t>
  </si>
  <si>
    <t>Proceso 02</t>
  </si>
  <si>
    <t>Proceso 03</t>
  </si>
  <si>
    <t>Sector 01</t>
  </si>
  <si>
    <t>Sector 02</t>
  </si>
  <si>
    <t>Proceso 01</t>
  </si>
  <si>
    <t>Eléctrico</t>
  </si>
  <si>
    <t>Factura E</t>
  </si>
  <si>
    <t>Factura C</t>
  </si>
  <si>
    <t xml:space="preserve">Compresor </t>
  </si>
  <si>
    <t>Hornos (5)</t>
  </si>
  <si>
    <t>Bombas-Motores (Emulsión)</t>
  </si>
  <si>
    <t>Bomba (Almacenamiento)</t>
  </si>
  <si>
    <t>Bombas-Motores (Nodriza)</t>
  </si>
  <si>
    <t>Aires Acondicionados (Oficinas)</t>
  </si>
  <si>
    <t>Luminarias (Oficinas)</t>
  </si>
  <si>
    <t>Aires Acondicionados (Laboratorios)</t>
  </si>
  <si>
    <t>Luminarias (Laboratorios)</t>
  </si>
  <si>
    <t>Equipos (Laboratorios)</t>
  </si>
  <si>
    <t>Varios</t>
  </si>
  <si>
    <t>Bombas-Motores (Agua jabonosa y aditivos)</t>
  </si>
  <si>
    <t>Electricidad GEI</t>
  </si>
  <si>
    <t>Kerosene GEI</t>
  </si>
  <si>
    <t>[kWh]</t>
  </si>
  <si>
    <r>
      <t>[m</t>
    </r>
    <r>
      <rPr>
        <sz val="11"/>
        <color theme="1"/>
        <rFont val="Aptos Narrow"/>
        <family val="2"/>
      </rPr>
      <t>³</t>
    </r>
    <r>
      <rPr>
        <sz val="8.8000000000000007"/>
        <color theme="1"/>
        <rFont val="Aptos Narrow"/>
        <family val="2"/>
      </rPr>
      <t>]</t>
    </r>
  </si>
  <si>
    <t>kWh/m³ Emulsión</t>
  </si>
  <si>
    <t>Diseño en .vsd, by PGF</t>
  </si>
  <si>
    <t>Mensual</t>
  </si>
  <si>
    <t>Media mensual período 2022--2023</t>
  </si>
  <si>
    <r>
      <t xml:space="preserve"> [kWh] *10</t>
    </r>
    <r>
      <rPr>
        <sz val="11"/>
        <color theme="1"/>
        <rFont val="Aptos Narrow"/>
        <family val="2"/>
      </rPr>
      <t>³</t>
    </r>
  </si>
  <si>
    <t>CONSUMO [Kerosene]</t>
  </si>
  <si>
    <t>Media mensual</t>
  </si>
  <si>
    <t>Media anual</t>
  </si>
  <si>
    <t>Equipamiento</t>
  </si>
  <si>
    <t>Uso de Energía</t>
  </si>
  <si>
    <t>Bomba de asfalto ex</t>
  </si>
  <si>
    <t>[KWh]/día</t>
  </si>
  <si>
    <t>[KWh]/mes</t>
  </si>
  <si>
    <t>[KWh]/año</t>
  </si>
  <si>
    <t>Consumo mensual [kWh/mes] - 2022</t>
  </si>
  <si>
    <t>Consumo mensual [kWh/mes] -2023</t>
  </si>
  <si>
    <t>Consumo energético</t>
  </si>
  <si>
    <t>Suministro facturado [kWh]/año</t>
  </si>
  <si>
    <t>Consumo estimado [kWh]/año</t>
  </si>
  <si>
    <t>Error</t>
  </si>
  <si>
    <t>Consumo Energético Total</t>
  </si>
  <si>
    <t>Proceso 02 (agua jabonosa y aditivos)</t>
  </si>
  <si>
    <t>Proceso 01 (almacenamiento y aceite térmico)</t>
  </si>
  <si>
    <t>Proceso 02 (Emulsión)</t>
  </si>
  <si>
    <t>IDE</t>
  </si>
  <si>
    <t>Unidad</t>
  </si>
  <si>
    <t>Energía anual consumida</t>
  </si>
  <si>
    <t>Costo por energía eléctrica</t>
  </si>
  <si>
    <t>Costo por energía térmica</t>
  </si>
  <si>
    <t>Energía eléctrica anual auditada</t>
  </si>
  <si>
    <t>Energía térmica anual auditada</t>
  </si>
  <si>
    <t>Error de la auditoría eléctrica</t>
  </si>
  <si>
    <t>Error de la auditoría térmica</t>
  </si>
  <si>
    <t>Costo energía térmica</t>
  </si>
  <si>
    <t>Galón</t>
  </si>
  <si>
    <t>Galones</t>
  </si>
  <si>
    <t>Valor Galón</t>
  </si>
  <si>
    <t>[$/kWh]</t>
  </si>
  <si>
    <t>[$/GJ]</t>
  </si>
  <si>
    <t>[kWh/año]</t>
  </si>
  <si>
    <t>Costo total energía</t>
  </si>
  <si>
    <r>
      <t>GJ /m</t>
    </r>
    <r>
      <rPr>
        <sz val="11"/>
        <color theme="1"/>
        <rFont val="Aptos Narrow"/>
        <family val="2"/>
      </rPr>
      <t>³ Emulsión</t>
    </r>
  </si>
  <si>
    <t>[GJ /m³]</t>
  </si>
  <si>
    <t>Consumo térmico por producción de emulsión</t>
  </si>
  <si>
    <t>Consumo eléctrico por producción de emulsión</t>
  </si>
  <si>
    <t>Consumo energético anual por uso energético</t>
  </si>
  <si>
    <t>Media anaull período 2022--2023</t>
  </si>
  <si>
    <t>Proc-01 Quemadores</t>
  </si>
  <si>
    <t>Proc-02 (Motores Agua jabonosa)</t>
  </si>
  <si>
    <t>Proc-02 (Motores Emulsión)</t>
  </si>
  <si>
    <t>Proc-02 (Bomba Almacenamiento)</t>
  </si>
  <si>
    <t>Proc-03 (Bombas y Motores Nodriza)</t>
  </si>
  <si>
    <t>Sect_01 (AA Oficinas)</t>
  </si>
  <si>
    <t>Sect_01 (Luminarias Oficinas)</t>
  </si>
  <si>
    <t>Sect_02 (AA Oficinas)</t>
  </si>
  <si>
    <t>Sect_02 (Luminarias Oficinas)</t>
  </si>
  <si>
    <t>Sect_02 (Equipos Laboratorios)</t>
  </si>
  <si>
    <t>Proc-02 (BB Alm)</t>
  </si>
  <si>
    <t>Proc-03 (BBs y Mots Nod)</t>
  </si>
  <si>
    <t>Proc-01 (Quem)</t>
  </si>
  <si>
    <t>Sect_01 (AA Of)</t>
  </si>
  <si>
    <t>Sect_01 (Lum Of)</t>
  </si>
  <si>
    <t>Sect_02 (AA Of)</t>
  </si>
  <si>
    <t>Proc-02 (Mot A J)</t>
  </si>
  <si>
    <t>Proc-02 (Mot E)</t>
  </si>
  <si>
    <t>Sect_02 (Lum Of)</t>
  </si>
  <si>
    <t>Sect_02 (Eq Lab)</t>
  </si>
  <si>
    <t>Nomenclatura USE´s</t>
  </si>
  <si>
    <t>Totales</t>
  </si>
  <si>
    <t>Enero</t>
  </si>
  <si>
    <t>Febrero</t>
  </si>
  <si>
    <t>Marzo</t>
  </si>
  <si>
    <t>Abril</t>
  </si>
  <si>
    <t>Mayo</t>
  </si>
  <si>
    <t>Junio</t>
  </si>
  <si>
    <t>Julio</t>
  </si>
  <si>
    <t>Agosto</t>
  </si>
  <si>
    <t>Septiembre</t>
  </si>
  <si>
    <t>Octubre</t>
  </si>
  <si>
    <t>Noviembre</t>
  </si>
  <si>
    <t>Diciembre</t>
  </si>
  <si>
    <t>desv std</t>
  </si>
  <si>
    <r>
      <t>n</t>
    </r>
    <r>
      <rPr>
        <sz val="11"/>
        <color rgb="FF0070C0"/>
        <rFont val="Calibri"/>
        <family val="2"/>
      </rPr>
      <t>₀</t>
    </r>
  </si>
  <si>
    <t>1) Definición del período base</t>
  </si>
  <si>
    <t>2) Definición de la muestra de datos mínima</t>
  </si>
  <si>
    <t>2a) Ajustar la estimación inicial para grupos pequeños</t>
  </si>
  <si>
    <t>N</t>
  </si>
  <si>
    <t>n</t>
  </si>
  <si>
    <t>3) Definir las variables que influyen en la LBE</t>
  </si>
  <si>
    <t>variable independiente</t>
  </si>
  <si>
    <t>variable dependiente</t>
  </si>
  <si>
    <t>4) Toma de datos</t>
  </si>
  <si>
    <t>Período anual, 12 datos por año</t>
  </si>
  <si>
    <t>5) Verificación de cv de los datos tomados</t>
  </si>
  <si>
    <t>Coeficientes</t>
  </si>
  <si>
    <t>Error típico</t>
  </si>
  <si>
    <t>Estadístico t</t>
  </si>
  <si>
    <t>Observaciones</t>
  </si>
  <si>
    <t>Resumen</t>
  </si>
  <si>
    <t>Modelo</t>
  </si>
  <si>
    <t>Línea de Base Energética - LBE PGF</t>
  </si>
  <si>
    <t>Consumo [kWh/mes]</t>
  </si>
  <si>
    <t>DIF Consumo - Promedio</t>
  </si>
  <si>
    <t>Cuadrado de las diferencias</t>
  </si>
  <si>
    <r>
      <t xml:space="preserve">Sumatoria </t>
    </r>
    <r>
      <rPr>
        <sz val="11"/>
        <color rgb="FF0070C0"/>
        <rFont val="Aptos Narrow"/>
        <family val="2"/>
      </rPr>
      <t>□</t>
    </r>
    <r>
      <rPr>
        <sz val="8.8000000000000007"/>
        <color rgb="FF0070C0"/>
        <rFont val="Aptos Narrow"/>
        <family val="2"/>
      </rPr>
      <t>s</t>
    </r>
  </si>
  <si>
    <t>varianza</t>
  </si>
  <si>
    <t>z</t>
  </si>
  <si>
    <t>e</t>
  </si>
  <si>
    <t>cv</t>
  </si>
  <si>
    <t>ic</t>
  </si>
  <si>
    <t>nivel deseado de precisión</t>
  </si>
  <si>
    <t>coeficiente de varianza</t>
  </si>
  <si>
    <t>intervalo de confianza</t>
  </si>
  <si>
    <t>valor de distribución normal estándar</t>
  </si>
  <si>
    <t>, solo se requieren 10 datos</t>
  </si>
  <si>
    <t>Coef. de var. (cv)</t>
  </si>
  <si>
    <t>1. Cantidad de datos requeridos</t>
  </si>
  <si>
    <t>2. Comprobación del cv asumido</t>
  </si>
  <si>
    <t>&lt;</t>
  </si>
  <si>
    <t>cv =</t>
  </si>
  <si>
    <t>Consumo [MWh/mes]</t>
  </si>
  <si>
    <t>suma</t>
  </si>
  <si>
    <t>E*E</t>
  </si>
  <si>
    <t>E*P</t>
  </si>
  <si>
    <t>E</t>
  </si>
  <si>
    <t>P</t>
  </si>
  <si>
    <t>Emodelo</t>
  </si>
  <si>
    <t>Generalmente se comienza por el valor 4 y puede irse bajando hasta lograr el ancho de filtrado deseado</t>
  </si>
  <si>
    <t>Pendiente</t>
  </si>
  <si>
    <t>m</t>
  </si>
  <si>
    <r>
      <t>E</t>
    </r>
    <r>
      <rPr>
        <sz val="11"/>
        <color theme="1"/>
        <rFont val="Calibri"/>
        <family val="2"/>
      </rPr>
      <t>₀</t>
    </r>
  </si>
  <si>
    <t>Variable independiente</t>
  </si>
  <si>
    <t>Intercepto</t>
  </si>
  <si>
    <t>Emod+Z*Sxy</t>
  </si>
  <si>
    <t>Z</t>
  </si>
  <si>
    <t>Z es el valor que da el ancho de la franja de flitrado</t>
  </si>
  <si>
    <t>Sxy</t>
  </si>
  <si>
    <t>Emod-Z*Sxy</t>
  </si>
  <si>
    <t>Estadísticas de la regresión</t>
  </si>
  <si>
    <t>Coeficiente de correlación múltiple</t>
  </si>
  <si>
    <t>Datos para cálculos</t>
  </si>
  <si>
    <t>6) Filtrado de datos</t>
  </si>
  <si>
    <t>Grados de libertad</t>
  </si>
  <si>
    <t>Regresión</t>
  </si>
  <si>
    <t>Residuos</t>
  </si>
  <si>
    <t>Tamaño mínimo de la Muestra</t>
  </si>
  <si>
    <t>7) Determinación del modelo de línea base y su nivel de significancia respecto a la variable independiente</t>
  </si>
  <si>
    <t>Se realiza aplicando el p-value a los datos filtrados y obteniendo la siguiente tabla:</t>
  </si>
  <si>
    <t>Suma de cuadrados</t>
  </si>
  <si>
    <t>Promedio de los cuadrados</t>
  </si>
  <si>
    <t>F</t>
  </si>
  <si>
    <t>Valor crítico de F</t>
  </si>
  <si>
    <t>ANÁLISIS DE VARIANZA</t>
  </si>
  <si>
    <t>Probabilidad</t>
  </si>
  <si>
    <t>Coeficiente de determinación R^2</t>
  </si>
  <si>
    <t>R^2  ajustado</t>
  </si>
  <si>
    <t>Intercepción</t>
  </si>
  <si>
    <t>Inferior 95%</t>
  </si>
  <si>
    <t>Superior 95%</t>
  </si>
  <si>
    <t>Inferior 95,0%</t>
  </si>
  <si>
    <t>Superior 95,0%</t>
  </si>
  <si>
    <t>Variable X 1</t>
  </si>
  <si>
    <t>Los atributos estadísticos del modelo son:</t>
  </si>
  <si>
    <r>
      <rPr>
        <b/>
        <sz val="11"/>
        <color theme="1"/>
        <rFont val="Aptos Narrow"/>
        <family val="2"/>
        <scheme val="minor"/>
      </rPr>
      <t>2. El valor de R² o coeficiente de determinación</t>
    </r>
    <r>
      <rPr>
        <sz val="11"/>
        <color theme="1"/>
        <rFont val="Aptos Narrow"/>
        <family val="2"/>
        <scheme val="minor"/>
      </rPr>
      <t xml:space="preserve"> que me indica la fortaleza de la relación entre Y y X , y además la dirección de la relación, es decir, si caundo crece uno; también crece el otro o viceversa. El ajustado elimina la influencia del número de variables en el modelo.</t>
    </r>
  </si>
  <si>
    <r>
      <rPr>
        <b/>
        <sz val="11"/>
        <color theme="1"/>
        <rFont val="Aptos Narrow"/>
        <family val="2"/>
        <scheme val="minor"/>
      </rPr>
      <t>3. El nivel de confianza</t>
    </r>
    <r>
      <rPr>
        <sz val="11"/>
        <color theme="1"/>
        <rFont val="Aptos Narrow"/>
        <family val="2"/>
        <scheme val="minor"/>
      </rPr>
      <t>: % de la población que puede ser representada por el modelo con el grado de precisión obtenido.</t>
    </r>
  </si>
  <si>
    <r>
      <rPr>
        <b/>
        <sz val="11"/>
        <color theme="1"/>
        <rFont val="Aptos Narrow"/>
        <family val="2"/>
        <scheme val="minor"/>
      </rPr>
      <t>4. La precisión absoluta</t>
    </r>
    <r>
      <rPr>
        <sz val="11"/>
        <color theme="1"/>
        <rFont val="Aptos Narrow"/>
        <family val="2"/>
        <scheme val="minor"/>
      </rPr>
      <t xml:space="preserve"> del modelo: que es el intervalo de confianza en que se encuentra el valor real con respecto al estimado calclado por el modelo, para una confiabilidad dada. Es lo que debo sumar o restar al valor estimado por el modelo para lograra que el valor de la muestra se encuentre en ese intervalo</t>
    </r>
  </si>
  <si>
    <r>
      <rPr>
        <b/>
        <sz val="11"/>
        <color theme="1"/>
        <rFont val="Aptos Narrow"/>
        <family val="2"/>
        <scheme val="minor"/>
      </rPr>
      <t>5. Presión relativa</t>
    </r>
    <r>
      <rPr>
        <sz val="11"/>
        <color theme="1"/>
        <rFont val="Aptos Narrow"/>
        <family val="2"/>
        <scheme val="minor"/>
      </rPr>
      <t>: es la precisión absoluta expresada en % del valor medio de consumo</t>
    </r>
  </si>
  <si>
    <t>Se determina por el estadígrafo P-value, que consiste en la prueba de hipótesis de que las variaciones del consumo no se deben a las variaciones de las variables independientes del modelo.</t>
  </si>
  <si>
    <t>Si el valor de P-value arrojado del coeficiente de las variables independientes es menor que 0.05, significa que existe una probabilidad de que la hipótesis sea cierta menor al 5% y por tanto la hipótesis es nula,</t>
  </si>
  <si>
    <r>
      <t xml:space="preserve">lo que significa que </t>
    </r>
    <r>
      <rPr>
        <b/>
        <sz val="11"/>
        <color theme="1"/>
        <rFont val="Aptos Narrow"/>
        <family val="2"/>
        <scheme val="minor"/>
      </rPr>
      <t>el modelo es significativo</t>
    </r>
    <r>
      <rPr>
        <sz val="11"/>
        <color theme="1"/>
        <rFont val="Aptos Narrow"/>
        <family val="2"/>
        <scheme val="minor"/>
      </rPr>
      <t>.</t>
    </r>
  </si>
  <si>
    <t>Verificación del grado de significación del modelo:</t>
  </si>
  <si>
    <t>t student del modelo</t>
  </si>
  <si>
    <t xml:space="preserve">Como </t>
  </si>
  <si>
    <t>&gt;</t>
  </si>
  <si>
    <t xml:space="preserve">Las variaciones de la producción influyen significactivamente en </t>
  </si>
  <si>
    <t>las variaciones del consumo de energía</t>
  </si>
  <si>
    <t>Por tanto es significativo</t>
  </si>
  <si>
    <r>
      <t>El estadígrafo P-value también permite el valor de R</t>
    </r>
    <r>
      <rPr>
        <sz val="11"/>
        <color theme="1"/>
        <rFont val="Aptos Narrow"/>
        <family val="2"/>
      </rPr>
      <t>²</t>
    </r>
    <r>
      <rPr>
        <sz val="11"/>
        <color theme="1"/>
        <rFont val="Aptos Narrow"/>
        <family val="2"/>
        <scheme val="minor"/>
      </rPr>
      <t xml:space="preserve">  del modelo:</t>
    </r>
  </si>
  <si>
    <t>Valor de R²</t>
  </si>
  <si>
    <r>
      <t>Cuando el valor de R</t>
    </r>
    <r>
      <rPr>
        <sz val="11"/>
        <color theme="1"/>
        <rFont val="Aptos Narrow"/>
        <family val="2"/>
      </rPr>
      <t>²</t>
    </r>
    <r>
      <rPr>
        <sz val="11"/>
        <color theme="1"/>
        <rFont val="Aptos Narrow"/>
        <family val="2"/>
        <scheme val="minor"/>
      </rPr>
      <t xml:space="preserve"> es bajo hay gran influencia de los parámetros operacionales y de mantenimiento que cambian en el consumo y el potencial por establecer criterios operacionales y de mantenimiento sobre el consumo será más alto.</t>
    </r>
  </si>
  <si>
    <r>
      <t>Mayor valor de R</t>
    </r>
    <r>
      <rPr>
        <sz val="11"/>
        <color theme="1"/>
        <rFont val="Aptos Narrow"/>
        <family val="2"/>
      </rPr>
      <t>²</t>
    </r>
    <r>
      <rPr>
        <sz val="11"/>
        <color theme="1"/>
        <rFont val="Aptos Narrow"/>
        <family val="2"/>
        <scheme val="minor"/>
      </rPr>
      <t xml:space="preserve"> (cercano al máximo 1), significa poca influencia de las variables sobre el consumo de energía. Esto indicaría que hay poco potencial de ahorro por el control operacional de estas variables para bajar el consumo de energía. También significa que manteniendo los criterios operacionales adoptados durante la muestra tomada, la mayor parte de la energía gastada será la que requiere el proceso para producir y poco por variabilidad operacional o del estado de mantenimiento.</t>
    </r>
  </si>
  <si>
    <t>Para determinar el nivel de confianza se obtiene el valor t-student de la tabla P-value y se compara con el t-student de la tabla de distribución normal para el número de datos de la muestra. El nivel de confianza será aquel en el cual la t-studentde la tabla de distribución normal sea menor que la tstudent obtenida por la abla P-value para el modelo.</t>
  </si>
  <si>
    <t>&gt;&gt;</t>
  </si>
  <si>
    <t>&lt;&lt;</t>
  </si>
  <si>
    <r>
      <rPr>
        <b/>
        <sz val="11"/>
        <color theme="1"/>
        <rFont val="Aptos Narrow"/>
        <family val="2"/>
        <scheme val="minor"/>
      </rPr>
      <t>Precisión</t>
    </r>
    <r>
      <rPr>
        <sz val="11"/>
        <color theme="1"/>
        <rFont val="Aptos Narrow"/>
        <family val="2"/>
        <scheme val="minor"/>
      </rPr>
      <t>: La precisión es la medida del intervalo absoluto o relativo dentro del cual se espera que estén los valores cerdaderos, con un nivel determinado de confianza. Se espera que el valor verdadero de cualquier estimación estadística, con un nivel de confianza concreto, caiga e el intervalo definido por:</t>
    </r>
  </si>
  <si>
    <r>
      <t xml:space="preserve">Intervalo = estimación </t>
    </r>
    <r>
      <rPr>
        <b/>
        <sz val="11"/>
        <color theme="1"/>
        <rFont val="Aptos Narrow"/>
        <family val="2"/>
      </rPr>
      <t>±</t>
    </r>
    <r>
      <rPr>
        <b/>
        <sz val="11"/>
        <color theme="1"/>
        <rFont val="Aptos Narrow"/>
        <family val="2"/>
        <scheme val="minor"/>
      </rPr>
      <t xml:space="preserve"> precisión absoluta</t>
    </r>
  </si>
  <si>
    <t>La precisión se absoluta se calcula respecto al error estándar (típico) usando un valor t de la distribución de t Tabla B-1</t>
  </si>
  <si>
    <t>Precisión absoluta = t * SE</t>
  </si>
  <si>
    <t>SE, se calcula por la expresión:</t>
  </si>
  <si>
    <t>a-intercepto; b-pendiente del modelo</t>
  </si>
  <si>
    <t>O también Sxy = erro típico de la tabla P-value</t>
  </si>
  <si>
    <t>t, se determina de la tabla t-student con: número de datos de la muestra y el nivel de confianza (Ej: para 12 datos y 95%, t=2,20)</t>
  </si>
  <si>
    <t>Presión absoluta =</t>
  </si>
  <si>
    <t>t =</t>
  </si>
  <si>
    <t>Se puede determinar como la presión absoluta / valor estimado.</t>
  </si>
  <si>
    <t xml:space="preserve">Para el valor medio es: </t>
  </si>
  <si>
    <t>P absoluta / Ymedio</t>
  </si>
  <si>
    <t>Ymedio se calcula con LB para Xmedio</t>
  </si>
  <si>
    <t>Intercepción =</t>
  </si>
  <si>
    <t>VariableX1 =</t>
  </si>
  <si>
    <t>Xmedio =</t>
  </si>
  <si>
    <t>Ymedio =</t>
  </si>
  <si>
    <r>
      <t>6) Verificación de R</t>
    </r>
    <r>
      <rPr>
        <sz val="11"/>
        <color theme="0"/>
        <rFont val="Aptos Narrow"/>
        <family val="2"/>
      </rPr>
      <t>²</t>
    </r>
    <r>
      <rPr>
        <sz val="11"/>
        <color theme="0"/>
        <rFont val="Aptos Narrow"/>
        <family val="2"/>
        <scheme val="minor"/>
      </rPr>
      <t xml:space="preserve"> y filtrado de datos</t>
    </r>
  </si>
  <si>
    <t>Atributos del modelo de LB</t>
  </si>
  <si>
    <t>Nivel de confianza</t>
  </si>
  <si>
    <t>Intervalo de confianza</t>
  </si>
  <si>
    <t>Coeficiente de determinación</t>
  </si>
  <si>
    <t>Variables estáticas</t>
  </si>
  <si>
    <t>Período Base</t>
  </si>
  <si>
    <t>*  P   +</t>
  </si>
  <si>
    <t>(95% de la población)</t>
  </si>
  <si>
    <t>2022-2023</t>
  </si>
  <si>
    <r>
      <t xml:space="preserve">Línea de Base Energética </t>
    </r>
    <r>
      <rPr>
        <b/>
        <sz val="20"/>
        <color rgb="FFFFFF00"/>
        <rFont val="Aptos Narrow"/>
        <family val="2"/>
        <scheme val="minor"/>
      </rPr>
      <t>Meta</t>
    </r>
    <r>
      <rPr>
        <sz val="20"/>
        <color theme="0"/>
        <rFont val="Aptos Narrow"/>
        <family val="2"/>
        <scheme val="minor"/>
      </rPr>
      <t xml:space="preserve"> - LBE PGF</t>
    </r>
  </si>
  <si>
    <t>Error medio</t>
  </si>
  <si>
    <r>
      <t xml:space="preserve">Consumo </t>
    </r>
    <r>
      <rPr>
        <sz val="11"/>
        <color rgb="FF0070C0"/>
        <rFont val="Aptos Narrow"/>
        <family val="2"/>
        <scheme val="minor"/>
      </rPr>
      <t>Teórico</t>
    </r>
    <r>
      <rPr>
        <sz val="11"/>
        <color theme="1"/>
        <rFont val="Aptos Narrow"/>
        <family val="2"/>
        <scheme val="minor"/>
      </rPr>
      <t xml:space="preserve"> [kWh/mes]</t>
    </r>
  </si>
  <si>
    <r>
      <t xml:space="preserve">Real - </t>
    </r>
    <r>
      <rPr>
        <sz val="11"/>
        <color rgb="FF0070C0"/>
        <rFont val="Aptos Narrow"/>
        <family val="2"/>
        <scheme val="minor"/>
      </rPr>
      <t>Teórico</t>
    </r>
    <r>
      <rPr>
        <sz val="11"/>
        <color theme="1"/>
        <rFont val="Aptos Narrow"/>
        <family val="2"/>
        <scheme val="minor"/>
      </rPr>
      <t xml:space="preserve"> [kWh/mes]</t>
    </r>
  </si>
  <si>
    <r>
      <t xml:space="preserve">Consumo </t>
    </r>
    <r>
      <rPr>
        <sz val="11"/>
        <color rgb="FF0070C0"/>
        <rFont val="Aptos Narrow"/>
        <family val="2"/>
        <scheme val="minor"/>
      </rPr>
      <t>Meta</t>
    </r>
    <r>
      <rPr>
        <sz val="11"/>
        <color theme="1"/>
        <rFont val="Aptos Narrow"/>
        <family val="2"/>
        <scheme val="minor"/>
      </rPr>
      <t xml:space="preserve"> [kWh/mes]</t>
    </r>
  </si>
  <si>
    <r>
      <t xml:space="preserve">Potencial </t>
    </r>
    <r>
      <rPr>
        <sz val="11"/>
        <color rgb="FF0070C0"/>
        <rFont val="Aptos Narrow"/>
        <family val="2"/>
        <scheme val="minor"/>
      </rPr>
      <t>Ahorro</t>
    </r>
    <r>
      <rPr>
        <sz val="11"/>
        <color theme="1"/>
        <rFont val="Aptos Narrow"/>
        <family val="2"/>
        <scheme val="minor"/>
      </rPr>
      <t xml:space="preserve"> [kWh/mes]</t>
    </r>
  </si>
  <si>
    <t>Y²</t>
  </si>
  <si>
    <t>XY</t>
  </si>
  <si>
    <r>
      <t>X-</t>
    </r>
    <r>
      <rPr>
        <sz val="11"/>
        <color theme="1"/>
        <rFont val="MS Reference Sans Serif"/>
        <family val="2"/>
      </rPr>
      <t></t>
    </r>
  </si>
  <si>
    <r>
      <t>Y-</t>
    </r>
    <r>
      <rPr>
        <sz val="11"/>
        <color theme="1"/>
        <rFont val="Calibri"/>
        <family val="2"/>
      </rPr>
      <t>Ȳ</t>
    </r>
  </si>
  <si>
    <r>
      <t>(Y-</t>
    </r>
    <r>
      <rPr>
        <sz val="11"/>
        <color theme="1"/>
        <rFont val="Calibri"/>
        <family val="2"/>
      </rPr>
      <t>Ȳ)²</t>
    </r>
  </si>
  <si>
    <r>
      <t>(X-</t>
    </r>
    <r>
      <rPr>
        <sz val="11"/>
        <color theme="1"/>
        <rFont val="MS Reference Sans Serif"/>
        <family val="2"/>
      </rPr>
      <t>)²</t>
    </r>
  </si>
  <si>
    <r>
      <t>(X-</t>
    </r>
    <r>
      <rPr>
        <sz val="11"/>
        <color theme="1"/>
        <rFont val="MS Reference Sans Serif"/>
        <family val="2"/>
      </rPr>
      <t>)*(Y-Ȳ)</t>
    </r>
  </si>
  <si>
    <t>X</t>
  </si>
  <si>
    <t>Y</t>
  </si>
  <si>
    <t>Valores por debajo de LBE obtenida</t>
  </si>
  <si>
    <t>Identificación de Valores por debajo de LBE obtenida</t>
  </si>
  <si>
    <t>*) Determinación de propiedades del modelo de LB meta</t>
  </si>
  <si>
    <t>Datos 12</t>
  </si>
  <si>
    <r>
      <t xml:space="preserve">% error medio </t>
    </r>
    <r>
      <rPr>
        <sz val="11"/>
        <color rgb="FF0070C0"/>
        <rFont val="Aptos Narrow"/>
        <family val="2"/>
        <scheme val="minor"/>
      </rPr>
      <t>promedio</t>
    </r>
  </si>
  <si>
    <r>
      <t>% error medio</t>
    </r>
    <r>
      <rPr>
        <sz val="11"/>
        <color rgb="FF0070C0"/>
        <rFont val="Aptos Narrow"/>
        <family val="2"/>
        <scheme val="minor"/>
      </rPr>
      <t xml:space="preserve"> promedio</t>
    </r>
  </si>
  <si>
    <t>Consumo medio</t>
  </si>
  <si>
    <t>Producción media</t>
  </si>
  <si>
    <r>
      <t xml:space="preserve">Atributos del modelo de LB </t>
    </r>
    <r>
      <rPr>
        <b/>
        <sz val="11"/>
        <color rgb="FF0070C0"/>
        <rFont val="Aptos Narrow"/>
        <family val="2"/>
        <scheme val="minor"/>
      </rPr>
      <t>meta</t>
    </r>
  </si>
  <si>
    <r>
      <t xml:space="preserve">Potencial de ahorro de acuerdo con la </t>
    </r>
    <r>
      <rPr>
        <sz val="11"/>
        <color rgb="FFFFFF00"/>
        <rFont val="Aptos Narrow"/>
        <family val="2"/>
        <scheme val="minor"/>
      </rPr>
      <t>línea base meta</t>
    </r>
  </si>
  <si>
    <r>
      <t xml:space="preserve">Análisis de comportamiento, modelo </t>
    </r>
    <r>
      <rPr>
        <sz val="11"/>
        <color rgb="FFFFFF00"/>
        <rFont val="Aptos Narrow"/>
        <family val="2"/>
        <scheme val="minor"/>
      </rPr>
      <t xml:space="preserve">(Ot) </t>
    </r>
    <r>
      <rPr>
        <sz val="11"/>
        <color theme="0"/>
        <rFont val="Aptos Narrow"/>
        <family val="2"/>
        <scheme val="minor"/>
      </rPr>
      <t>y modelo</t>
    </r>
    <r>
      <rPr>
        <sz val="11"/>
        <color rgb="FFFFFF00"/>
        <rFont val="Aptos Narrow"/>
        <family val="2"/>
        <scheme val="minor"/>
      </rPr>
      <t xml:space="preserve"> (Mo)</t>
    </r>
  </si>
  <si>
    <t>Comportamiento de todas las operaciones (Ot)</t>
  </si>
  <si>
    <t>Comportamiento de todas las mejores operaciones (Mo)</t>
  </si>
  <si>
    <t>Siendo:</t>
  </si>
  <si>
    <t>M :</t>
  </si>
  <si>
    <t>I :</t>
  </si>
  <si>
    <t>X :</t>
  </si>
  <si>
    <t>Y :</t>
  </si>
  <si>
    <t>Mo :</t>
  </si>
  <si>
    <t>Ot :</t>
  </si>
  <si>
    <t>Xi :</t>
  </si>
  <si>
    <t>Yoti :</t>
  </si>
  <si>
    <t>pendiente del modelo</t>
  </si>
  <si>
    <t>intercepto con el eje de la variable dependiente del modelo</t>
  </si>
  <si>
    <t>mejores operaciones</t>
  </si>
  <si>
    <t>todas las operaciones</t>
  </si>
  <si>
    <t>valores puntuales de la variable independiente</t>
  </si>
  <si>
    <t>Se debe considerar que:</t>
  </si>
  <si>
    <t>Al reemplazar la ecuaciones se obtiene la diferencia entre ambos modelos que refleja la diferencia entre los comportamientos</t>
  </si>
  <si>
    <t>valores puntuales de la variable dependiente</t>
  </si>
  <si>
    <t>Variables</t>
  </si>
  <si>
    <t>Mot</t>
  </si>
  <si>
    <t>Mmo</t>
  </si>
  <si>
    <t>Xi</t>
  </si>
  <si>
    <t>YpromOt</t>
  </si>
  <si>
    <t>YpromMo</t>
  </si>
  <si>
    <t>XpromOt</t>
  </si>
  <si>
    <t>XpromMo</t>
  </si>
  <si>
    <t>LBE</t>
  </si>
  <si>
    <t>LBE Meta</t>
  </si>
  <si>
    <t>Pendiente m</t>
  </si>
  <si>
    <t>Desv. Std.</t>
  </si>
  <si>
    <t>R</t>
  </si>
  <si>
    <t>R²</t>
  </si>
  <si>
    <t>[kWh/mes]</t>
  </si>
  <si>
    <t>Influencia del cambio de la pendiente por la variabilidad operacional</t>
  </si>
  <si>
    <t>Influencia de la variablidad operacional en el cambio del intercepto</t>
  </si>
  <si>
    <t>Influencia del cambio del valor promedio del consumo de energía en el cambio del intercepto</t>
  </si>
  <si>
    <r>
      <t>Modelo LB</t>
    </r>
    <r>
      <rPr>
        <sz val="11"/>
        <color rgb="FF0070C0"/>
        <rFont val="Aptos Narrow"/>
        <family val="2"/>
        <scheme val="minor"/>
      </rPr>
      <t xml:space="preserve"> meta</t>
    </r>
  </si>
  <si>
    <t>Metas de ahorro energético</t>
  </si>
  <si>
    <t>1. Aspiracionales</t>
  </si>
  <si>
    <t>* Se ponen de arriba hacia abajo (corporativas);</t>
  </si>
  <si>
    <t>* Puede ser arbitrarias;</t>
  </si>
  <si>
    <t>* Pueden deprimir al personal.</t>
  </si>
  <si>
    <t>* Pueden no ser alcanzables o ser muy fáciles de alcanzar;</t>
  </si>
  <si>
    <t>2. Basadas en planes de acción</t>
  </si>
  <si>
    <t>* Sobre la base de los cambios planificados;</t>
  </si>
  <si>
    <t>* Son revisadas continuamente;</t>
  </si>
  <si>
    <t>* No consideran cambios operacionales.</t>
  </si>
  <si>
    <t>3. Basadas en el mejor comportamiento previo</t>
  </si>
  <si>
    <t>* Toman como referencia la línea base;</t>
  </si>
  <si>
    <t>* Considera cambios operacionales y cambios tecnológicos planeados,</t>
  </si>
  <si>
    <t>discutidas de abajo a arriba.</t>
  </si>
  <si>
    <t xml:space="preserve">Los componentes </t>
  </si>
  <si>
    <t>y</t>
  </si>
  <si>
    <t>Reflejan el impacto el cambio de variabilidad de Y con respecto a X (consumo vs producción) en el modelo.</t>
  </si>
  <si>
    <t>La suma algebráica de ellos indica si el cambio de variabilidad produce aumento o disminución del consumo.</t>
  </si>
  <si>
    <t>*</t>
  </si>
  <si>
    <t>De esos componetes</t>
  </si>
  <si>
    <t>son valores fijos, pues no dependen de la producción o variable Xi.</t>
  </si>
  <si>
    <t>Se plantean dos formas de hallar cuantitativamente el ahorro o desahorro que se produce entre un comportamiento y otro.</t>
  </si>
  <si>
    <t>1. Sustituyendo en la ecuación cada mes el valor de Xi (producción) y sumar el valor de las diferencias de cada mes.</t>
  </si>
  <si>
    <t>El valor total dirá si existió o no ahorro y si las mejores operaciones fueron mejores o no y cuanto lo fueron.</t>
  </si>
  <si>
    <t>2. Simplemente sustituyendo en el valor de Xi, el valor Xprom, se obtiene el valor promedio mensual de las diferencias.</t>
  </si>
  <si>
    <t>Multiplicando este valor por el número de meses se obtiene la diferencia total.</t>
  </si>
  <si>
    <t>Índice de Consumo (IC)</t>
  </si>
  <si>
    <t>De este modo el IC ,ide el nivel de eficiencia y/o ineficiencia asociado a la producción.</t>
  </si>
  <si>
    <t>IC :</t>
  </si>
  <si>
    <t>Et :</t>
  </si>
  <si>
    <t>P :</t>
  </si>
  <si>
    <t>m :</t>
  </si>
  <si>
    <t>Eo :</t>
  </si>
  <si>
    <t>índice de consumo</t>
  </si>
  <si>
    <t>consumo de energía estimada</t>
  </si>
  <si>
    <t>pendiente de la recta de la LBE</t>
  </si>
  <si>
    <t>E-real</t>
  </si>
  <si>
    <t>E-LBE</t>
  </si>
  <si>
    <t>IDE base 100</t>
  </si>
  <si>
    <t>IC LBE</t>
  </si>
  <si>
    <t>IC Real</t>
  </si>
  <si>
    <t>El beneficio de este análisis radica en que se puede saber y cuantificar que parte de la diferencia de comportamiento se debió a variabilidad operacional o a cambios  el consumo promedio de energía.</t>
  </si>
  <si>
    <r>
      <t xml:space="preserve">consumo energético </t>
    </r>
    <r>
      <rPr>
        <b/>
        <sz val="11"/>
        <color theme="1"/>
        <rFont val="Aptos Narrow"/>
        <family val="2"/>
        <scheme val="minor"/>
      </rPr>
      <t xml:space="preserve">fijo </t>
    </r>
    <r>
      <rPr>
        <sz val="11"/>
        <color theme="1"/>
        <rFont val="Aptos Narrow"/>
        <family val="2"/>
        <scheme val="minor"/>
      </rPr>
      <t>de los macroprocesos</t>
    </r>
  </si>
  <si>
    <t>Indicador de base 100 (IB100)</t>
  </si>
  <si>
    <t>Er, es el consumo de energía real.</t>
  </si>
  <si>
    <t>máx</t>
  </si>
  <si>
    <t>mín</t>
  </si>
  <si>
    <t>dif</t>
  </si>
  <si>
    <t>Promedio</t>
  </si>
  <si>
    <t>Consumo Teórico [kWh/mes]</t>
  </si>
  <si>
    <t>Ict</t>
  </si>
  <si>
    <t>y=1,6734x+29043</t>
  </si>
  <si>
    <t>Indicadores de desempeño energético IDEn PGF</t>
  </si>
  <si>
    <t>Acumulada</t>
  </si>
  <si>
    <t>dIC/dP</t>
  </si>
  <si>
    <t>Referencia PGF</t>
  </si>
  <si>
    <t>Este indicador se basa en la representación de la acumulación de las desviaciones de cada observación respecto a un valor de referencia.</t>
  </si>
  <si>
    <t>CUSUM monitorea la tendencia de consumo energético en el proceso y determina la magnitud del ahorro o las pérdidas producidas en un período actual en relación a un período base.</t>
  </si>
  <si>
    <t>Esta herramienta sirve para establecer los rangos en los cuales deben permanecer las variables de proceso que impactan en el proceso.</t>
  </si>
  <si>
    <t>CUSUM :</t>
  </si>
  <si>
    <t>Eri :</t>
  </si>
  <si>
    <t>Eti :</t>
  </si>
  <si>
    <t>tendencias o sumas acumulativas</t>
  </si>
  <si>
    <t>consumo de energía real en el mes i</t>
  </si>
  <si>
    <t>consumo de energía teórico de LBE en el mes i.</t>
  </si>
  <si>
    <t>E-real -E-LBE</t>
  </si>
  <si>
    <t>CUSUM</t>
  </si>
  <si>
    <t>Que es una de las medidas macroeconómicas más importantes para conocer el estado de su economía.</t>
  </si>
  <si>
    <t>Consumo energético anual por trabajador (CEAT)</t>
  </si>
  <si>
    <t>Intensidad de Energía (IE)</t>
  </si>
  <si>
    <t>Indicador de tendencia o sumas acumulativas (CUSUM)</t>
  </si>
  <si>
    <t>Trabajadores</t>
  </si>
  <si>
    <t>kWh/trabajador</t>
  </si>
  <si>
    <t>Consumo energético anual estimado por fuente de energía y trabajador (CEAEFET)</t>
  </si>
  <si>
    <t>El indicador CEAEFET entrega información basada en la estimación realizada en la revisión energética sobre los consumos energéticos estimados anuales por tipo de fuente de energía y trabajador</t>
  </si>
  <si>
    <t>Ahorro potencial =</t>
  </si>
  <si>
    <t>Equivalente a:</t>
  </si>
  <si>
    <t>del consumo energético mensual</t>
  </si>
  <si>
    <t>La intensidad de energía es una medida que permite determinar que cantidad de recursos necesita un país o una organización para generar el producto interno bruto (PIB).</t>
  </si>
  <si>
    <t>Línea base de índice de consumo</t>
  </si>
  <si>
    <t>El gráfico IC vs P, es una línea curva con asíntota en el eje P, en el valor de la pendiente m de la expresión E(p).</t>
  </si>
  <si>
    <r>
      <t xml:space="preserve">En la medida que la </t>
    </r>
    <r>
      <rPr>
        <b/>
        <sz val="11"/>
        <color theme="1"/>
        <rFont val="Aptos Narrow"/>
        <family val="2"/>
        <scheme val="minor"/>
      </rPr>
      <t>producción disminuye</t>
    </r>
    <r>
      <rPr>
        <sz val="11"/>
        <color theme="1"/>
        <rFont val="Aptos Narrow"/>
        <family val="2"/>
        <scheme val="minor"/>
      </rPr>
      <t xml:space="preserve"> es posible que </t>
    </r>
    <r>
      <rPr>
        <b/>
        <sz val="11"/>
        <color theme="1"/>
        <rFont val="Aptos Narrow"/>
        <family val="2"/>
        <scheme val="minor"/>
      </rPr>
      <t>disminuya el consumo</t>
    </r>
    <r>
      <rPr>
        <sz val="11"/>
        <color theme="1"/>
        <rFont val="Aptos Narrow"/>
        <family val="2"/>
        <scheme val="minor"/>
      </rPr>
      <t xml:space="preserve"> total de energía, pero el gasto energético por unidad de producto aumenta ya que Eo se mantiene prácticamente constante.</t>
    </r>
  </si>
  <si>
    <r>
      <t xml:space="preserve">El incremento de la producción disminuye el gasto por unidad de producto, pero hasta el valor límite de la pendicente de la ecuación </t>
    </r>
    <r>
      <rPr>
        <b/>
        <sz val="11"/>
        <color theme="1"/>
        <rFont val="Aptos Narrow"/>
        <family val="2"/>
        <scheme val="minor"/>
      </rPr>
      <t>E=F(P)=m</t>
    </r>
  </si>
  <si>
    <t>En cada gráfico IC vs P existe un valor de P donde la variación de IC con la producción es mínima y es la menor.</t>
  </si>
  <si>
    <r>
      <t xml:space="preserve">Para reducir el índice de consumo operacional se debería trabajar para esos </t>
    </r>
    <r>
      <rPr>
        <b/>
        <sz val="11"/>
        <color theme="1"/>
        <rFont val="Aptos Narrow"/>
        <family val="2"/>
        <scheme val="minor"/>
      </rPr>
      <t>rates</t>
    </r>
    <r>
      <rPr>
        <sz val="11"/>
        <color theme="1"/>
        <rFont val="Aptos Narrow"/>
        <family val="2"/>
        <scheme val="minor"/>
      </rPr>
      <t xml:space="preserve"> de producción siempre.</t>
    </r>
  </si>
  <si>
    <t>Rate producción = producción horaria</t>
  </si>
  <si>
    <t>Línea base de índice de consumo, análisis geomérico</t>
  </si>
  <si>
    <t>Es una función de proporcionalidad inversa.</t>
  </si>
  <si>
    <t>Es la función de una hipérbola equilátera con traslación vertical que se desliza hacia arriba m unidades.</t>
  </si>
  <si>
    <t>El centro es (0,m), las asíntotas son en el eje X,0, y en el eje Y,m.</t>
  </si>
  <si>
    <t>Como Eo &gt; 0, la hipérbola debe estar en los cuadrantes I y III, pero no puede físicamene estar en el II.</t>
  </si>
  <si>
    <t>Como Eo &gt; 0, es una función de creciente. A medida que aumenta X aumenta, Y decrece.</t>
  </si>
  <si>
    <t>Mientras mayor es Eo, menor es el decrecimiento y viceversa.</t>
  </si>
  <si>
    <t>Mientras mayor es Eo, mayor es la pendiente negativa y menor es el decrecimiento del consumo de energía con la producción.</t>
  </si>
  <si>
    <t>Análisis</t>
  </si>
  <si>
    <t>* El IC no es constante con P.</t>
  </si>
  <si>
    <t>* El incremento del consumo promedio, aumenta Eo y aumenta IC para igual P.</t>
  </si>
  <si>
    <t>* El decremento de la dependencia del consumo de la producción, baja m y sube Eo.</t>
  </si>
  <si>
    <t>Determinación del potencial de ahorro enegético por trabajar a tasas de producción superiores o iguales a la del punto de quiebre.</t>
  </si>
  <si>
    <t>El cálculo del potencial se basa en determinar el ahorro de energía que puede producirse por trabajar a más bajos índices de consumo de energía con la misma producción realizada.</t>
  </si>
  <si>
    <t>Esto se realiza en la planta, mediante una nueva planificación de la producción.</t>
  </si>
  <si>
    <t>; IC crítico</t>
  </si>
  <si>
    <t>PIB</t>
  </si>
  <si>
    <t>USD</t>
  </si>
  <si>
    <t>Dólar</t>
  </si>
  <si>
    <t>IE =</t>
  </si>
  <si>
    <t>Consumo Predicho línea base</t>
  </si>
  <si>
    <t>Diferencia</t>
  </si>
  <si>
    <t>Concepto</t>
  </si>
  <si>
    <t>Análisis previo Linea Base de Consumo Energético - PGF</t>
  </si>
  <si>
    <t>Consumo energético total del mes</t>
  </si>
  <si>
    <t xml:space="preserve">T = </t>
  </si>
  <si>
    <t>Trabajador</t>
  </si>
  <si>
    <t>CEAT =</t>
  </si>
  <si>
    <t>Consumo energético anual por trabajador</t>
  </si>
  <si>
    <t>Ejemplo:</t>
  </si>
  <si>
    <t>Para un CEAT de :</t>
  </si>
  <si>
    <t>CEi =</t>
  </si>
  <si>
    <t>T = Cei/CEAT</t>
  </si>
  <si>
    <t>Índice de consumo energético eléctrico</t>
  </si>
  <si>
    <t>Para un CEAEFET de :</t>
  </si>
  <si>
    <t>El indicador CEAT entrega información sobre el consumo energético anual de electricidad que cada trabajdor consume anualmente en promedio.</t>
  </si>
  <si>
    <t>Indice de consumo meta</t>
  </si>
  <si>
    <t>Consumo energético anual por superficie (CEAS)</t>
  </si>
  <si>
    <t>Superficie</t>
  </si>
  <si>
    <t>CEAS e</t>
  </si>
  <si>
    <t>CEAS g</t>
  </si>
  <si>
    <t>CEAS p</t>
  </si>
  <si>
    <t>CEAS t</t>
  </si>
  <si>
    <t>CE e</t>
  </si>
  <si>
    <t>CE g</t>
  </si>
  <si>
    <t>CE p</t>
  </si>
  <si>
    <t>CE t</t>
  </si>
  <si>
    <t>CEAEFET e</t>
  </si>
  <si>
    <t>KWh/trabajador año 2020</t>
  </si>
  <si>
    <t>KWh/trabajador año 2021</t>
  </si>
  <si>
    <t>Media (KWh/trabajador 2021 - 2022)</t>
  </si>
  <si>
    <t>kWh/T</t>
  </si>
  <si>
    <t>CEAEFET g</t>
  </si>
  <si>
    <t>Solo electricidad 2020</t>
  </si>
  <si>
    <t>CEAEFET p</t>
  </si>
  <si>
    <t>Solo electricidad 2021</t>
  </si>
  <si>
    <t>CEAEFET t</t>
  </si>
  <si>
    <t xml:space="preserve">Consumo energético auditado </t>
  </si>
  <si>
    <t>Hay que determinar gas y petroleo</t>
  </si>
  <si>
    <t>CEAEFET =</t>
  </si>
  <si>
    <t>Consumo energético anual por tipo de fuente</t>
  </si>
  <si>
    <t>kWh</t>
  </si>
  <si>
    <t>f fuente de energía</t>
  </si>
  <si>
    <t>Incluir; elec gas y petro</t>
  </si>
  <si>
    <t>CEi (pet)</t>
  </si>
  <si>
    <t>CEfuentes</t>
  </si>
  <si>
    <t>T</t>
  </si>
  <si>
    <t>CEAEFETi</t>
  </si>
  <si>
    <t xml:space="preserve">Índice de consumo energético </t>
  </si>
  <si>
    <t>Mensual elec</t>
  </si>
  <si>
    <t>Mensual gas</t>
  </si>
  <si>
    <t>Mensual pet</t>
  </si>
  <si>
    <t>Mensual total por trabajador</t>
  </si>
  <si>
    <t>CEi (ker)</t>
  </si>
  <si>
    <t>m²</t>
  </si>
  <si>
    <t>mensual</t>
  </si>
  <si>
    <t>anual</t>
  </si>
  <si>
    <r>
      <t>kWh/m</t>
    </r>
    <r>
      <rPr>
        <sz val="11"/>
        <color theme="1"/>
        <rFont val="Aptos Narrow"/>
        <family val="2"/>
      </rPr>
      <t>²</t>
    </r>
  </si>
  <si>
    <t>CEAS, es un indicador sobre cuanta densidad de energía se tiene por fuente de energía.</t>
  </si>
  <si>
    <t>i, los meses del año</t>
  </si>
  <si>
    <t>u, el uso de energía</t>
  </si>
  <si>
    <t>CEi,u es el consumo energético en los meses i, y usos de energía u</t>
  </si>
  <si>
    <t>CEAS elec</t>
  </si>
  <si>
    <t>CEAS gas</t>
  </si>
  <si>
    <t>CEAS petr</t>
  </si>
  <si>
    <t>CEAS total</t>
  </si>
  <si>
    <t>Se estimo una superficie toal en</t>
  </si>
  <si>
    <t>Verificar Alto valor de R²</t>
  </si>
  <si>
    <t>CEi,u</t>
  </si>
  <si>
    <t>S</t>
  </si>
  <si>
    <t>CEASu</t>
  </si>
  <si>
    <t>Consumo [kWh/m²]</t>
  </si>
  <si>
    <t>kWh/m²</t>
  </si>
  <si>
    <t>Porcentaje de consumo energético anual por uso de energía (PCEAUE)</t>
  </si>
  <si>
    <t>Este indicador entrega información sobre el porcentaje del consumo energético anual por uso energético</t>
  </si>
  <si>
    <t>e, equipo que consume energía</t>
  </si>
  <si>
    <t>u, uso de energía al que pertenece e</t>
  </si>
  <si>
    <t>Xe,u corresponde a la cantidad de energía anual auditada de un equipo e</t>
  </si>
  <si>
    <t>perteneciente a un uso de energía u</t>
  </si>
  <si>
    <t>Oil Malal</t>
  </si>
  <si>
    <t>Porcentaje de consumo energético anual por área (PCEAA)</t>
  </si>
  <si>
    <t xml:space="preserve">u, uso de energía </t>
  </si>
  <si>
    <t>a, el área de trabajo</t>
  </si>
  <si>
    <t>Xa corresponde a la cantidad de energía anual auditada por áreas de trabajo</t>
  </si>
  <si>
    <t>PCEAA</t>
  </si>
  <si>
    <t>Almacenamiento y aceite térmico</t>
  </si>
  <si>
    <t>Oficinas</t>
  </si>
  <si>
    <t>Laboratorios</t>
  </si>
  <si>
    <r>
      <t>Quemadores (</t>
    </r>
    <r>
      <rPr>
        <sz val="11"/>
        <color rgb="FF0070C0"/>
        <rFont val="Aptos Narrow"/>
        <family val="2"/>
        <scheme val="minor"/>
      </rPr>
      <t>Almacenamiento y aceite térmico</t>
    </r>
    <r>
      <rPr>
        <sz val="11"/>
        <color theme="1"/>
        <rFont val="Aptos Narrow"/>
        <family val="2"/>
        <scheme val="minor"/>
      </rPr>
      <t>)</t>
    </r>
  </si>
  <si>
    <t>KWh/trabajador año 2022</t>
  </si>
  <si>
    <t>KWh/trabajador año 2023</t>
  </si>
  <si>
    <t>Media (KWh/trabajador 2022 - 2023)</t>
  </si>
  <si>
    <t>KWh/m² año 2022</t>
  </si>
  <si>
    <t>KWh/m² año 2023</t>
  </si>
  <si>
    <t>Media (KWh/m² 2022 - 2023)</t>
  </si>
  <si>
    <t>CEi (ele)</t>
  </si>
  <si>
    <t>Consumo energético anual por iluminación (CEAIT)</t>
  </si>
  <si>
    <t>Este indicador entrega infoemación sobre el consumo energético anual por iluminación por trabajador</t>
  </si>
  <si>
    <t>u, el uso de energía en iluminación</t>
  </si>
  <si>
    <t>X,u es el consumo energético asociado a iliminación durante los meses i</t>
  </si>
  <si>
    <t>CEAIT iluminación</t>
  </si>
  <si>
    <t>CEAIT</t>
  </si>
  <si>
    <t>iluminación</t>
  </si>
  <si>
    <t>Promedio mes</t>
  </si>
  <si>
    <t>X,u</t>
  </si>
  <si>
    <t>CEAITu</t>
  </si>
  <si>
    <t>Por trabajador</t>
  </si>
  <si>
    <t>y = 0,0155x + 91,139</t>
  </si>
  <si>
    <t>Los índices de consumo establecen la relación óptima entre la energía consumida (Et) y la producción P.</t>
  </si>
  <si>
    <t>T = CEf/CEAefeT</t>
  </si>
  <si>
    <t>Total USEs</t>
  </si>
  <si>
    <t>Total-Total</t>
  </si>
  <si>
    <t>Emisiones GEI</t>
  </si>
  <si>
    <t>8) Determinación de propiedades del modelo de LBE</t>
  </si>
  <si>
    <r>
      <rPr>
        <b/>
        <sz val="11"/>
        <color theme="1"/>
        <rFont val="Aptos Narrow"/>
        <family val="2"/>
        <scheme val="minor"/>
      </rPr>
      <t>1. La significancia del modelo</t>
    </r>
    <r>
      <rPr>
        <sz val="11"/>
        <color theme="1"/>
        <rFont val="Aptos Narrow"/>
        <family val="2"/>
        <scheme val="minor"/>
      </rPr>
      <t>, es decir, si el modelo pasa la hipótesis de que las variaciones de Y son provocadas por las variaciones de X.</t>
    </r>
  </si>
  <si>
    <t xml:space="preserve">Protocolos de IPMVP </t>
  </si>
  <si>
    <t>, solo se requieren 23 datos</t>
  </si>
  <si>
    <r>
      <t>Mezcla Asfáltica [m</t>
    </r>
    <r>
      <rPr>
        <sz val="11"/>
        <color theme="1"/>
        <rFont val="Aptos Narrow"/>
        <family val="2"/>
      </rPr>
      <t>³</t>
    </r>
    <r>
      <rPr>
        <sz val="11"/>
        <color theme="1"/>
        <rFont val="Aptos Narrow"/>
        <family val="2"/>
        <scheme val="minor"/>
      </rPr>
      <t>] /mes</t>
    </r>
  </si>
  <si>
    <t xml:space="preserve">Consumo Energía Eléctrica [kWh/mes] </t>
  </si>
  <si>
    <r>
      <t>Emulsión Asfáltica [m</t>
    </r>
    <r>
      <rPr>
        <sz val="11"/>
        <color theme="1"/>
        <rFont val="Aptos Narrow"/>
        <family val="2"/>
      </rPr>
      <t>³/mes]</t>
    </r>
  </si>
  <si>
    <r>
      <t>Producción [m</t>
    </r>
    <r>
      <rPr>
        <sz val="11"/>
        <color theme="1"/>
        <rFont val="Aptos Narrow"/>
        <family val="2"/>
      </rPr>
      <t>³</t>
    </r>
    <r>
      <rPr>
        <sz val="11"/>
        <color theme="1"/>
        <rFont val="Aptos Narrow"/>
        <family val="2"/>
        <scheme val="minor"/>
      </rPr>
      <t>/mes]</t>
    </r>
  </si>
  <si>
    <t>Dato filtrado</t>
  </si>
  <si>
    <t>t student de la tabla: 2,07 (con 23 datos y  95% de confianza)</t>
  </si>
  <si>
    <r>
      <t>El 83</t>
    </r>
    <r>
      <rPr>
        <b/>
        <sz val="11"/>
        <color theme="1"/>
        <rFont val="Aptos Narrow"/>
        <family val="2"/>
        <scheme val="minor"/>
      </rPr>
      <t>%</t>
    </r>
    <r>
      <rPr>
        <sz val="11"/>
        <color theme="1"/>
        <rFont val="Aptos Narrow"/>
        <family val="2"/>
        <scheme val="minor"/>
      </rPr>
      <t xml:space="preserve"> de las variaciones de consumo de energía se debe a la variable independiente del modelo que en este caso es la producción realizada. El resto 17% se debe a la influencia de las variables que dependen de la operación y mantenimiento.</t>
    </r>
  </si>
  <si>
    <t>2,07 para  95% de confianza</t>
  </si>
  <si>
    <t>t, se determina de la tabla t-student con: número de datos de la muestra y el nivel de confianza (Ej: para 23 datos y 95%, t=2,07)</t>
  </si>
  <si>
    <t>Datos 23</t>
  </si>
  <si>
    <t>y = 9,5209x + 8058,7</t>
  </si>
  <si>
    <t>t student de la tabla: 2,18 (con 13 datos y  95% de confianza)</t>
  </si>
  <si>
    <r>
      <t xml:space="preserve">El </t>
    </r>
    <r>
      <rPr>
        <b/>
        <sz val="11"/>
        <color theme="1"/>
        <rFont val="Aptos Narrow"/>
        <family val="2"/>
        <scheme val="minor"/>
      </rPr>
      <t>95%</t>
    </r>
    <r>
      <rPr>
        <sz val="11"/>
        <color theme="1"/>
        <rFont val="Aptos Narrow"/>
        <family val="2"/>
        <scheme val="minor"/>
      </rPr>
      <t xml:space="preserve"> de las variaciones de consumo de energía se debe a la variable independiente del modelo que en este caso es la producción realizada. El resto 5% se debe a la influencia de las variables que dependen de la operación y mantenimiento.</t>
    </r>
  </si>
  <si>
    <t>2,18 para  95% de confianza</t>
  </si>
  <si>
    <t>y = 9,8813x + 7792,1</t>
  </si>
  <si>
    <t>y = 9,1588x + 8148</t>
  </si>
  <si>
    <t>y = 0,0316x - 26,646</t>
  </si>
  <si>
    <t>y = 0,0316x - 55,698</t>
  </si>
  <si>
    <t>y = 0,0001x + 1E-14</t>
  </si>
  <si>
    <t>Datos Planta Oil Malal San Antonio</t>
  </si>
  <si>
    <r>
      <t xml:space="preserve">Tabla 40. </t>
    </r>
    <r>
      <rPr>
        <sz val="9"/>
        <color rgb="FF000000"/>
        <rFont val="Calibri"/>
        <family val="2"/>
      </rPr>
      <t>Número de lecturas y nivel de confianza.</t>
    </r>
  </si>
  <si>
    <t>N° de lecturas (tamaño muestra)</t>
  </si>
  <si>
    <t>12.71</t>
  </si>
  <si>
    <t>6.31</t>
  </si>
  <si>
    <t>3.08</t>
  </si>
  <si>
    <t>1.00</t>
  </si>
  <si>
    <t>2.12</t>
  </si>
  <si>
    <t>1.75</t>
  </si>
  <si>
    <t>1.34</t>
  </si>
  <si>
    <t>0.69</t>
  </si>
  <si>
    <t>4.30</t>
  </si>
  <si>
    <t>2.92</t>
  </si>
  <si>
    <t>1.89</t>
  </si>
  <si>
    <t>0.82</t>
  </si>
  <si>
    <t>1.74</t>
  </si>
  <si>
    <t>1.33</t>
  </si>
  <si>
    <t>3.18</t>
  </si>
  <si>
    <t>2.35</t>
  </si>
  <si>
    <t>1.64</t>
  </si>
  <si>
    <t>0.76</t>
  </si>
  <si>
    <t>2.11</t>
  </si>
  <si>
    <t>1.73</t>
  </si>
  <si>
    <t>2.78</t>
  </si>
  <si>
    <t>2.13</t>
  </si>
  <si>
    <t>1.53</t>
  </si>
  <si>
    <t>0.74</t>
  </si>
  <si>
    <t>2.10</t>
  </si>
  <si>
    <t>2.57</t>
  </si>
  <si>
    <t>2.02</t>
  </si>
  <si>
    <t>1.48</t>
  </si>
  <si>
    <t>0.73</t>
  </si>
  <si>
    <t>2.09</t>
  </si>
  <si>
    <t>1.72</t>
  </si>
  <si>
    <t>2.45</t>
  </si>
  <si>
    <t>1.94</t>
  </si>
  <si>
    <t>1.44</t>
  </si>
  <si>
    <t>0.72</t>
  </si>
  <si>
    <t>2.08</t>
  </si>
  <si>
    <t>1.32</t>
  </si>
  <si>
    <t>2.36</t>
  </si>
  <si>
    <t>1.41</t>
  </si>
  <si>
    <t>0.71</t>
  </si>
  <si>
    <t>2.07</t>
  </si>
  <si>
    <t>2.31</t>
  </si>
  <si>
    <t>1.86</t>
  </si>
  <si>
    <t>1.40</t>
  </si>
  <si>
    <t>1.71</t>
  </si>
  <si>
    <t>2.26</t>
  </si>
  <si>
    <t>1.83</t>
  </si>
  <si>
    <t>1.38</t>
  </si>
  <si>
    <t>0.70</t>
  </si>
  <si>
    <t>2.06</t>
  </si>
  <si>
    <t>2.23</t>
  </si>
  <si>
    <t>1.81</t>
  </si>
  <si>
    <t>1.37</t>
  </si>
  <si>
    <t>2.20</t>
  </si>
  <si>
    <t>1.80</t>
  </si>
  <si>
    <t>1.36</t>
  </si>
  <si>
    <t>1.31</t>
  </si>
  <si>
    <t>2.18</t>
  </si>
  <si>
    <t>1.78</t>
  </si>
  <si>
    <t>2.05</t>
  </si>
  <si>
    <t>1.70</t>
  </si>
  <si>
    <t>2.16</t>
  </si>
  <si>
    <t>1.77</t>
  </si>
  <si>
    <t>1.35</t>
  </si>
  <si>
    <t>2.14</t>
  </si>
  <si>
    <t>1.76</t>
  </si>
  <si>
    <t>?</t>
  </si>
  <si>
    <t>1.96</t>
  </si>
  <si>
    <t>1.28</t>
  </si>
  <si>
    <t>Tesis PGF MII598</t>
  </si>
  <si>
    <r>
      <rPr>
        <b/>
        <sz val="11"/>
        <color theme="1"/>
        <rFont val="Aptos Narrow"/>
        <family val="2"/>
        <scheme val="minor"/>
      </rPr>
      <t>5. Precisión relativa</t>
    </r>
    <r>
      <rPr>
        <sz val="11"/>
        <color theme="1"/>
        <rFont val="Aptos Narrow"/>
        <family val="2"/>
        <scheme val="minor"/>
      </rPr>
      <t>: es la precisión absoluta expresada en % del valor medio de consumo</t>
    </r>
  </si>
  <si>
    <r>
      <rPr>
        <b/>
        <sz val="11"/>
        <color theme="1"/>
        <rFont val="Aptos Narrow"/>
        <family val="2"/>
        <scheme val="minor"/>
      </rPr>
      <t>2. El valor de R² o coeficiente de determinación</t>
    </r>
    <r>
      <rPr>
        <sz val="11"/>
        <color theme="1"/>
        <rFont val="Aptos Narrow"/>
        <family val="2"/>
        <scheme val="minor"/>
      </rPr>
      <t xml:space="preserve"> que me indica la fortaleza de la relación entre Y y X , y además la dirección de la relación, es decir, si cuando crece uno; también crece el otro o viceversa. El ajustado elimina la influencia del número de variables en el modelo.</t>
    </r>
  </si>
  <si>
    <t>O también Sxy = error típico de la tabla P-value</t>
  </si>
  <si>
    <t>Pendiente de la variación de Y con X:</t>
  </si>
  <si>
    <t>Dividir consumo por superficie</t>
  </si>
  <si>
    <t>Este indicador entrega información sobre el consumo energético anual por área de trabajo</t>
  </si>
  <si>
    <t>Potencial de ahorro</t>
  </si>
  <si>
    <t>% Prop</t>
  </si>
  <si>
    <t>% acum Prop</t>
  </si>
  <si>
    <t>http://guiaiso50001.cl/guia/wp-content/uploads/2017/05/herramientas-para-la-planeacion-energetica-P-2-AP-1.pdf</t>
  </si>
  <si>
    <t>Descricpción</t>
  </si>
  <si>
    <t>Tasa de inflación</t>
  </si>
  <si>
    <t>Tasa incremental del costo de energía eléctrica anual</t>
  </si>
  <si>
    <t>Tasa incremental del costo de kerosene</t>
  </si>
  <si>
    <t>TMAR</t>
  </si>
  <si>
    <t>Periodo de análisis</t>
  </si>
  <si>
    <t>Capital propio</t>
  </si>
  <si>
    <t>Capital no propio</t>
  </si>
  <si>
    <t>Premio al riesgo</t>
  </si>
  <si>
    <t>Tasa activa bancaria</t>
  </si>
  <si>
    <t>Parámetros iniciales a considerar en Flujo de Caja</t>
  </si>
  <si>
    <r>
      <rPr>
        <b/>
        <u/>
        <sz val="11"/>
        <color theme="1"/>
        <rFont val="Aptos Narrow"/>
        <family val="2"/>
        <scheme val="minor"/>
      </rPr>
      <t>Ahorros</t>
    </r>
    <r>
      <rPr>
        <u/>
        <sz val="11"/>
        <color theme="1"/>
        <rFont val="Aptos Narrow"/>
        <family val="2"/>
        <scheme val="minor"/>
      </rPr>
      <t xml:space="preserve"> de costos por medidas a implementar</t>
    </r>
  </si>
  <si>
    <t>Ahorro total</t>
  </si>
  <si>
    <t>Ahorros anuales por implementación de medidas de eficiencia energética</t>
  </si>
  <si>
    <t>Esto se logra incrementando la tasa horaria de producción por encima a la del punto de quiebre seleccionada.</t>
  </si>
  <si>
    <t>Sobre IC</t>
  </si>
  <si>
    <t>Bajo IC</t>
  </si>
  <si>
    <t>Este indicador genera alertas en cuanto a variaciones positivas o negativas de la eficiencia del proceso, Facilitanto el análisis y generación de planes de acción en función de las mejores prácticas energéticas.</t>
  </si>
  <si>
    <t>* El aumento de Eo aumenta IC para un mismo P y el aumento de m, también tiende a aumentar IC. Pero a la vez reducir Eo e IC.</t>
  </si>
  <si>
    <t>Factor Límites</t>
  </si>
  <si>
    <t>k</t>
  </si>
  <si>
    <t>c+</t>
  </si>
  <si>
    <r>
      <rPr>
        <b/>
        <sz val="11"/>
        <color theme="1"/>
        <rFont val="Aptos Narrow"/>
        <family val="2"/>
        <scheme val="minor"/>
      </rPr>
      <t>Precisión</t>
    </r>
    <r>
      <rPr>
        <sz val="11"/>
        <color theme="1"/>
        <rFont val="Aptos Narrow"/>
        <family val="2"/>
        <scheme val="minor"/>
      </rPr>
      <t>: La precisión es la medida del intervalo absoluto o relativo dentro del cual se espera que estén los valores verdaderos, con un nivel determinado de confianza. Se espera que el valor verdadero de cualquier estimación estadística, con un nivel de confianza concreto, caiga e el intervalo definido por:</t>
    </r>
  </si>
  <si>
    <r>
      <rPr>
        <b/>
        <sz val="11"/>
        <color theme="1"/>
        <rFont val="Aptos Narrow"/>
        <family val="2"/>
        <scheme val="minor"/>
      </rPr>
      <t>4. La precisión absoluta</t>
    </r>
    <r>
      <rPr>
        <sz val="11"/>
        <color theme="1"/>
        <rFont val="Aptos Narrow"/>
        <family val="2"/>
        <scheme val="minor"/>
      </rPr>
      <t xml:space="preserve"> del modelo: es el intervalo de confianza en que se encuentra el valor real con respecto al estimado calculado por el modelo, para una confiabilidad dada. Es lo que debo sumar o restar al valor estimado por el modelo para lograr que el valor de la muestra se encuentre en ese intervalo</t>
    </r>
  </si>
  <si>
    <t>LCS</t>
  </si>
  <si>
    <t>LCI</t>
  </si>
  <si>
    <t>p</t>
  </si>
  <si>
    <t>Nivel de confianza 95%</t>
  </si>
  <si>
    <t>error</t>
  </si>
  <si>
    <t>q</t>
  </si>
  <si>
    <t>num</t>
  </si>
  <si>
    <t>den</t>
  </si>
  <si>
    <t>probabilidad que ocurra el evento</t>
  </si>
  <si>
    <t>probabilidad que no ocurra el evento</t>
  </si>
  <si>
    <t>Reducción de consumo de energía mensual en [kWh/mes]</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</si>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</sst>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8">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64" formatCode="_-* #,##0.00_-;\-* #,##0.00_-;_-* &quot;-&quot;??_-;_-@_-"/>
    <numFmt numFmtId="165" formatCode="_ * #,##0.00_ ;_ * \-#,##0.00_ ;_ * &quot;-&quot;_ ;_ @_ "/>
    <numFmt numFmtId="166" formatCode="0.0000&quot;[lt]&quot;"/>
    <numFmt numFmtId="167" formatCode="_ &quot;$&quot;* #,##0.00_ ;_ &quot;$&quot;* \-#,##0.00_ ;_ &quot;$&quot;* &quot;-&quot;_ ;_ @_ "/>
    <numFmt numFmtId="168" formatCode="0.00&quot;[lt]&quot;"/>
    <numFmt numFmtId="169" formatCode="_ * #,##0.0000_ ;_ * \-#,##0.0000_ ;_ * &quot;-&quot;_ ;_ @_ "/>
    <numFmt numFmtId="170" formatCode="0.000"/>
    <numFmt numFmtId="171" formatCode="_ * #,##0.0_ ;_ * \-#,##0.0_ ;_ * &quot;-&quot;_ ;_ @_ "/>
    <numFmt numFmtId="172" formatCode="0.0"/>
    <numFmt numFmtId="173" formatCode="_ * #,##0.0_ ;_ * \-#,##0.0_ ;_ * &quot;-&quot;?_ ;_ @_ "/>
    <numFmt numFmtId="174" formatCode="_ * #,##0.00_ ;_ * \-#,##0.00_ ;_ * &quot;-&quot;?_ ;_ @_ "/>
    <numFmt numFmtId="175" formatCode="_ * #,##0.000_ ;_ * \-#,##0.000_ ;_ * &quot;-&quot;_ ;_ @_ "/>
    <numFmt numFmtId="176" formatCode="0.0%"/>
    <numFmt numFmtId="177" formatCode="0.0\ &quot;[US$/año]&quot;"/>
    <numFmt numFmtId="178" formatCode="0.00\ &quot;[$/año]&quot;"/>
    <numFmt numFmtId="179" formatCode="_ [$$-340A]* #,##0.00_ ;_ [$$-340A]* \-#,##0.00_ ;_ [$$-340A]* &quot;-&quot;??_ ;_ @_ "/>
    <numFmt numFmtId="180" formatCode="0.00\ &quot;años&quot;"/>
    <numFmt numFmtId="181" formatCode="0.0\ &quot;[Ton CO₂/año]&quot;"/>
    <numFmt numFmtId="182" formatCode="0.0\ &quot;[kWh/año]&quot;"/>
    <numFmt numFmtId="183" formatCode="0\ &quot;horas&quot;"/>
    <numFmt numFmtId="184" formatCode="0\ &quot;[BTU/h]&quot;"/>
    <numFmt numFmtId="185" formatCode="_ [$$-340A]* #,##0_ ;_ [$$-340A]* \-#,##0_ ;_ [$$-340A]* &quot;-&quot;??_ ;_ @_ "/>
    <numFmt numFmtId="186" formatCode="0\ &quot;[$/año]&quot;"/>
    <numFmt numFmtId="187" formatCode="0\ &quot;[HP]&quot;"/>
    <numFmt numFmtId="188" formatCode="0.0\ &quot;[kW]&quot;"/>
    <numFmt numFmtId="189" formatCode="0\ &quot;veces&quot;"/>
    <numFmt numFmtId="190" formatCode="0.00\ &quot;[MWh/año]&quot;"/>
    <numFmt numFmtId="191" formatCode="0\ &quot;[horas/año]&quot;"/>
    <numFmt numFmtId="192" formatCode="0.0\ &quot;años&quot;"/>
    <numFmt numFmtId="193" formatCode="0\ &quot;años&quot;"/>
    <numFmt numFmtId="194" formatCode="0.0\ &quot;[gal]&quot;"/>
    <numFmt numFmtId="195" formatCode="0.00\ &quot;[GJ]&quot;"/>
    <numFmt numFmtId="196" formatCode="0.0\ &quot;[gal/hora]&quot;"/>
    <numFmt numFmtId="197" formatCode="0\ &quot;[BTU/año]&quot;"/>
    <numFmt numFmtId="198" formatCode="0\ &quot;[BTU/galón]&quot;"/>
    <numFmt numFmtId="199" formatCode="0\ &quot;[galones/año]&quot;"/>
    <numFmt numFmtId="200" formatCode="0\ &quot;[kBTU]&quot;"/>
    <numFmt numFmtId="201" formatCode="0.0\ &quot;[MBTU]&quot;"/>
    <numFmt numFmtId="202" formatCode="0.00\ &quot;[MJ/kg]&quot;"/>
    <numFmt numFmtId="203" formatCode="0\ &quot;[MJ/año]&quot;"/>
    <numFmt numFmtId="204" formatCode="0.0\ &quot;[kg/año]&quot;"/>
    <numFmt numFmtId="205" formatCode="0\ &quot;[$/kg]&quot;"/>
    <numFmt numFmtId="206" formatCode="0.0\ &quot;[Ton CO₂/TJ]&quot;"/>
    <numFmt numFmtId="207" formatCode="0.00\ &quot;[m]&quot;"/>
    <numFmt numFmtId="208" formatCode="0\ &quot;[°C]&quot;"/>
    <numFmt numFmtId="209" formatCode="0.00\ &quot;[-]&quot;"/>
    <numFmt numFmtId="210" formatCode="0.000\ &quot;[-]&quot;"/>
    <numFmt numFmtId="211" formatCode="0.0\ &quot;[W/mK]&quot;"/>
    <numFmt numFmtId="212" formatCode="0.00\ &quot;[W/mK]&quot;"/>
    <numFmt numFmtId="213" formatCode="0.0000\ &quot;[m]&quot;"/>
    <numFmt numFmtId="214" formatCode="0.0\ &quot;[W/m²K]&quot;"/>
    <numFmt numFmtId="215" formatCode="0.00\ &quot;[°K]&quot;"/>
    <numFmt numFmtId="216" formatCode="0.0\ &quot;[J/sm]&quot;"/>
    <numFmt numFmtId="217" formatCode="0.00\ &quot;[Kcal/h]&quot;"/>
    <numFmt numFmtId="218" formatCode="0.00\ &quot;[K]&quot;"/>
    <numFmt numFmtId="219" formatCode="0.000\ &quot;[m/h]&quot;"/>
    <numFmt numFmtId="220" formatCode="0.00\ &quot;[Kcal/mh]&quot;"/>
    <numFmt numFmtId="221" formatCode="0.0000"/>
    <numFmt numFmtId="222" formatCode="0.00\ &quot;[Kcal/año]&quot;"/>
    <numFmt numFmtId="223" formatCode="0\ &quot;[kJ/año]&quot;"/>
    <numFmt numFmtId="224" formatCode="_ * #,##0.0_ ;_ * \-#,##0.0_ ;_ * &quot;-&quot;??_ ;_ @_ "/>
    <numFmt numFmtId="225" formatCode="_ * #,##0_ ;_ * \-#,##0_ ;_ * &quot;-&quot;??_ ;_ @_ "/>
    <numFmt numFmtId="226" formatCode="0\ &quot;[kcal]&quot;"/>
    <numFmt numFmtId="227" formatCode="0.000\ &quot;[kJ]&quot;"/>
    <numFmt numFmtId="228" formatCode="_ * #,##0.000_ ;_ * \-#,##0.000_ ;_ * &quot;-&quot;???_ ;_ @_ "/>
    <numFmt numFmtId="229" formatCode="0.00\ &quot;[kJ/kg]&quot;"/>
    <numFmt numFmtId="230" formatCode="0.00\ &quot;[kg/gal]&quot;"/>
    <numFmt numFmtId="231" formatCode="0.0\ &quot;[galones/año]&quot;"/>
    <numFmt numFmtId="232" formatCode="0\ &quot;[US$]&quot;"/>
    <numFmt numFmtId="233" formatCode="0.00\ &quot;[TJ/año]&quot;"/>
    <numFmt numFmtId="234" formatCode="0.0000\ &quot;[TJ/año]&quot;"/>
    <numFmt numFmtId="235" formatCode="0.00\ &quot;[Ton CO₂/año]&quot;"/>
    <numFmt numFmtId="236" formatCode="0\ &quot;[gal]&quot;"/>
    <numFmt numFmtId="237" formatCode="0.00\ &quot;[$/kWh]&quot;"/>
    <numFmt numFmtId="238" formatCode="0\ &quot;[BTU]&quot;"/>
    <numFmt numFmtId="239" formatCode="0\ &quot;[Joules]&quot;"/>
    <numFmt numFmtId="240" formatCode="0.0000%"/>
    <numFmt numFmtId="241" formatCode="_ * #,##0.000_ ;_ * \-#,##0.000_ ;_ * &quot;-&quot;?_ ;_ @_ "/>
    <numFmt numFmtId="242" formatCode="0.00\ &quot;[$/gal]&quot;"/>
    <numFmt numFmtId="243" formatCode="0.0\ &quot;[$/año]&quot;"/>
    <numFmt numFmtId="244" formatCode="0\ &quot;[años]&quot;"/>
    <numFmt numFmtId="245" formatCode="0.0000\ &quot;[tCO₂e/MWh]&quot;"/>
    <numFmt numFmtId="246" formatCode="0.0\ &quot;[gal/año]&quot;"/>
    <numFmt numFmtId="247" formatCode="0.00000"/>
    <numFmt numFmtId="248" formatCode="0.00\ &quot;[Ton CO₂]&quot;"/>
    <numFmt numFmtId="249" formatCode="0.00000\ &quot;[Ton CO₂/año]&quot;"/>
    <numFmt numFmtId="250" formatCode="0.00\ &quot;[GJ/año]&quot;"/>
    <numFmt numFmtId="251" formatCode="0.00\ &quot;[Ton CO₂/TJ]&quot;"/>
    <numFmt numFmtId="252" formatCode="0.000\ &quot;[Ton CO₂/año]&quot;"/>
    <numFmt numFmtId="253" formatCode="0.00\ &quot;[$/GJ]&quot;"/>
    <numFmt numFmtId="254" formatCode="0.0000E+00"/>
    <numFmt numFmtId="255" formatCode="0.00\ &quot;[kW/mes]&quot;"/>
    <numFmt numFmtId="256" formatCode="0.0\ &quot;[kWh]&quot;"/>
    <numFmt numFmtId="257" formatCode="0.00\ &quot;[kWh/mes]&quot;"/>
    <numFmt numFmtId="258" formatCode="&quot;±&quot;\ 0.0%"/>
    <numFmt numFmtId="259" formatCode="_ * #,##0.00_ ;_ * \-#,##0.00_ ;_ * &quot;-&quot;????_ ;_ @_ "/>
    <numFmt numFmtId="260" formatCode="0.0000000"/>
    <numFmt numFmtId="261" formatCode="_ * #,##0.000000_ ;_ * \-#,##0.000000_ ;_ * &quot;-&quot;??????_ ;_ @_ "/>
    <numFmt numFmtId="262" formatCode="_ * #,##0.000000_ ;_ * \-#,##0.000000_ ;_ * &quot;-&quot;_ ;_ @_ "/>
    <numFmt numFmtId="263" formatCode="0.00\ &quot;[m³/mes]&quot;"/>
    <numFmt numFmtId="264" formatCode="0.000.E+00"/>
    <numFmt numFmtId="265" formatCode="0.000E+00"/>
    <numFmt numFmtId="266" formatCode="0.000%"/>
    <numFmt numFmtId="267" formatCode="_ * #,##0.0000_ ;_ * \-#,##0.0000_ ;_ * &quot;-&quot;????_ ;_ @_ "/>
  </numFmts>
  <fonts count="50"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b/>
      <sz val="9"/>
      <color indexed="81"/>
      <name val="Tahoma"/>
      <family val="2"/>
    </font>
    <font>
      <sz val="11"/>
      <color theme="1"/>
      <name val="Aptos Narrow"/>
      <family val="2"/>
    </font>
    <font>
      <u/>
      <sz val="11"/>
      <color theme="10"/>
      <name val="Aptos Narrow"/>
      <family val="2"/>
      <scheme val="minor"/>
    </font>
    <font>
      <sz val="11"/>
      <color theme="1"/>
      <name val="Calibri"/>
      <family val="2"/>
    </font>
    <font>
      <sz val="11"/>
      <color theme="0"/>
      <name val="Aptos Narrow"/>
      <family val="2"/>
      <scheme val="minor"/>
    </font>
    <font>
      <sz val="11"/>
      <color theme="1"/>
      <name val="Arial Narrow"/>
      <family val="2"/>
    </font>
    <font>
      <sz val="11"/>
      <color rgb="FF040C28"/>
      <name val="Aptos Narrow"/>
      <family val="2"/>
      <scheme val="minor"/>
    </font>
    <font>
      <sz val="11"/>
      <color rgb="FF4B4B4B"/>
      <name val="Arial Narrow"/>
      <family val="2"/>
    </font>
    <font>
      <sz val="8"/>
      <name val="Aptos Narrow"/>
      <family val="2"/>
      <scheme val="minor"/>
    </font>
    <font>
      <u val="singleAccounting"/>
      <sz val="11"/>
      <color theme="1"/>
      <name val="Aptos Narrow"/>
      <family val="2"/>
      <scheme val="minor"/>
    </font>
    <font>
      <u/>
      <sz val="11"/>
      <color theme="1"/>
      <name val="Aptos Narrow"/>
      <family val="2"/>
      <scheme val="minor"/>
    </font>
    <font>
      <sz val="11"/>
      <name val="Aptos Narrow"/>
      <family val="2"/>
      <scheme val="minor"/>
    </font>
    <font>
      <sz val="11"/>
      <color rgb="FFFF0000"/>
      <name val="Aptos Narrow"/>
      <family val="2"/>
      <scheme val="minor"/>
    </font>
    <font>
      <u/>
      <sz val="11"/>
      <color theme="0"/>
      <name val="Aptos Narrow"/>
      <family val="2"/>
      <scheme val="minor"/>
    </font>
    <font>
      <sz val="9"/>
      <color theme="1"/>
      <name val="Aptos Narrow"/>
      <family val="2"/>
      <scheme val="minor"/>
    </font>
    <font>
      <sz val="8"/>
      <color theme="1"/>
      <name val="Aptos Narrow"/>
      <family val="2"/>
      <scheme val="minor"/>
    </font>
    <font>
      <u/>
      <sz val="14.3"/>
      <color theme="1"/>
      <name val="Aptos Narrow"/>
      <family val="2"/>
    </font>
    <font>
      <u/>
      <sz val="11"/>
      <color theme="1"/>
      <name val="Aptos Narrow"/>
      <family val="2"/>
    </font>
    <font>
      <b/>
      <sz val="11"/>
      <color rgb="FF002060"/>
      <name val="Aptos Narrow"/>
      <family val="2"/>
      <scheme val="minor"/>
    </font>
    <font>
      <b/>
      <sz val="11"/>
      <color rgb="FF002060"/>
      <name val="Calibri"/>
      <family val="2"/>
    </font>
    <font>
      <sz val="8.8000000000000007"/>
      <color theme="1"/>
      <name val="Aptos Narrow"/>
      <family val="2"/>
    </font>
    <font>
      <sz val="11"/>
      <color theme="0"/>
      <name val="Aptos Narrow"/>
      <family val="2"/>
    </font>
    <font>
      <b/>
      <sz val="11"/>
      <color theme="1" tint="0.249977111117893"/>
      <name val="Aptos Narrow"/>
      <family val="2"/>
      <scheme val="minor"/>
    </font>
    <font>
      <sz val="11"/>
      <color theme="1" tint="0.249977111117893"/>
      <name val="Aptos Narrow"/>
      <family val="2"/>
      <scheme val="minor"/>
    </font>
    <font>
      <sz val="11"/>
      <color rgb="FF0070C0"/>
      <name val="Aptos Narrow"/>
      <family val="2"/>
      <scheme val="minor"/>
    </font>
    <font>
      <sz val="11"/>
      <color rgb="FF0070C0"/>
      <name val="Calibri"/>
      <family val="2"/>
    </font>
    <font>
      <sz val="20"/>
      <color theme="0"/>
      <name val="Aptos Narrow"/>
      <family val="2"/>
      <scheme val="minor"/>
    </font>
    <font>
      <sz val="11"/>
      <color rgb="FF0070C0"/>
      <name val="Aptos Narrow"/>
      <family val="2"/>
    </font>
    <font>
      <sz val="8.8000000000000007"/>
      <color rgb="FF0070C0"/>
      <name val="Aptos Narrow"/>
      <family val="2"/>
    </font>
    <font>
      <i/>
      <sz val="11"/>
      <color theme="1"/>
      <name val="Aptos Narrow"/>
      <family val="2"/>
      <scheme val="minor"/>
    </font>
    <font>
      <b/>
      <sz val="11"/>
      <color theme="1"/>
      <name val="Aptos Narrow"/>
      <family val="2"/>
    </font>
    <font>
      <b/>
      <sz val="20"/>
      <color rgb="FFFFFF00"/>
      <name val="Aptos Narrow"/>
      <family val="2"/>
      <scheme val="minor"/>
    </font>
    <font>
      <sz val="11"/>
      <color theme="1"/>
      <name val="MS Reference Sans Serif"/>
      <family val="2"/>
    </font>
    <font>
      <b/>
      <sz val="11"/>
      <color rgb="FF0070C0"/>
      <name val="Aptos Narrow"/>
      <family val="2"/>
      <scheme val="minor"/>
    </font>
    <font>
      <sz val="11"/>
      <color rgb="FFFFFF00"/>
      <name val="Aptos Narrow"/>
      <family val="2"/>
      <scheme val="minor"/>
    </font>
    <font>
      <i/>
      <sz val="11"/>
      <color theme="0"/>
      <name val="Aptos Narrow"/>
      <family val="2"/>
      <scheme val="minor"/>
    </font>
    <font>
      <sz val="14"/>
      <color theme="1"/>
      <name val="Aptos Narrow"/>
      <family val="2"/>
      <scheme val="minor"/>
    </font>
    <font>
      <sz val="11"/>
      <color theme="0"/>
      <name val="Times New Roman"/>
      <family val="1"/>
    </font>
    <font>
      <b/>
      <sz val="9"/>
      <color rgb="FF000000"/>
      <name val="Calibri"/>
      <family val="2"/>
    </font>
    <font>
      <sz val="9"/>
      <color rgb="FF000000"/>
      <name val="Calibri"/>
      <family val="2"/>
    </font>
    <font>
      <b/>
      <sz val="9"/>
      <color rgb="FF404040"/>
      <name val="Times New Roman"/>
      <family val="1"/>
    </font>
    <font>
      <b/>
      <sz val="9"/>
      <color rgb="FF000000"/>
      <name val="Times New Roman"/>
      <family val="1"/>
    </font>
    <font>
      <sz val="9"/>
      <color rgb="FF404040"/>
      <name val="Times New Roman"/>
      <family val="1"/>
    </font>
    <font>
      <sz val="9"/>
      <color rgb="FF000000"/>
      <name val="Times New Roman"/>
      <family val="1"/>
    </font>
    <font>
      <b/>
      <u/>
      <sz val="11"/>
      <color theme="1"/>
      <name val="Aptos Narrow"/>
      <family val="2"/>
      <scheme val="minor"/>
    </font>
    <font>
      <sz val="8"/>
      <color rgb="FF404040"/>
      <name val="Times New Roman"/>
      <family val="1"/>
    </font>
  </fonts>
  <fills count="29">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92D05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0070C0"/>
        <bgColor indexed="64"/>
      </patternFill>
    </fill>
    <fill>
      <patternFill patternType="solid">
        <fgColor theme="6"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002060"/>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9" tint="-0.24997711111789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double">
        <color indexed="64"/>
      </bottom>
      <diagonal/>
    </border>
    <border>
      <left/>
      <right/>
      <top style="thin">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medium">
        <color indexed="64"/>
      </top>
      <bottom style="thin">
        <color indexed="64"/>
      </bottom>
      <diagonal/>
    </border>
  </borders>
  <cellStyleXfs count="6">
    <xf numFmtId="0" fontId="0" fillId="0" borderId="0"/>
    <xf numFmtId="41"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xf numFmtId="164" fontId="1" fillId="0" borderId="0" applyFont="0" applyFill="0" applyBorder="0" applyAlignment="0" applyProtection="0"/>
  </cellStyleXfs>
  <cellXfs count="790">
    <xf numFmtId="0" fontId="0" fillId="0" borderId="0" xfId="0"/>
    <xf numFmtId="0" fontId="0" fillId="0" borderId="0" xfId="0" applyAlignment="1">
      <alignment horizontal="center"/>
    </xf>
    <xf numFmtId="165" fontId="0" fillId="0" borderId="0" xfId="1" applyNumberFormat="1" applyFont="1" applyAlignment="1">
      <alignment vertical="center"/>
    </xf>
    <xf numFmtId="43" fontId="0" fillId="0" borderId="0" xfId="0" applyNumberFormat="1"/>
    <xf numFmtId="17" fontId="0" fillId="3" borderId="1" xfId="0" applyNumberFormat="1" applyFill="1" applyBorder="1" applyAlignment="1">
      <alignment horizontal="center"/>
    </xf>
    <xf numFmtId="15" fontId="0" fillId="3" borderId="1" xfId="0" applyNumberFormat="1" applyFill="1" applyBorder="1" applyAlignment="1">
      <alignment horizontal="center"/>
    </xf>
    <xf numFmtId="0" fontId="0" fillId="3" borderId="1" xfId="0" applyFill="1" applyBorder="1" applyAlignment="1">
      <alignment horizontal="center"/>
    </xf>
    <xf numFmtId="165" fontId="0" fillId="3" borderId="1" xfId="1" applyNumberFormat="1" applyFont="1" applyFill="1" applyBorder="1" applyAlignment="1">
      <alignment vertical="center"/>
    </xf>
    <xf numFmtId="165" fontId="0" fillId="3" borderId="1" xfId="0" applyNumberFormat="1" applyFill="1" applyBorder="1" applyAlignment="1">
      <alignment horizontal="center" vertical="center"/>
    </xf>
    <xf numFmtId="17" fontId="0" fillId="2" borderId="1" xfId="0" applyNumberFormat="1" applyFill="1" applyBorder="1" applyAlignment="1">
      <alignment horizontal="center"/>
    </xf>
    <xf numFmtId="15" fontId="0" fillId="2" borderId="1" xfId="0" applyNumberFormat="1" applyFill="1" applyBorder="1" applyAlignment="1">
      <alignment horizontal="center"/>
    </xf>
    <xf numFmtId="0" fontId="0" fillId="2" borderId="1" xfId="0" applyFill="1" applyBorder="1" applyAlignment="1">
      <alignment horizontal="center"/>
    </xf>
    <xf numFmtId="165" fontId="0" fillId="2" borderId="1" xfId="1" applyNumberFormat="1" applyFont="1" applyFill="1" applyBorder="1" applyAlignment="1">
      <alignment vertical="center"/>
    </xf>
    <xf numFmtId="165" fontId="0" fillId="2" borderId="1" xfId="0" applyNumberFormat="1" applyFill="1" applyBorder="1" applyAlignment="1">
      <alignment horizontal="center" vertical="center"/>
    </xf>
    <xf numFmtId="165" fontId="0" fillId="3" borderId="1" xfId="0" applyNumberFormat="1" applyFill="1" applyBorder="1"/>
    <xf numFmtId="165" fontId="0" fillId="2" borderId="1" xfId="0" applyNumberFormat="1" applyFill="1" applyBorder="1"/>
    <xf numFmtId="0" fontId="2" fillId="0" borderId="0" xfId="0" applyFont="1"/>
    <xf numFmtId="0" fontId="0" fillId="0" borderId="1" xfId="0" applyBorder="1" applyAlignment="1">
      <alignment horizontal="center"/>
    </xf>
    <xf numFmtId="42" fontId="0" fillId="0" borderId="0" xfId="2" applyFont="1"/>
    <xf numFmtId="166" fontId="0" fillId="0" borderId="0" xfId="0" applyNumberFormat="1" applyAlignment="1">
      <alignment horizontal="center"/>
    </xf>
    <xf numFmtId="167" fontId="0" fillId="0" borderId="0" xfId="2" applyNumberFormat="1" applyFont="1"/>
    <xf numFmtId="0" fontId="5" fillId="0" borderId="0" xfId="0" applyFont="1"/>
    <xf numFmtId="2" fontId="0" fillId="0" borderId="0" xfId="0" applyNumberFormat="1"/>
    <xf numFmtId="41" fontId="0" fillId="0" borderId="0" xfId="1" applyFont="1"/>
    <xf numFmtId="165" fontId="0" fillId="0" borderId="0" xfId="0" applyNumberFormat="1"/>
    <xf numFmtId="165" fontId="0" fillId="0" borderId="0" xfId="1" applyNumberFormat="1" applyFont="1"/>
    <xf numFmtId="167" fontId="0" fillId="0" borderId="8" xfId="2" applyNumberFormat="1" applyFont="1" applyBorder="1"/>
    <xf numFmtId="165" fontId="0" fillId="5" borderId="1" xfId="0" applyNumberFormat="1" applyFill="1" applyBorder="1" applyAlignment="1">
      <alignment horizontal="center"/>
    </xf>
    <xf numFmtId="41" fontId="0" fillId="0" borderId="1" xfId="1" applyFont="1" applyBorder="1" applyAlignment="1">
      <alignment horizontal="center"/>
    </xf>
    <xf numFmtId="43" fontId="0" fillId="0" borderId="1" xfId="0" applyNumberFormat="1" applyBorder="1" applyAlignment="1">
      <alignment horizontal="center"/>
    </xf>
    <xf numFmtId="165" fontId="0" fillId="6" borderId="1" xfId="1" applyNumberFormat="1" applyFont="1" applyFill="1" applyBorder="1" applyAlignment="1">
      <alignment horizontal="center"/>
    </xf>
    <xf numFmtId="0" fontId="0" fillId="0" borderId="1" xfId="0" applyBorder="1"/>
    <xf numFmtId="0" fontId="0" fillId="0" borderId="0" xfId="0" applyAlignment="1">
      <alignment horizontal="right"/>
    </xf>
    <xf numFmtId="0" fontId="2" fillId="0" borderId="1" xfId="0" applyFont="1" applyBorder="1"/>
    <xf numFmtId="0" fontId="2" fillId="0" borderId="1" xfId="0" applyFont="1" applyBorder="1" applyAlignment="1">
      <alignment horizontal="center"/>
    </xf>
    <xf numFmtId="9" fontId="0" fillId="0" borderId="0" xfId="3" applyFont="1"/>
    <xf numFmtId="0" fontId="6" fillId="0" borderId="0" xfId="4"/>
    <xf numFmtId="165" fontId="0" fillId="0" borderId="1" xfId="1" applyNumberFormat="1" applyFont="1" applyBorder="1" applyAlignment="1">
      <alignment horizontal="center"/>
    </xf>
    <xf numFmtId="2" fontId="0" fillId="0" borderId="1" xfId="0" applyNumberFormat="1" applyBorder="1"/>
    <xf numFmtId="43" fontId="0" fillId="0" borderId="0" xfId="0" applyNumberFormat="1" applyAlignment="1">
      <alignment horizontal="center"/>
    </xf>
    <xf numFmtId="2" fontId="0" fillId="7" borderId="9" xfId="0" applyNumberFormat="1" applyFill="1" applyBorder="1"/>
    <xf numFmtId="165" fontId="0" fillId="7" borderId="0" xfId="0" applyNumberFormat="1" applyFill="1"/>
    <xf numFmtId="169" fontId="0" fillId="7" borderId="0" xfId="0" applyNumberFormat="1" applyFill="1"/>
    <xf numFmtId="170" fontId="0" fillId="0" borderId="0" xfId="0" applyNumberFormat="1"/>
    <xf numFmtId="1" fontId="0" fillId="0" borderId="0" xfId="0" applyNumberFormat="1"/>
    <xf numFmtId="0" fontId="0" fillId="0" borderId="1" xfId="0" applyBorder="1" applyAlignment="1">
      <alignment horizontal="center" vertical="center" wrapText="1"/>
    </xf>
    <xf numFmtId="171" fontId="0" fillId="0" borderId="0" xfId="1" applyNumberFormat="1" applyFont="1"/>
    <xf numFmtId="170" fontId="0" fillId="9" borderId="0" xfId="0" applyNumberFormat="1" applyFill="1" applyAlignment="1">
      <alignment horizontal="center"/>
    </xf>
    <xf numFmtId="171" fontId="0" fillId="0" borderId="1" xfId="1" applyNumberFormat="1" applyFont="1" applyBorder="1"/>
    <xf numFmtId="2" fontId="0" fillId="10" borderId="1" xfId="0" applyNumberFormat="1" applyFill="1" applyBorder="1"/>
    <xf numFmtId="2" fontId="0" fillId="11" borderId="1" xfId="0" applyNumberFormat="1" applyFill="1" applyBorder="1"/>
    <xf numFmtId="2" fontId="0" fillId="8" borderId="1" xfId="0" applyNumberFormat="1" applyFill="1" applyBorder="1"/>
    <xf numFmtId="2" fontId="0" fillId="6" borderId="1" xfId="0" applyNumberFormat="1" applyFill="1" applyBorder="1"/>
    <xf numFmtId="170" fontId="0" fillId="0" borderId="0" xfId="0" applyNumberFormat="1" applyAlignment="1">
      <alignment horizontal="center"/>
    </xf>
    <xf numFmtId="2" fontId="8" fillId="12" borderId="1" xfId="0" applyNumberFormat="1" applyFont="1" applyFill="1" applyBorder="1"/>
    <xf numFmtId="2" fontId="8" fillId="10" borderId="1" xfId="0" applyNumberFormat="1" applyFont="1" applyFill="1" applyBorder="1"/>
    <xf numFmtId="0" fontId="6" fillId="14" borderId="0" xfId="4" applyFill="1"/>
    <xf numFmtId="0" fontId="0" fillId="14" borderId="0" xfId="0" applyFill="1"/>
    <xf numFmtId="0" fontId="0" fillId="2" borderId="0" xfId="0" applyFill="1"/>
    <xf numFmtId="0" fontId="0" fillId="2" borderId="0" xfId="0" applyFill="1" applyAlignment="1">
      <alignment horizontal="center"/>
    </xf>
    <xf numFmtId="41" fontId="0" fillId="0" borderId="1" xfId="1" applyFont="1" applyBorder="1"/>
    <xf numFmtId="171" fontId="8" fillId="13" borderId="1" xfId="1" applyNumberFormat="1" applyFont="1" applyFill="1" applyBorder="1"/>
    <xf numFmtId="171" fontId="0" fillId="0" borderId="0" xfId="0" applyNumberFormat="1"/>
    <xf numFmtId="41" fontId="0" fillId="0" borderId="1" xfId="1" applyFont="1" applyBorder="1" applyAlignment="1">
      <alignment vertical="center"/>
    </xf>
    <xf numFmtId="173" fontId="0" fillId="0" borderId="0" xfId="0" applyNumberFormat="1"/>
    <xf numFmtId="0" fontId="9" fillId="0" borderId="0" xfId="0" applyFont="1"/>
    <xf numFmtId="0" fontId="10" fillId="0" borderId="0" xfId="0" applyFont="1"/>
    <xf numFmtId="0" fontId="11" fillId="0" borderId="0" xfId="0" applyFont="1"/>
    <xf numFmtId="0" fontId="0" fillId="0" borderId="1" xfId="0" applyBorder="1" applyAlignment="1">
      <alignment vertical="center"/>
    </xf>
    <xf numFmtId="0" fontId="0" fillId="0" borderId="1" xfId="0" applyBorder="1" applyAlignment="1">
      <alignment vertical="center" wrapText="1"/>
    </xf>
    <xf numFmtId="165" fontId="0" fillId="0" borderId="1" xfId="0" applyNumberFormat="1" applyBorder="1"/>
    <xf numFmtId="41" fontId="0" fillId="0" borderId="1" xfId="0" applyNumberFormat="1" applyBorder="1"/>
    <xf numFmtId="172" fontId="0" fillId="0" borderId="1" xfId="0" applyNumberFormat="1" applyBorder="1"/>
    <xf numFmtId="171" fontId="0" fillId="0" borderId="1" xfId="0" applyNumberFormat="1" applyBorder="1"/>
    <xf numFmtId="1" fontId="0" fillId="0" borderId="1" xfId="0" applyNumberFormat="1" applyBorder="1"/>
    <xf numFmtId="165" fontId="8" fillId="15" borderId="1" xfId="0" applyNumberFormat="1" applyFont="1" applyFill="1" applyBorder="1"/>
    <xf numFmtId="0" fontId="0" fillId="0" borderId="10" xfId="0" applyBorder="1" applyAlignment="1">
      <alignment horizontal="center"/>
    </xf>
    <xf numFmtId="0" fontId="0" fillId="10" borderId="1" xfId="0" applyFill="1" applyBorder="1"/>
    <xf numFmtId="9" fontId="0" fillId="0" borderId="11" xfId="3" applyFont="1" applyBorder="1"/>
    <xf numFmtId="171" fontId="0" fillId="10" borderId="1" xfId="1" applyNumberFormat="1" applyFont="1" applyFill="1" applyBorder="1"/>
    <xf numFmtId="0" fontId="8" fillId="13" borderId="1" xfId="0" applyFont="1" applyFill="1" applyBorder="1"/>
    <xf numFmtId="165" fontId="0" fillId="10" borderId="1" xfId="0" applyNumberFormat="1" applyFill="1" applyBorder="1"/>
    <xf numFmtId="171" fontId="8" fillId="15" borderId="1" xfId="1" applyNumberFormat="1" applyFont="1" applyFill="1" applyBorder="1"/>
    <xf numFmtId="0" fontId="8" fillId="15" borderId="0" xfId="0" applyFont="1" applyFill="1"/>
    <xf numFmtId="171" fontId="1" fillId="16" borderId="1" xfId="1" applyNumberFormat="1" applyFont="1" applyFill="1" applyBorder="1"/>
    <xf numFmtId="41" fontId="0" fillId="10" borderId="1" xfId="1" applyFont="1" applyFill="1" applyBorder="1"/>
    <xf numFmtId="41" fontId="8" fillId="13" borderId="1" xfId="1" applyFont="1" applyFill="1" applyBorder="1"/>
    <xf numFmtId="41" fontId="0" fillId="0" borderId="0" xfId="0" applyNumberFormat="1"/>
    <xf numFmtId="9" fontId="0" fillId="0" borderId="1" xfId="3" applyFont="1" applyBorder="1"/>
    <xf numFmtId="43" fontId="0" fillId="0" borderId="1" xfId="0" applyNumberFormat="1" applyBorder="1"/>
    <xf numFmtId="176" fontId="0" fillId="0" borderId="1" xfId="3" applyNumberFormat="1" applyFont="1" applyBorder="1"/>
    <xf numFmtId="2" fontId="8" fillId="15" borderId="1" xfId="0" applyNumberFormat="1" applyFont="1" applyFill="1" applyBorder="1"/>
    <xf numFmtId="0" fontId="0" fillId="0" borderId="3" xfId="0" applyBorder="1"/>
    <xf numFmtId="9" fontId="0" fillId="0" borderId="0" xfId="3" applyFont="1" applyBorder="1"/>
    <xf numFmtId="9" fontId="0" fillId="0" borderId="0" xfId="0" applyNumberFormat="1"/>
    <xf numFmtId="0" fontId="0" fillId="0" borderId="12" xfId="0" applyBorder="1"/>
    <xf numFmtId="0" fontId="5" fillId="0" borderId="1" xfId="0" applyFont="1" applyBorder="1" applyAlignment="1">
      <alignment horizontal="center"/>
    </xf>
    <xf numFmtId="0" fontId="2" fillId="0" borderId="0" xfId="0" applyFont="1" applyAlignment="1">
      <alignment horizontal="center"/>
    </xf>
    <xf numFmtId="0" fontId="0" fillId="0" borderId="14" xfId="0" applyBorder="1"/>
    <xf numFmtId="0" fontId="0" fillId="14" borderId="1" xfId="0" applyFill="1" applyBorder="1"/>
    <xf numFmtId="0" fontId="8" fillId="15" borderId="1" xfId="0" applyFont="1" applyFill="1" applyBorder="1"/>
    <xf numFmtId="0" fontId="2" fillId="8" borderId="0" xfId="0" applyFont="1" applyFill="1"/>
    <xf numFmtId="0" fontId="0" fillId="9" borderId="1" xfId="0" applyFill="1" applyBorder="1" applyAlignment="1">
      <alignment horizontal="center"/>
    </xf>
    <xf numFmtId="0" fontId="0" fillId="3" borderId="0" xfId="0" applyFill="1"/>
    <xf numFmtId="0" fontId="0" fillId="3" borderId="0" xfId="0" applyFill="1" applyAlignment="1">
      <alignment horizontal="right"/>
    </xf>
    <xf numFmtId="177" fontId="0" fillId="3" borderId="0" xfId="0" applyNumberFormat="1" applyFill="1"/>
    <xf numFmtId="43" fontId="0" fillId="3" borderId="0" xfId="0" applyNumberFormat="1" applyFill="1"/>
    <xf numFmtId="179" fontId="0" fillId="0" borderId="1" xfId="0" applyNumberFormat="1" applyBorder="1"/>
    <xf numFmtId="179" fontId="13" fillId="0" borderId="0" xfId="0" applyNumberFormat="1" applyFont="1"/>
    <xf numFmtId="0" fontId="14" fillId="0" borderId="0" xfId="0" applyFont="1" applyAlignment="1">
      <alignment horizontal="center"/>
    </xf>
    <xf numFmtId="170" fontId="8" fillId="15" borderId="0" xfId="0" applyNumberFormat="1" applyFont="1" applyFill="1"/>
    <xf numFmtId="0" fontId="7" fillId="0" borderId="0" xfId="0" applyFont="1"/>
    <xf numFmtId="181" fontId="8" fillId="15" borderId="0" xfId="0" applyNumberFormat="1" applyFont="1" applyFill="1"/>
    <xf numFmtId="0" fontId="5" fillId="14" borderId="1" xfId="0" applyFont="1" applyFill="1" applyBorder="1" applyAlignment="1">
      <alignment horizontal="center"/>
    </xf>
    <xf numFmtId="182" fontId="0" fillId="0" borderId="1" xfId="0" applyNumberFormat="1" applyBorder="1"/>
    <xf numFmtId="180" fontId="0" fillId="0" borderId="1" xfId="0" applyNumberFormat="1" applyBorder="1"/>
    <xf numFmtId="183" fontId="0" fillId="0" borderId="1" xfId="0" applyNumberFormat="1" applyBorder="1"/>
    <xf numFmtId="181" fontId="0" fillId="0" borderId="1" xfId="0" applyNumberFormat="1" applyBorder="1"/>
    <xf numFmtId="0" fontId="0" fillId="3" borderId="13" xfId="0" applyFill="1" applyBorder="1"/>
    <xf numFmtId="178" fontId="8" fillId="15" borderId="0" xfId="1" applyNumberFormat="1" applyFont="1" applyFill="1"/>
    <xf numFmtId="178" fontId="15" fillId="0" borderId="0" xfId="1" applyNumberFormat="1" applyFont="1" applyFill="1"/>
    <xf numFmtId="179" fontId="8" fillId="15" borderId="1" xfId="0" applyNumberFormat="1" applyFont="1" applyFill="1" applyBorder="1"/>
    <xf numFmtId="178" fontId="15" fillId="0" borderId="1" xfId="1" applyNumberFormat="1" applyFont="1" applyFill="1" applyBorder="1"/>
    <xf numFmtId="0" fontId="2" fillId="18" borderId="13" xfId="0" applyFont="1" applyFill="1" applyBorder="1"/>
    <xf numFmtId="0" fontId="0" fillId="18" borderId="13" xfId="0" applyFill="1" applyBorder="1"/>
    <xf numFmtId="184" fontId="0" fillId="0" borderId="1" xfId="0" applyNumberFormat="1" applyBorder="1"/>
    <xf numFmtId="184" fontId="0" fillId="14" borderId="15" xfId="0" applyNumberFormat="1" applyFill="1" applyBorder="1"/>
    <xf numFmtId="41" fontId="0" fillId="0" borderId="15" xfId="1" applyFont="1" applyFill="1" applyBorder="1"/>
    <xf numFmtId="41" fontId="0" fillId="0" borderId="1" xfId="1" applyFont="1" applyFill="1" applyBorder="1"/>
    <xf numFmtId="41" fontId="0" fillId="0" borderId="11" xfId="1" applyFont="1" applyFill="1" applyBorder="1"/>
    <xf numFmtId="41" fontId="0" fillId="10" borderId="1" xfId="1" applyFont="1" applyFill="1" applyBorder="1" applyAlignment="1">
      <alignment vertical="center"/>
    </xf>
    <xf numFmtId="41" fontId="0" fillId="0" borderId="1" xfId="1" applyFont="1" applyBorder="1" applyAlignment="1">
      <alignment vertical="center" wrapText="1"/>
    </xf>
    <xf numFmtId="172" fontId="0" fillId="0" borderId="1" xfId="0" applyNumberFormat="1" applyBorder="1" applyAlignment="1">
      <alignment vertical="center" wrapText="1"/>
    </xf>
    <xf numFmtId="172" fontId="0" fillId="0" borderId="1" xfId="0" applyNumberFormat="1" applyBorder="1" applyAlignment="1">
      <alignment horizontal="center"/>
    </xf>
    <xf numFmtId="41" fontId="8" fillId="15" borderId="1" xfId="1" applyFont="1" applyFill="1" applyBorder="1" applyAlignment="1">
      <alignment vertical="center" wrapText="1"/>
    </xf>
    <xf numFmtId="172" fontId="8" fillId="15" borderId="1" xfId="0" applyNumberFormat="1" applyFont="1" applyFill="1" applyBorder="1" applyAlignment="1">
      <alignment vertical="center" wrapText="1"/>
    </xf>
    <xf numFmtId="172" fontId="8" fillId="15" borderId="17" xfId="0" applyNumberFormat="1" applyFont="1" applyFill="1" applyBorder="1" applyAlignment="1">
      <alignment vertical="center" wrapText="1"/>
    </xf>
    <xf numFmtId="165" fontId="8" fillId="15" borderId="16" xfId="0" applyNumberFormat="1" applyFont="1" applyFill="1" applyBorder="1"/>
    <xf numFmtId="171" fontId="0" fillId="0" borderId="1" xfId="1" applyNumberFormat="1" applyFont="1" applyBorder="1" applyAlignment="1">
      <alignment vertical="center" wrapText="1"/>
    </xf>
    <xf numFmtId="41" fontId="0" fillId="0" borderId="1" xfId="1" applyFont="1" applyFill="1" applyBorder="1" applyAlignment="1">
      <alignment vertical="center"/>
    </xf>
    <xf numFmtId="171" fontId="0" fillId="0" borderId="1" xfId="1" applyNumberFormat="1" applyFont="1" applyFill="1" applyBorder="1" applyAlignment="1">
      <alignment vertical="center"/>
    </xf>
    <xf numFmtId="182" fontId="8" fillId="15" borderId="0" xfId="0" applyNumberFormat="1" applyFont="1" applyFill="1"/>
    <xf numFmtId="42" fontId="0" fillId="0" borderId="1" xfId="2" applyFont="1" applyBorder="1"/>
    <xf numFmtId="185" fontId="13" fillId="0" borderId="0" xfId="0" applyNumberFormat="1" applyFont="1"/>
    <xf numFmtId="186" fontId="15" fillId="0" borderId="0" xfId="1" applyNumberFormat="1" applyFont="1" applyFill="1"/>
    <xf numFmtId="42" fontId="8" fillId="15" borderId="0" xfId="2" applyFont="1" applyFill="1" applyBorder="1"/>
    <xf numFmtId="185" fontId="0" fillId="0" borderId="1" xfId="0" applyNumberFormat="1" applyBorder="1"/>
    <xf numFmtId="172" fontId="8" fillId="15" borderId="1" xfId="0" applyNumberFormat="1" applyFont="1" applyFill="1" applyBorder="1"/>
    <xf numFmtId="0" fontId="14" fillId="0" borderId="0" xfId="0" applyFont="1"/>
    <xf numFmtId="187" fontId="0" fillId="0" borderId="1" xfId="0" applyNumberFormat="1" applyBorder="1"/>
    <xf numFmtId="0" fontId="0" fillId="9" borderId="1" xfId="0" applyFill="1" applyBorder="1"/>
    <xf numFmtId="0" fontId="0" fillId="19" borderId="1" xfId="0" applyFill="1" applyBorder="1"/>
    <xf numFmtId="0" fontId="0" fillId="5" borderId="1" xfId="0" applyFill="1" applyBorder="1"/>
    <xf numFmtId="188" fontId="0" fillId="0" borderId="1" xfId="0" applyNumberFormat="1" applyBorder="1"/>
    <xf numFmtId="189" fontId="0" fillId="0" borderId="1" xfId="0" applyNumberFormat="1" applyBorder="1"/>
    <xf numFmtId="186" fontId="15" fillId="0" borderId="1" xfId="1" applyNumberFormat="1" applyFont="1" applyFill="1" applyBorder="1"/>
    <xf numFmtId="190" fontId="0" fillId="0" borderId="0" xfId="0" applyNumberFormat="1"/>
    <xf numFmtId="191" fontId="0" fillId="0" borderId="1" xfId="0" applyNumberFormat="1" applyBorder="1"/>
    <xf numFmtId="0" fontId="14" fillId="9" borderId="0" xfId="0" applyFont="1" applyFill="1"/>
    <xf numFmtId="9" fontId="8" fillId="15" borderId="0" xfId="3" applyFont="1" applyFill="1" applyBorder="1" applyAlignment="1">
      <alignment horizontal="center"/>
    </xf>
    <xf numFmtId="0" fontId="14" fillId="19" borderId="0" xfId="0" applyFont="1" applyFill="1"/>
    <xf numFmtId="0" fontId="14" fillId="5" borderId="0" xfId="0" applyFont="1" applyFill="1"/>
    <xf numFmtId="0" fontId="0" fillId="0" borderId="15" xfId="0" applyBorder="1"/>
    <xf numFmtId="42" fontId="0" fillId="0" borderId="1" xfId="2" applyFont="1" applyBorder="1" applyAlignment="1">
      <alignment horizontal="center"/>
    </xf>
    <xf numFmtId="187" fontId="0" fillId="0" borderId="1" xfId="0" applyNumberFormat="1" applyBorder="1" applyAlignment="1">
      <alignment horizontal="center"/>
    </xf>
    <xf numFmtId="186" fontId="8" fillId="15" borderId="0" xfId="1" applyNumberFormat="1" applyFont="1" applyFill="1" applyBorder="1"/>
    <xf numFmtId="192" fontId="0" fillId="0" borderId="1" xfId="0" applyNumberFormat="1" applyBorder="1"/>
    <xf numFmtId="193" fontId="0" fillId="0" borderId="1" xfId="0" applyNumberFormat="1" applyBorder="1"/>
    <xf numFmtId="10" fontId="0" fillId="0" borderId="1" xfId="3" applyNumberFormat="1" applyFont="1" applyBorder="1"/>
    <xf numFmtId="0" fontId="0" fillId="3" borderId="0" xfId="0" applyFill="1" applyAlignment="1">
      <alignment horizontal="center"/>
    </xf>
    <xf numFmtId="0" fontId="0" fillId="14" borderId="1" xfId="0" applyFill="1" applyBorder="1" applyAlignment="1">
      <alignment horizontal="center"/>
    </xf>
    <xf numFmtId="0" fontId="16" fillId="0" borderId="1" xfId="0" applyFont="1" applyBorder="1"/>
    <xf numFmtId="0" fontId="8" fillId="15" borderId="0" xfId="0" applyFont="1" applyFill="1" applyAlignment="1">
      <alignment horizontal="right"/>
    </xf>
    <xf numFmtId="171" fontId="8" fillId="15" borderId="0" xfId="1" applyNumberFormat="1" applyFont="1" applyFill="1" applyAlignment="1"/>
    <xf numFmtId="41" fontId="0" fillId="3" borderId="0" xfId="1" applyFont="1" applyFill="1"/>
    <xf numFmtId="194" fontId="0" fillId="0" borderId="1" xfId="0" applyNumberFormat="1" applyBorder="1" applyAlignment="1">
      <alignment horizontal="center"/>
    </xf>
    <xf numFmtId="165" fontId="8" fillId="15" borderId="0" xfId="1" applyNumberFormat="1" applyFont="1" applyFill="1"/>
    <xf numFmtId="2" fontId="8" fillId="15" borderId="0" xfId="0" applyNumberFormat="1" applyFont="1" applyFill="1"/>
    <xf numFmtId="171" fontId="0" fillId="6" borderId="1" xfId="1" applyNumberFormat="1" applyFont="1" applyFill="1" applyBorder="1"/>
    <xf numFmtId="9" fontId="8" fillId="15" borderId="1" xfId="3" applyFont="1" applyFill="1" applyBorder="1"/>
    <xf numFmtId="195" fontId="0" fillId="0" borderId="1" xfId="0" applyNumberFormat="1" applyBorder="1" applyAlignment="1">
      <alignment horizontal="center"/>
    </xf>
    <xf numFmtId="184" fontId="0" fillId="0" borderId="0" xfId="0" applyNumberFormat="1"/>
    <xf numFmtId="184" fontId="8" fillId="15" borderId="0" xfId="0" applyNumberFormat="1" applyFont="1" applyFill="1"/>
    <xf numFmtId="0" fontId="0" fillId="0" borderId="1" xfId="0" applyBorder="1" applyAlignment="1">
      <alignment horizontal="center" vertical="center"/>
    </xf>
    <xf numFmtId="196" fontId="0" fillId="0" borderId="0" xfId="0" applyNumberFormat="1"/>
    <xf numFmtId="200" fontId="0" fillId="0" borderId="0" xfId="0" applyNumberFormat="1" applyAlignment="1">
      <alignment horizontal="center"/>
    </xf>
    <xf numFmtId="199" fontId="0" fillId="0" borderId="1" xfId="0" applyNumberFormat="1" applyBorder="1"/>
    <xf numFmtId="42" fontId="0" fillId="0" borderId="1" xfId="0" applyNumberFormat="1" applyBorder="1"/>
    <xf numFmtId="202" fontId="0" fillId="0" borderId="1" xfId="0" applyNumberFormat="1" applyBorder="1"/>
    <xf numFmtId="203" fontId="0" fillId="0" borderId="1" xfId="0" applyNumberFormat="1" applyBorder="1"/>
    <xf numFmtId="204" fontId="8" fillId="15" borderId="1" xfId="0" applyNumberFormat="1" applyFont="1" applyFill="1" applyBorder="1"/>
    <xf numFmtId="205" fontId="0" fillId="0" borderId="1" xfId="0" applyNumberFormat="1" applyBorder="1"/>
    <xf numFmtId="186" fontId="8" fillId="15" borderId="1" xfId="0" applyNumberFormat="1" applyFont="1" applyFill="1" applyBorder="1"/>
    <xf numFmtId="186" fontId="0" fillId="0" borderId="0" xfId="0" applyNumberFormat="1"/>
    <xf numFmtId="178" fontId="8" fillId="15" borderId="1" xfId="1" applyNumberFormat="1" applyFont="1" applyFill="1" applyBorder="1"/>
    <xf numFmtId="186" fontId="8" fillId="15" borderId="0" xfId="0" applyNumberFormat="1" applyFont="1" applyFill="1"/>
    <xf numFmtId="42" fontId="8" fillId="15" borderId="0" xfId="0" applyNumberFormat="1" applyFont="1" applyFill="1"/>
    <xf numFmtId="0" fontId="5" fillId="0" borderId="19" xfId="0" applyFont="1" applyBorder="1" applyAlignment="1">
      <alignment horizontal="center"/>
    </xf>
    <xf numFmtId="0" fontId="6" fillId="0" borderId="1" xfId="4" applyBorder="1" applyAlignment="1">
      <alignment horizontal="center"/>
    </xf>
    <xf numFmtId="0" fontId="17" fillId="21" borderId="0" xfId="4" applyFont="1" applyFill="1" applyAlignment="1">
      <alignment horizontal="center"/>
    </xf>
    <xf numFmtId="206" fontId="0" fillId="0" borderId="1" xfId="0" applyNumberFormat="1" applyBorder="1"/>
    <xf numFmtId="204" fontId="0" fillId="0" borderId="1" xfId="0" applyNumberFormat="1" applyBorder="1"/>
    <xf numFmtId="207" fontId="0" fillId="0" borderId="1" xfId="0" applyNumberFormat="1" applyBorder="1"/>
    <xf numFmtId="208" fontId="0" fillId="0" borderId="1" xfId="0" applyNumberFormat="1" applyBorder="1"/>
    <xf numFmtId="0" fontId="0" fillId="0" borderId="18" xfId="0" applyBorder="1" applyAlignment="1">
      <alignment horizontal="center" vertical="center"/>
    </xf>
    <xf numFmtId="207" fontId="0" fillId="0" borderId="1" xfId="0" applyNumberFormat="1" applyBorder="1" applyAlignment="1">
      <alignment horizontal="center"/>
    </xf>
    <xf numFmtId="210" fontId="0" fillId="0" borderId="1" xfId="0" applyNumberFormat="1" applyBorder="1" applyAlignment="1">
      <alignment horizontal="center"/>
    </xf>
    <xf numFmtId="212" fontId="0" fillId="0" borderId="1" xfId="0" applyNumberFormat="1" applyBorder="1" applyAlignment="1">
      <alignment horizontal="center" vertical="center"/>
    </xf>
    <xf numFmtId="209" fontId="0" fillId="0" borderId="1" xfId="0" applyNumberFormat="1" applyBorder="1" applyAlignment="1">
      <alignment horizontal="center" vertical="center"/>
    </xf>
    <xf numFmtId="213" fontId="0" fillId="0" borderId="1" xfId="0" applyNumberFormat="1" applyBorder="1" applyAlignment="1">
      <alignment horizontal="center" vertical="center"/>
    </xf>
    <xf numFmtId="213" fontId="8" fillId="15" borderId="0" xfId="0" applyNumberFormat="1" applyFont="1" applyFill="1"/>
    <xf numFmtId="211" fontId="0" fillId="0" borderId="0" xfId="0" applyNumberFormat="1"/>
    <xf numFmtId="214" fontId="8" fillId="15" borderId="0" xfId="0" applyNumberFormat="1" applyFont="1" applyFill="1"/>
    <xf numFmtId="215" fontId="0" fillId="0" borderId="1" xfId="0" applyNumberFormat="1" applyBorder="1" applyAlignment="1">
      <alignment horizontal="center"/>
    </xf>
    <xf numFmtId="215" fontId="0" fillId="0" borderId="1" xfId="0" applyNumberFormat="1" applyBorder="1" applyAlignment="1">
      <alignment horizontal="center" vertical="center"/>
    </xf>
    <xf numFmtId="216" fontId="8" fillId="15" borderId="0" xfId="0" applyNumberFormat="1" applyFont="1" applyFill="1"/>
    <xf numFmtId="217" fontId="8" fillId="15" borderId="0" xfId="0" applyNumberFormat="1" applyFont="1" applyFill="1"/>
    <xf numFmtId="0" fontId="17" fillId="13" borderId="0" xfId="0" applyFont="1" applyFill="1"/>
    <xf numFmtId="0" fontId="17" fillId="15" borderId="0" xfId="0" applyFont="1" applyFill="1"/>
    <xf numFmtId="219" fontId="0" fillId="0" borderId="1" xfId="0" applyNumberFormat="1" applyBorder="1" applyAlignment="1">
      <alignment horizontal="center" vertical="center"/>
    </xf>
    <xf numFmtId="213" fontId="0" fillId="0" borderId="1" xfId="0" applyNumberFormat="1" applyBorder="1" applyAlignment="1">
      <alignment horizontal="center"/>
    </xf>
    <xf numFmtId="0" fontId="8" fillId="0" borderId="0" xfId="0" applyFont="1"/>
    <xf numFmtId="220" fontId="8" fillId="15" borderId="0" xfId="0" applyNumberFormat="1" applyFont="1" applyFill="1"/>
    <xf numFmtId="221" fontId="0" fillId="0" borderId="1" xfId="0" applyNumberFormat="1" applyBorder="1"/>
    <xf numFmtId="214" fontId="0" fillId="0" borderId="1" xfId="0" applyNumberFormat="1" applyBorder="1"/>
    <xf numFmtId="216" fontId="0" fillId="0" borderId="1" xfId="0" applyNumberFormat="1" applyBorder="1"/>
    <xf numFmtId="220" fontId="0" fillId="0" borderId="1" xfId="0" applyNumberFormat="1" applyBorder="1"/>
    <xf numFmtId="217" fontId="0" fillId="0" borderId="1" xfId="0" applyNumberFormat="1" applyBorder="1"/>
    <xf numFmtId="222" fontId="8" fillId="15" borderId="0" xfId="0" applyNumberFormat="1" applyFont="1" applyFill="1"/>
    <xf numFmtId="222" fontId="0" fillId="0" borderId="1" xfId="0" applyNumberFormat="1" applyBorder="1"/>
    <xf numFmtId="222" fontId="8" fillId="15" borderId="1" xfId="0" applyNumberFormat="1" applyFont="1" applyFill="1" applyBorder="1"/>
    <xf numFmtId="175" fontId="0" fillId="0" borderId="0" xfId="1" applyNumberFormat="1" applyFont="1"/>
    <xf numFmtId="224" fontId="0" fillId="0" borderId="0" xfId="0" applyNumberFormat="1"/>
    <xf numFmtId="225" fontId="0" fillId="0" borderId="0" xfId="0" applyNumberFormat="1"/>
    <xf numFmtId="227" fontId="0" fillId="0" borderId="0" xfId="0" applyNumberFormat="1" applyAlignment="1">
      <alignment horizontal="center"/>
    </xf>
    <xf numFmtId="226" fontId="0" fillId="0" borderId="0" xfId="0" applyNumberFormat="1" applyAlignment="1">
      <alignment horizontal="center"/>
    </xf>
    <xf numFmtId="172" fontId="0" fillId="0" borderId="0" xfId="0" applyNumberFormat="1"/>
    <xf numFmtId="228" fontId="0" fillId="0" borderId="0" xfId="0" applyNumberFormat="1"/>
    <xf numFmtId="229" fontId="0" fillId="0" borderId="0" xfId="0" applyNumberFormat="1"/>
    <xf numFmtId="204" fontId="0" fillId="0" borderId="0" xfId="0" applyNumberFormat="1"/>
    <xf numFmtId="230" fontId="0" fillId="0" borderId="0" xfId="0" applyNumberFormat="1"/>
    <xf numFmtId="231" fontId="8" fillId="15" borderId="0" xfId="0" applyNumberFormat="1" applyFont="1" applyFill="1"/>
    <xf numFmtId="177" fontId="8" fillId="15" borderId="0" xfId="0" applyNumberFormat="1" applyFont="1" applyFill="1"/>
    <xf numFmtId="232" fontId="0" fillId="0" borderId="0" xfId="0" applyNumberFormat="1"/>
    <xf numFmtId="232" fontId="8" fillId="15" borderId="0" xfId="0" applyNumberFormat="1" applyFont="1" applyFill="1"/>
    <xf numFmtId="232" fontId="13" fillId="0" borderId="0" xfId="0" applyNumberFormat="1" applyFont="1"/>
    <xf numFmtId="177" fontId="15" fillId="0" borderId="0" xfId="1" applyNumberFormat="1" applyFont="1" applyFill="1"/>
    <xf numFmtId="233" fontId="0" fillId="14" borderId="1" xfId="0" applyNumberFormat="1" applyFill="1" applyBorder="1"/>
    <xf numFmtId="234" fontId="0" fillId="14" borderId="1" xfId="0" applyNumberFormat="1" applyFill="1" applyBorder="1"/>
    <xf numFmtId="235" fontId="8" fillId="15" borderId="1" xfId="0" applyNumberFormat="1" applyFont="1" applyFill="1" applyBorder="1"/>
    <xf numFmtId="232" fontId="0" fillId="0" borderId="1" xfId="0" applyNumberFormat="1" applyBorder="1"/>
    <xf numFmtId="231" fontId="0" fillId="0" borderId="1" xfId="0" applyNumberFormat="1" applyBorder="1"/>
    <xf numFmtId="236" fontId="0" fillId="0" borderId="0" xfId="0" applyNumberFormat="1"/>
    <xf numFmtId="237" fontId="15" fillId="0" borderId="0" xfId="1" applyNumberFormat="1" applyFont="1" applyFill="1" applyBorder="1"/>
    <xf numFmtId="178" fontId="1" fillId="3" borderId="0" xfId="1" applyNumberFormat="1" applyFont="1" applyFill="1"/>
    <xf numFmtId="0" fontId="0" fillId="0" borderId="0" xfId="0" applyAlignment="1">
      <alignment vertical="center"/>
    </xf>
    <xf numFmtId="201" fontId="0" fillId="14" borderId="1" xfId="0" applyNumberFormat="1" applyFill="1" applyBorder="1"/>
    <xf numFmtId="203" fontId="0" fillId="14" borderId="1" xfId="0" applyNumberFormat="1" applyFill="1" applyBorder="1"/>
    <xf numFmtId="0" fontId="5" fillId="0" borderId="0" xfId="0" applyFont="1" applyAlignment="1">
      <alignment horizontal="center"/>
    </xf>
    <xf numFmtId="0" fontId="0" fillId="0" borderId="0" xfId="0" applyAlignment="1">
      <alignment vertical="center" wrapText="1"/>
    </xf>
    <xf numFmtId="9" fontId="0" fillId="0" borderId="0" xfId="3" applyFont="1" applyFill="1" applyBorder="1"/>
    <xf numFmtId="2" fontId="8" fillId="0" borderId="0" xfId="0" applyNumberFormat="1" applyFont="1"/>
    <xf numFmtId="165" fontId="0" fillId="0" borderId="1" xfId="1" applyNumberFormat="1" applyFont="1" applyBorder="1"/>
    <xf numFmtId="0" fontId="8" fillId="13" borderId="0" xfId="0" applyFont="1" applyFill="1"/>
    <xf numFmtId="177" fontId="8" fillId="15" borderId="1" xfId="0" applyNumberFormat="1" applyFont="1" applyFill="1" applyBorder="1"/>
    <xf numFmtId="0" fontId="0" fillId="0" borderId="0" xfId="0" applyAlignment="1">
      <alignment wrapText="1"/>
    </xf>
    <xf numFmtId="17" fontId="0" fillId="0" borderId="0" xfId="0" applyNumberFormat="1" applyAlignment="1">
      <alignment horizontal="center"/>
    </xf>
    <xf numFmtId="171" fontId="0" fillId="0" borderId="0" xfId="1" applyNumberFormat="1" applyFont="1" applyFill="1" applyBorder="1"/>
    <xf numFmtId="171" fontId="8" fillId="0" borderId="0" xfId="1" applyNumberFormat="1" applyFont="1" applyFill="1" applyBorder="1"/>
    <xf numFmtId="165" fontId="0" fillId="0" borderId="0" xfId="1" applyNumberFormat="1" applyFont="1" applyFill="1" applyBorder="1"/>
    <xf numFmtId="165" fontId="8" fillId="0" borderId="0" xfId="1" applyNumberFormat="1" applyFont="1" applyFill="1" applyBorder="1"/>
    <xf numFmtId="2" fontId="0" fillId="14" borderId="0" xfId="0" applyNumberFormat="1" applyFill="1"/>
    <xf numFmtId="170" fontId="0" fillId="14" borderId="0" xfId="0" applyNumberFormat="1" applyFill="1"/>
    <xf numFmtId="170" fontId="0" fillId="2" borderId="0" xfId="0" applyNumberFormat="1" applyFill="1"/>
    <xf numFmtId="41" fontId="0" fillId="0" borderId="0" xfId="1" applyFont="1" applyFill="1" applyBorder="1" applyAlignment="1">
      <alignment vertical="center"/>
    </xf>
    <xf numFmtId="171" fontId="0" fillId="0" borderId="0" xfId="1" applyNumberFormat="1" applyFont="1" applyFill="1" applyBorder="1" applyAlignment="1">
      <alignment vertical="center"/>
    </xf>
    <xf numFmtId="11" fontId="0" fillId="0" borderId="0" xfId="0" applyNumberFormat="1"/>
    <xf numFmtId="165" fontId="8" fillId="22" borderId="1" xfId="0" applyNumberFormat="1" applyFont="1" applyFill="1" applyBorder="1"/>
    <xf numFmtId="165" fontId="0" fillId="0" borderId="0" xfId="1" applyNumberFormat="1" applyFont="1" applyFill="1" applyBorder="1" applyAlignment="1">
      <alignment vertic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0" borderId="18" xfId="0" applyBorder="1" applyAlignment="1">
      <alignment horizontal="center" vertical="center" wrapText="1"/>
    </xf>
    <xf numFmtId="192" fontId="8" fillId="15" borderId="0" xfId="0" applyNumberFormat="1" applyFont="1" applyFill="1" applyAlignment="1">
      <alignment horizontal="center" vertical="center" wrapText="1"/>
    </xf>
    <xf numFmtId="180" fontId="8" fillId="15" borderId="0" xfId="0" applyNumberFormat="1" applyFont="1" applyFill="1" applyAlignment="1">
      <alignment horizontal="center" vertical="center" wrapText="1"/>
    </xf>
    <xf numFmtId="0" fontId="0" fillId="6" borderId="0" xfId="0" applyFill="1"/>
    <xf numFmtId="171" fontId="8" fillId="15" borderId="0" xfId="0" applyNumberFormat="1" applyFont="1" applyFill="1"/>
    <xf numFmtId="9" fontId="0" fillId="0" borderId="1" xfId="3" applyFont="1" applyFill="1" applyBorder="1"/>
    <xf numFmtId="10" fontId="0" fillId="0" borderId="0" xfId="3" applyNumberFormat="1" applyFont="1"/>
    <xf numFmtId="240" fontId="0" fillId="0" borderId="0" xfId="3" applyNumberFormat="1" applyFont="1"/>
    <xf numFmtId="241" fontId="0" fillId="0" borderId="0" xfId="0" applyNumberFormat="1"/>
    <xf numFmtId="176" fontId="0" fillId="0" borderId="0" xfId="3" applyNumberFormat="1" applyFont="1" applyBorder="1"/>
    <xf numFmtId="10" fontId="0" fillId="0" borderId="0" xfId="3" applyNumberFormat="1" applyFont="1" applyBorder="1"/>
    <xf numFmtId="218" fontId="0" fillId="0" borderId="1" xfId="0" applyNumberFormat="1" applyBorder="1" applyAlignment="1">
      <alignment horizontal="center" vertical="center"/>
    </xf>
    <xf numFmtId="0" fontId="0" fillId="9" borderId="0" xfId="0" applyFill="1" applyAlignment="1">
      <alignment horizontal="center"/>
    </xf>
    <xf numFmtId="238" fontId="0" fillId="9" borderId="0" xfId="0" applyNumberFormat="1" applyFill="1" applyAlignment="1">
      <alignment horizontal="center"/>
    </xf>
    <xf numFmtId="239" fontId="0" fillId="9" borderId="0" xfId="0" applyNumberFormat="1" applyFill="1" applyAlignment="1">
      <alignment horizontal="center"/>
    </xf>
    <xf numFmtId="2" fontId="0" fillId="0" borderId="0" xfId="0" applyNumberFormat="1" applyAlignment="1">
      <alignment horizontal="center"/>
    </xf>
    <xf numFmtId="208" fontId="0" fillId="0" borderId="1" xfId="0" applyNumberFormat="1" applyBorder="1" applyAlignment="1">
      <alignment horizontal="center"/>
    </xf>
    <xf numFmtId="237" fontId="15" fillId="0" borderId="1" xfId="1" applyNumberFormat="1" applyFont="1" applyFill="1" applyBorder="1"/>
    <xf numFmtId="242" fontId="0" fillId="0" borderId="1" xfId="2" applyNumberFormat="1" applyFont="1" applyBorder="1"/>
    <xf numFmtId="182" fontId="0" fillId="0" borderId="1" xfId="0" applyNumberFormat="1" applyBorder="1" applyAlignment="1">
      <alignment horizontal="center"/>
    </xf>
    <xf numFmtId="243" fontId="0" fillId="0" borderId="1" xfId="0" applyNumberFormat="1" applyBorder="1"/>
    <xf numFmtId="178" fontId="8" fillId="15" borderId="1" xfId="0" applyNumberFormat="1" applyFont="1" applyFill="1" applyBorder="1"/>
    <xf numFmtId="237" fontId="0" fillId="0" borderId="0" xfId="0" applyNumberFormat="1"/>
    <xf numFmtId="0" fontId="0" fillId="0" borderId="1" xfId="0" applyBorder="1" applyAlignment="1">
      <alignment horizontal="right"/>
    </xf>
    <xf numFmtId="42" fontId="8" fillId="15" borderId="1" xfId="2" applyFont="1" applyFill="1" applyBorder="1"/>
    <xf numFmtId="42" fontId="0" fillId="0" borderId="0" xfId="0" applyNumberFormat="1"/>
    <xf numFmtId="244" fontId="0" fillId="0" borderId="1" xfId="0" applyNumberFormat="1" applyBorder="1"/>
    <xf numFmtId="245" fontId="0" fillId="0" borderId="1" xfId="0" applyNumberFormat="1" applyBorder="1" applyAlignment="1">
      <alignment horizontal="center"/>
    </xf>
    <xf numFmtId="237" fontId="15" fillId="0" borderId="1" xfId="1" applyNumberFormat="1" applyFont="1" applyFill="1" applyBorder="1" applyAlignment="1">
      <alignment horizontal="center"/>
    </xf>
    <xf numFmtId="0" fontId="2" fillId="0" borderId="17" xfId="0" applyFont="1" applyBorder="1"/>
    <xf numFmtId="2" fontId="0" fillId="0" borderId="1" xfId="0" applyNumberFormat="1" applyBorder="1" applyAlignment="1">
      <alignment horizontal="center"/>
    </xf>
    <xf numFmtId="44" fontId="0" fillId="0" borderId="0" xfId="0" applyNumberFormat="1"/>
    <xf numFmtId="42" fontId="15" fillId="0" borderId="1" xfId="2" applyFont="1" applyFill="1" applyBorder="1" applyAlignment="1">
      <alignment horizontal="center"/>
    </xf>
    <xf numFmtId="246" fontId="0" fillId="0" borderId="1" xfId="0" applyNumberFormat="1" applyBorder="1" applyAlignment="1">
      <alignment horizontal="center"/>
    </xf>
    <xf numFmtId="2" fontId="0" fillId="0" borderId="1" xfId="0" applyNumberFormat="1" applyBorder="1" applyAlignment="1">
      <alignment horizontal="center" vertical="center" wrapText="1"/>
    </xf>
    <xf numFmtId="165" fontId="0" fillId="0" borderId="1" xfId="1" applyNumberFormat="1" applyFont="1" applyBorder="1" applyAlignment="1">
      <alignment horizontal="center" vertical="center"/>
    </xf>
    <xf numFmtId="2" fontId="0" fillId="0" borderId="1" xfId="0" applyNumberFormat="1" applyBorder="1" applyAlignment="1">
      <alignment horizontal="center" vertical="center"/>
    </xf>
    <xf numFmtId="171" fontId="0" fillId="0" borderId="1" xfId="1" applyNumberFormat="1" applyFont="1" applyBorder="1" applyAlignment="1">
      <alignment horizontal="center" vertical="center" wrapText="1"/>
    </xf>
    <xf numFmtId="2" fontId="0" fillId="0" borderId="1" xfId="0" applyNumberFormat="1" applyBorder="1" applyAlignment="1">
      <alignment horizontal="right" vertical="center"/>
    </xf>
    <xf numFmtId="0" fontId="22" fillId="0" borderId="1" xfId="0" applyFont="1" applyBorder="1" applyAlignment="1">
      <alignment horizontal="center"/>
    </xf>
    <xf numFmtId="0" fontId="0" fillId="0" borderId="15" xfId="0" applyBorder="1" applyAlignment="1">
      <alignment horizontal="center" vertical="center" wrapText="1"/>
    </xf>
    <xf numFmtId="0" fontId="0" fillId="0" borderId="10" xfId="0" applyBorder="1" applyAlignment="1">
      <alignment horizontal="center" vertical="center"/>
    </xf>
    <xf numFmtId="2" fontId="0" fillId="0" borderId="17" xfId="0" applyNumberFormat="1" applyBorder="1" applyAlignment="1">
      <alignment horizontal="center" vertical="center"/>
    </xf>
    <xf numFmtId="2" fontId="0" fillId="0" borderId="11" xfId="0" applyNumberFormat="1" applyBorder="1" applyAlignment="1">
      <alignment horizontal="center"/>
    </xf>
    <xf numFmtId="171" fontId="0" fillId="0" borderId="11" xfId="1" applyNumberFormat="1" applyFont="1" applyBorder="1" applyAlignment="1">
      <alignment horizontal="right"/>
    </xf>
    <xf numFmtId="0" fontId="0" fillId="3" borderId="2" xfId="0" applyFill="1" applyBorder="1" applyAlignment="1">
      <alignment horizontal="center"/>
    </xf>
    <xf numFmtId="171" fontId="0" fillId="3" borderId="3" xfId="0" applyNumberFormat="1" applyFill="1" applyBorder="1" applyAlignment="1">
      <alignment horizontal="center"/>
    </xf>
    <xf numFmtId="0" fontId="0" fillId="3" borderId="4" xfId="0" applyFill="1" applyBorder="1" applyAlignment="1">
      <alignment horizontal="center"/>
    </xf>
    <xf numFmtId="171" fontId="0" fillId="3" borderId="6" xfId="0" applyNumberFormat="1" applyFill="1" applyBorder="1" applyAlignment="1">
      <alignment horizontal="center"/>
    </xf>
    <xf numFmtId="0" fontId="22" fillId="0" borderId="17" xfId="0" applyFont="1" applyBorder="1" applyAlignment="1">
      <alignment horizontal="center"/>
    </xf>
    <xf numFmtId="182" fontId="0" fillId="0" borderId="11" xfId="0" applyNumberFormat="1" applyBorder="1" applyAlignment="1">
      <alignment horizontal="center" vertical="center"/>
    </xf>
    <xf numFmtId="165" fontId="0" fillId="0" borderId="11" xfId="1" applyNumberFormat="1" applyFont="1" applyBorder="1" applyAlignment="1">
      <alignment horizontal="center" vertical="center"/>
    </xf>
    <xf numFmtId="2" fontId="0" fillId="0" borderId="11" xfId="0" applyNumberFormat="1" applyBorder="1" applyAlignment="1">
      <alignment horizontal="center" vertical="center"/>
    </xf>
    <xf numFmtId="0" fontId="0" fillId="3" borderId="0" xfId="0" applyFill="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19" xfId="0" applyFill="1" applyBorder="1" applyAlignment="1">
      <alignment horizontal="center" vertical="center" wrapText="1"/>
    </xf>
    <xf numFmtId="0" fontId="0" fillId="3" borderId="20" xfId="0" applyFill="1" applyBorder="1" applyAlignment="1">
      <alignment horizontal="center" vertical="center" wrapText="1"/>
    </xf>
    <xf numFmtId="2" fontId="0" fillId="0" borderId="15" xfId="0" applyNumberFormat="1" applyBorder="1" applyAlignment="1">
      <alignment horizontal="center" vertical="center" wrapText="1"/>
    </xf>
    <xf numFmtId="2" fontId="0" fillId="0" borderId="2" xfId="0" applyNumberFormat="1" applyBorder="1" applyAlignment="1">
      <alignment horizontal="center" vertical="center"/>
    </xf>
    <xf numFmtId="0" fontId="0" fillId="0" borderId="7" xfId="0" applyBorder="1" applyAlignment="1">
      <alignment horizontal="center" vertical="center"/>
    </xf>
    <xf numFmtId="171" fontId="0" fillId="0" borderId="1" xfId="1" applyNumberFormat="1" applyFont="1" applyBorder="1" applyAlignment="1">
      <alignment vertical="center"/>
    </xf>
    <xf numFmtId="183" fontId="0" fillId="0" borderId="1" xfId="0" applyNumberFormat="1" applyBorder="1" applyAlignment="1">
      <alignment horizontal="center" vertical="center"/>
    </xf>
    <xf numFmtId="1" fontId="0" fillId="0" borderId="1" xfId="1" applyNumberFormat="1" applyFont="1" applyBorder="1" applyAlignment="1">
      <alignment horizontal="center" vertical="center"/>
    </xf>
    <xf numFmtId="193" fontId="0" fillId="0" borderId="1" xfId="0" applyNumberFormat="1" applyBorder="1" applyAlignment="1">
      <alignment horizontal="right"/>
    </xf>
    <xf numFmtId="180" fontId="8" fillId="0" borderId="0" xfId="0" applyNumberFormat="1" applyFont="1" applyAlignment="1">
      <alignment vertical="center" wrapText="1"/>
    </xf>
    <xf numFmtId="9" fontId="0" fillId="0" borderId="1" xfId="3" applyFont="1" applyBorder="1" applyAlignment="1">
      <alignment horizontal="center"/>
    </xf>
    <xf numFmtId="9" fontId="0" fillId="0" borderId="1" xfId="0" applyNumberFormat="1" applyBorder="1"/>
    <xf numFmtId="9" fontId="0" fillId="0" borderId="0" xfId="0" applyNumberFormat="1" applyAlignment="1">
      <alignment horizontal="center"/>
    </xf>
    <xf numFmtId="9" fontId="0" fillId="0" borderId="1" xfId="0" applyNumberFormat="1" applyBorder="1" applyAlignment="1">
      <alignment horizontal="center"/>
    </xf>
    <xf numFmtId="0" fontId="2" fillId="0" borderId="1" xfId="0" applyFont="1" applyBorder="1" applyAlignment="1">
      <alignment horizontal="center" vertical="center" wrapText="1"/>
    </xf>
    <xf numFmtId="9" fontId="0" fillId="0" borderId="1" xfId="3" applyFont="1" applyBorder="1" applyAlignment="1">
      <alignment horizontal="center" vertical="center" wrapText="1"/>
    </xf>
    <xf numFmtId="9" fontId="0" fillId="0" borderId="1" xfId="0" applyNumberFormat="1" applyBorder="1" applyAlignment="1">
      <alignment vertical="center" wrapText="1"/>
    </xf>
    <xf numFmtId="235" fontId="0" fillId="0" borderId="1" xfId="0" applyNumberFormat="1" applyBorder="1" applyAlignment="1">
      <alignment horizontal="center" vertical="center" wrapText="1"/>
    </xf>
    <xf numFmtId="0" fontId="0" fillId="0" borderId="0" xfId="0" applyAlignment="1">
      <alignment horizontal="center" vertical="center" wrapText="1"/>
    </xf>
    <xf numFmtId="235" fontId="8" fillId="15" borderId="0" xfId="0" applyNumberFormat="1" applyFont="1" applyFill="1"/>
    <xf numFmtId="247" fontId="0" fillId="9" borderId="0" xfId="0" applyNumberFormat="1" applyFill="1" applyAlignment="1">
      <alignment horizontal="center"/>
    </xf>
    <xf numFmtId="165" fontId="0" fillId="0" borderId="0" xfId="1" applyNumberFormat="1" applyFont="1" applyFill="1"/>
    <xf numFmtId="168" fontId="0" fillId="11" borderId="0" xfId="0" applyNumberFormat="1" applyFill="1" applyAlignment="1">
      <alignment horizontal="center"/>
    </xf>
    <xf numFmtId="248" fontId="0" fillId="8" borderId="1" xfId="0" applyNumberFormat="1" applyFill="1" applyBorder="1" applyAlignment="1">
      <alignment horizontal="center"/>
    </xf>
    <xf numFmtId="170" fontId="0" fillId="17" borderId="0" xfId="0" applyNumberFormat="1" applyFill="1" applyAlignment="1">
      <alignment horizontal="center"/>
    </xf>
    <xf numFmtId="221" fontId="0" fillId="17" borderId="0" xfId="0" applyNumberFormat="1" applyFill="1" applyAlignment="1">
      <alignment horizontal="center"/>
    </xf>
    <xf numFmtId="249" fontId="8" fillId="15" borderId="0" xfId="0" applyNumberFormat="1" applyFont="1" applyFill="1"/>
    <xf numFmtId="223" fontId="8" fillId="15" borderId="0" xfId="0" applyNumberFormat="1" applyFont="1" applyFill="1"/>
    <xf numFmtId="235" fontId="0" fillId="8" borderId="1" xfId="0" applyNumberFormat="1" applyFill="1" applyBorder="1"/>
    <xf numFmtId="0" fontId="8" fillId="13" borderId="0" xfId="0" applyFont="1" applyFill="1" applyAlignment="1">
      <alignment horizontal="center"/>
    </xf>
    <xf numFmtId="250" fontId="0" fillId="14" borderId="1" xfId="0" applyNumberFormat="1" applyFill="1" applyBorder="1"/>
    <xf numFmtId="247" fontId="0" fillId="0" borderId="0" xfId="0" applyNumberFormat="1"/>
    <xf numFmtId="184" fontId="0" fillId="8" borderId="0" xfId="0" applyNumberFormat="1" applyFill="1"/>
    <xf numFmtId="184" fontId="8" fillId="13" borderId="0" xfId="0" applyNumberFormat="1" applyFont="1" applyFill="1"/>
    <xf numFmtId="0" fontId="0" fillId="20" borderId="1" xfId="0" applyFill="1" applyBorder="1" applyAlignment="1">
      <alignment horizontal="center" vertical="center" wrapText="1"/>
    </xf>
    <xf numFmtId="221" fontId="0" fillId="0" borderId="0" xfId="0" applyNumberFormat="1"/>
    <xf numFmtId="247" fontId="0" fillId="0" borderId="0" xfId="0" applyNumberFormat="1" applyAlignment="1">
      <alignment horizontal="center"/>
    </xf>
    <xf numFmtId="221" fontId="0" fillId="0" borderId="0" xfId="0" applyNumberFormat="1" applyAlignment="1">
      <alignment horizontal="center"/>
    </xf>
    <xf numFmtId="175" fontId="0" fillId="0" borderId="0" xfId="0" applyNumberFormat="1"/>
    <xf numFmtId="181" fontId="8" fillId="15" borderId="1" xfId="0" applyNumberFormat="1" applyFont="1" applyFill="1" applyBorder="1"/>
    <xf numFmtId="251" fontId="0" fillId="0" borderId="1" xfId="0" applyNumberFormat="1" applyBorder="1"/>
    <xf numFmtId="252" fontId="8" fillId="15" borderId="1" xfId="0" applyNumberFormat="1" applyFont="1" applyFill="1" applyBorder="1"/>
    <xf numFmtId="181" fontId="0" fillId="0" borderId="0" xfId="0" applyNumberFormat="1"/>
    <xf numFmtId="0" fontId="8" fillId="15" borderId="0" xfId="0" applyFont="1" applyFill="1" applyAlignment="1">
      <alignment horizontal="center"/>
    </xf>
    <xf numFmtId="248" fontId="0" fillId="0" borderId="1" xfId="0" applyNumberFormat="1" applyBorder="1" applyAlignment="1">
      <alignment horizontal="center"/>
    </xf>
    <xf numFmtId="2" fontId="8" fillId="15" borderId="0" xfId="0" applyNumberFormat="1" applyFont="1" applyFill="1" applyAlignment="1">
      <alignment horizontal="center"/>
    </xf>
    <xf numFmtId="41" fontId="0" fillId="23" borderId="0" xfId="1" applyFont="1" applyFill="1"/>
    <xf numFmtId="165" fontId="0" fillId="0" borderId="0" xfId="1" applyNumberFormat="1" applyFont="1" applyBorder="1"/>
    <xf numFmtId="0" fontId="0" fillId="23" borderId="0" xfId="0" applyFill="1"/>
    <xf numFmtId="0" fontId="8" fillId="23" borderId="0" xfId="0" applyFont="1" applyFill="1"/>
    <xf numFmtId="0" fontId="8" fillId="23" borderId="0" xfId="0" applyFont="1" applyFill="1" applyAlignment="1">
      <alignment horizontal="center" wrapText="1"/>
    </xf>
    <xf numFmtId="17" fontId="0" fillId="0" borderId="1" xfId="0" applyNumberFormat="1" applyBorder="1" applyAlignment="1">
      <alignment horizontal="center"/>
    </xf>
    <xf numFmtId="0" fontId="0" fillId="8" borderId="1" xfId="0" applyFill="1" applyBorder="1"/>
    <xf numFmtId="171" fontId="0" fillId="8" borderId="1" xfId="1" applyNumberFormat="1" applyFont="1" applyFill="1" applyBorder="1"/>
    <xf numFmtId="41" fontId="0" fillId="8" borderId="1" xfId="1" applyFont="1" applyFill="1" applyBorder="1"/>
    <xf numFmtId="165" fontId="0" fillId="8" borderId="1" xfId="1" applyNumberFormat="1" applyFont="1" applyFill="1" applyBorder="1"/>
    <xf numFmtId="0" fontId="5" fillId="8" borderId="0" xfId="0" applyFont="1" applyFill="1"/>
    <xf numFmtId="0" fontId="0" fillId="8" borderId="0" xfId="0" applyFill="1"/>
    <xf numFmtId="0" fontId="0" fillId="18" borderId="1" xfId="0" applyFill="1" applyBorder="1"/>
    <xf numFmtId="171" fontId="0" fillId="18" borderId="1" xfId="1" applyNumberFormat="1" applyFont="1" applyFill="1" applyBorder="1"/>
    <xf numFmtId="41" fontId="0" fillId="18" borderId="1" xfId="1" applyFont="1" applyFill="1" applyBorder="1"/>
    <xf numFmtId="165" fontId="0" fillId="18" borderId="1" xfId="1" applyNumberFormat="1" applyFont="1" applyFill="1" applyBorder="1"/>
    <xf numFmtId="0" fontId="5" fillId="18" borderId="0" xfId="0" applyFont="1" applyFill="1"/>
    <xf numFmtId="0" fontId="0" fillId="8" borderId="1" xfId="0" applyFill="1" applyBorder="1" applyAlignment="1">
      <alignment vertical="center" wrapText="1"/>
    </xf>
    <xf numFmtId="0" fontId="0" fillId="20" borderId="1" xfId="0" applyFill="1" applyBorder="1" applyAlignment="1">
      <alignment vertical="center" wrapText="1"/>
    </xf>
    <xf numFmtId="41" fontId="0" fillId="20" borderId="1" xfId="1" applyFont="1" applyFill="1" applyBorder="1" applyAlignment="1">
      <alignment vertical="center"/>
    </xf>
    <xf numFmtId="171" fontId="0" fillId="20" borderId="1" xfId="1" applyNumberFormat="1" applyFont="1" applyFill="1" applyBorder="1" applyAlignment="1">
      <alignment vertical="center"/>
    </xf>
    <xf numFmtId="0" fontId="5" fillId="20" borderId="0" xfId="0" applyFont="1" applyFill="1"/>
    <xf numFmtId="0" fontId="0" fillId="20" borderId="0" xfId="0" applyFill="1"/>
    <xf numFmtId="0" fontId="0" fillId="20" borderId="1" xfId="0" applyFill="1" applyBorder="1"/>
    <xf numFmtId="0" fontId="0" fillId="5" borderId="1" xfId="0" applyFill="1" applyBorder="1" applyAlignment="1">
      <alignment horizontal="center" vertical="center" wrapText="1"/>
    </xf>
    <xf numFmtId="41" fontId="0" fillId="5" borderId="1" xfId="1" applyFont="1" applyFill="1" applyBorder="1" applyAlignment="1">
      <alignment vertical="center"/>
    </xf>
    <xf numFmtId="171" fontId="0" fillId="5" borderId="1" xfId="1" applyNumberFormat="1" applyFont="1" applyFill="1" applyBorder="1" applyAlignment="1">
      <alignment vertical="center"/>
    </xf>
    <xf numFmtId="0" fontId="5" fillId="5" borderId="0" xfId="0" applyFont="1" applyFill="1"/>
    <xf numFmtId="0" fontId="0" fillId="5" borderId="0" xfId="0" applyFill="1"/>
    <xf numFmtId="171" fontId="0" fillId="20" borderId="1" xfId="1" applyNumberFormat="1" applyFont="1" applyFill="1" applyBorder="1"/>
    <xf numFmtId="0" fontId="0" fillId="20" borderId="1" xfId="0" applyFill="1" applyBorder="1" applyAlignment="1">
      <alignment horizontal="center"/>
    </xf>
    <xf numFmtId="0" fontId="0" fillId="5" borderId="1" xfId="0" applyFill="1" applyBorder="1" applyAlignment="1">
      <alignment horizontal="center"/>
    </xf>
    <xf numFmtId="171" fontId="0" fillId="5" borderId="1" xfId="1" applyNumberFormat="1" applyFont="1" applyFill="1" applyBorder="1"/>
    <xf numFmtId="172" fontId="0" fillId="20" borderId="1" xfId="0" applyNumberFormat="1" applyFill="1" applyBorder="1"/>
    <xf numFmtId="2" fontId="0" fillId="20" borderId="1" xfId="0" applyNumberFormat="1" applyFill="1" applyBorder="1"/>
    <xf numFmtId="1" fontId="0" fillId="20" borderId="1" xfId="0" applyNumberFormat="1" applyFill="1" applyBorder="1"/>
    <xf numFmtId="171" fontId="0" fillId="8" borderId="0" xfId="0" applyNumberFormat="1" applyFill="1"/>
    <xf numFmtId="43" fontId="0" fillId="0" borderId="1" xfId="0" applyNumberFormat="1" applyBorder="1" applyAlignment="1">
      <alignment vertical="center"/>
    </xf>
    <xf numFmtId="2" fontId="0" fillId="0" borderId="1" xfId="0" applyNumberFormat="1" applyBorder="1" applyAlignment="1">
      <alignment vertical="center" wrapText="1"/>
    </xf>
    <xf numFmtId="171" fontId="0" fillId="24" borderId="1" xfId="1" applyNumberFormat="1" applyFont="1" applyFill="1" applyBorder="1"/>
    <xf numFmtId="173" fontId="0" fillId="0" borderId="1" xfId="0" applyNumberFormat="1" applyBorder="1" applyAlignment="1">
      <alignment horizontal="center"/>
    </xf>
    <xf numFmtId="171" fontId="0" fillId="0" borderId="1" xfId="0" applyNumberFormat="1" applyBorder="1" applyAlignment="1">
      <alignment horizontal="center"/>
    </xf>
    <xf numFmtId="9" fontId="0" fillId="0" borderId="1" xfId="0" applyNumberFormat="1" applyBorder="1" applyAlignment="1">
      <alignment horizontal="center" vertical="center" wrapText="1"/>
    </xf>
    <xf numFmtId="17" fontId="2" fillId="0" borderId="1" xfId="0" applyNumberFormat="1" applyFont="1" applyBorder="1" applyAlignment="1">
      <alignment horizontal="center"/>
    </xf>
    <xf numFmtId="17" fontId="0" fillId="0" borderId="0" xfId="0" applyNumberFormat="1"/>
    <xf numFmtId="0" fontId="2" fillId="0" borderId="17" xfId="0" applyFont="1" applyBorder="1" applyAlignment="1">
      <alignment horizontal="center"/>
    </xf>
    <xf numFmtId="0" fontId="2" fillId="0" borderId="17" xfId="0" applyFont="1" applyBorder="1" applyAlignment="1">
      <alignment horizontal="center" vertical="center" wrapText="1"/>
    </xf>
    <xf numFmtId="41" fontId="2" fillId="0" borderId="1" xfId="1" applyFont="1" applyBorder="1" applyAlignment="1">
      <alignment horizontal="center"/>
    </xf>
    <xf numFmtId="176" fontId="0" fillId="0" borderId="1" xfId="3" applyNumberFormat="1" applyFont="1" applyBorder="1" applyAlignment="1">
      <alignment horizontal="center" vertical="center" wrapText="1"/>
    </xf>
    <xf numFmtId="165" fontId="0" fillId="0" borderId="1" xfId="1" applyNumberFormat="1" applyFont="1" applyBorder="1" applyAlignment="1">
      <alignment horizontal="center" vertical="center" wrapText="1"/>
    </xf>
    <xf numFmtId="17" fontId="2" fillId="0" borderId="1" xfId="0" applyNumberFormat="1" applyFont="1" applyBorder="1" applyAlignment="1">
      <alignment horizontal="center" vertical="center" wrapText="1"/>
    </xf>
    <xf numFmtId="174" fontId="0" fillId="0" borderId="1" xfId="0" applyNumberFormat="1" applyBorder="1" applyAlignment="1">
      <alignment horizontal="center"/>
    </xf>
    <xf numFmtId="173" fontId="0" fillId="0" borderId="1" xfId="0" applyNumberFormat="1" applyBorder="1"/>
    <xf numFmtId="176" fontId="0" fillId="0" borderId="0" xfId="3" applyNumberFormat="1" applyFont="1"/>
    <xf numFmtId="176" fontId="0" fillId="0" borderId="0" xfId="0" applyNumberFormat="1"/>
    <xf numFmtId="10" fontId="0" fillId="0" borderId="0" xfId="3" applyNumberFormat="1" applyFont="1" applyFill="1" applyBorder="1"/>
    <xf numFmtId="0" fontId="0" fillId="24" borderId="0" xfId="0" applyFill="1"/>
    <xf numFmtId="10" fontId="0" fillId="0" borderId="0" xfId="3" applyNumberFormat="1" applyFont="1" applyAlignment="1">
      <alignment horizontal="center"/>
    </xf>
    <xf numFmtId="0" fontId="0" fillId="4" borderId="0" xfId="0" applyFill="1" applyAlignment="1">
      <alignment horizontal="center"/>
    </xf>
    <xf numFmtId="0" fontId="0" fillId="0" borderId="1" xfId="0" applyBorder="1" applyAlignment="1">
      <alignment horizontal="center" wrapText="1"/>
    </xf>
    <xf numFmtId="171" fontId="0" fillId="3" borderId="0" xfId="0" applyNumberFormat="1" applyFill="1" applyAlignment="1">
      <alignment horizontal="center" vertical="center"/>
    </xf>
    <xf numFmtId="42" fontId="0" fillId="0" borderId="0" xfId="2" applyFont="1" applyFill="1"/>
    <xf numFmtId="167" fontId="0" fillId="0" borderId="0" xfId="2" applyNumberFormat="1" applyFont="1" applyFill="1"/>
    <xf numFmtId="167" fontId="0" fillId="0" borderId="0" xfId="2" applyNumberFormat="1" applyFont="1" applyFill="1" applyBorder="1"/>
    <xf numFmtId="41" fontId="0" fillId="0" borderId="0" xfId="1" applyFont="1" applyFill="1" applyBorder="1" applyAlignment="1">
      <alignment horizontal="center"/>
    </xf>
    <xf numFmtId="165" fontId="0" fillId="0" borderId="0" xfId="1" applyNumberFormat="1" applyFont="1" applyFill="1" applyBorder="1" applyAlignment="1">
      <alignment horizontal="center"/>
    </xf>
    <xf numFmtId="0" fontId="25" fillId="0" borderId="0" xfId="0" applyFont="1"/>
    <xf numFmtId="171" fontId="0" fillId="0" borderId="1" xfId="1" applyNumberFormat="1" applyFont="1" applyFill="1" applyBorder="1"/>
    <xf numFmtId="41" fontId="0" fillId="0" borderId="1" xfId="1" applyFont="1" applyFill="1" applyBorder="1" applyAlignment="1">
      <alignment vertical="center" wrapText="1"/>
    </xf>
    <xf numFmtId="171" fontId="0" fillId="0" borderId="1" xfId="1" applyNumberFormat="1" applyFont="1" applyFill="1" applyBorder="1" applyAlignment="1">
      <alignment vertical="center" wrapText="1"/>
    </xf>
    <xf numFmtId="0" fontId="0" fillId="0" borderId="1" xfId="0" applyBorder="1" applyAlignment="1">
      <alignment wrapText="1"/>
    </xf>
    <xf numFmtId="171" fontId="0" fillId="0" borderId="1" xfId="0" applyNumberFormat="1" applyBorder="1" applyAlignment="1">
      <alignment wrapText="1"/>
    </xf>
    <xf numFmtId="165" fontId="0" fillId="0" borderId="0" xfId="0" applyNumberFormat="1" applyAlignment="1">
      <alignment wrapText="1"/>
    </xf>
    <xf numFmtId="41" fontId="0" fillId="0" borderId="1" xfId="0" applyNumberFormat="1" applyBorder="1" applyAlignment="1">
      <alignment wrapText="1"/>
    </xf>
    <xf numFmtId="15" fontId="0" fillId="0" borderId="1" xfId="0" applyNumberFormat="1" applyBorder="1" applyAlignment="1">
      <alignment horizontal="center"/>
    </xf>
    <xf numFmtId="165" fontId="0" fillId="0" borderId="1" xfId="1" applyNumberFormat="1" applyFont="1" applyFill="1" applyBorder="1" applyAlignment="1">
      <alignment vertical="center"/>
    </xf>
    <xf numFmtId="165" fontId="0" fillId="0" borderId="1" xfId="0" applyNumberFormat="1" applyBorder="1" applyAlignment="1">
      <alignment horizontal="center" vertical="center"/>
    </xf>
    <xf numFmtId="41" fontId="0" fillId="0" borderId="1" xfId="1" applyFont="1" applyBorder="1" applyAlignment="1">
      <alignment horizontal="center" vertical="center"/>
    </xf>
    <xf numFmtId="0" fontId="0" fillId="0" borderId="0" xfId="0" applyAlignment="1">
      <alignment horizontal="center" wrapText="1"/>
    </xf>
    <xf numFmtId="0" fontId="2" fillId="0" borderId="0" xfId="0" applyFont="1" applyAlignment="1">
      <alignment horizontal="center" wrapText="1"/>
    </xf>
    <xf numFmtId="9" fontId="0" fillId="0" borderId="0" xfId="3" applyFont="1" applyBorder="1" applyAlignment="1">
      <alignment horizontal="center"/>
    </xf>
    <xf numFmtId="165" fontId="0" fillId="0" borderId="0" xfId="1" applyNumberFormat="1" applyFont="1" applyBorder="1" applyAlignment="1">
      <alignment horizontal="center" vertical="center" wrapText="1"/>
    </xf>
    <xf numFmtId="165" fontId="0" fillId="0" borderId="1" xfId="0" applyNumberFormat="1" applyBorder="1" applyAlignment="1">
      <alignment horizontal="center"/>
    </xf>
    <xf numFmtId="42" fontId="0" fillId="0" borderId="1" xfId="0" applyNumberFormat="1" applyBorder="1" applyAlignment="1">
      <alignment horizontal="center"/>
    </xf>
    <xf numFmtId="253" fontId="0" fillId="0" borderId="1" xfId="2" applyNumberFormat="1" applyFont="1" applyBorder="1" applyAlignment="1">
      <alignment horizontal="center"/>
    </xf>
    <xf numFmtId="170" fontId="0" fillId="0" borderId="1" xfId="0" applyNumberFormat="1" applyBorder="1"/>
    <xf numFmtId="41" fontId="0" fillId="0" borderId="1" xfId="1" applyFont="1" applyFill="1" applyBorder="1" applyAlignment="1">
      <alignment horizontal="center"/>
    </xf>
    <xf numFmtId="165" fontId="0" fillId="0" borderId="1" xfId="1" applyNumberFormat="1" applyFont="1" applyBorder="1" applyAlignment="1">
      <alignment horizontal="right"/>
    </xf>
    <xf numFmtId="43" fontId="0" fillId="0" borderId="0" xfId="0" applyNumberFormat="1" applyAlignment="1">
      <alignment vertical="center"/>
    </xf>
    <xf numFmtId="173" fontId="0" fillId="0" borderId="0" xfId="0" applyNumberFormat="1" applyAlignment="1">
      <alignment horizontal="center" vertical="center" wrapText="1"/>
    </xf>
    <xf numFmtId="10" fontId="0" fillId="6" borderId="1" xfId="0" applyNumberFormat="1" applyFill="1" applyBorder="1" applyAlignment="1">
      <alignment horizontal="center"/>
    </xf>
    <xf numFmtId="10" fontId="0" fillId="0" borderId="1" xfId="0" applyNumberFormat="1" applyBorder="1" applyAlignment="1">
      <alignment horizontal="center"/>
    </xf>
    <xf numFmtId="10" fontId="0" fillId="0" borderId="0" xfId="0" applyNumberFormat="1"/>
    <xf numFmtId="10" fontId="0" fillId="0" borderId="0" xfId="0" applyNumberFormat="1" applyAlignment="1">
      <alignment horizontal="center"/>
    </xf>
    <xf numFmtId="10" fontId="0" fillId="0" borderId="1" xfId="0" applyNumberFormat="1" applyBorder="1"/>
    <xf numFmtId="0" fontId="26" fillId="0" borderId="1" xfId="0" applyFont="1" applyBorder="1" applyAlignment="1">
      <alignment horizontal="center"/>
    </xf>
    <xf numFmtId="0" fontId="26" fillId="0" borderId="1" xfId="0" applyFont="1" applyBorder="1"/>
    <xf numFmtId="0" fontId="27" fillId="0" borderId="1" xfId="0" applyFont="1" applyBorder="1" applyAlignment="1">
      <alignment horizontal="center"/>
    </xf>
    <xf numFmtId="0" fontId="28" fillId="0" borderId="0" xfId="0" applyFont="1" applyAlignment="1">
      <alignment horizontal="center"/>
    </xf>
    <xf numFmtId="0" fontId="0" fillId="0" borderId="0" xfId="0" applyAlignment="1">
      <alignment horizontal="left"/>
    </xf>
    <xf numFmtId="1" fontId="0" fillId="0" borderId="0" xfId="0" applyNumberFormat="1" applyAlignment="1">
      <alignment horizontal="center"/>
    </xf>
    <xf numFmtId="9" fontId="0" fillId="0" borderId="0" xfId="3" applyFont="1" applyAlignment="1">
      <alignment horizontal="center"/>
    </xf>
    <xf numFmtId="0" fontId="0" fillId="20" borderId="0" xfId="0" applyFill="1" applyAlignment="1">
      <alignment horizontal="center"/>
    </xf>
    <xf numFmtId="0" fontId="28" fillId="0" borderId="1" xfId="0" applyFont="1" applyBorder="1" applyAlignment="1">
      <alignment horizontal="center"/>
    </xf>
    <xf numFmtId="1" fontId="0" fillId="0" borderId="1" xfId="0" applyNumberFormat="1" applyBorder="1" applyAlignment="1">
      <alignment horizontal="center"/>
    </xf>
    <xf numFmtId="1" fontId="0" fillId="2" borderId="0" xfId="0" applyNumberFormat="1" applyFill="1" applyAlignment="1">
      <alignment horizontal="center"/>
    </xf>
    <xf numFmtId="170" fontId="0" fillId="2" borderId="0" xfId="0" applyNumberFormat="1" applyFill="1" applyAlignment="1">
      <alignment horizontal="center"/>
    </xf>
    <xf numFmtId="0" fontId="0" fillId="0" borderId="0" xfId="0" applyAlignment="1">
      <alignment horizontal="center" vertical="center"/>
    </xf>
    <xf numFmtId="0" fontId="0" fillId="0" borderId="21" xfId="0" applyBorder="1"/>
    <xf numFmtId="254" fontId="0" fillId="0" borderId="0" xfId="0" applyNumberFormat="1" applyAlignment="1">
      <alignment horizontal="center"/>
    </xf>
    <xf numFmtId="0" fontId="0" fillId="0" borderId="14" xfId="0" applyBorder="1" applyAlignment="1">
      <alignment horizontal="center"/>
    </xf>
    <xf numFmtId="0" fontId="0" fillId="0" borderId="14" xfId="0" applyBorder="1" applyAlignment="1">
      <alignment horizontal="left"/>
    </xf>
    <xf numFmtId="9" fontId="0" fillId="9" borderId="0" xfId="3" applyFont="1" applyFill="1" applyAlignment="1">
      <alignment horizontal="center"/>
    </xf>
    <xf numFmtId="9" fontId="0" fillId="3" borderId="0" xfId="3" applyFont="1" applyFill="1" applyAlignment="1">
      <alignment horizontal="center"/>
    </xf>
    <xf numFmtId="0" fontId="33" fillId="0" borderId="0" xfId="0" applyFont="1" applyAlignment="1">
      <alignment horizontal="centerContinuous"/>
    </xf>
    <xf numFmtId="0" fontId="33" fillId="0" borderId="0" xfId="0" applyFont="1" applyAlignment="1">
      <alignment horizontal="center"/>
    </xf>
    <xf numFmtId="0" fontId="0" fillId="0" borderId="0" xfId="0" applyAlignment="1">
      <alignment horizontal="justify" vertical="justify" wrapText="1"/>
    </xf>
    <xf numFmtId="0" fontId="0" fillId="0" borderId="13" xfId="0" applyBorder="1"/>
    <xf numFmtId="0" fontId="0" fillId="0" borderId="21" xfId="0" applyBorder="1" applyAlignment="1">
      <alignment horizontal="justify" vertical="justify" wrapText="1"/>
    </xf>
    <xf numFmtId="0" fontId="0" fillId="0" borderId="6" xfId="0" applyBorder="1" applyAlignment="1">
      <alignment horizontal="justify" vertical="justify" wrapText="1"/>
    </xf>
    <xf numFmtId="0" fontId="0" fillId="0" borderId="0" xfId="0" applyAlignment="1">
      <alignment horizontal="center" vertical="justify" wrapText="1"/>
    </xf>
    <xf numFmtId="2" fontId="0" fillId="0" borderId="0" xfId="0" applyNumberFormat="1" applyAlignment="1">
      <alignment horizontal="right" vertical="justify" wrapText="1"/>
    </xf>
    <xf numFmtId="0" fontId="0" fillId="9" borderId="0" xfId="0" applyFill="1"/>
    <xf numFmtId="0" fontId="28" fillId="0" borderId="0" xfId="0" applyFont="1"/>
    <xf numFmtId="255" fontId="0" fillId="0" borderId="0" xfId="0" applyNumberFormat="1"/>
    <xf numFmtId="0" fontId="28" fillId="0" borderId="0" xfId="0" applyFont="1" applyAlignment="1">
      <alignment horizontal="right"/>
    </xf>
    <xf numFmtId="256" fontId="0" fillId="0" borderId="0" xfId="0" applyNumberFormat="1"/>
    <xf numFmtId="176" fontId="0" fillId="0" borderId="0" xfId="3" applyNumberFormat="1" applyFont="1" applyAlignment="1">
      <alignment horizontal="center"/>
    </xf>
    <xf numFmtId="0" fontId="0" fillId="2" borderId="0" xfId="0" applyFill="1" applyAlignment="1">
      <alignment horizontal="left"/>
    </xf>
    <xf numFmtId="0" fontId="0" fillId="0" borderId="10" xfId="0" applyBorder="1"/>
    <xf numFmtId="257" fontId="0" fillId="0" borderId="10" xfId="0" applyNumberFormat="1" applyBorder="1" applyAlignment="1">
      <alignment horizontal="center"/>
    </xf>
    <xf numFmtId="9" fontId="0" fillId="0" borderId="15" xfId="3" applyFont="1" applyBorder="1"/>
    <xf numFmtId="41" fontId="0" fillId="0" borderId="15" xfId="1" applyFont="1" applyBorder="1" applyAlignment="1">
      <alignment horizontal="center"/>
    </xf>
    <xf numFmtId="0" fontId="0" fillId="0" borderId="21" xfId="0" applyBorder="1" applyAlignment="1">
      <alignment horizontal="center"/>
    </xf>
    <xf numFmtId="258" fontId="0" fillId="0" borderId="15" xfId="0" applyNumberFormat="1" applyBorder="1"/>
    <xf numFmtId="41" fontId="0" fillId="0" borderId="1" xfId="1" applyFont="1" applyBorder="1" applyAlignment="1"/>
    <xf numFmtId="165" fontId="0" fillId="0" borderId="1" xfId="1" applyNumberFormat="1" applyFont="1" applyBorder="1" applyAlignment="1"/>
    <xf numFmtId="0" fontId="0" fillId="19" borderId="0" xfId="0" applyFill="1"/>
    <xf numFmtId="221" fontId="0" fillId="0" borderId="15" xfId="0" applyNumberFormat="1" applyBorder="1"/>
    <xf numFmtId="10" fontId="0" fillId="0" borderId="15" xfId="3" applyNumberFormat="1" applyFont="1" applyBorder="1"/>
    <xf numFmtId="256" fontId="0" fillId="0" borderId="15" xfId="0" applyNumberFormat="1" applyBorder="1"/>
    <xf numFmtId="257" fontId="0" fillId="0" borderId="15" xfId="0" applyNumberFormat="1" applyBorder="1"/>
    <xf numFmtId="41" fontId="0" fillId="0" borderId="0" xfId="1" applyFont="1" applyBorder="1"/>
    <xf numFmtId="165" fontId="0" fillId="0" borderId="0" xfId="1" applyNumberFormat="1" applyFont="1" applyBorder="1" applyAlignment="1"/>
    <xf numFmtId="221" fontId="0" fillId="0" borderId="1" xfId="0" applyNumberFormat="1" applyBorder="1" applyAlignment="1">
      <alignment horizontal="center"/>
    </xf>
    <xf numFmtId="221" fontId="0" fillId="0" borderId="1" xfId="0" applyNumberFormat="1" applyBorder="1" applyAlignment="1">
      <alignment horizontal="right"/>
    </xf>
    <xf numFmtId="221" fontId="0" fillId="2" borderId="1" xfId="0" applyNumberFormat="1" applyFill="1" applyBorder="1" applyAlignment="1">
      <alignment horizontal="right"/>
    </xf>
    <xf numFmtId="259" fontId="0" fillId="0" borderId="1" xfId="0" applyNumberFormat="1" applyBorder="1"/>
    <xf numFmtId="170" fontId="0" fillId="0" borderId="1" xfId="0" applyNumberFormat="1" applyBorder="1" applyAlignment="1">
      <alignment horizontal="center"/>
    </xf>
    <xf numFmtId="41" fontId="0" fillId="0" borderId="0" xfId="1" applyFont="1" applyBorder="1" applyAlignment="1">
      <alignment horizontal="right"/>
    </xf>
    <xf numFmtId="0" fontId="0" fillId="0" borderId="6" xfId="0" applyBorder="1"/>
    <xf numFmtId="170" fontId="0" fillId="0" borderId="1" xfId="0" applyNumberFormat="1" applyBorder="1" applyAlignment="1">
      <alignment horizontal="center" vertical="center"/>
    </xf>
    <xf numFmtId="4" fontId="0" fillId="0" borderId="0" xfId="0" applyNumberFormat="1"/>
    <xf numFmtId="0" fontId="8" fillId="25" borderId="0" xfId="0" applyFont="1" applyFill="1" applyAlignment="1">
      <alignment horizontal="center"/>
    </xf>
    <xf numFmtId="41" fontId="0" fillId="0" borderId="0" xfId="1" applyFont="1" applyFill="1"/>
    <xf numFmtId="260" fontId="0" fillId="0" borderId="0" xfId="0" applyNumberFormat="1"/>
    <xf numFmtId="261" fontId="0" fillId="0" borderId="0" xfId="0" applyNumberFormat="1"/>
    <xf numFmtId="0" fontId="16" fillId="0" borderId="1" xfId="0" applyFont="1" applyBorder="1" applyAlignment="1">
      <alignment horizontal="center" vertical="center"/>
    </xf>
    <xf numFmtId="2" fontId="16" fillId="0" borderId="1" xfId="0" applyNumberFormat="1" applyFont="1" applyBorder="1" applyAlignment="1">
      <alignment horizontal="center" vertical="center"/>
    </xf>
    <xf numFmtId="170" fontId="16" fillId="0" borderId="1" xfId="0" applyNumberFormat="1" applyFont="1" applyBorder="1" applyAlignment="1">
      <alignment horizontal="center" vertical="center"/>
    </xf>
    <xf numFmtId="257" fontId="0" fillId="0" borderId="0" xfId="0" applyNumberFormat="1"/>
    <xf numFmtId="0" fontId="0" fillId="6" borderId="0" xfId="0" applyFill="1" applyAlignment="1">
      <alignment horizontal="center"/>
    </xf>
    <xf numFmtId="2" fontId="0" fillId="6" borderId="0" xfId="0" applyNumberFormat="1" applyFill="1"/>
    <xf numFmtId="2" fontId="16" fillId="6" borderId="0" xfId="0" applyNumberFormat="1" applyFont="1" applyFill="1" applyAlignment="1">
      <alignment horizontal="center"/>
    </xf>
    <xf numFmtId="165" fontId="0" fillId="0" borderId="6" xfId="0" applyNumberFormat="1" applyBorder="1" applyAlignment="1">
      <alignment horizontal="center"/>
    </xf>
    <xf numFmtId="262" fontId="0" fillId="0" borderId="0" xfId="1" applyNumberFormat="1" applyFont="1"/>
    <xf numFmtId="0" fontId="0" fillId="2" borderId="1" xfId="0"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center" vertical="center"/>
    </xf>
    <xf numFmtId="41" fontId="0" fillId="2" borderId="1" xfId="1" applyFont="1" applyFill="1" applyBorder="1" applyAlignment="1"/>
    <xf numFmtId="41" fontId="0" fillId="2" borderId="1" xfId="1" applyFont="1" applyFill="1" applyBorder="1" applyAlignment="1">
      <alignment horizontal="center"/>
    </xf>
    <xf numFmtId="41" fontId="0" fillId="2" borderId="1" xfId="0" applyNumberFormat="1" applyFill="1" applyBorder="1"/>
    <xf numFmtId="3" fontId="0" fillId="0" borderId="0" xfId="0" applyNumberFormat="1"/>
    <xf numFmtId="165" fontId="0" fillId="2" borderId="1" xfId="1" applyNumberFormat="1" applyFont="1" applyFill="1" applyBorder="1" applyAlignment="1"/>
    <xf numFmtId="165" fontId="0" fillId="24" borderId="1" xfId="1" applyNumberFormat="1" applyFont="1" applyFill="1" applyBorder="1" applyAlignment="1">
      <alignment horizontal="center"/>
    </xf>
    <xf numFmtId="165" fontId="0" fillId="0" borderId="1" xfId="1" applyNumberFormat="1" applyFont="1" applyFill="1" applyBorder="1" applyAlignment="1">
      <alignment horizontal="center"/>
    </xf>
    <xf numFmtId="41" fontId="0" fillId="0" borderId="0" xfId="1" applyFont="1" applyFill="1" applyBorder="1" applyAlignment="1">
      <alignment horizontal="center" vertical="center" wrapText="1"/>
    </xf>
    <xf numFmtId="2" fontId="0" fillId="0" borderId="11" xfId="0" applyNumberFormat="1" applyBorder="1" applyAlignment="1">
      <alignment horizontal="center" vertical="center" wrapText="1"/>
    </xf>
    <xf numFmtId="0" fontId="0" fillId="2" borderId="11" xfId="0" applyFill="1" applyBorder="1" applyAlignment="1">
      <alignment horizontal="center" vertical="center" wrapText="1"/>
    </xf>
    <xf numFmtId="0" fontId="0" fillId="8" borderId="1" xfId="0" applyFill="1" applyBorder="1" applyAlignment="1">
      <alignment horizontal="center" vertical="center" wrapText="1"/>
    </xf>
    <xf numFmtId="2" fontId="0" fillId="0" borderId="0" xfId="0" applyNumberFormat="1" applyAlignment="1">
      <alignment horizontal="center" vertical="center"/>
    </xf>
    <xf numFmtId="170" fontId="0" fillId="0" borderId="0" xfId="0" applyNumberFormat="1" applyAlignment="1">
      <alignment horizontal="center" vertical="center"/>
    </xf>
    <xf numFmtId="2" fontId="0" fillId="26" borderId="1" xfId="0" applyNumberFormat="1" applyFill="1" applyBorder="1"/>
    <xf numFmtId="2" fontId="0" fillId="27" borderId="0" xfId="0" applyNumberFormat="1" applyFill="1" applyAlignment="1">
      <alignment horizontal="center"/>
    </xf>
    <xf numFmtId="2" fontId="0" fillId="5" borderId="1" xfId="0" applyNumberFormat="1" applyFill="1" applyBorder="1" applyAlignment="1">
      <alignment horizontal="center" vertical="center"/>
    </xf>
    <xf numFmtId="43" fontId="0" fillId="5" borderId="0" xfId="0" applyNumberFormat="1" applyFill="1"/>
    <xf numFmtId="171" fontId="0" fillId="5" borderId="0" xfId="1" applyNumberFormat="1" applyFont="1" applyFill="1"/>
    <xf numFmtId="2" fontId="0" fillId="5" borderId="1" xfId="0" applyNumberFormat="1" applyFill="1" applyBorder="1" applyAlignment="1">
      <alignment horizontal="center"/>
    </xf>
    <xf numFmtId="165" fontId="0" fillId="0" borderId="0" xfId="1" applyNumberFormat="1" applyFont="1" applyAlignment="1">
      <alignment horizontal="left"/>
    </xf>
    <xf numFmtId="165" fontId="0" fillId="0" borderId="0" xfId="0" applyNumberFormat="1" applyAlignment="1">
      <alignment horizontal="left"/>
    </xf>
    <xf numFmtId="165" fontId="0" fillId="0" borderId="0" xfId="1" applyNumberFormat="1" applyFont="1" applyAlignment="1">
      <alignment horizontal="center"/>
    </xf>
    <xf numFmtId="165" fontId="0" fillId="27" borderId="0" xfId="1" applyNumberFormat="1" applyFont="1" applyFill="1" applyAlignment="1">
      <alignment horizontal="center"/>
    </xf>
    <xf numFmtId="0" fontId="8" fillId="25" borderId="0" xfId="0" applyFont="1" applyFill="1"/>
    <xf numFmtId="10" fontId="0" fillId="10" borderId="1" xfId="0" applyNumberFormat="1" applyFill="1" applyBorder="1" applyAlignment="1">
      <alignment horizontal="center" vertical="center" wrapText="1"/>
    </xf>
    <xf numFmtId="41" fontId="0" fillId="19" borderId="0" xfId="0" applyNumberFormat="1" applyFill="1"/>
    <xf numFmtId="2" fontId="0" fillId="19" borderId="0" xfId="0" applyNumberFormat="1" applyFill="1"/>
    <xf numFmtId="41" fontId="0" fillId="19" borderId="0" xfId="1" applyFont="1" applyFill="1"/>
    <xf numFmtId="0" fontId="0" fillId="19" borderId="0" xfId="0" applyFill="1" applyAlignment="1">
      <alignment horizontal="center"/>
    </xf>
    <xf numFmtId="2" fontId="0" fillId="19" borderId="0" xfId="0" applyNumberFormat="1" applyFill="1" applyAlignment="1">
      <alignment horizontal="center"/>
    </xf>
    <xf numFmtId="41" fontId="0" fillId="19" borderId="0" xfId="1" applyFont="1" applyFill="1" applyAlignment="1">
      <alignment horizontal="center"/>
    </xf>
    <xf numFmtId="165" fontId="0" fillId="19" borderId="0" xfId="0" applyNumberFormat="1" applyFill="1" applyAlignment="1">
      <alignment horizontal="center"/>
    </xf>
    <xf numFmtId="0" fontId="0" fillId="0" borderId="11" xfId="0" applyBorder="1" applyAlignment="1">
      <alignment horizontal="center" vertical="center"/>
    </xf>
    <xf numFmtId="41" fontId="0" fillId="0" borderId="1" xfId="0" applyNumberFormat="1" applyBorder="1" applyAlignment="1">
      <alignment horizontal="center" vertical="center" wrapText="1"/>
    </xf>
    <xf numFmtId="171" fontId="0" fillId="2" borderId="1" xfId="0" applyNumberFormat="1" applyFill="1" applyBorder="1" applyAlignment="1">
      <alignment horizontal="center"/>
    </xf>
    <xf numFmtId="10" fontId="0" fillId="2" borderId="1" xfId="0" applyNumberFormat="1" applyFill="1" applyBorder="1" applyAlignment="1">
      <alignment horizontal="center"/>
    </xf>
    <xf numFmtId="172" fontId="8" fillId="28" borderId="1" xfId="0" applyNumberFormat="1" applyFont="1" applyFill="1" applyBorder="1" applyAlignment="1">
      <alignment horizontal="center"/>
    </xf>
    <xf numFmtId="10" fontId="8" fillId="28" borderId="1" xfId="0" applyNumberFormat="1" applyFont="1" applyFill="1" applyBorder="1" applyAlignment="1">
      <alignment horizontal="center"/>
    </xf>
    <xf numFmtId="10" fontId="0" fillId="8" borderId="1" xfId="3" applyNumberFormat="1" applyFont="1" applyFill="1" applyBorder="1" applyAlignment="1">
      <alignment horizontal="center" vertical="center"/>
    </xf>
    <xf numFmtId="10" fontId="0" fillId="8" borderId="1" xfId="3" applyNumberFormat="1" applyFont="1" applyFill="1" applyBorder="1" applyAlignment="1">
      <alignment horizontal="center"/>
    </xf>
    <xf numFmtId="10" fontId="8" fillId="15" borderId="0" xfId="0" applyNumberFormat="1" applyFont="1" applyFill="1"/>
    <xf numFmtId="2" fontId="0" fillId="0" borderId="1" xfId="0" applyNumberFormat="1" applyBorder="1" applyAlignment="1">
      <alignment horizontal="right"/>
    </xf>
    <xf numFmtId="0" fontId="8" fillId="15" borderId="14" xfId="0" applyFont="1" applyFill="1" applyBorder="1" applyAlignment="1">
      <alignment horizontal="center"/>
    </xf>
    <xf numFmtId="0" fontId="33" fillId="0" borderId="22" xfId="0" applyFont="1" applyBorder="1" applyAlignment="1">
      <alignment horizontal="center"/>
    </xf>
    <xf numFmtId="0" fontId="33" fillId="0" borderId="22" xfId="0" applyFont="1" applyBorder="1" applyAlignment="1">
      <alignment horizontal="centerContinuous"/>
    </xf>
    <xf numFmtId="165" fontId="8" fillId="13" borderId="1" xfId="1" applyNumberFormat="1" applyFont="1" applyFill="1" applyBorder="1" applyAlignment="1">
      <alignment horizontal="center"/>
    </xf>
    <xf numFmtId="17" fontId="8" fillId="13" borderId="0" xfId="0" applyNumberFormat="1" applyFont="1" applyFill="1" applyAlignment="1">
      <alignment horizontal="center"/>
    </xf>
    <xf numFmtId="0" fontId="0" fillId="13" borderId="0" xfId="0" applyFill="1"/>
    <xf numFmtId="2" fontId="0" fillId="24" borderId="1" xfId="0" applyNumberFormat="1" applyFill="1" applyBorder="1" applyAlignment="1">
      <alignment horizontal="right"/>
    </xf>
    <xf numFmtId="17" fontId="0" fillId="0" borderId="1" xfId="0" applyNumberFormat="1" applyBorder="1"/>
    <xf numFmtId="263" fontId="0" fillId="0" borderId="15" xfId="0" applyNumberFormat="1" applyBorder="1"/>
    <xf numFmtId="165" fontId="0" fillId="0" borderId="1" xfId="0" applyNumberFormat="1" applyBorder="1" applyAlignment="1">
      <alignment horizontal="centerContinuous"/>
    </xf>
    <xf numFmtId="17" fontId="0" fillId="0" borderId="1" xfId="0" applyNumberFormat="1" applyBorder="1" applyAlignment="1">
      <alignment horizontal="center" vertical="center"/>
    </xf>
    <xf numFmtId="264" fontId="0" fillId="3" borderId="1" xfId="1" applyNumberFormat="1" applyFont="1" applyFill="1" applyBorder="1"/>
    <xf numFmtId="264" fontId="16" fillId="3" borderId="1" xfId="1" applyNumberFormat="1" applyFont="1" applyFill="1" applyBorder="1"/>
    <xf numFmtId="165" fontId="1" fillId="0" borderId="1" xfId="1" applyNumberFormat="1" applyFont="1" applyBorder="1" applyAlignment="1">
      <alignment horizontal="center"/>
    </xf>
    <xf numFmtId="265" fontId="0" fillId="0" borderId="1" xfId="0" applyNumberFormat="1" applyBorder="1" applyAlignment="1">
      <alignment horizontal="right"/>
    </xf>
    <xf numFmtId="2" fontId="0" fillId="0" borderId="14" xfId="0" applyNumberFormat="1" applyBorder="1"/>
    <xf numFmtId="11" fontId="0" fillId="0" borderId="14" xfId="0" applyNumberFormat="1" applyBorder="1"/>
    <xf numFmtId="0" fontId="42" fillId="0" borderId="0" xfId="0" applyFont="1" applyAlignment="1">
      <alignment horizontal="center" vertical="center"/>
    </xf>
    <xf numFmtId="9" fontId="46" fillId="0" borderId="1" xfId="0" applyNumberFormat="1" applyFont="1" applyBorder="1" applyAlignment="1">
      <alignment horizontal="center" vertical="center" wrapText="1"/>
    </xf>
    <xf numFmtId="9" fontId="47" fillId="0" borderId="1" xfId="0" applyNumberFormat="1" applyFont="1" applyBorder="1" applyAlignment="1">
      <alignment horizontal="center" vertical="center"/>
    </xf>
    <xf numFmtId="9" fontId="47" fillId="0" borderId="1" xfId="0" applyNumberFormat="1" applyFont="1" applyBorder="1" applyAlignment="1">
      <alignment horizontal="center" vertical="center" wrapText="1"/>
    </xf>
    <xf numFmtId="0" fontId="46" fillId="0" borderId="1" xfId="0" applyFont="1" applyBorder="1" applyAlignment="1">
      <alignment horizontal="center" vertical="center"/>
    </xf>
    <xf numFmtId="0" fontId="46"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horizontal="center" vertical="center" wrapText="1"/>
    </xf>
    <xf numFmtId="0" fontId="42" fillId="24" borderId="0" xfId="0" applyFont="1" applyFill="1" applyAlignment="1">
      <alignment horizontal="center" vertical="center"/>
    </xf>
    <xf numFmtId="266" fontId="0" fillId="0" borderId="0" xfId="3" applyNumberFormat="1" applyFont="1"/>
    <xf numFmtId="41" fontId="0" fillId="6" borderId="0" xfId="1" applyFont="1" applyFill="1" applyAlignment="1">
      <alignment horizontal="center"/>
    </xf>
    <xf numFmtId="2" fontId="0" fillId="6" borderId="0" xfId="0" applyNumberFormat="1" applyFill="1" applyAlignment="1">
      <alignment horizontal="center"/>
    </xf>
    <xf numFmtId="0" fontId="0" fillId="6" borderId="1" xfId="0" applyFill="1" applyBorder="1" applyAlignment="1">
      <alignment horizontal="center"/>
    </xf>
    <xf numFmtId="165" fontId="0" fillId="19" borderId="1" xfId="0" applyNumberFormat="1" applyFill="1" applyBorder="1" applyAlignment="1">
      <alignment horizontal="center"/>
    </xf>
    <xf numFmtId="10" fontId="0" fillId="17" borderId="1" xfId="3" applyNumberFormat="1" applyFont="1" applyFill="1" applyBorder="1"/>
    <xf numFmtId="165" fontId="0" fillId="0" borderId="0" xfId="1" applyNumberFormat="1" applyFont="1" applyBorder="1" applyAlignment="1">
      <alignment horizontal="center"/>
    </xf>
    <xf numFmtId="10" fontId="0" fillId="0" borderId="1" xfId="3" applyNumberFormat="1" applyFont="1" applyBorder="1" applyAlignment="1">
      <alignment horizontal="center"/>
    </xf>
    <xf numFmtId="176" fontId="0" fillId="0" borderId="1" xfId="3" applyNumberFormat="1" applyFont="1" applyBorder="1" applyAlignment="1">
      <alignment horizontal="center"/>
    </xf>
    <xf numFmtId="0" fontId="0" fillId="0" borderId="1" xfId="3" applyNumberFormat="1" applyFont="1" applyBorder="1" applyAlignment="1">
      <alignment horizontal="center"/>
    </xf>
    <xf numFmtId="42" fontId="0" fillId="3" borderId="1" xfId="0" applyNumberFormat="1" applyFill="1" applyBorder="1"/>
    <xf numFmtId="42" fontId="0" fillId="3" borderId="1" xfId="2" applyFont="1" applyFill="1" applyBorder="1"/>
    <xf numFmtId="42" fontId="0" fillId="0" borderId="1" xfId="2" applyFont="1" applyFill="1" applyBorder="1" applyAlignment="1">
      <alignment vertical="center"/>
    </xf>
    <xf numFmtId="221" fontId="5" fillId="0" borderId="0" xfId="0" applyNumberFormat="1" applyFont="1"/>
    <xf numFmtId="9" fontId="28" fillId="0" borderId="0" xfId="3" applyFont="1" applyAlignment="1">
      <alignment horizontal="center"/>
    </xf>
    <xf numFmtId="2" fontId="0" fillId="0" borderId="0" xfId="0" applyNumberFormat="1" applyAlignment="1">
      <alignment horizontal="right"/>
    </xf>
    <xf numFmtId="0" fontId="0" fillId="0" borderId="3" xfId="0" applyBorder="1" applyAlignment="1">
      <alignment horizontal="center"/>
    </xf>
    <xf numFmtId="9" fontId="0" fillId="0" borderId="0" xfId="3" applyFont="1" applyFill="1" applyBorder="1" applyAlignment="1">
      <alignment horizontal="center"/>
    </xf>
    <xf numFmtId="9" fontId="0" fillId="0" borderId="12" xfId="3" applyFont="1" applyBorder="1" applyAlignment="1">
      <alignment horizontal="center"/>
    </xf>
    <xf numFmtId="10" fontId="8" fillId="15" borderId="1" xfId="3" applyNumberFormat="1" applyFont="1" applyFill="1" applyBorder="1"/>
    <xf numFmtId="2" fontId="0" fillId="2" borderId="0" xfId="0" applyNumberFormat="1" applyFill="1" applyAlignment="1">
      <alignment horizontal="center"/>
    </xf>
    <xf numFmtId="41" fontId="0" fillId="0" borderId="0" xfId="1" applyFont="1" applyBorder="1" applyAlignment="1">
      <alignment horizontal="center"/>
    </xf>
    <xf numFmtId="9" fontId="0" fillId="3" borderId="0" xfId="3" applyFont="1" applyFill="1" applyBorder="1" applyAlignment="1">
      <alignment horizontal="center"/>
    </xf>
    <xf numFmtId="10" fontId="0" fillId="8" borderId="0" xfId="0" applyNumberFormat="1" applyFill="1"/>
    <xf numFmtId="10" fontId="0" fillId="20" borderId="0" xfId="0" applyNumberFormat="1" applyFill="1"/>
    <xf numFmtId="266" fontId="0" fillId="2" borderId="0" xfId="3" applyNumberFormat="1" applyFont="1" applyFill="1"/>
    <xf numFmtId="2" fontId="0" fillId="2" borderId="0" xfId="0" applyNumberFormat="1" applyFill="1"/>
    <xf numFmtId="221" fontId="0" fillId="2" borderId="0" xfId="0" applyNumberFormat="1" applyFill="1"/>
    <xf numFmtId="164" fontId="0" fillId="0" borderId="0" xfId="5" applyFont="1"/>
    <xf numFmtId="0" fontId="40" fillId="24" borderId="0" xfId="0" applyFont="1" applyFill="1" applyAlignment="1">
      <alignment horizontal="center" vertical="center" wrapText="1"/>
    </xf>
    <xf numFmtId="0" fontId="44" fillId="0" borderId="1" xfId="0" applyFont="1" applyBorder="1" applyAlignment="1">
      <alignment horizontal="center" vertical="center" wrapText="1"/>
    </xf>
    <xf numFmtId="0" fontId="45" fillId="0" borderId="1" xfId="0" applyFont="1" applyBorder="1" applyAlignment="1">
      <alignment horizontal="center" vertical="center" wrapText="1"/>
    </xf>
    <xf numFmtId="0" fontId="0" fillId="7" borderId="0" xfId="0" applyFill="1" applyAlignment="1">
      <alignment horizontal="center"/>
    </xf>
    <xf numFmtId="0" fontId="0" fillId="0" borderId="0" xfId="0" applyAlignment="1">
      <alignment horizontal="center"/>
    </xf>
    <xf numFmtId="0" fontId="8" fillId="21" borderId="0" xfId="0" applyFont="1" applyFill="1" applyAlignment="1">
      <alignment horizontal="left"/>
    </xf>
    <xf numFmtId="0" fontId="30" fillId="25" borderId="0" xfId="0" applyFont="1" applyFill="1" applyAlignment="1">
      <alignment horizontal="center" vertical="center" wrapText="1"/>
    </xf>
    <xf numFmtId="0" fontId="0" fillId="0" borderId="0" xfId="0" applyAlignment="1">
      <alignment horizontal="justify" vertical="justify" wrapText="1"/>
    </xf>
    <xf numFmtId="0" fontId="0" fillId="0" borderId="0" xfId="0" applyAlignment="1">
      <alignment horizontal="left" vertical="justify" wrapText="1"/>
    </xf>
    <xf numFmtId="0" fontId="8" fillId="25" borderId="0" xfId="0" applyFont="1" applyFill="1" applyAlignment="1">
      <alignment horizontal="center"/>
    </xf>
    <xf numFmtId="0" fontId="0" fillId="5" borderId="0" xfId="0" applyFill="1" applyAlignment="1">
      <alignment horizontal="center"/>
    </xf>
    <xf numFmtId="0" fontId="49" fillId="0" borderId="1" xfId="0" applyFont="1" applyBorder="1" applyAlignment="1">
      <alignment horizontal="center" vertical="center" wrapText="1"/>
    </xf>
    <xf numFmtId="0" fontId="46" fillId="0" borderId="1" xfId="0" applyFont="1" applyBorder="1" applyAlignment="1">
      <alignment horizontal="center" vertical="center" wrapText="1"/>
    </xf>
    <xf numFmtId="0" fontId="47" fillId="0" borderId="1" xfId="0" applyFont="1" applyBorder="1" applyAlignment="1">
      <alignment horizontal="center" vertical="center" wrapText="1"/>
    </xf>
    <xf numFmtId="267" fontId="0" fillId="0" borderId="0" xfId="0" applyNumberFormat="1" applyAlignment="1">
      <alignment horizontal="center" vertical="center"/>
    </xf>
    <xf numFmtId="0" fontId="0" fillId="0" borderId="0" xfId="0" applyAlignment="1">
      <alignment horizontal="left"/>
    </xf>
    <xf numFmtId="0" fontId="8" fillId="15" borderId="0" xfId="0" applyFont="1" applyFill="1" applyAlignment="1">
      <alignment horizontal="center"/>
    </xf>
    <xf numFmtId="0" fontId="8" fillId="15" borderId="0" xfId="0" applyFont="1" applyFill="1" applyAlignment="1">
      <alignment horizontal="left"/>
    </xf>
    <xf numFmtId="0" fontId="0" fillId="0" borderId="0" xfId="0" applyAlignment="1">
      <alignment horizontal="center" wrapText="1"/>
    </xf>
    <xf numFmtId="0" fontId="41" fillId="25" borderId="0" xfId="0" applyFont="1" applyFill="1" applyAlignment="1">
      <alignment horizontal="center"/>
    </xf>
    <xf numFmtId="0" fontId="0" fillId="0" borderId="0" xfId="0" applyAlignment="1">
      <alignment horizontal="right"/>
    </xf>
    <xf numFmtId="17" fontId="0" fillId="3" borderId="2" xfId="0" applyNumberFormat="1" applyFill="1" applyBorder="1" applyAlignment="1">
      <alignment horizontal="center"/>
    </xf>
    <xf numFmtId="17" fontId="0" fillId="3" borderId="3" xfId="0" applyNumberFormat="1" applyFill="1" applyBorder="1" applyAlignment="1">
      <alignment horizontal="center"/>
    </xf>
    <xf numFmtId="17" fontId="0" fillId="3" borderId="4" xfId="0" applyNumberFormat="1"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17" fontId="0" fillId="2" borderId="2" xfId="0" applyNumberFormat="1" applyFill="1" applyBorder="1" applyAlignment="1">
      <alignment horizontal="center"/>
    </xf>
    <xf numFmtId="17" fontId="0" fillId="2" borderId="3" xfId="0" applyNumberFormat="1" applyFill="1" applyBorder="1" applyAlignment="1">
      <alignment horizontal="center"/>
    </xf>
    <xf numFmtId="17" fontId="0" fillId="2" borderId="4"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0" borderId="1" xfId="0" applyBorder="1" applyAlignment="1">
      <alignment horizontal="center"/>
    </xf>
    <xf numFmtId="0" fontId="0" fillId="4" borderId="0" xfId="0" applyFill="1" applyAlignment="1">
      <alignment horizontal="center"/>
    </xf>
    <xf numFmtId="0" fontId="0" fillId="0" borderId="1" xfId="0" applyBorder="1" applyAlignment="1">
      <alignment horizont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6" borderId="0" xfId="0" applyFill="1" applyAlignment="1">
      <alignment horizontal="center"/>
    </xf>
    <xf numFmtId="0" fontId="39" fillId="0" borderId="0" xfId="0" applyFont="1" applyAlignment="1">
      <alignment horizontal="center"/>
    </xf>
    <xf numFmtId="0" fontId="8" fillId="25" borderId="0" xfId="0" applyFont="1" applyFill="1" applyAlignment="1">
      <alignment horizontal="left"/>
    </xf>
    <xf numFmtId="0" fontId="8" fillId="13" borderId="0" xfId="0" applyFont="1" applyFill="1" applyAlignment="1">
      <alignment horizontal="center"/>
    </xf>
    <xf numFmtId="41" fontId="0" fillId="0" borderId="1" xfId="1" applyFont="1" applyFill="1" applyBorder="1" applyAlignment="1">
      <alignment horizontal="center"/>
    </xf>
    <xf numFmtId="0" fontId="0" fillId="0" borderId="0" xfId="0" applyAlignment="1">
      <alignment horizontal="center" vertical="center"/>
    </xf>
    <xf numFmtId="0" fontId="40" fillId="2" borderId="0" xfId="0" applyFont="1" applyFill="1" applyAlignment="1">
      <alignment horizontal="center" vertical="center" wrapText="1"/>
    </xf>
    <xf numFmtId="0" fontId="0" fillId="0" borderId="0" xfId="0" applyAlignment="1">
      <alignment horizontal="center" vertical="center" wrapText="1"/>
    </xf>
    <xf numFmtId="172" fontId="0" fillId="20" borderId="17" xfId="0" applyNumberFormat="1" applyFill="1" applyBorder="1" applyAlignment="1">
      <alignment horizontal="center" vertical="center" wrapText="1"/>
    </xf>
    <xf numFmtId="172" fontId="0" fillId="20" borderId="18" xfId="0" applyNumberFormat="1" applyFill="1" applyBorder="1" applyAlignment="1">
      <alignment horizontal="center" vertical="center" wrapText="1"/>
    </xf>
    <xf numFmtId="172" fontId="0" fillId="20" borderId="11" xfId="0" applyNumberFormat="1" applyFill="1" applyBorder="1" applyAlignment="1">
      <alignment horizontal="center" vertical="center" wrapText="1"/>
    </xf>
    <xf numFmtId="2" fontId="8" fillId="15" borderId="1" xfId="0" applyNumberFormat="1" applyFont="1" applyFill="1" applyBorder="1" applyAlignment="1">
      <alignment horizontal="center" vertical="center"/>
    </xf>
    <xf numFmtId="0" fontId="0" fillId="10" borderId="0" xfId="0" applyFill="1" applyAlignment="1">
      <alignment horizontal="center" vertical="center" wrapText="1"/>
    </xf>
    <xf numFmtId="0" fontId="0" fillId="0" borderId="17" xfId="0" applyBorder="1" applyAlignment="1">
      <alignment horizontal="center" vertical="center" wrapText="1"/>
    </xf>
    <xf numFmtId="0" fontId="0" fillId="0" borderId="11" xfId="0" applyBorder="1" applyAlignment="1">
      <alignment horizontal="center" vertical="center" wrapText="1"/>
    </xf>
    <xf numFmtId="0" fontId="0" fillId="0" borderId="18" xfId="0" applyBorder="1" applyAlignment="1">
      <alignment horizontal="center" vertical="center" wrapText="1"/>
    </xf>
    <xf numFmtId="2" fontId="0" fillId="20" borderId="17" xfId="0" applyNumberFormat="1" applyFill="1" applyBorder="1" applyAlignment="1">
      <alignment horizontal="center" vertical="center" wrapText="1"/>
    </xf>
    <xf numFmtId="2" fontId="0" fillId="20" borderId="18" xfId="0" applyNumberFormat="1" applyFill="1" applyBorder="1" applyAlignment="1">
      <alignment horizontal="center" vertical="center" wrapText="1"/>
    </xf>
    <xf numFmtId="2" fontId="0" fillId="20" borderId="11" xfId="0" applyNumberFormat="1" applyFill="1" applyBorder="1" applyAlignment="1">
      <alignment horizontal="center" vertical="center" wrapText="1"/>
    </xf>
    <xf numFmtId="2" fontId="0" fillId="20" borderId="1" xfId="0" applyNumberFormat="1" applyFill="1" applyBorder="1" applyAlignment="1">
      <alignment horizontal="center" vertical="center" wrapText="1"/>
    </xf>
    <xf numFmtId="0" fontId="0" fillId="20" borderId="1" xfId="0" applyFill="1" applyBorder="1" applyAlignment="1">
      <alignment horizontal="center" vertical="center" wrapText="1"/>
    </xf>
    <xf numFmtId="0" fontId="0" fillId="6" borderId="0" xfId="0" applyFill="1" applyAlignment="1">
      <alignment horizontal="center" vertical="center" wrapText="1"/>
    </xf>
    <xf numFmtId="0" fontId="0" fillId="20" borderId="18" xfId="0" applyFill="1" applyBorder="1" applyAlignment="1">
      <alignment horizontal="center" vertical="center" wrapText="1"/>
    </xf>
    <xf numFmtId="0" fontId="0" fillId="20" borderId="11" xfId="0" applyFill="1" applyBorder="1" applyAlignment="1">
      <alignment horizontal="center" vertical="center" wrapText="1"/>
    </xf>
    <xf numFmtId="0" fontId="0" fillId="5" borderId="0" xfId="0" applyFill="1" applyAlignment="1">
      <alignment horizontal="center" vertical="center" wrapText="1"/>
    </xf>
    <xf numFmtId="0" fontId="0" fillId="0" borderId="1" xfId="0" applyBorder="1" applyAlignment="1">
      <alignment horizontal="center" vertical="center"/>
    </xf>
    <xf numFmtId="2" fontId="0" fillId="0" borderId="17" xfId="0" applyNumberFormat="1" applyBorder="1" applyAlignment="1">
      <alignment horizontal="center" vertical="center" wrapText="1"/>
    </xf>
    <xf numFmtId="172" fontId="0" fillId="0" borderId="17" xfId="0" applyNumberFormat="1" applyBorder="1" applyAlignment="1">
      <alignment horizontal="center" vertical="center" wrapText="1"/>
    </xf>
    <xf numFmtId="172" fontId="0" fillId="0" borderId="18" xfId="0" applyNumberFormat="1" applyBorder="1" applyAlignment="1">
      <alignment horizontal="center" vertical="center" wrapText="1"/>
    </xf>
    <xf numFmtId="172" fontId="0" fillId="0" borderId="11" xfId="0" applyNumberFormat="1" applyBorder="1" applyAlignment="1">
      <alignment horizontal="center" vertical="center" wrapText="1"/>
    </xf>
    <xf numFmtId="2" fontId="0" fillId="0" borderId="18" xfId="0" applyNumberFormat="1" applyBorder="1" applyAlignment="1">
      <alignment horizontal="center" vertical="center" wrapText="1"/>
    </xf>
    <xf numFmtId="2" fontId="0" fillId="0" borderId="11" xfId="0" applyNumberFormat="1" applyBorder="1" applyAlignment="1">
      <alignment horizontal="center" vertical="center" wrapText="1"/>
    </xf>
    <xf numFmtId="2" fontId="0" fillId="0" borderId="1" xfId="0" applyNumberFormat="1" applyBorder="1" applyAlignment="1">
      <alignment horizontal="center" vertical="center" wrapText="1"/>
    </xf>
    <xf numFmtId="17" fontId="0" fillId="0" borderId="2" xfId="0" applyNumberFormat="1" applyBorder="1" applyAlignment="1">
      <alignment horizontal="center"/>
    </xf>
    <xf numFmtId="17" fontId="0" fillId="0" borderId="3" xfId="0" applyNumberFormat="1" applyBorder="1" applyAlignment="1">
      <alignment horizontal="center"/>
    </xf>
    <xf numFmtId="17" fontId="0" fillId="0" borderId="4" xfId="0" applyNumberForma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0" fontId="0" fillId="8" borderId="1" xfId="3" applyNumberFormat="1" applyFont="1" applyFill="1" applyBorder="1" applyAlignment="1">
      <alignment horizontal="center" vertical="center"/>
    </xf>
    <xf numFmtId="0" fontId="0" fillId="0" borderId="6" xfId="0" applyBorder="1" applyAlignment="1">
      <alignment horizontal="center" wrapText="1"/>
    </xf>
    <xf numFmtId="10" fontId="0" fillId="10" borderId="1" xfId="0" applyNumberFormat="1" applyFill="1" applyBorder="1" applyAlignment="1">
      <alignment horizontal="center" vertical="center" wrapText="1"/>
    </xf>
    <xf numFmtId="10" fontId="0" fillId="2" borderId="1" xfId="0" applyNumberFormat="1" applyFill="1" applyBorder="1" applyAlignment="1">
      <alignment horizontal="center" vertical="center"/>
    </xf>
    <xf numFmtId="173" fontId="0" fillId="2" borderId="1" xfId="0" applyNumberFormat="1" applyFill="1" applyBorder="1" applyAlignment="1">
      <alignment horizontal="center" vertical="center"/>
    </xf>
    <xf numFmtId="0" fontId="0" fillId="2" borderId="1" xfId="0" applyFill="1" applyBorder="1" applyAlignment="1">
      <alignment horizontal="center" vertical="center"/>
    </xf>
    <xf numFmtId="173" fontId="8" fillId="15" borderId="3" xfId="0" applyNumberFormat="1" applyFont="1" applyFill="1" applyBorder="1" applyAlignment="1">
      <alignment horizontal="center" vertical="center" wrapText="1"/>
    </xf>
    <xf numFmtId="0" fontId="0" fillId="20" borderId="1" xfId="0" applyFill="1" applyBorder="1" applyAlignment="1">
      <alignment horizontal="center" vertical="center"/>
    </xf>
    <xf numFmtId="0" fontId="0" fillId="20" borderId="0" xfId="0" applyFill="1" applyAlignment="1">
      <alignment horizontal="center" vertical="center"/>
    </xf>
    <xf numFmtId="2" fontId="0" fillId="20" borderId="0" xfId="0" applyNumberFormat="1" applyFill="1" applyAlignment="1">
      <alignment horizontal="center" vertical="center"/>
    </xf>
    <xf numFmtId="0" fontId="0" fillId="8" borderId="1" xfId="0" applyFill="1" applyBorder="1" applyAlignment="1">
      <alignment horizontal="center" vertical="center" wrapText="1"/>
    </xf>
    <xf numFmtId="0" fontId="0" fillId="18" borderId="1" xfId="0" applyFill="1" applyBorder="1" applyAlignment="1">
      <alignment horizontal="center" vertical="center" wrapText="1"/>
    </xf>
    <xf numFmtId="171" fontId="0" fillId="5" borderId="0" xfId="0" applyNumberFormat="1" applyFill="1" applyAlignment="1">
      <alignment horizontal="center" vertical="center"/>
    </xf>
    <xf numFmtId="0" fontId="0" fillId="8" borderId="0" xfId="0" applyFill="1" applyAlignment="1">
      <alignment horizontal="center" vertical="center" wrapText="1"/>
    </xf>
    <xf numFmtId="0" fontId="0" fillId="18" borderId="0" xfId="0" applyFill="1" applyAlignment="1">
      <alignment horizontal="center" vertical="center" wrapText="1"/>
    </xf>
    <xf numFmtId="17" fontId="2" fillId="0" borderId="1" xfId="0" applyNumberFormat="1" applyFont="1" applyBorder="1" applyAlignment="1">
      <alignment horizontal="center" vertical="center"/>
    </xf>
    <xf numFmtId="17" fontId="2" fillId="0" borderId="1" xfId="0" applyNumberFormat="1" applyFont="1" applyBorder="1" applyAlignment="1">
      <alignment horizontal="center" vertical="center" wrapText="1"/>
    </xf>
    <xf numFmtId="0" fontId="0" fillId="8" borderId="17" xfId="0" applyFill="1" applyBorder="1" applyAlignment="1">
      <alignment horizontal="center" vertical="center" wrapText="1"/>
    </xf>
    <xf numFmtId="0" fontId="0" fillId="8" borderId="11" xfId="0" applyFill="1" applyBorder="1" applyAlignment="1">
      <alignment horizontal="center" vertical="center" wrapText="1"/>
    </xf>
    <xf numFmtId="2" fontId="0" fillId="8" borderId="1" xfId="0" applyNumberFormat="1" applyFill="1" applyBorder="1" applyAlignment="1">
      <alignment horizontal="center" vertical="center" wrapText="1"/>
    </xf>
    <xf numFmtId="2" fontId="0" fillId="8" borderId="17" xfId="0" applyNumberFormat="1" applyFill="1" applyBorder="1" applyAlignment="1">
      <alignment horizontal="center" vertical="center" wrapText="1"/>
    </xf>
    <xf numFmtId="2" fontId="0" fillId="8" borderId="18" xfId="0" applyNumberFormat="1" applyFill="1" applyBorder="1" applyAlignment="1">
      <alignment horizontal="center" vertical="center" wrapText="1"/>
    </xf>
    <xf numFmtId="2" fontId="0" fillId="8" borderId="11" xfId="0" applyNumberFormat="1" applyFill="1" applyBorder="1" applyAlignment="1">
      <alignment horizontal="center" vertical="center" wrapText="1"/>
    </xf>
    <xf numFmtId="0" fontId="0" fillId="2" borderId="17" xfId="0" applyFill="1" applyBorder="1" applyAlignment="1">
      <alignment horizontal="center" vertical="center" wrapText="1"/>
    </xf>
    <xf numFmtId="0" fontId="0" fillId="2" borderId="11" xfId="0" applyFill="1" applyBorder="1" applyAlignment="1">
      <alignment horizontal="center" vertical="center" wrapText="1"/>
    </xf>
    <xf numFmtId="0" fontId="0" fillId="8" borderId="18" xfId="0" applyFill="1" applyBorder="1" applyAlignment="1">
      <alignment horizontal="center" vertical="center" wrapText="1"/>
    </xf>
    <xf numFmtId="0" fontId="0" fillId="2" borderId="18" xfId="0" applyFill="1" applyBorder="1" applyAlignment="1">
      <alignment horizontal="center" vertical="center" wrapText="1"/>
    </xf>
    <xf numFmtId="2" fontId="0" fillId="2" borderId="17" xfId="0" applyNumberFormat="1" applyFill="1" applyBorder="1" applyAlignment="1">
      <alignment horizontal="center" vertical="center" wrapText="1"/>
    </xf>
    <xf numFmtId="171" fontId="0" fillId="8" borderId="0" xfId="0" applyNumberFormat="1" applyFill="1" applyAlignment="1">
      <alignment horizontal="center" vertical="center" wrapText="1"/>
    </xf>
    <xf numFmtId="171" fontId="0" fillId="18" borderId="0" xfId="0" applyNumberFormat="1" applyFill="1" applyAlignment="1">
      <alignment horizontal="center" vertical="center" wrapText="1"/>
    </xf>
    <xf numFmtId="41" fontId="0" fillId="20" borderId="0" xfId="0" applyNumberFormat="1" applyFill="1" applyAlignment="1">
      <alignment horizontal="center" vertical="center"/>
    </xf>
    <xf numFmtId="41" fontId="0" fillId="5" borderId="0" xfId="0" applyNumberFormat="1" applyFill="1" applyAlignment="1">
      <alignment horizontal="center" vertical="center" wrapText="1"/>
    </xf>
    <xf numFmtId="172" fontId="0" fillId="8" borderId="17" xfId="0" applyNumberFormat="1" applyFill="1" applyBorder="1" applyAlignment="1">
      <alignment horizontal="center" vertical="center" wrapText="1"/>
    </xf>
    <xf numFmtId="172" fontId="0" fillId="8" borderId="18" xfId="0" applyNumberFormat="1" applyFill="1" applyBorder="1" applyAlignment="1">
      <alignment horizontal="center" vertical="center" wrapText="1"/>
    </xf>
    <xf numFmtId="172" fontId="0" fillId="8" borderId="11" xfId="0" applyNumberFormat="1" applyFill="1" applyBorder="1" applyAlignment="1">
      <alignment horizontal="center" vertical="center" wrapText="1"/>
    </xf>
    <xf numFmtId="2" fontId="0" fillId="8" borderId="1" xfId="0" applyNumberFormat="1" applyFill="1" applyBorder="1" applyAlignment="1">
      <alignment horizontal="center" vertical="center"/>
    </xf>
    <xf numFmtId="0" fontId="0" fillId="8" borderId="0" xfId="0" applyFill="1" applyAlignment="1">
      <alignment horizontal="center" vertical="center"/>
    </xf>
    <xf numFmtId="0" fontId="0" fillId="8" borderId="0" xfId="0" applyFill="1" applyAlignment="1">
      <alignment horizontal="center"/>
    </xf>
    <xf numFmtId="2" fontId="8" fillId="28" borderId="1" xfId="0" applyNumberFormat="1" applyFont="1" applyFill="1" applyBorder="1" applyAlignment="1">
      <alignment horizontal="center" vertical="center"/>
    </xf>
    <xf numFmtId="0" fontId="8" fillId="28" borderId="1" xfId="0" applyFont="1" applyFill="1" applyBorder="1" applyAlignment="1">
      <alignment horizontal="center" vertical="center"/>
    </xf>
    <xf numFmtId="172" fontId="0" fillId="2" borderId="17" xfId="0" applyNumberFormat="1" applyFill="1" applyBorder="1" applyAlignment="1">
      <alignment horizontal="center" vertical="center" wrapText="1"/>
    </xf>
    <xf numFmtId="172" fontId="0" fillId="2" borderId="18" xfId="0" applyNumberFormat="1" applyFill="1" applyBorder="1" applyAlignment="1">
      <alignment horizontal="center" vertical="center" wrapText="1"/>
    </xf>
    <xf numFmtId="172" fontId="0" fillId="2" borderId="11" xfId="0" applyNumberFormat="1" applyFill="1" applyBorder="1" applyAlignment="1">
      <alignment horizontal="center" vertical="center" wrapText="1"/>
    </xf>
    <xf numFmtId="2" fontId="0" fillId="2" borderId="1" xfId="0" applyNumberFormat="1" applyFill="1" applyBorder="1" applyAlignment="1">
      <alignment horizontal="center" vertical="center"/>
    </xf>
    <xf numFmtId="43" fontId="0" fillId="2" borderId="1" xfId="0" applyNumberFormat="1" applyFill="1" applyBorder="1" applyAlignment="1">
      <alignment horizontal="center" vertical="center"/>
    </xf>
    <xf numFmtId="10" fontId="8" fillId="28" borderId="1" xfId="0" applyNumberFormat="1" applyFont="1" applyFill="1" applyBorder="1" applyAlignment="1">
      <alignment horizontal="center" vertical="center"/>
    </xf>
    <xf numFmtId="172" fontId="0" fillId="8" borderId="0" xfId="0" applyNumberFormat="1" applyFill="1" applyAlignment="1">
      <alignment horizontal="center" vertical="center"/>
    </xf>
    <xf numFmtId="0" fontId="0" fillId="5" borderId="0" xfId="0" applyFill="1" applyAlignment="1">
      <alignment horizontal="center" vertical="center"/>
    </xf>
    <xf numFmtId="0" fontId="0" fillId="2" borderId="0" xfId="0" applyFill="1" applyAlignment="1">
      <alignment horizontal="center" vertical="center" wrapText="1"/>
    </xf>
    <xf numFmtId="171" fontId="0" fillId="20" borderId="0" xfId="0" applyNumberFormat="1" applyFill="1" applyAlignment="1">
      <alignment horizontal="center" vertical="center"/>
    </xf>
    <xf numFmtId="2" fontId="0" fillId="8" borderId="0" xfId="0" applyNumberFormat="1" applyFill="1" applyAlignment="1">
      <alignment horizontal="center" vertical="center"/>
    </xf>
    <xf numFmtId="172" fontId="0" fillId="2" borderId="0" xfId="0" applyNumberFormat="1" applyFill="1" applyAlignment="1">
      <alignment horizontal="center" vertical="center"/>
    </xf>
    <xf numFmtId="0" fontId="0" fillId="2" borderId="0" xfId="0" applyFill="1" applyAlignment="1">
      <alignment horizontal="center" vertical="center"/>
    </xf>
    <xf numFmtId="0" fontId="0" fillId="14" borderId="0" xfId="0" applyFill="1" applyAlignment="1">
      <alignment horizontal="center" wrapText="1"/>
    </xf>
    <xf numFmtId="0" fontId="0" fillId="3" borderId="0" xfId="0" applyFill="1" applyAlignment="1">
      <alignment horizontal="center"/>
    </xf>
    <xf numFmtId="0" fontId="2" fillId="17" borderId="3" xfId="0" applyFont="1" applyFill="1" applyBorder="1" applyAlignment="1">
      <alignment horizontal="center"/>
    </xf>
    <xf numFmtId="0" fontId="2" fillId="0" borderId="1" xfId="0" applyFont="1" applyBorder="1" applyAlignment="1">
      <alignment horizontal="center"/>
    </xf>
    <xf numFmtId="0" fontId="0" fillId="7" borderId="0" xfId="0" applyFill="1" applyAlignment="1">
      <alignment horizontal="center" vertical="center" wrapText="1"/>
    </xf>
    <xf numFmtId="198" fontId="0" fillId="0" borderId="0" xfId="0" applyNumberFormat="1" applyAlignment="1">
      <alignment horizontal="center" vertical="center" wrapText="1"/>
    </xf>
    <xf numFmtId="199" fontId="0" fillId="23" borderId="0" xfId="0" applyNumberFormat="1" applyFill="1" applyAlignment="1">
      <alignment horizontal="center" vertical="center" wrapText="1"/>
    </xf>
    <xf numFmtId="197" fontId="0" fillId="0" borderId="0" xfId="0" applyNumberFormat="1" applyAlignment="1">
      <alignment horizontal="center" vertical="center" wrapText="1"/>
    </xf>
    <xf numFmtId="0" fontId="0" fillId="0" borderId="1" xfId="0" applyBorder="1" applyAlignment="1">
      <alignment horizontal="left"/>
    </xf>
  </cellXfs>
  <cellStyles count="6">
    <cellStyle name="Hipervínculo" xfId="4" builtinId="8"/>
    <cellStyle name="Millares" xfId="5" builtinId="3"/>
    <cellStyle name="Millares [0]" xfId="1" builtinId="6"/>
    <cellStyle name="Moneda [0]" xfId="2" builtinId="7"/>
    <cellStyle name="Normal" xfId="0" builtinId="0"/>
    <cellStyle name="Porcentaje" xfId="3" builtinId="5"/>
  </cellStyles>
  <dxfs count="3">
    <dxf>
      <font>
        <color theme="0"/>
      </font>
      <fill>
        <patternFill>
          <bgColor rgb="FF00B050"/>
        </patternFill>
      </fill>
    </dxf>
    <dxf>
      <font>
        <color theme="0"/>
      </font>
      <fill>
        <patternFill>
          <bgColor rgb="FF00B050"/>
        </patternFill>
      </fill>
    </dxf>
    <dxf>
      <font>
        <color rgb="FF9C0006"/>
      </font>
      <fill>
        <patternFill>
          <bgColor rgb="FF00B050"/>
        </patternFill>
      </fill>
    </dxf>
  </dxfs>
  <tableStyles count="0" defaultTableStyle="TableStyleMedium2" defaultPivotStyle="PivotStyleLight16"/>
  <colors>
    <mruColors>
      <color rgb="FFEEB500"/>
      <color rgb="FFE8E8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Ex1.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Ex2.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Ex3.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a:t>
            </a:r>
            <a:r>
              <a:rPr lang="es-CL" baseline="0"/>
              <a:t> </a:t>
            </a:r>
            <a:r>
              <a:rPr lang="es-CL"/>
              <a:t>consumo [kWh] año 2022</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Eléctrico'!$F$6:$F$7</c:f>
              <c:strCache>
                <c:ptCount val="2"/>
                <c:pt idx="0">
                  <c:v>Horario Llano (08:00 - 18:00)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'Consumo Eléctrico'!$B$8:$B$19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'Consumo Eléctrico'!$F$8:$F$19</c:f>
              <c:numCache>
                <c:formatCode>_ * #,##0.00_ ;_ * \-#,##0.00_ ;_ * "-"_ ;_ @_ </c:formatCode>
                <c:ptCount val="12"/>
                <c:pt idx="0">
                  <c:v>4980.29</c:v>
                </c:pt>
                <c:pt idx="1">
                  <c:v>6850.63</c:v>
                </c:pt>
                <c:pt idx="2">
                  <c:v>6449.2</c:v>
                </c:pt>
                <c:pt idx="3">
                  <c:v>6612.52</c:v>
                </c:pt>
                <c:pt idx="4">
                  <c:v>7284.73</c:v>
                </c:pt>
                <c:pt idx="5">
                  <c:v>7217.46</c:v>
                </c:pt>
                <c:pt idx="6">
                  <c:v>6847.8</c:v>
                </c:pt>
                <c:pt idx="7">
                  <c:v>6895.23</c:v>
                </c:pt>
                <c:pt idx="8">
                  <c:v>6853.88</c:v>
                </c:pt>
                <c:pt idx="9">
                  <c:v>6495.31</c:v>
                </c:pt>
                <c:pt idx="10">
                  <c:v>6921.53</c:v>
                </c:pt>
                <c:pt idx="11">
                  <c:v>6019.6</c:v>
                </c:pt>
              </c:numCache>
            </c:numRef>
          </c:val>
          <c:smooth val="0"/>
          <c:extLst>
            <c:ext xmlns:c16="http://schemas.microsoft.com/office/drawing/2014/chart" uri="{C3380CC4-5D6E-409C-BE32-E72D297353CC}">
              <c16:uniqueId val="{00000000-5444-442F-9CF0-3EF283B9B718}"/>
            </c:ext>
          </c:extLst>
        </c:ser>
        <c:ser>
          <c:idx val="1"/>
          <c:order val="1"/>
          <c:tx>
            <c:strRef>
              <c:f>'Consumo Eléctrico'!$G$6:$G$7</c:f>
              <c:strCache>
                <c:ptCount val="2"/>
                <c:pt idx="0">
                  <c:v>Horario Punta (18:00 - 22:00)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'Consumo Eléctrico'!$B$8:$B$19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'Consumo Eléctrico'!$G$8:$G$19</c:f>
              <c:numCache>
                <c:formatCode>_ * #,##0.00_ ;_ * \-#,##0.00_ ;_ * "-"_ ;_ @_ </c:formatCode>
                <c:ptCount val="12"/>
                <c:pt idx="0">
                  <c:v>1781.62</c:v>
                </c:pt>
                <c:pt idx="1">
                  <c:v>1401.2</c:v>
                </c:pt>
                <c:pt idx="2">
                  <c:v>1485.63</c:v>
                </c:pt>
                <c:pt idx="3">
                  <c:v>1598.12</c:v>
                </c:pt>
                <c:pt idx="4">
                  <c:v>1650.53</c:v>
                </c:pt>
                <c:pt idx="5">
                  <c:v>1246.3399999999999</c:v>
                </c:pt>
                <c:pt idx="6">
                  <c:v>1287.75</c:v>
                </c:pt>
                <c:pt idx="7">
                  <c:v>1189.23</c:v>
                </c:pt>
                <c:pt idx="8">
                  <c:v>1096.8800000000001</c:v>
                </c:pt>
                <c:pt idx="9">
                  <c:v>1172.6099999999999</c:v>
                </c:pt>
                <c:pt idx="10">
                  <c:v>1262.5</c:v>
                </c:pt>
                <c:pt idx="11">
                  <c:v>1188.77</c:v>
                </c:pt>
              </c:numCache>
            </c:numRef>
          </c:val>
          <c:smooth val="0"/>
          <c:extLst>
            <c:ext xmlns:c16="http://schemas.microsoft.com/office/drawing/2014/chart" uri="{C3380CC4-5D6E-409C-BE32-E72D297353CC}">
              <c16:uniqueId val="{00000001-5444-442F-9CF0-3EF283B9B718}"/>
            </c:ext>
          </c:extLst>
        </c:ser>
        <c:ser>
          <c:idx val="2"/>
          <c:order val="2"/>
          <c:tx>
            <c:strRef>
              <c:f>'Consumo Eléctrico'!$H$6:$H$7</c:f>
              <c:strCache>
                <c:ptCount val="2"/>
                <c:pt idx="0">
                  <c:v>Horario Valle (22:00 - 08:00)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'Consumo Eléctrico'!$B$8:$B$19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'Consumo Eléctrico'!$H$8:$H$19</c:f>
              <c:numCache>
                <c:formatCode>_ * #,##0.00_ ;_ * \-#,##0.00_ ;_ * "-"_ ;_ @_ </c:formatCode>
                <c:ptCount val="12"/>
                <c:pt idx="0">
                  <c:v>1912.92</c:v>
                </c:pt>
                <c:pt idx="1">
                  <c:v>1641.29</c:v>
                </c:pt>
                <c:pt idx="2">
                  <c:v>1754.42</c:v>
                </c:pt>
                <c:pt idx="3">
                  <c:v>1612.92</c:v>
                </c:pt>
                <c:pt idx="4">
                  <c:v>1568.63</c:v>
                </c:pt>
                <c:pt idx="5">
                  <c:v>1467.53</c:v>
                </c:pt>
                <c:pt idx="6">
                  <c:v>1533.18</c:v>
                </c:pt>
                <c:pt idx="7">
                  <c:v>1413.67</c:v>
                </c:pt>
                <c:pt idx="8">
                  <c:v>1334.23</c:v>
                </c:pt>
                <c:pt idx="9">
                  <c:v>1377.64</c:v>
                </c:pt>
                <c:pt idx="10">
                  <c:v>1492.78</c:v>
                </c:pt>
                <c:pt idx="11">
                  <c:v>1369.56</c:v>
                </c:pt>
              </c:numCache>
            </c:numRef>
          </c:val>
          <c:smooth val="0"/>
          <c:extLst>
            <c:ext xmlns:c16="http://schemas.microsoft.com/office/drawing/2014/chart" uri="{C3380CC4-5D6E-409C-BE32-E72D297353CC}">
              <c16:uniqueId val="{00000002-5444-442F-9CF0-3EF283B9B718}"/>
            </c:ext>
          </c:extLst>
        </c:ser>
        <c:dLbls>
          <c:showLegendKey val="0"/>
          <c:showVal val="0"/>
          <c:showCatName val="0"/>
          <c:showSerName val="0"/>
          <c:showPercent val="0"/>
          <c:showBubbleSize val="0"/>
        </c:dLbls>
        <c:marker val="1"/>
        <c:smooth val="0"/>
        <c:axId val="1484451168"/>
        <c:axId val="1484447808"/>
      </c:lineChart>
      <c:dateAx>
        <c:axId val="14844511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47808"/>
        <c:crosses val="autoZero"/>
        <c:auto val="1"/>
        <c:lblOffset val="100"/>
        <c:baseTimeUnit val="months"/>
      </c:dateAx>
      <c:valAx>
        <c:axId val="1484447808"/>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51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a:t>
            </a:r>
            <a:r>
              <a:rPr lang="es-CL" baseline="0"/>
              <a:t> </a:t>
            </a:r>
            <a:r>
              <a:rPr lang="es-CL"/>
              <a:t>consumo [kWh] año 2023</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Eléctrico'!$F$6:$F$7</c:f>
              <c:strCache>
                <c:ptCount val="2"/>
                <c:pt idx="0">
                  <c:v>Horario Llano (08:00 - 18:00)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'Consumo Eléctrico'!$B$20:$B$31</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'Consumo Eléctrico'!$F$20:$F$31</c:f>
              <c:numCache>
                <c:formatCode>_ * #,##0.00_ ;_ * \-#,##0.00_ ;_ * "-"_ ;_ @_ </c:formatCode>
                <c:ptCount val="12"/>
                <c:pt idx="0">
                  <c:v>5203.63</c:v>
                </c:pt>
                <c:pt idx="1">
                  <c:v>6101.92</c:v>
                </c:pt>
                <c:pt idx="2">
                  <c:v>6921.66</c:v>
                </c:pt>
                <c:pt idx="3">
                  <c:v>6607.65</c:v>
                </c:pt>
                <c:pt idx="4">
                  <c:v>8429.52</c:v>
                </c:pt>
                <c:pt idx="5">
                  <c:v>7003.08</c:v>
                </c:pt>
                <c:pt idx="6">
                  <c:v>7119</c:v>
                </c:pt>
                <c:pt idx="7">
                  <c:v>6102.63</c:v>
                </c:pt>
                <c:pt idx="8">
                  <c:v>6502.92</c:v>
                </c:pt>
                <c:pt idx="9">
                  <c:v>6619.25</c:v>
                </c:pt>
                <c:pt idx="10">
                  <c:v>7195.65</c:v>
                </c:pt>
                <c:pt idx="11">
                  <c:v>5795.3</c:v>
                </c:pt>
              </c:numCache>
            </c:numRef>
          </c:val>
          <c:smooth val="0"/>
          <c:extLst>
            <c:ext xmlns:c16="http://schemas.microsoft.com/office/drawing/2014/chart" uri="{C3380CC4-5D6E-409C-BE32-E72D297353CC}">
              <c16:uniqueId val="{00000000-EBBC-4F1C-81FB-8D0B953F7D64}"/>
            </c:ext>
          </c:extLst>
        </c:ser>
        <c:ser>
          <c:idx val="1"/>
          <c:order val="1"/>
          <c:tx>
            <c:strRef>
              <c:f>'Consumo Eléctrico'!$G$6:$G$7</c:f>
              <c:strCache>
                <c:ptCount val="2"/>
                <c:pt idx="0">
                  <c:v>Horario Punta (18:00 - 22:00)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'Consumo Eléctrico'!$B$20:$B$31</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'Consumo Eléctrico'!$G$20:$G$31</c:f>
              <c:numCache>
                <c:formatCode>_ * #,##0.00_ ;_ * \-#,##0.00_ ;_ * "-"_ ;_ @_ </c:formatCode>
                <c:ptCount val="12"/>
                <c:pt idx="0">
                  <c:v>1498.52</c:v>
                </c:pt>
                <c:pt idx="1">
                  <c:v>1278.6400000000001</c:v>
                </c:pt>
                <c:pt idx="2">
                  <c:v>1232.76</c:v>
                </c:pt>
                <c:pt idx="3">
                  <c:v>1458.45</c:v>
                </c:pt>
                <c:pt idx="4">
                  <c:v>1485.98</c:v>
                </c:pt>
                <c:pt idx="5">
                  <c:v>1209.32</c:v>
                </c:pt>
                <c:pt idx="6">
                  <c:v>1338.75</c:v>
                </c:pt>
                <c:pt idx="7">
                  <c:v>1204.8</c:v>
                </c:pt>
                <c:pt idx="8">
                  <c:v>1144.92</c:v>
                </c:pt>
                <c:pt idx="9">
                  <c:v>1085.75</c:v>
                </c:pt>
                <c:pt idx="10">
                  <c:v>1312.5</c:v>
                </c:pt>
                <c:pt idx="11">
                  <c:v>1251.45</c:v>
                </c:pt>
              </c:numCache>
            </c:numRef>
          </c:val>
          <c:smooth val="0"/>
          <c:extLst>
            <c:ext xmlns:c16="http://schemas.microsoft.com/office/drawing/2014/chart" uri="{C3380CC4-5D6E-409C-BE32-E72D297353CC}">
              <c16:uniqueId val="{00000001-EBBC-4F1C-81FB-8D0B953F7D64}"/>
            </c:ext>
          </c:extLst>
        </c:ser>
        <c:ser>
          <c:idx val="2"/>
          <c:order val="2"/>
          <c:tx>
            <c:strRef>
              <c:f>'Consumo Eléctrico'!$H$6:$H$7</c:f>
              <c:strCache>
                <c:ptCount val="2"/>
                <c:pt idx="0">
                  <c:v>Horario Valle (22:00 - 08:00)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'Consumo Eléctrico'!$B$20:$B$31</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'Consumo Eléctrico'!$H$20:$H$31</c:f>
              <c:numCache>
                <c:formatCode>_ * #,##0.00_ ;_ * \-#,##0.00_ ;_ * "-"_ ;_ @_ </c:formatCode>
                <c:ptCount val="12"/>
                <c:pt idx="0">
                  <c:v>1772.85</c:v>
                </c:pt>
                <c:pt idx="1">
                  <c:v>1422.08</c:v>
                </c:pt>
                <c:pt idx="2">
                  <c:v>1478.74</c:v>
                </c:pt>
                <c:pt idx="3">
                  <c:v>1730.4</c:v>
                </c:pt>
                <c:pt idx="4">
                  <c:v>1588.19</c:v>
                </c:pt>
                <c:pt idx="5">
                  <c:v>1423.94</c:v>
                </c:pt>
                <c:pt idx="6">
                  <c:v>1593.9</c:v>
                </c:pt>
                <c:pt idx="7">
                  <c:v>1313.18</c:v>
                </c:pt>
                <c:pt idx="8">
                  <c:v>1365.82</c:v>
                </c:pt>
                <c:pt idx="9">
                  <c:v>1298.9000000000001</c:v>
                </c:pt>
                <c:pt idx="10">
                  <c:v>1551.9</c:v>
                </c:pt>
                <c:pt idx="11">
                  <c:v>1421.5</c:v>
                </c:pt>
              </c:numCache>
            </c:numRef>
          </c:val>
          <c:smooth val="0"/>
          <c:extLst>
            <c:ext xmlns:c16="http://schemas.microsoft.com/office/drawing/2014/chart" uri="{C3380CC4-5D6E-409C-BE32-E72D297353CC}">
              <c16:uniqueId val="{00000002-EBBC-4F1C-81FB-8D0B953F7D64}"/>
            </c:ext>
          </c:extLst>
        </c:ser>
        <c:dLbls>
          <c:showLegendKey val="0"/>
          <c:showVal val="0"/>
          <c:showCatName val="0"/>
          <c:showSerName val="0"/>
          <c:showPercent val="0"/>
          <c:showBubbleSize val="0"/>
        </c:dLbls>
        <c:marker val="1"/>
        <c:smooth val="0"/>
        <c:axId val="1484451168"/>
        <c:axId val="1484447808"/>
      </c:lineChart>
      <c:dateAx>
        <c:axId val="14844511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47808"/>
        <c:crosses val="autoZero"/>
        <c:auto val="1"/>
        <c:lblOffset val="100"/>
        <c:baseTimeUnit val="months"/>
      </c:dateAx>
      <c:valAx>
        <c:axId val="1484447808"/>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51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a:t>
            </a:r>
            <a:r>
              <a:rPr lang="es-CL" baseline="0"/>
              <a:t> </a:t>
            </a:r>
            <a:r>
              <a:rPr lang="es-CL"/>
              <a:t>consumo [kWh] año 2022</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smoothMarker"/>
        <c:varyColors val="0"/>
        <c:ser>
          <c:idx val="3"/>
          <c:order val="0"/>
          <c:tx>
            <c:strRef>
              <c:f>'Consumo Eléctrico'!$I$6:$I$7</c:f>
              <c:strCache>
                <c:ptCount val="2"/>
                <c:pt idx="0">
                  <c:v>Total Consumo [kWh]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xVal>
            <c:numRef>
              <c:f>'Consumo Eléctrico'!$B$8:$B$19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xVal>
          <c:yVal>
            <c:numRef>
              <c:f>'Consumo Eléctrico'!$I$8:$I$19</c:f>
              <c:numCache>
                <c:formatCode>_ * #,##0.00_ ;_ * \-#,##0.00_ ;_ * "-"_ ;_ @_ </c:formatCode>
                <c:ptCount val="12"/>
                <c:pt idx="0">
                  <c:v>8674.83</c:v>
                </c:pt>
                <c:pt idx="1">
                  <c:v>9893.119999999999</c:v>
                </c:pt>
                <c:pt idx="2">
                  <c:v>9689.25</c:v>
                </c:pt>
                <c:pt idx="3">
                  <c:v>9823.56</c:v>
                </c:pt>
                <c:pt idx="4">
                  <c:v>10503.89</c:v>
                </c:pt>
                <c:pt idx="5">
                  <c:v>9931.33</c:v>
                </c:pt>
                <c:pt idx="6">
                  <c:v>9668.73</c:v>
                </c:pt>
                <c:pt idx="7">
                  <c:v>9498.1299999999992</c:v>
                </c:pt>
                <c:pt idx="8">
                  <c:v>9284.99</c:v>
                </c:pt>
                <c:pt idx="9">
                  <c:v>9045.56</c:v>
                </c:pt>
                <c:pt idx="10">
                  <c:v>9676.81</c:v>
                </c:pt>
                <c:pt idx="11">
                  <c:v>8577.93</c:v>
                </c:pt>
              </c:numCache>
            </c:numRef>
          </c:yVal>
          <c:smooth val="1"/>
          <c:extLst>
            <c:ext xmlns:c16="http://schemas.microsoft.com/office/drawing/2014/chart" uri="{C3380CC4-5D6E-409C-BE32-E72D297353CC}">
              <c16:uniqueId val="{00000003-8BB2-42D6-80C5-259608405A63}"/>
            </c:ext>
          </c:extLst>
        </c:ser>
        <c:dLbls>
          <c:showLegendKey val="0"/>
          <c:showVal val="0"/>
          <c:showCatName val="0"/>
          <c:showSerName val="0"/>
          <c:showPercent val="0"/>
          <c:showBubbleSize val="0"/>
        </c:dLbls>
        <c:axId val="1484451168"/>
        <c:axId val="1484447808"/>
      </c:scatterChart>
      <c:valAx>
        <c:axId val="14844511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47808"/>
        <c:crosses val="autoZero"/>
        <c:crossBetween val="midCat"/>
      </c:valAx>
      <c:valAx>
        <c:axId val="1484447808"/>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511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a:t>
            </a:r>
            <a:r>
              <a:rPr lang="es-CL" baseline="0"/>
              <a:t> </a:t>
            </a:r>
            <a:r>
              <a:rPr lang="es-CL"/>
              <a:t>consumo [kWh] año 2023</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smoothMarker"/>
        <c:varyColors val="0"/>
        <c:ser>
          <c:idx val="3"/>
          <c:order val="0"/>
          <c:tx>
            <c:strRef>
              <c:f>'Consumo Eléctrico'!$I$6:$I$7</c:f>
              <c:strCache>
                <c:ptCount val="2"/>
                <c:pt idx="0">
                  <c:v>Total Consumo [kWh]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xVal>
            <c:numRef>
              <c:f>'Consumo Eléctrico'!$B$20:$B$31</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xVal>
          <c:yVal>
            <c:numRef>
              <c:f>'Consumo Eléctrico'!$I$20:$I$31</c:f>
              <c:numCache>
                <c:formatCode>_ * #,##0.00_ ;_ * \-#,##0.00_ ;_ * "-"_ ;_ @_ </c:formatCode>
                <c:ptCount val="12"/>
                <c:pt idx="0">
                  <c:v>8475</c:v>
                </c:pt>
                <c:pt idx="1">
                  <c:v>8802.64</c:v>
                </c:pt>
                <c:pt idx="2">
                  <c:v>9633.16</c:v>
                </c:pt>
                <c:pt idx="3">
                  <c:v>9796.5</c:v>
                </c:pt>
                <c:pt idx="4">
                  <c:v>11503.69</c:v>
                </c:pt>
                <c:pt idx="5">
                  <c:v>9636.34</c:v>
                </c:pt>
                <c:pt idx="6">
                  <c:v>10051.65</c:v>
                </c:pt>
                <c:pt idx="7">
                  <c:v>8620.61</c:v>
                </c:pt>
                <c:pt idx="8">
                  <c:v>9013.66</c:v>
                </c:pt>
                <c:pt idx="9">
                  <c:v>9003.9</c:v>
                </c:pt>
                <c:pt idx="10">
                  <c:v>10060.049999999999</c:v>
                </c:pt>
                <c:pt idx="11">
                  <c:v>8468.25</c:v>
                </c:pt>
              </c:numCache>
            </c:numRef>
          </c:yVal>
          <c:smooth val="1"/>
          <c:extLst>
            <c:ext xmlns:c16="http://schemas.microsoft.com/office/drawing/2014/chart" uri="{C3380CC4-5D6E-409C-BE32-E72D297353CC}">
              <c16:uniqueId val="{00000000-4836-4DE3-AF5B-4F50D673A757}"/>
            </c:ext>
          </c:extLst>
        </c:ser>
        <c:dLbls>
          <c:showLegendKey val="0"/>
          <c:showVal val="0"/>
          <c:showCatName val="0"/>
          <c:showSerName val="0"/>
          <c:showPercent val="0"/>
          <c:showBubbleSize val="0"/>
        </c:dLbls>
        <c:axId val="1484451168"/>
        <c:axId val="1484447808"/>
      </c:scatterChart>
      <c:valAx>
        <c:axId val="14844511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47808"/>
        <c:crosses val="autoZero"/>
        <c:crossBetween val="midCat"/>
      </c:valAx>
      <c:valAx>
        <c:axId val="1484447808"/>
        <c:scaling>
          <c:orientation val="minMax"/>
        </c:scaling>
        <c:delete val="0"/>
        <c:axPos val="l"/>
        <c:majorGridlines>
          <c:spPr>
            <a:ln w="9525" cap="flat" cmpd="sng" algn="ctr">
              <a:solidFill>
                <a:schemeClr val="tx1">
                  <a:lumMod val="15000"/>
                  <a:lumOff val="85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511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a:t>
            </a:r>
            <a:r>
              <a:rPr lang="es-CL" baseline="0"/>
              <a:t> </a:t>
            </a:r>
            <a:r>
              <a:rPr lang="es-CL"/>
              <a:t>consumo [kWh] año 2022</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smoothMarker"/>
        <c:varyColors val="0"/>
        <c:ser>
          <c:idx val="0"/>
          <c:order val="0"/>
          <c:tx>
            <c:strRef>
              <c:f>'Consumo Eléctrico'!$F$6:$F$7</c:f>
              <c:strCache>
                <c:ptCount val="2"/>
                <c:pt idx="0">
                  <c:v>Horario Llano (08:00 - 18:00)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'Consumo Eléctrico'!$B$8:$B$19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xVal>
          <c:yVal>
            <c:numRef>
              <c:f>'Consumo Eléctrico'!$F$8:$F$19</c:f>
              <c:numCache>
                <c:formatCode>_ * #,##0.00_ ;_ * \-#,##0.00_ ;_ * "-"_ ;_ @_ </c:formatCode>
                <c:ptCount val="12"/>
                <c:pt idx="0">
                  <c:v>4980.29</c:v>
                </c:pt>
                <c:pt idx="1">
                  <c:v>6850.63</c:v>
                </c:pt>
                <c:pt idx="2">
                  <c:v>6449.2</c:v>
                </c:pt>
                <c:pt idx="3">
                  <c:v>6612.52</c:v>
                </c:pt>
                <c:pt idx="4">
                  <c:v>7284.73</c:v>
                </c:pt>
                <c:pt idx="5">
                  <c:v>7217.46</c:v>
                </c:pt>
                <c:pt idx="6">
                  <c:v>6847.8</c:v>
                </c:pt>
                <c:pt idx="7">
                  <c:v>6895.23</c:v>
                </c:pt>
                <c:pt idx="8">
                  <c:v>6853.88</c:v>
                </c:pt>
                <c:pt idx="9">
                  <c:v>6495.31</c:v>
                </c:pt>
                <c:pt idx="10">
                  <c:v>6921.53</c:v>
                </c:pt>
                <c:pt idx="11">
                  <c:v>6019.6</c:v>
                </c:pt>
              </c:numCache>
            </c:numRef>
          </c:yVal>
          <c:smooth val="1"/>
          <c:extLst>
            <c:ext xmlns:c16="http://schemas.microsoft.com/office/drawing/2014/chart" uri="{C3380CC4-5D6E-409C-BE32-E72D297353CC}">
              <c16:uniqueId val="{00000000-8AA8-4782-ACF8-6D8E87326645}"/>
            </c:ext>
          </c:extLst>
        </c:ser>
        <c:ser>
          <c:idx val="1"/>
          <c:order val="1"/>
          <c:tx>
            <c:strRef>
              <c:f>'Consumo Eléctrico'!$G$6:$G$7</c:f>
              <c:strCache>
                <c:ptCount val="2"/>
                <c:pt idx="0">
                  <c:v>Horario Punta (18:00 - 22:00)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'Consumo Eléctrico'!$B$8:$B$19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xVal>
          <c:yVal>
            <c:numRef>
              <c:f>'Consumo Eléctrico'!$G$8:$G$19</c:f>
              <c:numCache>
                <c:formatCode>_ * #,##0.00_ ;_ * \-#,##0.00_ ;_ * "-"_ ;_ @_ </c:formatCode>
                <c:ptCount val="12"/>
                <c:pt idx="0">
                  <c:v>1781.62</c:v>
                </c:pt>
                <c:pt idx="1">
                  <c:v>1401.2</c:v>
                </c:pt>
                <c:pt idx="2">
                  <c:v>1485.63</c:v>
                </c:pt>
                <c:pt idx="3">
                  <c:v>1598.12</c:v>
                </c:pt>
                <c:pt idx="4">
                  <c:v>1650.53</c:v>
                </c:pt>
                <c:pt idx="5">
                  <c:v>1246.3399999999999</c:v>
                </c:pt>
                <c:pt idx="6">
                  <c:v>1287.75</c:v>
                </c:pt>
                <c:pt idx="7">
                  <c:v>1189.23</c:v>
                </c:pt>
                <c:pt idx="8">
                  <c:v>1096.8800000000001</c:v>
                </c:pt>
                <c:pt idx="9">
                  <c:v>1172.6099999999999</c:v>
                </c:pt>
                <c:pt idx="10">
                  <c:v>1262.5</c:v>
                </c:pt>
                <c:pt idx="11">
                  <c:v>1188.77</c:v>
                </c:pt>
              </c:numCache>
            </c:numRef>
          </c:yVal>
          <c:smooth val="1"/>
          <c:extLst>
            <c:ext xmlns:c16="http://schemas.microsoft.com/office/drawing/2014/chart" uri="{C3380CC4-5D6E-409C-BE32-E72D297353CC}">
              <c16:uniqueId val="{00000001-8AA8-4782-ACF8-6D8E87326645}"/>
            </c:ext>
          </c:extLst>
        </c:ser>
        <c:ser>
          <c:idx val="2"/>
          <c:order val="2"/>
          <c:tx>
            <c:strRef>
              <c:f>'Consumo Eléctrico'!$H$6:$H$7</c:f>
              <c:strCache>
                <c:ptCount val="2"/>
                <c:pt idx="0">
                  <c:v>Horario Valle (22:00 - 08:00)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xVal>
            <c:numRef>
              <c:f>'Consumo Eléctrico'!$B$8:$B$19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xVal>
          <c:yVal>
            <c:numRef>
              <c:f>'Consumo Eléctrico'!$H$8:$H$19</c:f>
              <c:numCache>
                <c:formatCode>_ * #,##0.00_ ;_ * \-#,##0.00_ ;_ * "-"_ ;_ @_ </c:formatCode>
                <c:ptCount val="12"/>
                <c:pt idx="0">
                  <c:v>1912.92</c:v>
                </c:pt>
                <c:pt idx="1">
                  <c:v>1641.29</c:v>
                </c:pt>
                <c:pt idx="2">
                  <c:v>1754.42</c:v>
                </c:pt>
                <c:pt idx="3">
                  <c:v>1612.92</c:v>
                </c:pt>
                <c:pt idx="4">
                  <c:v>1568.63</c:v>
                </c:pt>
                <c:pt idx="5">
                  <c:v>1467.53</c:v>
                </c:pt>
                <c:pt idx="6">
                  <c:v>1533.18</c:v>
                </c:pt>
                <c:pt idx="7">
                  <c:v>1413.67</c:v>
                </c:pt>
                <c:pt idx="8">
                  <c:v>1334.23</c:v>
                </c:pt>
                <c:pt idx="9">
                  <c:v>1377.64</c:v>
                </c:pt>
                <c:pt idx="10">
                  <c:v>1492.78</c:v>
                </c:pt>
                <c:pt idx="11">
                  <c:v>1369.56</c:v>
                </c:pt>
              </c:numCache>
            </c:numRef>
          </c:yVal>
          <c:smooth val="1"/>
          <c:extLst>
            <c:ext xmlns:c16="http://schemas.microsoft.com/office/drawing/2014/chart" uri="{C3380CC4-5D6E-409C-BE32-E72D297353CC}">
              <c16:uniqueId val="{00000002-8AA8-4782-ACF8-6D8E87326645}"/>
            </c:ext>
          </c:extLst>
        </c:ser>
        <c:dLbls>
          <c:showLegendKey val="0"/>
          <c:showVal val="0"/>
          <c:showCatName val="0"/>
          <c:showSerName val="0"/>
          <c:showPercent val="0"/>
          <c:showBubbleSize val="0"/>
        </c:dLbls>
        <c:axId val="1484451168"/>
        <c:axId val="1484447808"/>
      </c:scatterChart>
      <c:valAx>
        <c:axId val="14844511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47808"/>
        <c:crosses val="autoZero"/>
        <c:crossBetween val="midCat"/>
      </c:valAx>
      <c:valAx>
        <c:axId val="148444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511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a:t>
            </a:r>
            <a:r>
              <a:rPr lang="es-CL" baseline="0"/>
              <a:t> </a:t>
            </a:r>
            <a:r>
              <a:rPr lang="es-CL"/>
              <a:t>consumo [kWh] año 2023</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smoothMarker"/>
        <c:varyColors val="0"/>
        <c:ser>
          <c:idx val="0"/>
          <c:order val="0"/>
          <c:tx>
            <c:strRef>
              <c:f>'Consumo Eléctrico'!$F$6:$F$7</c:f>
              <c:strCache>
                <c:ptCount val="2"/>
                <c:pt idx="0">
                  <c:v>Horario Llano (08:00 - 18:00)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'Consumo Eléctrico'!$B$20:$B$31</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xVal>
          <c:yVal>
            <c:numRef>
              <c:f>'Consumo Eléctrico'!$F$20:$F$31</c:f>
              <c:numCache>
                <c:formatCode>_ * #,##0.00_ ;_ * \-#,##0.00_ ;_ * "-"_ ;_ @_ </c:formatCode>
                <c:ptCount val="12"/>
                <c:pt idx="0">
                  <c:v>5203.63</c:v>
                </c:pt>
                <c:pt idx="1">
                  <c:v>6101.92</c:v>
                </c:pt>
                <c:pt idx="2">
                  <c:v>6921.66</c:v>
                </c:pt>
                <c:pt idx="3">
                  <c:v>6607.65</c:v>
                </c:pt>
                <c:pt idx="4">
                  <c:v>8429.52</c:v>
                </c:pt>
                <c:pt idx="5">
                  <c:v>7003.08</c:v>
                </c:pt>
                <c:pt idx="6">
                  <c:v>7119</c:v>
                </c:pt>
                <c:pt idx="7">
                  <c:v>6102.63</c:v>
                </c:pt>
                <c:pt idx="8">
                  <c:v>6502.92</c:v>
                </c:pt>
                <c:pt idx="9">
                  <c:v>6619.25</c:v>
                </c:pt>
                <c:pt idx="10">
                  <c:v>7195.65</c:v>
                </c:pt>
                <c:pt idx="11">
                  <c:v>5795.3</c:v>
                </c:pt>
              </c:numCache>
            </c:numRef>
          </c:yVal>
          <c:smooth val="1"/>
          <c:extLst>
            <c:ext xmlns:c16="http://schemas.microsoft.com/office/drawing/2014/chart" uri="{C3380CC4-5D6E-409C-BE32-E72D297353CC}">
              <c16:uniqueId val="{00000000-34FD-4A41-B897-3F9FAD00D2A0}"/>
            </c:ext>
          </c:extLst>
        </c:ser>
        <c:ser>
          <c:idx val="1"/>
          <c:order val="1"/>
          <c:tx>
            <c:strRef>
              <c:f>'Consumo Eléctrico'!$G$6:$G$7</c:f>
              <c:strCache>
                <c:ptCount val="2"/>
                <c:pt idx="0">
                  <c:v>Horario Punta (18:00 - 22:00)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'Consumo Eléctrico'!$B$20:$B$31</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xVal>
          <c:yVal>
            <c:numRef>
              <c:f>'Consumo Eléctrico'!$G$20:$G$31</c:f>
              <c:numCache>
                <c:formatCode>_ * #,##0.00_ ;_ * \-#,##0.00_ ;_ * "-"_ ;_ @_ </c:formatCode>
                <c:ptCount val="12"/>
                <c:pt idx="0">
                  <c:v>1498.52</c:v>
                </c:pt>
                <c:pt idx="1">
                  <c:v>1278.6400000000001</c:v>
                </c:pt>
                <c:pt idx="2">
                  <c:v>1232.76</c:v>
                </c:pt>
                <c:pt idx="3">
                  <c:v>1458.45</c:v>
                </c:pt>
                <c:pt idx="4">
                  <c:v>1485.98</c:v>
                </c:pt>
                <c:pt idx="5">
                  <c:v>1209.32</c:v>
                </c:pt>
                <c:pt idx="6">
                  <c:v>1338.75</c:v>
                </c:pt>
                <c:pt idx="7">
                  <c:v>1204.8</c:v>
                </c:pt>
                <c:pt idx="8">
                  <c:v>1144.92</c:v>
                </c:pt>
                <c:pt idx="9">
                  <c:v>1085.75</c:v>
                </c:pt>
                <c:pt idx="10">
                  <c:v>1312.5</c:v>
                </c:pt>
                <c:pt idx="11">
                  <c:v>1251.45</c:v>
                </c:pt>
              </c:numCache>
            </c:numRef>
          </c:yVal>
          <c:smooth val="1"/>
          <c:extLst>
            <c:ext xmlns:c16="http://schemas.microsoft.com/office/drawing/2014/chart" uri="{C3380CC4-5D6E-409C-BE32-E72D297353CC}">
              <c16:uniqueId val="{00000001-34FD-4A41-B897-3F9FAD00D2A0}"/>
            </c:ext>
          </c:extLst>
        </c:ser>
        <c:ser>
          <c:idx val="2"/>
          <c:order val="2"/>
          <c:tx>
            <c:strRef>
              <c:f>'Consumo Eléctrico'!$H$6:$H$7</c:f>
              <c:strCache>
                <c:ptCount val="2"/>
                <c:pt idx="0">
                  <c:v>Horario Valle (22:00 - 08:00)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xVal>
            <c:numRef>
              <c:f>'Consumo Eléctrico'!$B$20:$B$31</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xVal>
          <c:yVal>
            <c:numRef>
              <c:f>'Consumo Eléctrico'!$H$20:$H$31</c:f>
              <c:numCache>
                <c:formatCode>_ * #,##0.00_ ;_ * \-#,##0.00_ ;_ * "-"_ ;_ @_ </c:formatCode>
                <c:ptCount val="12"/>
                <c:pt idx="0">
                  <c:v>1772.85</c:v>
                </c:pt>
                <c:pt idx="1">
                  <c:v>1422.08</c:v>
                </c:pt>
                <c:pt idx="2">
                  <c:v>1478.74</c:v>
                </c:pt>
                <c:pt idx="3">
                  <c:v>1730.4</c:v>
                </c:pt>
                <c:pt idx="4">
                  <c:v>1588.19</c:v>
                </c:pt>
                <c:pt idx="5">
                  <c:v>1423.94</c:v>
                </c:pt>
                <c:pt idx="6">
                  <c:v>1593.9</c:v>
                </c:pt>
                <c:pt idx="7">
                  <c:v>1313.18</c:v>
                </c:pt>
                <c:pt idx="8">
                  <c:v>1365.82</c:v>
                </c:pt>
                <c:pt idx="9">
                  <c:v>1298.9000000000001</c:v>
                </c:pt>
                <c:pt idx="10">
                  <c:v>1551.9</c:v>
                </c:pt>
                <c:pt idx="11">
                  <c:v>1421.5</c:v>
                </c:pt>
              </c:numCache>
            </c:numRef>
          </c:yVal>
          <c:smooth val="1"/>
          <c:extLst>
            <c:ext xmlns:c16="http://schemas.microsoft.com/office/drawing/2014/chart" uri="{C3380CC4-5D6E-409C-BE32-E72D297353CC}">
              <c16:uniqueId val="{00000002-34FD-4A41-B897-3F9FAD00D2A0}"/>
            </c:ext>
          </c:extLst>
        </c:ser>
        <c:dLbls>
          <c:showLegendKey val="0"/>
          <c:showVal val="0"/>
          <c:showCatName val="0"/>
          <c:showSerName val="0"/>
          <c:showPercent val="0"/>
          <c:showBubbleSize val="0"/>
        </c:dLbls>
        <c:axId val="1484451168"/>
        <c:axId val="1484447808"/>
      </c:scatterChart>
      <c:valAx>
        <c:axId val="14844511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47808"/>
        <c:crosses val="autoZero"/>
        <c:crossBetween val="midCat"/>
      </c:valAx>
      <c:valAx>
        <c:axId val="148444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844511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 consumo [kWh] período 2022-2023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Eléctrico'!$F$5:$I$5</c:f>
              <c:strCache>
                <c:ptCount val="1"/>
                <c:pt idx="0">
                  <c:v>CONSUMO [kWh]</c:v>
                </c:pt>
              </c:strCache>
            </c:strRef>
          </c:tx>
          <c:spPr>
            <a:ln w="9525" cap="rnd">
              <a:solidFill>
                <a:schemeClr val="accent1"/>
              </a:solidFill>
              <a:round/>
            </a:ln>
            <a:effectLst/>
          </c:spPr>
          <c:marker>
            <c:symbol val="circle"/>
            <c:size val="5"/>
            <c:spPr>
              <a:solidFill>
                <a:srgbClr val="FF0000"/>
              </a:solidFill>
              <a:ln w="9525">
                <a:solidFill>
                  <a:schemeClr val="accent1"/>
                </a:solidFill>
              </a:ln>
              <a:effectLst/>
            </c:spPr>
          </c:marker>
          <c:cat>
            <c:numRef>
              <c:f>'Consumo Eléctrico'!$B$8:$B$31</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Eléctrico'!$J$8:$J$31</c:f>
              <c:numCache>
                <c:formatCode>_ * #,##0.0_ ;_ * \-#,##0.0_ ;_ * "-"_ ;_ @_ </c:formatCode>
                <c:ptCount val="24"/>
                <c:pt idx="0">
                  <c:v>8.67483</c:v>
                </c:pt>
                <c:pt idx="1">
                  <c:v>9.8931199999999997</c:v>
                </c:pt>
                <c:pt idx="2">
                  <c:v>9.6892499999999995</c:v>
                </c:pt>
                <c:pt idx="3">
                  <c:v>9.8235599999999987</c:v>
                </c:pt>
                <c:pt idx="4">
                  <c:v>10.50389</c:v>
                </c:pt>
                <c:pt idx="5">
                  <c:v>9.9313299999999991</c:v>
                </c:pt>
                <c:pt idx="6">
                  <c:v>9.66873</c:v>
                </c:pt>
                <c:pt idx="7">
                  <c:v>9.4981299999999997</c:v>
                </c:pt>
                <c:pt idx="8">
                  <c:v>9.2849900000000005</c:v>
                </c:pt>
                <c:pt idx="9">
                  <c:v>9.04556</c:v>
                </c:pt>
                <c:pt idx="10">
                  <c:v>9.6768099999999997</c:v>
                </c:pt>
                <c:pt idx="11">
                  <c:v>8.5779300000000003</c:v>
                </c:pt>
                <c:pt idx="12">
                  <c:v>8.4749999999999996</c:v>
                </c:pt>
                <c:pt idx="13">
                  <c:v>8.8026400000000002</c:v>
                </c:pt>
                <c:pt idx="14">
                  <c:v>9.6331600000000002</c:v>
                </c:pt>
                <c:pt idx="15">
                  <c:v>9.7965</c:v>
                </c:pt>
                <c:pt idx="16">
                  <c:v>11.503690000000001</c:v>
                </c:pt>
                <c:pt idx="17">
                  <c:v>9.6363400000000006</c:v>
                </c:pt>
                <c:pt idx="18">
                  <c:v>10.05165</c:v>
                </c:pt>
                <c:pt idx="19">
                  <c:v>8.620610000000001</c:v>
                </c:pt>
                <c:pt idx="20">
                  <c:v>9.0136599999999998</c:v>
                </c:pt>
                <c:pt idx="21">
                  <c:v>9.0038999999999998</c:v>
                </c:pt>
                <c:pt idx="22">
                  <c:v>10.060049999999999</c:v>
                </c:pt>
                <c:pt idx="23">
                  <c:v>8.4682499999999994</c:v>
                </c:pt>
              </c:numCache>
            </c:numRef>
          </c:val>
          <c:smooth val="1"/>
          <c:extLst>
            <c:ext xmlns:c16="http://schemas.microsoft.com/office/drawing/2014/chart" uri="{C3380CC4-5D6E-409C-BE32-E72D297353CC}">
              <c16:uniqueId val="{00000000-A75F-4D85-8C7E-1AEF24B99E3D}"/>
            </c:ext>
          </c:extLst>
        </c:ser>
        <c:dLbls>
          <c:showLegendKey val="0"/>
          <c:showVal val="0"/>
          <c:showCatName val="0"/>
          <c:showSerName val="0"/>
          <c:showPercent val="0"/>
          <c:showBubbleSize val="0"/>
        </c:dLbls>
        <c:marker val="1"/>
        <c:smooth val="0"/>
        <c:axId val="286606656"/>
        <c:axId val="286595136"/>
      </c:lineChart>
      <c:dateAx>
        <c:axId val="286606656"/>
        <c:scaling>
          <c:orientation val="minMax"/>
          <c:max val="45291"/>
        </c:scaling>
        <c:delete val="0"/>
        <c:axPos val="b"/>
        <c:majorGridlines>
          <c:spPr>
            <a:ln w="9525" cap="flat" cmpd="sng" algn="ctr">
              <a:solidFill>
                <a:schemeClr val="tx1">
                  <a:lumMod val="15000"/>
                  <a:lumOff val="85000"/>
                </a:schemeClr>
              </a:solidFill>
              <a:round/>
            </a:ln>
            <a:effectLst/>
          </c:spPr>
        </c:majorGridlines>
        <c:numFmt formatCode="mmm\-yy" sourceLinked="1"/>
        <c:majorTickMark val="cross"/>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86595136"/>
        <c:crosses val="autoZero"/>
        <c:auto val="1"/>
        <c:lblOffset val="100"/>
        <c:baseTimeUnit val="months"/>
        <c:majorUnit val="1"/>
        <c:majorTimeUnit val="months"/>
      </c:dateAx>
      <c:valAx>
        <c:axId val="286595136"/>
        <c:scaling>
          <c:orientation val="minMax"/>
          <c:min val="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[kWh/mes] x 10³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86606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incial sin filtro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inicial sin filtro</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70389148389363265"/>
                  <c:y val="-0.467394014483250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Eléctrico'!$Z$74:$Z$97</c:f>
              <c:numCache>
                <c:formatCode>_ * #,##0.00_ ;_ * \-#,##0.00_ ;_ * "-"_ ;_ @_ </c:formatCode>
                <c:ptCount val="24"/>
                <c:pt idx="0">
                  <c:v>8674.83</c:v>
                </c:pt>
                <c:pt idx="1">
                  <c:v>9893.119999999999</c:v>
                </c:pt>
                <c:pt idx="2">
                  <c:v>9689.25</c:v>
                </c:pt>
                <c:pt idx="3">
                  <c:v>9823.56</c:v>
                </c:pt>
                <c:pt idx="4">
                  <c:v>10503.89</c:v>
                </c:pt>
                <c:pt idx="5">
                  <c:v>9931.33</c:v>
                </c:pt>
                <c:pt idx="6">
                  <c:v>9668.73</c:v>
                </c:pt>
                <c:pt idx="7">
                  <c:v>9498.1299999999992</c:v>
                </c:pt>
                <c:pt idx="8">
                  <c:v>9284.99</c:v>
                </c:pt>
                <c:pt idx="9">
                  <c:v>9045.56</c:v>
                </c:pt>
                <c:pt idx="10">
                  <c:v>9676.81</c:v>
                </c:pt>
                <c:pt idx="11">
                  <c:v>8577.93</c:v>
                </c:pt>
                <c:pt idx="12">
                  <c:v>8475</c:v>
                </c:pt>
                <c:pt idx="13">
                  <c:v>8802.64</c:v>
                </c:pt>
                <c:pt idx="14">
                  <c:v>9633.16</c:v>
                </c:pt>
                <c:pt idx="15">
                  <c:v>9796.5</c:v>
                </c:pt>
                <c:pt idx="16">
                  <c:v>11503.69</c:v>
                </c:pt>
                <c:pt idx="17">
                  <c:v>9636.34</c:v>
                </c:pt>
                <c:pt idx="18">
                  <c:v>10051.65</c:v>
                </c:pt>
                <c:pt idx="19">
                  <c:v>8620.61</c:v>
                </c:pt>
                <c:pt idx="20">
                  <c:v>9013.66</c:v>
                </c:pt>
                <c:pt idx="21">
                  <c:v>9003.9</c:v>
                </c:pt>
                <c:pt idx="22">
                  <c:v>10060.049999999999</c:v>
                </c:pt>
                <c:pt idx="23">
                  <c:v>8468.25</c:v>
                </c:pt>
              </c:numCache>
            </c:numRef>
          </c:yVal>
          <c:smooth val="0"/>
          <c:extLst>
            <c:ext xmlns:c16="http://schemas.microsoft.com/office/drawing/2014/chart" uri="{C3380CC4-5D6E-409C-BE32-E72D297353CC}">
              <c16:uniqueId val="{00000000-A849-45CC-BE70-A7C16E0329EB}"/>
            </c:ext>
          </c:extLst>
        </c:ser>
        <c:dLbls>
          <c:showLegendKey val="0"/>
          <c:showVal val="0"/>
          <c:showCatName val="0"/>
          <c:showSerName val="0"/>
          <c:showPercent val="0"/>
          <c:showBubbleSize val="0"/>
        </c:dLbls>
        <c:axId val="1551365055"/>
        <c:axId val="1551367935"/>
        <c:extLst>
          <c:ext xmlns:c15="http://schemas.microsoft.com/office/drawing/2012/chart" uri="{02D57815-91ED-43cb-92C2-25804820EDAC}">
            <c15:filteredScatterSeries>
              <c15:ser>
                <c:idx val="1"/>
                <c:order val="1"/>
                <c:tx>
                  <c:v>Límite superior</c:v>
                </c:tx>
                <c:spPr>
                  <a:ln w="25400" cap="rnd">
                    <a:no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'Consumo Eléctrico'!$Y$74:$Y$97</c15:sqref>
                        </c15:formulaRef>
                      </c:ext>
                    </c:extLst>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extLst>
                      <c:ext uri="{02D57815-91ED-43cb-92C2-25804820EDAC}">
                        <c15:formulaRef>
                          <c15:sqref>'Consumo Eléctrico'!$AE$74:$AE$97</c15:sqref>
                        </c15:formulaRef>
                      </c:ext>
                    </c:extLst>
                    <c:numCache>
                      <c:formatCode>_ * #,##0.00_ ;_ * \-#,##0.00_ ;_ * "-"_ ;_ @_ </c:formatCode>
                      <c:ptCount val="24"/>
                      <c:pt idx="0">
                        <c:v>9573.8949266978052</c:v>
                      </c:pt>
                      <c:pt idx="1">
                        <c:v>9822.107451388154</c:v>
                      </c:pt>
                      <c:pt idx="2">
                        <c:v>9870.1899889872766</c:v>
                      </c:pt>
                      <c:pt idx="3">
                        <c:v>10732.61497035966</c:v>
                      </c:pt>
                      <c:pt idx="4">
                        <c:v>11342.146902224915</c:v>
                      </c:pt>
                      <c:pt idx="5">
                        <c:v>10636.449895161411</c:v>
                      </c:pt>
                      <c:pt idx="6">
                        <c:v>10538.803838312266</c:v>
                      </c:pt>
                      <c:pt idx="7">
                        <c:v>10652.049568550861</c:v>
                      </c:pt>
                      <c:pt idx="8">
                        <c:v>10000.379358276747</c:v>
                      </c:pt>
                      <c:pt idx="9">
                        <c:v>9937.0918925519582</c:v>
                      </c:pt>
                      <c:pt idx="10">
                        <c:v>10301.846774168738</c:v>
                      </c:pt>
                      <c:pt idx="11">
                        <c:v>9286.8806827539593</c:v>
                      </c:pt>
                      <c:pt idx="12">
                        <c:v>9655.4580906652263</c:v>
                      </c:pt>
                      <c:pt idx="13">
                        <c:v>9868.9502507296056</c:v>
                      </c:pt>
                      <c:pt idx="14">
                        <c:v>9991.0373589946503</c:v>
                      </c:pt>
                      <c:pt idx="15">
                        <c:v>10876.42076154393</c:v>
                      </c:pt>
                      <c:pt idx="16">
                        <c:v>11788.639514972168</c:v>
                      </c:pt>
                      <c:pt idx="17">
                        <c:v>10738.672066247134</c:v>
                      </c:pt>
                      <c:pt idx="18">
                        <c:v>10854.073233849504</c:v>
                      </c:pt>
                      <c:pt idx="19">
                        <c:v>9940.0227158561429</c:v>
                      </c:pt>
                      <c:pt idx="20">
                        <c:v>9657.7477963716228</c:v>
                      </c:pt>
                      <c:pt idx="21">
                        <c:v>9553.703569072979</c:v>
                      </c:pt>
                      <c:pt idx="22">
                        <c:v>10573.172137788817</c:v>
                      </c:pt>
                      <c:pt idx="23">
                        <c:v>9459.459282197713</c:v>
                      </c:pt>
                    </c:numCache>
                  </c:numRef>
                </c:yVal>
                <c:smooth val="0"/>
                <c:extLst>
                  <c:ext xmlns:c16="http://schemas.microsoft.com/office/drawing/2014/chart" uri="{C3380CC4-5D6E-409C-BE32-E72D297353CC}">
                    <c16:uniqueId val="{00000003-A849-45CC-BE70-A7C16E0329EB}"/>
                  </c:ext>
                </c:extLst>
              </c15:ser>
            </c15:filteredScatterSeries>
            <c15:filteredScatterSeries>
              <c15:ser>
                <c:idx val="2"/>
                <c:order val="2"/>
                <c:tx>
                  <c:v>Límite inferior</c:v>
                </c:tx>
                <c:spPr>
                  <a:ln w="254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'Consumo Eléctrico'!$Y$74:$Y$97</c15:sqref>
                        </c15:formulaRef>
                      </c:ext>
                    </c:extLst>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extLst xmlns:c15="http://schemas.microsoft.com/office/drawing/2012/chart">
                      <c:ext xmlns:c15="http://schemas.microsoft.com/office/drawing/2012/chart" uri="{02D57815-91ED-43cb-92C2-25804820EDAC}">
                        <c15:formulaRef>
                          <c15:sqref>'Consumo Eléctrico'!$AF$74:$AF$97</c15:sqref>
                        </c15:formulaRef>
                      </c:ext>
                    </c:extLst>
                    <c:numCache>
                      <c:formatCode>_(* #,##0.00_);_(* \(#,##0.00\);_(* "-"??_);_(@_)</c:formatCode>
                      <c:ptCount val="24"/>
                      <c:pt idx="0">
                        <c:v>8047.3755077208689</c:v>
                      </c:pt>
                      <c:pt idx="1">
                        <c:v>8295.588032411215</c:v>
                      </c:pt>
                      <c:pt idx="2">
                        <c:v>8343.6705700103412</c:v>
                      </c:pt>
                      <c:pt idx="3">
                        <c:v>9206.0955513827248</c:v>
                      </c:pt>
                      <c:pt idx="4">
                        <c:v>9815.6274832479758</c:v>
                      </c:pt>
                      <c:pt idx="5">
                        <c:v>9109.930476184476</c:v>
                      </c:pt>
                      <c:pt idx="6">
                        <c:v>9012.2844193353303</c:v>
                      </c:pt>
                      <c:pt idx="7">
                        <c:v>9125.5301495739259</c:v>
                      </c:pt>
                      <c:pt idx="8">
                        <c:v>8473.8599392998112</c:v>
                      </c:pt>
                      <c:pt idx="9">
                        <c:v>8410.5724735750191</c:v>
                      </c:pt>
                      <c:pt idx="10">
                        <c:v>8775.3273551918028</c:v>
                      </c:pt>
                      <c:pt idx="11">
                        <c:v>7760.3612637770211</c:v>
                      </c:pt>
                      <c:pt idx="12">
                        <c:v>8128.9386716882882</c:v>
                      </c:pt>
                      <c:pt idx="13">
                        <c:v>8342.4308317526702</c:v>
                      </c:pt>
                      <c:pt idx="14">
                        <c:v>8464.5179400177149</c:v>
                      </c:pt>
                      <c:pt idx="15">
                        <c:v>9349.9013425669909</c:v>
                      </c:pt>
                      <c:pt idx="16">
                        <c:v>10262.120095995233</c:v>
                      </c:pt>
                      <c:pt idx="17">
                        <c:v>9212.1526472701953</c:v>
                      </c:pt>
                      <c:pt idx="18">
                        <c:v>9327.5538148725645</c:v>
                      </c:pt>
                      <c:pt idx="19">
                        <c:v>8413.5032968792075</c:v>
                      </c:pt>
                      <c:pt idx="20">
                        <c:v>8131.2283773946847</c:v>
                      </c:pt>
                      <c:pt idx="21">
                        <c:v>8027.1841500960409</c:v>
                      </c:pt>
                      <c:pt idx="22">
                        <c:v>9046.6527188118816</c:v>
                      </c:pt>
                      <c:pt idx="23">
                        <c:v>7932.9398632207749</c:v>
                      </c:pt>
                    </c:numCache>
                  </c:numRef>
                </c:yVal>
                <c:smooth val="0"/>
                <c:extLst xmlns:c15="http://schemas.microsoft.com/office/drawing/2012/chart">
                  <c:ext xmlns:c16="http://schemas.microsoft.com/office/drawing/2014/chart" uri="{C3380CC4-5D6E-409C-BE32-E72D297353CC}">
                    <c16:uniqueId val="{00000004-A849-45CC-BE70-A7C16E0329EB}"/>
                  </c:ext>
                </c:extLst>
              </c15:ser>
            </c15:filteredScatterSeries>
          </c:ext>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m</a:t>
                </a:r>
                <a:r>
                  <a:rPr lang="es-CL">
                    <a:latin typeface="Aptos Narrow" panose="020B0004020202020204" pitchFamily="34" charset="0"/>
                  </a:rPr>
                  <a:t>³</a:t>
                </a:r>
                <a:r>
                  <a:rPr lang="es-CL"/>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in val="6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0_ ;_ * \-#,##0.00_ ;_ * &quot;-&quot;_ ;_ @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filtrado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filtrado</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0990704058415925"/>
                  <c:y val="-0.226111071703147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Eléctrico'!$Y$106:$Y$128</c:f>
              <c:numCache>
                <c:formatCode>0.00</c:formatCode>
                <c:ptCount val="23"/>
                <c:pt idx="0">
                  <c:v>72.344580000000008</c:v>
                </c:pt>
                <c:pt idx="1">
                  <c:v>104.69536000000001</c:v>
                </c:pt>
                <c:pt idx="2">
                  <c:v>198.85866000000001</c:v>
                </c:pt>
                <c:pt idx="3">
                  <c:v>265.41000000000003</c:v>
                </c:pt>
                <c:pt idx="4">
                  <c:v>188.35893999999999</c:v>
                </c:pt>
                <c:pt idx="5">
                  <c:v>177.69752000000003</c:v>
                </c:pt>
                <c:pt idx="6">
                  <c:v>190.06218000000001</c:v>
                </c:pt>
                <c:pt idx="7">
                  <c:v>118.91</c:v>
                </c:pt>
                <c:pt idx="8">
                  <c:v>112</c:v>
                </c:pt>
                <c:pt idx="9">
                  <c:v>151.82552000000001</c:v>
                </c:pt>
                <c:pt idx="10">
                  <c:v>41.00712</c:v>
                </c:pt>
                <c:pt idx="11">
                  <c:v>81.25</c:v>
                </c:pt>
                <c:pt idx="12">
                  <c:v>104.56</c:v>
                </c:pt>
                <c:pt idx="13">
                  <c:v>117.89</c:v>
                </c:pt>
                <c:pt idx="14">
                  <c:v>214.56</c:v>
                </c:pt>
                <c:pt idx="15">
                  <c:v>314.16000000000003</c:v>
                </c:pt>
                <c:pt idx="16">
                  <c:v>199.52</c:v>
                </c:pt>
                <c:pt idx="17">
                  <c:v>212.12</c:v>
                </c:pt>
                <c:pt idx="18">
                  <c:v>112.32</c:v>
                </c:pt>
                <c:pt idx="19">
                  <c:v>81.5</c:v>
                </c:pt>
                <c:pt idx="20">
                  <c:v>70.14</c:v>
                </c:pt>
                <c:pt idx="21">
                  <c:v>181.45</c:v>
                </c:pt>
                <c:pt idx="22">
                  <c:v>59.85</c:v>
                </c:pt>
              </c:numCache>
            </c:numRef>
          </c:xVal>
          <c:yVal>
            <c:numRef>
              <c:f>'Consumo Eléctrico'!$Z$106:$Z$128</c:f>
              <c:numCache>
                <c:formatCode>0.00</c:formatCode>
                <c:ptCount val="23"/>
                <c:pt idx="0">
                  <c:v>8674.83</c:v>
                </c:pt>
                <c:pt idx="1">
                  <c:v>9689.25</c:v>
                </c:pt>
                <c:pt idx="2">
                  <c:v>9823.56</c:v>
                </c:pt>
                <c:pt idx="3">
                  <c:v>10503.89</c:v>
                </c:pt>
                <c:pt idx="4">
                  <c:v>9931.33</c:v>
                </c:pt>
                <c:pt idx="5">
                  <c:v>9668.73</c:v>
                </c:pt>
                <c:pt idx="6">
                  <c:v>9498.1299999999992</c:v>
                </c:pt>
                <c:pt idx="7">
                  <c:v>9284.99</c:v>
                </c:pt>
                <c:pt idx="8">
                  <c:v>9045.56</c:v>
                </c:pt>
                <c:pt idx="9">
                  <c:v>9676.81</c:v>
                </c:pt>
                <c:pt idx="10">
                  <c:v>8577.93</c:v>
                </c:pt>
                <c:pt idx="11">
                  <c:v>8475</c:v>
                </c:pt>
                <c:pt idx="12">
                  <c:v>8802.64</c:v>
                </c:pt>
                <c:pt idx="13">
                  <c:v>9633.16</c:v>
                </c:pt>
                <c:pt idx="14">
                  <c:v>9796.5</c:v>
                </c:pt>
                <c:pt idx="15">
                  <c:v>11503.69</c:v>
                </c:pt>
                <c:pt idx="16">
                  <c:v>9636.34</c:v>
                </c:pt>
                <c:pt idx="17">
                  <c:v>10051.65</c:v>
                </c:pt>
                <c:pt idx="18">
                  <c:v>8620.61</c:v>
                </c:pt>
                <c:pt idx="19">
                  <c:v>9013.66</c:v>
                </c:pt>
                <c:pt idx="20">
                  <c:v>9003.9</c:v>
                </c:pt>
                <c:pt idx="21">
                  <c:v>10060.049999999999</c:v>
                </c:pt>
                <c:pt idx="22">
                  <c:v>8468.25</c:v>
                </c:pt>
              </c:numCache>
            </c:numRef>
          </c:yVal>
          <c:smooth val="0"/>
          <c:extLst>
            <c:ext xmlns:c16="http://schemas.microsoft.com/office/drawing/2014/chart" uri="{C3380CC4-5D6E-409C-BE32-E72D297353CC}">
              <c16:uniqueId val="{00000001-0631-48E7-9279-02D1DE6EF660}"/>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in val="8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Meta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Meta</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6.1598405308135915E-2"/>
                  <c:y val="-0.158512103974198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Eléctrico'!$Y$450:$Y$462</c:f>
              <c:numCache>
                <c:formatCode>_ * #,##0.00_ ;_ * \-#,##0.00_ ;_ * "-"_ ;_ @_ </c:formatCode>
                <c:ptCount val="13"/>
                <c:pt idx="0">
                  <c:v>72.344580000000008</c:v>
                </c:pt>
                <c:pt idx="1">
                  <c:v>198.85866000000001</c:v>
                </c:pt>
                <c:pt idx="2">
                  <c:v>265.41000000000003</c:v>
                </c:pt>
                <c:pt idx="3">
                  <c:v>177.69752000000003</c:v>
                </c:pt>
                <c:pt idx="4">
                  <c:v>190.06218000000001</c:v>
                </c:pt>
                <c:pt idx="5">
                  <c:v>112</c:v>
                </c:pt>
                <c:pt idx="6">
                  <c:v>81.25</c:v>
                </c:pt>
                <c:pt idx="7">
                  <c:v>104.56</c:v>
                </c:pt>
                <c:pt idx="8">
                  <c:v>214.56</c:v>
                </c:pt>
                <c:pt idx="9">
                  <c:v>199.52</c:v>
                </c:pt>
                <c:pt idx="10">
                  <c:v>212.12</c:v>
                </c:pt>
                <c:pt idx="11">
                  <c:v>112.32</c:v>
                </c:pt>
                <c:pt idx="12">
                  <c:v>59.85</c:v>
                </c:pt>
              </c:numCache>
            </c:numRef>
          </c:xVal>
          <c:yVal>
            <c:numRef>
              <c:f>'Consumo Eléctrico'!$Z$450:$Z$462</c:f>
              <c:numCache>
                <c:formatCode>_ * #,##0.00_ ;_ * \-#,##0.00_ ;_ * "-"_ ;_ @_ </c:formatCode>
                <c:ptCount val="13"/>
                <c:pt idx="0">
                  <c:v>8674.83</c:v>
                </c:pt>
                <c:pt idx="1">
                  <c:v>9823.56</c:v>
                </c:pt>
                <c:pt idx="2">
                  <c:v>10503.89</c:v>
                </c:pt>
                <c:pt idx="3">
                  <c:v>9668.73</c:v>
                </c:pt>
                <c:pt idx="4">
                  <c:v>9498.1299999999992</c:v>
                </c:pt>
                <c:pt idx="5">
                  <c:v>9045.56</c:v>
                </c:pt>
                <c:pt idx="6">
                  <c:v>8475</c:v>
                </c:pt>
                <c:pt idx="7">
                  <c:v>8802.64</c:v>
                </c:pt>
                <c:pt idx="8">
                  <c:v>9796.5</c:v>
                </c:pt>
                <c:pt idx="9">
                  <c:v>9636.34</c:v>
                </c:pt>
                <c:pt idx="10">
                  <c:v>10051.65</c:v>
                </c:pt>
                <c:pt idx="11">
                  <c:v>8620.61</c:v>
                </c:pt>
                <c:pt idx="12">
                  <c:v>8468.25</c:v>
                </c:pt>
              </c:numCache>
            </c:numRef>
          </c:yVal>
          <c:smooth val="0"/>
          <c:extLst>
            <c:ext xmlns:c16="http://schemas.microsoft.com/office/drawing/2014/chart" uri="{C3380CC4-5D6E-409C-BE32-E72D297353CC}">
              <c16:uniqueId val="{00000001-CF26-4095-B671-168DF91AFB7B}"/>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0_ ;_ * \-#,##0.00_ ;_ * &quot;-&quot;_ ;_ @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in val="7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LB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LB</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5.1734228228460574E-3"/>
                  <c:y val="-0.256924759405074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Eléctrico'!$Y$289:$Y$311</c:f>
              <c:numCache>
                <c:formatCode>0.00</c:formatCode>
                <c:ptCount val="23"/>
                <c:pt idx="0">
                  <c:v>72.344580000000008</c:v>
                </c:pt>
                <c:pt idx="1">
                  <c:v>104.69536000000001</c:v>
                </c:pt>
                <c:pt idx="2">
                  <c:v>198.85866000000001</c:v>
                </c:pt>
                <c:pt idx="3">
                  <c:v>265.41000000000003</c:v>
                </c:pt>
                <c:pt idx="4">
                  <c:v>188.35893999999999</c:v>
                </c:pt>
                <c:pt idx="5">
                  <c:v>177.69752000000003</c:v>
                </c:pt>
                <c:pt idx="6">
                  <c:v>190.06218000000001</c:v>
                </c:pt>
                <c:pt idx="7">
                  <c:v>118.91</c:v>
                </c:pt>
                <c:pt idx="8">
                  <c:v>112</c:v>
                </c:pt>
                <c:pt idx="9">
                  <c:v>151.82552000000001</c:v>
                </c:pt>
                <c:pt idx="10">
                  <c:v>41.00712</c:v>
                </c:pt>
                <c:pt idx="11">
                  <c:v>81.25</c:v>
                </c:pt>
                <c:pt idx="12">
                  <c:v>104.56</c:v>
                </c:pt>
                <c:pt idx="13">
                  <c:v>117.89</c:v>
                </c:pt>
                <c:pt idx="14">
                  <c:v>214.56</c:v>
                </c:pt>
                <c:pt idx="15">
                  <c:v>314.16000000000003</c:v>
                </c:pt>
                <c:pt idx="16">
                  <c:v>199.52</c:v>
                </c:pt>
                <c:pt idx="17">
                  <c:v>212.12</c:v>
                </c:pt>
                <c:pt idx="18">
                  <c:v>112.32</c:v>
                </c:pt>
                <c:pt idx="19">
                  <c:v>81.5</c:v>
                </c:pt>
                <c:pt idx="20">
                  <c:v>70.14</c:v>
                </c:pt>
                <c:pt idx="21">
                  <c:v>181.45</c:v>
                </c:pt>
                <c:pt idx="22">
                  <c:v>59.85</c:v>
                </c:pt>
              </c:numCache>
            </c:numRef>
          </c:xVal>
          <c:yVal>
            <c:numRef>
              <c:f>'Consumo Eléctrico'!$Z$289:$Z$311</c:f>
              <c:numCache>
                <c:formatCode>0.00</c:formatCode>
                <c:ptCount val="23"/>
                <c:pt idx="0">
                  <c:v>8674.83</c:v>
                </c:pt>
                <c:pt idx="1">
                  <c:v>9689.25</c:v>
                </c:pt>
                <c:pt idx="2">
                  <c:v>9823.56</c:v>
                </c:pt>
                <c:pt idx="3">
                  <c:v>10503.89</c:v>
                </c:pt>
                <c:pt idx="4">
                  <c:v>9931.33</c:v>
                </c:pt>
                <c:pt idx="5">
                  <c:v>9668.73</c:v>
                </c:pt>
                <c:pt idx="6">
                  <c:v>9498.1299999999992</c:v>
                </c:pt>
                <c:pt idx="7">
                  <c:v>9284.99</c:v>
                </c:pt>
                <c:pt idx="8">
                  <c:v>9045.56</c:v>
                </c:pt>
                <c:pt idx="9">
                  <c:v>9676.81</c:v>
                </c:pt>
                <c:pt idx="10">
                  <c:v>8577.93</c:v>
                </c:pt>
                <c:pt idx="11">
                  <c:v>8475</c:v>
                </c:pt>
                <c:pt idx="12">
                  <c:v>8802.64</c:v>
                </c:pt>
                <c:pt idx="13">
                  <c:v>9633.16</c:v>
                </c:pt>
                <c:pt idx="14">
                  <c:v>9796.5</c:v>
                </c:pt>
                <c:pt idx="15">
                  <c:v>11503.69</c:v>
                </c:pt>
                <c:pt idx="16">
                  <c:v>9636.34</c:v>
                </c:pt>
                <c:pt idx="17">
                  <c:v>10051.65</c:v>
                </c:pt>
                <c:pt idx="18">
                  <c:v>8620.61</c:v>
                </c:pt>
                <c:pt idx="19">
                  <c:v>9013.66</c:v>
                </c:pt>
                <c:pt idx="20">
                  <c:v>9003.9</c:v>
                </c:pt>
                <c:pt idx="21">
                  <c:v>10060.049999999999</c:v>
                </c:pt>
                <c:pt idx="22">
                  <c:v>8468.25</c:v>
                </c:pt>
              </c:numCache>
            </c:numRef>
          </c:yVal>
          <c:smooth val="0"/>
          <c:extLst>
            <c:ext xmlns:c16="http://schemas.microsoft.com/office/drawing/2014/chart" uri="{C3380CC4-5D6E-409C-BE32-E72D297353CC}">
              <c16:uniqueId val="{00000001-0079-4109-8F3E-80BAAF3F6B68}"/>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in val="6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LBEn vs Modelo LBEn Meta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LB</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3604392478480283"/>
                  <c:y val="1.045117919005835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Eléctrico'!$Y$289:$Y$311</c:f>
              <c:numCache>
                <c:formatCode>0.00</c:formatCode>
                <c:ptCount val="23"/>
                <c:pt idx="0">
                  <c:v>72.344580000000008</c:v>
                </c:pt>
                <c:pt idx="1">
                  <c:v>104.69536000000001</c:v>
                </c:pt>
                <c:pt idx="2">
                  <c:v>198.85866000000001</c:v>
                </c:pt>
                <c:pt idx="3">
                  <c:v>265.41000000000003</c:v>
                </c:pt>
                <c:pt idx="4">
                  <c:v>188.35893999999999</c:v>
                </c:pt>
                <c:pt idx="5">
                  <c:v>177.69752000000003</c:v>
                </c:pt>
                <c:pt idx="6">
                  <c:v>190.06218000000001</c:v>
                </c:pt>
                <c:pt idx="7">
                  <c:v>118.91</c:v>
                </c:pt>
                <c:pt idx="8">
                  <c:v>112</c:v>
                </c:pt>
                <c:pt idx="9">
                  <c:v>151.82552000000001</c:v>
                </c:pt>
                <c:pt idx="10">
                  <c:v>41.00712</c:v>
                </c:pt>
                <c:pt idx="11">
                  <c:v>81.25</c:v>
                </c:pt>
                <c:pt idx="12">
                  <c:v>104.56</c:v>
                </c:pt>
                <c:pt idx="13">
                  <c:v>117.89</c:v>
                </c:pt>
                <c:pt idx="14">
                  <c:v>214.56</c:v>
                </c:pt>
                <c:pt idx="15">
                  <c:v>314.16000000000003</c:v>
                </c:pt>
                <c:pt idx="16">
                  <c:v>199.52</c:v>
                </c:pt>
                <c:pt idx="17">
                  <c:v>212.12</c:v>
                </c:pt>
                <c:pt idx="18">
                  <c:v>112.32</c:v>
                </c:pt>
                <c:pt idx="19">
                  <c:v>81.5</c:v>
                </c:pt>
                <c:pt idx="20">
                  <c:v>70.14</c:v>
                </c:pt>
                <c:pt idx="21">
                  <c:v>181.45</c:v>
                </c:pt>
                <c:pt idx="22">
                  <c:v>59.85</c:v>
                </c:pt>
              </c:numCache>
            </c:numRef>
          </c:xVal>
          <c:yVal>
            <c:numRef>
              <c:f>'Consumo Eléctrico'!$Z$289:$Z$311</c:f>
              <c:numCache>
                <c:formatCode>0.00</c:formatCode>
                <c:ptCount val="23"/>
                <c:pt idx="0">
                  <c:v>8674.83</c:v>
                </c:pt>
                <c:pt idx="1">
                  <c:v>9689.25</c:v>
                </c:pt>
                <c:pt idx="2">
                  <c:v>9823.56</c:v>
                </c:pt>
                <c:pt idx="3">
                  <c:v>10503.89</c:v>
                </c:pt>
                <c:pt idx="4">
                  <c:v>9931.33</c:v>
                </c:pt>
                <c:pt idx="5">
                  <c:v>9668.73</c:v>
                </c:pt>
                <c:pt idx="6">
                  <c:v>9498.1299999999992</c:v>
                </c:pt>
                <c:pt idx="7">
                  <c:v>9284.99</c:v>
                </c:pt>
                <c:pt idx="8">
                  <c:v>9045.56</c:v>
                </c:pt>
                <c:pt idx="9">
                  <c:v>9676.81</c:v>
                </c:pt>
                <c:pt idx="10">
                  <c:v>8577.93</c:v>
                </c:pt>
                <c:pt idx="11">
                  <c:v>8475</c:v>
                </c:pt>
                <c:pt idx="12">
                  <c:v>8802.64</c:v>
                </c:pt>
                <c:pt idx="13">
                  <c:v>9633.16</c:v>
                </c:pt>
                <c:pt idx="14">
                  <c:v>9796.5</c:v>
                </c:pt>
                <c:pt idx="15">
                  <c:v>11503.69</c:v>
                </c:pt>
                <c:pt idx="16">
                  <c:v>9636.34</c:v>
                </c:pt>
                <c:pt idx="17">
                  <c:v>10051.65</c:v>
                </c:pt>
                <c:pt idx="18">
                  <c:v>8620.61</c:v>
                </c:pt>
                <c:pt idx="19">
                  <c:v>9013.66</c:v>
                </c:pt>
                <c:pt idx="20">
                  <c:v>9003.9</c:v>
                </c:pt>
                <c:pt idx="21">
                  <c:v>10060.049999999999</c:v>
                </c:pt>
                <c:pt idx="22">
                  <c:v>8468.25</c:v>
                </c:pt>
              </c:numCache>
            </c:numRef>
          </c:yVal>
          <c:smooth val="0"/>
          <c:extLst>
            <c:ext xmlns:c16="http://schemas.microsoft.com/office/drawing/2014/chart" uri="{C3380CC4-5D6E-409C-BE32-E72D297353CC}">
              <c16:uniqueId val="{00000001-7233-4120-A99C-E7A061C361CE}"/>
            </c:ext>
          </c:extLst>
        </c:ser>
        <c:ser>
          <c:idx val="1"/>
          <c:order val="1"/>
          <c:tx>
            <c:v>Modelo Meta</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9268340776889133E-3"/>
                  <c:y val="0.2726285265695291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Eléctrico'!$Y$450:$Y$462</c:f>
              <c:numCache>
                <c:formatCode>_ * #,##0.00_ ;_ * \-#,##0.00_ ;_ * "-"_ ;_ @_ </c:formatCode>
                <c:ptCount val="13"/>
                <c:pt idx="0">
                  <c:v>72.344580000000008</c:v>
                </c:pt>
                <c:pt idx="1">
                  <c:v>198.85866000000001</c:v>
                </c:pt>
                <c:pt idx="2">
                  <c:v>265.41000000000003</c:v>
                </c:pt>
                <c:pt idx="3">
                  <c:v>177.69752000000003</c:v>
                </c:pt>
                <c:pt idx="4">
                  <c:v>190.06218000000001</c:v>
                </c:pt>
                <c:pt idx="5">
                  <c:v>112</c:v>
                </c:pt>
                <c:pt idx="6">
                  <c:v>81.25</c:v>
                </c:pt>
                <c:pt idx="7">
                  <c:v>104.56</c:v>
                </c:pt>
                <c:pt idx="8">
                  <c:v>214.56</c:v>
                </c:pt>
                <c:pt idx="9">
                  <c:v>199.52</c:v>
                </c:pt>
                <c:pt idx="10">
                  <c:v>212.12</c:v>
                </c:pt>
                <c:pt idx="11">
                  <c:v>112.32</c:v>
                </c:pt>
                <c:pt idx="12">
                  <c:v>59.85</c:v>
                </c:pt>
              </c:numCache>
            </c:numRef>
          </c:xVal>
          <c:yVal>
            <c:numRef>
              <c:f>'Consumo Eléctrico'!$Z$450:$Z$462</c:f>
              <c:numCache>
                <c:formatCode>_ * #,##0.00_ ;_ * \-#,##0.00_ ;_ * "-"_ ;_ @_ </c:formatCode>
                <c:ptCount val="13"/>
                <c:pt idx="0">
                  <c:v>8674.83</c:v>
                </c:pt>
                <c:pt idx="1">
                  <c:v>9823.56</c:v>
                </c:pt>
                <c:pt idx="2">
                  <c:v>10503.89</c:v>
                </c:pt>
                <c:pt idx="3">
                  <c:v>9668.73</c:v>
                </c:pt>
                <c:pt idx="4">
                  <c:v>9498.1299999999992</c:v>
                </c:pt>
                <c:pt idx="5">
                  <c:v>9045.56</c:v>
                </c:pt>
                <c:pt idx="6">
                  <c:v>8475</c:v>
                </c:pt>
                <c:pt idx="7">
                  <c:v>8802.64</c:v>
                </c:pt>
                <c:pt idx="8">
                  <c:v>9796.5</c:v>
                </c:pt>
                <c:pt idx="9">
                  <c:v>9636.34</c:v>
                </c:pt>
                <c:pt idx="10">
                  <c:v>10051.65</c:v>
                </c:pt>
                <c:pt idx="11">
                  <c:v>8620.61</c:v>
                </c:pt>
                <c:pt idx="12">
                  <c:v>8468.25</c:v>
                </c:pt>
              </c:numCache>
            </c:numRef>
          </c:yVal>
          <c:smooth val="0"/>
          <c:extLst>
            <c:ext xmlns:c16="http://schemas.microsoft.com/office/drawing/2014/chart" uri="{C3380CC4-5D6E-409C-BE32-E72D297353CC}">
              <c16:uniqueId val="{00000002-7233-4120-A99C-E7A061C361CE}"/>
            </c:ext>
          </c:extLst>
        </c:ser>
        <c:dLbls>
          <c:showLegendKey val="0"/>
          <c:showVal val="0"/>
          <c:showCatName val="0"/>
          <c:showSerName val="0"/>
          <c:showPercent val="0"/>
          <c:showBubbleSize val="0"/>
        </c:dLbls>
        <c:axId val="1551365055"/>
        <c:axId val="1551367935"/>
        <c:extLst/>
      </c:scatterChart>
      <c:valAx>
        <c:axId val="1551365055"/>
        <c:scaling>
          <c:orientation val="minMax"/>
          <c:max val="280"/>
          <c:min val="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ax val="10500"/>
          <c:min val="8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IB100</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'Consumo Eléctrico'!$X$605:$X$628</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Eléctrico'!$AB$605:$AB$628</c:f>
              <c:numCache>
                <c:formatCode>0.000</c:formatCode>
                <c:ptCount val="24"/>
                <c:pt idx="0">
                  <c:v>100.83754392561006</c:v>
                </c:pt>
                <c:pt idx="1">
                  <c:v>91.028014023381914</c:v>
                </c:pt>
                <c:pt idx="2">
                  <c:v>93.459184694625492</c:v>
                </c:pt>
                <c:pt idx="3">
                  <c:v>101.30760555230486</c:v>
                </c:pt>
                <c:pt idx="4">
                  <c:v>100.77830279068041</c:v>
                </c:pt>
                <c:pt idx="5">
                  <c:v>99.201684284441257</c:v>
                </c:pt>
                <c:pt idx="6">
                  <c:v>100.84613303058416</c:v>
                </c:pt>
                <c:pt idx="7">
                  <c:v>103.89690401754874</c:v>
                </c:pt>
                <c:pt idx="8">
                  <c:v>98.985892488844897</c:v>
                </c:pt>
                <c:pt idx="9">
                  <c:v>100.87867196724139</c:v>
                </c:pt>
                <c:pt idx="10">
                  <c:v>98.216412158221573</c:v>
                </c:pt>
                <c:pt idx="11">
                  <c:v>98.49841032519501</c:v>
                </c:pt>
                <c:pt idx="12">
                  <c:v>104.21561209439527</c:v>
                </c:pt>
                <c:pt idx="13">
                  <c:v>102.85783928457826</c:v>
                </c:pt>
                <c:pt idx="14">
                  <c:v>95.307447410818469</c:v>
                </c:pt>
                <c:pt idx="15">
                  <c:v>103.11340074516409</c:v>
                </c:pt>
                <c:pt idx="16">
                  <c:v>96.054274271994458</c:v>
                </c:pt>
                <c:pt idx="17">
                  <c:v>103.34120597654295</c:v>
                </c:pt>
                <c:pt idx="18">
                  <c:v>100.26486505200639</c:v>
                </c:pt>
                <c:pt idx="19">
                  <c:v>105.88679325476966</c:v>
                </c:pt>
                <c:pt idx="20">
                  <c:v>98.014051450798021</c:v>
                </c:pt>
                <c:pt idx="21">
                  <c:v>96.919067581825658</c:v>
                </c:pt>
                <c:pt idx="22">
                  <c:v>97.278515564037946</c:v>
                </c:pt>
                <c:pt idx="23">
                  <c:v>101.8926680837245</c:v>
                </c:pt>
              </c:numCache>
            </c:numRef>
          </c:val>
          <c:smooth val="0"/>
          <c:extLst>
            <c:ext xmlns:c16="http://schemas.microsoft.com/office/drawing/2014/chart" uri="{C3380CC4-5D6E-409C-BE32-E72D297353CC}">
              <c16:uniqueId val="{00000000-1722-4753-BF7F-05E41D84C50B}"/>
            </c:ext>
          </c:extLst>
        </c:ser>
        <c:ser>
          <c:idx val="1"/>
          <c:order val="1"/>
          <c:tx>
            <c:v>Referencia</c:v>
          </c:tx>
          <c:spPr>
            <a:ln w="28575" cap="rnd">
              <a:solidFill>
                <a:srgbClr val="FF0000"/>
              </a:solidFill>
              <a:round/>
            </a:ln>
            <a:effectLst/>
          </c:spPr>
          <c:marker>
            <c:symbol val="circle"/>
            <c:size val="5"/>
            <c:spPr>
              <a:noFill/>
              <a:ln w="9525">
                <a:noFill/>
              </a:ln>
              <a:effectLst/>
            </c:spPr>
          </c:marker>
          <c:val>
            <c:numRef>
              <c:f>'Consumo Eléctrico'!$W$605:$W$628</c:f>
              <c:numCache>
                <c:formatCode>General</c:formatCode>
                <c:ptCount val="2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numCache>
            </c:numRef>
          </c:val>
          <c:smooth val="0"/>
          <c:extLst>
            <c:ext xmlns:c16="http://schemas.microsoft.com/office/drawing/2014/chart" uri="{C3380CC4-5D6E-409C-BE32-E72D297353CC}">
              <c16:uniqueId val="{00000001-1722-4753-BF7F-05E41D84C50B}"/>
            </c:ext>
          </c:extLst>
        </c:ser>
        <c:dLbls>
          <c:showLegendKey val="0"/>
          <c:showVal val="0"/>
          <c:showCatName val="0"/>
          <c:showSerName val="0"/>
          <c:showPercent val="0"/>
          <c:showBubbleSize val="0"/>
        </c:dLbls>
        <c:marker val="1"/>
        <c:smooth val="0"/>
        <c:axId val="243864848"/>
        <c:axId val="243865328"/>
      </c:lineChart>
      <c:dateAx>
        <c:axId val="24386484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43865328"/>
        <c:crosses val="autoZero"/>
        <c:auto val="1"/>
        <c:lblOffset val="100"/>
        <c:baseTimeUnit val="months"/>
      </c:dateAx>
      <c:valAx>
        <c:axId val="243865328"/>
        <c:scaling>
          <c:orientation val="minMax"/>
          <c:min val="9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IDE Base 100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43864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IC_PGF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IC Real</c:v>
          </c:tx>
          <c:spPr>
            <a:ln w="25400" cap="rnd">
              <a:noFill/>
              <a:round/>
            </a:ln>
            <a:effectLst/>
          </c:spPr>
          <c:marker>
            <c:symbol val="circle"/>
            <c:size val="5"/>
            <c:spPr>
              <a:solidFill>
                <a:schemeClr val="accent1"/>
              </a:solidFill>
              <a:ln w="9525">
                <a:solidFill>
                  <a:schemeClr val="accent1"/>
                </a:solidFill>
              </a:ln>
              <a:effectLst/>
            </c:spPr>
          </c:marker>
          <c:xVal>
            <c:numRef>
              <c:f>'Consumo Eléctrico'!$Y$605:$Y$628</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Eléctrico'!$AD$605:$AD$628</c:f>
              <c:numCache>
                <c:formatCode>0.00</c:formatCode>
                <c:ptCount val="24"/>
                <c:pt idx="0">
                  <c:v>119.90988129311137</c:v>
                </c:pt>
                <c:pt idx="1">
                  <c:v>99.482832305131936</c:v>
                </c:pt>
                <c:pt idx="2">
                  <c:v>92.547081360625711</c:v>
                </c:pt>
                <c:pt idx="3">
                  <c:v>49.399709321183188</c:v>
                </c:pt>
                <c:pt idx="4">
                  <c:v>39.576089823292257</c:v>
                </c:pt>
                <c:pt idx="5">
                  <c:v>52.725556854376016</c:v>
                </c:pt>
                <c:pt idx="6">
                  <c:v>54.41117017277449</c:v>
                </c:pt>
                <c:pt idx="7">
                  <c:v>49.973803310053576</c:v>
                </c:pt>
                <c:pt idx="8">
                  <c:v>78.084181313598521</c:v>
                </c:pt>
                <c:pt idx="9">
                  <c:v>80.763928571428565</c:v>
                </c:pt>
                <c:pt idx="10">
                  <c:v>63.736386346643165</c:v>
                </c:pt>
                <c:pt idx="11">
                  <c:v>209.18147872857202</c:v>
                </c:pt>
                <c:pt idx="12">
                  <c:v>104.30769230769231</c:v>
                </c:pt>
                <c:pt idx="13">
                  <c:v>84.187452180566169</c:v>
                </c:pt>
                <c:pt idx="14">
                  <c:v>81.713122402239378</c:v>
                </c:pt>
                <c:pt idx="15">
                  <c:v>45.658557046979865</c:v>
                </c:pt>
                <c:pt idx="16">
                  <c:v>36.617296918767508</c:v>
                </c:pt>
                <c:pt idx="17">
                  <c:v>48.297614274258216</c:v>
                </c:pt>
                <c:pt idx="18">
                  <c:v>47.386620780690173</c:v>
                </c:pt>
                <c:pt idx="19">
                  <c:v>76.750445156695164</c:v>
                </c:pt>
                <c:pt idx="20">
                  <c:v>110.59705521472392</c:v>
                </c:pt>
                <c:pt idx="21">
                  <c:v>128.37040205303677</c:v>
                </c:pt>
                <c:pt idx="22">
                  <c:v>55.442546155965829</c:v>
                </c:pt>
                <c:pt idx="23">
                  <c:v>141.49122807017542</c:v>
                </c:pt>
              </c:numCache>
            </c:numRef>
          </c:yVal>
          <c:smooth val="0"/>
          <c:extLst>
            <c:ext xmlns:c16="http://schemas.microsoft.com/office/drawing/2014/chart" uri="{C3380CC4-5D6E-409C-BE32-E72D297353CC}">
              <c16:uniqueId val="{00000000-20D3-48D3-8520-CCC30B6B0D00}"/>
            </c:ext>
          </c:extLst>
        </c:ser>
        <c:ser>
          <c:idx val="1"/>
          <c:order val="1"/>
          <c:tx>
            <c:v>IC LBE</c:v>
          </c:tx>
          <c:spPr>
            <a:ln w="25400" cap="rnd">
              <a:noFill/>
              <a:round/>
            </a:ln>
            <a:effectLst/>
          </c:spPr>
          <c:marker>
            <c:symbol val="circle"/>
            <c:size val="5"/>
            <c:spPr>
              <a:solidFill>
                <a:schemeClr val="accent2"/>
              </a:solidFill>
              <a:ln w="9525">
                <a:solidFill>
                  <a:schemeClr val="accent2"/>
                </a:solidFill>
              </a:ln>
              <a:effectLst/>
            </c:spPr>
          </c:marker>
          <c:xVal>
            <c:numRef>
              <c:f>'Consumo Eléctrico'!$Y$605:$Y$628</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Eléctrico'!$AC$605:$AC$628</c:f>
              <c:numCache>
                <c:formatCode>0.00</c:formatCode>
                <c:ptCount val="24"/>
                <c:pt idx="0">
                  <c:v>120.91429818803256</c:v>
                </c:pt>
                <c:pt idx="1">
                  <c:v>90.55734345980089</c:v>
                </c:pt>
                <c:pt idx="2">
                  <c:v>86.493841665023538</c:v>
                </c:pt>
                <c:pt idx="3">
                  <c:v>50.045730155783673</c:v>
                </c:pt>
                <c:pt idx="4">
                  <c:v>39.884171746694633</c:v>
                </c:pt>
                <c:pt idx="5">
                  <c:v>52.304709581391329</c:v>
                </c:pt>
                <c:pt idx="6">
                  <c:v>54.871632053912627</c:v>
                </c:pt>
                <c:pt idx="7">
                  <c:v>51.921303313978193</c:v>
                </c:pt>
                <c:pt idx="8">
                  <c:v>77.292411049142672</c:v>
                </c:pt>
                <c:pt idx="9">
                  <c:v>81.473668891746613</c:v>
                </c:pt>
                <c:pt idx="10">
                  <c:v>62.599668520199103</c:v>
                </c:pt>
                <c:pt idx="11">
                  <c:v>206.04061204166084</c:v>
                </c:pt>
                <c:pt idx="12">
                  <c:v>108.70501009975119</c:v>
                </c:pt>
                <c:pt idx="13">
                  <c:v>86.593488300757116</c:v>
                </c:pt>
                <c:pt idx="14">
                  <c:v>77.878778870428491</c:v>
                </c:pt>
                <c:pt idx="15">
                  <c:v>47.080156240966929</c:v>
                </c:pt>
                <c:pt idx="16">
                  <c:v>35.172535502920951</c:v>
                </c:pt>
                <c:pt idx="17">
                  <c:v>49.9114044440444</c:v>
                </c:pt>
                <c:pt idx="18">
                  <c:v>47.512197030932249</c:v>
                </c:pt>
                <c:pt idx="19">
                  <c:v>81.268675356606565</c:v>
                </c:pt>
                <c:pt idx="20">
                  <c:v>108.40076447998996</c:v>
                </c:pt>
                <c:pt idx="21">
                  <c:v>124.41551823189307</c:v>
                </c:pt>
                <c:pt idx="22">
                  <c:v>53.933756208184739</c:v>
                </c:pt>
                <c:pt idx="23">
                  <c:v>144.16932324431744</c:v>
                </c:pt>
              </c:numCache>
            </c:numRef>
          </c:yVal>
          <c:smooth val="0"/>
          <c:extLst>
            <c:ext xmlns:c16="http://schemas.microsoft.com/office/drawing/2014/chart" uri="{C3380CC4-5D6E-409C-BE32-E72D297353CC}">
              <c16:uniqueId val="{00000001-20D3-48D3-8520-CCC30B6B0D00}"/>
            </c:ext>
          </c:extLst>
        </c:ser>
        <c:dLbls>
          <c:showLegendKey val="0"/>
          <c:showVal val="0"/>
          <c:showCatName val="0"/>
          <c:showSerName val="0"/>
          <c:showPercent val="0"/>
          <c:showBubbleSize val="0"/>
        </c:dLbls>
        <c:axId val="1062871183"/>
        <c:axId val="1062866383"/>
      </c:scatterChart>
      <c:valAx>
        <c:axId val="106287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66383"/>
        <c:crosses val="autoZero"/>
        <c:crossBetween val="midCat"/>
      </c:valAx>
      <c:valAx>
        <c:axId val="106286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711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IC_PGF</a:t>
            </a:r>
          </a:p>
        </c:rich>
      </c:tx>
      <c:layout>
        <c:manualLayout>
          <c:xMode val="edge"/>
          <c:yMode val="edge"/>
          <c:x val="0.17661483128378408"/>
          <c:y val="3.2123133136475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0.13212495760636092"/>
          <c:y val="0.17020671543312391"/>
          <c:w val="0.82044273613780339"/>
          <c:h val="0.65908900384321323"/>
        </c:manualLayout>
      </c:layout>
      <c:scatterChart>
        <c:scatterStyle val="lineMarker"/>
        <c:varyColors val="0"/>
        <c:ser>
          <c:idx val="0"/>
          <c:order val="0"/>
          <c:tx>
            <c:v>IC Real</c:v>
          </c:tx>
          <c:spPr>
            <a:ln w="25400" cap="rnd">
              <a:noFill/>
              <a:round/>
            </a:ln>
            <a:effectLst/>
          </c:spPr>
          <c:marker>
            <c:symbol val="circle"/>
            <c:size val="5"/>
            <c:spPr>
              <a:solidFill>
                <a:schemeClr val="accent1"/>
              </a:solidFill>
              <a:ln w="9525">
                <a:solidFill>
                  <a:schemeClr val="accent1"/>
                </a:solidFill>
              </a:ln>
              <a:effectLst/>
            </c:spPr>
          </c:marker>
          <c:xVal>
            <c:numRef>
              <c:f>'Consumo Eléctrico'!$Y$605:$Y$628</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Eléctrico'!$AD$605:$AD$629</c:f>
              <c:numCache>
                <c:formatCode>0.00</c:formatCode>
                <c:ptCount val="25"/>
                <c:pt idx="0">
                  <c:v>119.90988129311137</c:v>
                </c:pt>
                <c:pt idx="1">
                  <c:v>99.482832305131936</c:v>
                </c:pt>
                <c:pt idx="2">
                  <c:v>92.547081360625711</c:v>
                </c:pt>
                <c:pt idx="3">
                  <c:v>49.399709321183188</c:v>
                </c:pt>
                <c:pt idx="4">
                  <c:v>39.576089823292257</c:v>
                </c:pt>
                <c:pt idx="5">
                  <c:v>52.725556854376016</c:v>
                </c:pt>
                <c:pt idx="6">
                  <c:v>54.41117017277449</c:v>
                </c:pt>
                <c:pt idx="7">
                  <c:v>49.973803310053576</c:v>
                </c:pt>
                <c:pt idx="8">
                  <c:v>78.084181313598521</c:v>
                </c:pt>
                <c:pt idx="9">
                  <c:v>80.763928571428565</c:v>
                </c:pt>
                <c:pt idx="10">
                  <c:v>63.736386346643165</c:v>
                </c:pt>
                <c:pt idx="11">
                  <c:v>209.18147872857202</c:v>
                </c:pt>
                <c:pt idx="12">
                  <c:v>104.30769230769231</c:v>
                </c:pt>
                <c:pt idx="13">
                  <c:v>84.187452180566169</c:v>
                </c:pt>
                <c:pt idx="14">
                  <c:v>81.713122402239378</c:v>
                </c:pt>
                <c:pt idx="15">
                  <c:v>45.658557046979865</c:v>
                </c:pt>
                <c:pt idx="16">
                  <c:v>36.617296918767508</c:v>
                </c:pt>
                <c:pt idx="17">
                  <c:v>48.297614274258216</c:v>
                </c:pt>
                <c:pt idx="18">
                  <c:v>47.386620780690173</c:v>
                </c:pt>
                <c:pt idx="19">
                  <c:v>76.750445156695164</c:v>
                </c:pt>
                <c:pt idx="20">
                  <c:v>110.59705521472392</c:v>
                </c:pt>
                <c:pt idx="21">
                  <c:v>128.37040205303677</c:v>
                </c:pt>
                <c:pt idx="22">
                  <c:v>55.442546155965829</c:v>
                </c:pt>
                <c:pt idx="23">
                  <c:v>141.49122807017542</c:v>
                </c:pt>
                <c:pt idx="24">
                  <c:v>81.275505498440893</c:v>
                </c:pt>
              </c:numCache>
            </c:numRef>
          </c:yVal>
          <c:smooth val="0"/>
          <c:extLst>
            <c:ext xmlns:c16="http://schemas.microsoft.com/office/drawing/2014/chart" uri="{C3380CC4-5D6E-409C-BE32-E72D297353CC}">
              <c16:uniqueId val="{00000000-7F3E-4839-92B3-FF4A8024E320}"/>
            </c:ext>
          </c:extLst>
        </c:ser>
        <c:ser>
          <c:idx val="1"/>
          <c:order val="1"/>
          <c:tx>
            <c:v>IC LBE</c:v>
          </c:tx>
          <c:spPr>
            <a:ln w="25400" cap="rnd">
              <a:noFill/>
              <a:round/>
            </a:ln>
            <a:effectLst/>
          </c:spPr>
          <c:marker>
            <c:symbol val="circle"/>
            <c:size val="5"/>
            <c:spPr>
              <a:solidFill>
                <a:schemeClr val="accent2"/>
              </a:solidFill>
              <a:ln w="9525">
                <a:solidFill>
                  <a:schemeClr val="accent2"/>
                </a:solidFill>
              </a:ln>
              <a:effectLst/>
            </c:spPr>
          </c:marker>
          <c:xVal>
            <c:numRef>
              <c:f>'Consumo Eléctrico'!$Y$605:$Y$628</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Eléctrico'!$AC$605:$AC$628</c:f>
              <c:numCache>
                <c:formatCode>0.00</c:formatCode>
                <c:ptCount val="24"/>
                <c:pt idx="0">
                  <c:v>120.91429818803256</c:v>
                </c:pt>
                <c:pt idx="1">
                  <c:v>90.55734345980089</c:v>
                </c:pt>
                <c:pt idx="2">
                  <c:v>86.493841665023538</c:v>
                </c:pt>
                <c:pt idx="3">
                  <c:v>50.045730155783673</c:v>
                </c:pt>
                <c:pt idx="4">
                  <c:v>39.884171746694633</c:v>
                </c:pt>
                <c:pt idx="5">
                  <c:v>52.304709581391329</c:v>
                </c:pt>
                <c:pt idx="6">
                  <c:v>54.871632053912627</c:v>
                </c:pt>
                <c:pt idx="7">
                  <c:v>51.921303313978193</c:v>
                </c:pt>
                <c:pt idx="8">
                  <c:v>77.292411049142672</c:v>
                </c:pt>
                <c:pt idx="9">
                  <c:v>81.473668891746613</c:v>
                </c:pt>
                <c:pt idx="10">
                  <c:v>62.599668520199103</c:v>
                </c:pt>
                <c:pt idx="11">
                  <c:v>206.04061204166084</c:v>
                </c:pt>
                <c:pt idx="12">
                  <c:v>108.70501009975119</c:v>
                </c:pt>
                <c:pt idx="13">
                  <c:v>86.593488300757116</c:v>
                </c:pt>
                <c:pt idx="14">
                  <c:v>77.878778870428491</c:v>
                </c:pt>
                <c:pt idx="15">
                  <c:v>47.080156240966929</c:v>
                </c:pt>
                <c:pt idx="16">
                  <c:v>35.172535502920951</c:v>
                </c:pt>
                <c:pt idx="17">
                  <c:v>49.9114044440444</c:v>
                </c:pt>
                <c:pt idx="18">
                  <c:v>47.512197030932249</c:v>
                </c:pt>
                <c:pt idx="19">
                  <c:v>81.268675356606565</c:v>
                </c:pt>
                <c:pt idx="20">
                  <c:v>108.40076447998996</c:v>
                </c:pt>
                <c:pt idx="21">
                  <c:v>124.41551823189307</c:v>
                </c:pt>
                <c:pt idx="22">
                  <c:v>53.933756208184739</c:v>
                </c:pt>
                <c:pt idx="23">
                  <c:v>144.16932324431744</c:v>
                </c:pt>
              </c:numCache>
            </c:numRef>
          </c:yVal>
          <c:smooth val="0"/>
          <c:extLst>
            <c:ext xmlns:c16="http://schemas.microsoft.com/office/drawing/2014/chart" uri="{C3380CC4-5D6E-409C-BE32-E72D297353CC}">
              <c16:uniqueId val="{00000001-7F3E-4839-92B3-FF4A8024E320}"/>
            </c:ext>
          </c:extLst>
        </c:ser>
        <c:dLbls>
          <c:showLegendKey val="0"/>
          <c:showVal val="0"/>
          <c:showCatName val="0"/>
          <c:showSerName val="0"/>
          <c:showPercent val="0"/>
          <c:showBubbleSize val="0"/>
        </c:dLbls>
        <c:axId val="1062871183"/>
        <c:axId val="1062866383"/>
      </c:scatterChart>
      <c:valAx>
        <c:axId val="106287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66383"/>
        <c:crosses val="autoZero"/>
        <c:crossBetween val="midCat"/>
      </c:valAx>
      <c:valAx>
        <c:axId val="1062866383"/>
        <c:scaling>
          <c:orientation val="minMax"/>
          <c:max val="2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71183"/>
        <c:crosses val="autoZero"/>
        <c:crossBetween val="midCat"/>
      </c:valAx>
      <c:spPr>
        <a:noFill/>
        <a:ln>
          <a:noFill/>
        </a:ln>
        <a:effectLst/>
      </c:spPr>
    </c:plotArea>
    <c:legend>
      <c:legendPos val="b"/>
      <c:layout>
        <c:manualLayout>
          <c:xMode val="edge"/>
          <c:yMode val="edge"/>
          <c:x val="0.34334179112601693"/>
          <c:y val="6.9002224409534185E-2"/>
          <c:w val="0.61121492274292755"/>
          <c:h val="7.80342053683880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CL" sz="1200"/>
              <a:t>Cambio de pendiente de IC con la producción de Oil</a:t>
            </a:r>
            <a:r>
              <a:rPr lang="es-CL" sz="1200" baseline="0"/>
              <a:t> Malal </a:t>
            </a:r>
            <a:endParaRPr lang="es-CL"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IC con Producción</c:v>
          </c:tx>
          <c:spPr>
            <a:ln w="25400" cap="rnd">
              <a:solidFill>
                <a:schemeClr val="accent1"/>
              </a:solidFill>
              <a:round/>
            </a:ln>
            <a:effectLst/>
          </c:spPr>
          <c:marker>
            <c:symbol val="circle"/>
            <c:size val="5"/>
            <c:spPr>
              <a:solidFill>
                <a:srgbClr val="FF0000"/>
              </a:solidFill>
              <a:ln w="9525">
                <a:solidFill>
                  <a:srgbClr val="FF0000"/>
                </a:solidFill>
              </a:ln>
              <a:effectLst/>
            </c:spPr>
          </c:marker>
          <c:xVal>
            <c:numRef>
              <c:f>'Consumo Eléctrico'!$Y$638:$Y$661</c:f>
              <c:numCache>
                <c:formatCode>0.00</c:formatCode>
                <c:ptCount val="24"/>
                <c:pt idx="0">
                  <c:v>41.00712</c:v>
                </c:pt>
                <c:pt idx="1">
                  <c:v>59.85</c:v>
                </c:pt>
                <c:pt idx="2">
                  <c:v>70.14</c:v>
                </c:pt>
                <c:pt idx="3">
                  <c:v>72.344580000000008</c:v>
                </c:pt>
                <c:pt idx="4">
                  <c:v>81.25</c:v>
                </c:pt>
                <c:pt idx="5">
                  <c:v>81.5</c:v>
                </c:pt>
                <c:pt idx="6">
                  <c:v>99.44550000000001</c:v>
                </c:pt>
                <c:pt idx="7">
                  <c:v>104.56</c:v>
                </c:pt>
                <c:pt idx="8">
                  <c:v>104.69536000000001</c:v>
                </c:pt>
                <c:pt idx="9">
                  <c:v>112</c:v>
                </c:pt>
                <c:pt idx="10">
                  <c:v>112.32</c:v>
                </c:pt>
                <c:pt idx="11">
                  <c:v>117.89</c:v>
                </c:pt>
                <c:pt idx="12">
                  <c:v>118.91</c:v>
                </c:pt>
                <c:pt idx="13">
                  <c:v>151.82552000000001</c:v>
                </c:pt>
                <c:pt idx="14">
                  <c:v>177.69752000000003</c:v>
                </c:pt>
                <c:pt idx="15">
                  <c:v>181.45</c:v>
                </c:pt>
                <c:pt idx="16">
                  <c:v>188.35893999999999</c:v>
                </c:pt>
                <c:pt idx="17">
                  <c:v>190.06218000000001</c:v>
                </c:pt>
                <c:pt idx="18">
                  <c:v>198.85866000000001</c:v>
                </c:pt>
                <c:pt idx="19">
                  <c:v>199.52</c:v>
                </c:pt>
                <c:pt idx="20">
                  <c:v>212.12</c:v>
                </c:pt>
                <c:pt idx="21">
                  <c:v>214.56</c:v>
                </c:pt>
                <c:pt idx="22">
                  <c:v>265.41000000000003</c:v>
                </c:pt>
                <c:pt idx="23">
                  <c:v>314.16000000000003</c:v>
                </c:pt>
              </c:numCache>
            </c:numRef>
          </c:xVal>
          <c:yVal>
            <c:numRef>
              <c:f>'Consumo Eléctrico'!$AF$638:$AF$661</c:f>
              <c:numCache>
                <c:formatCode>0.000.E+00</c:formatCode>
                <c:ptCount val="24"/>
                <c:pt idx="0">
                  <c:v>-4.7923305509890151</c:v>
                </c:pt>
                <c:pt idx="1">
                  <c:v>-7.0420947145099717</c:v>
                </c:pt>
                <c:pt idx="2">
                  <c:v>-8.6801697098664725</c:v>
                </c:pt>
                <c:pt idx="3">
                  <c:v>-10.219930672338636</c:v>
                </c:pt>
                <c:pt idx="4">
                  <c:v>-11.440657712857565</c:v>
                </c:pt>
                <c:pt idx="5">
                  <c:v>-12.653907116813414</c:v>
                </c:pt>
                <c:pt idx="6">
                  <c:v>-13.46878969473009</c:v>
                </c:pt>
                <c:pt idx="7">
                  <c:v>-14.205902837836144</c:v>
                </c:pt>
                <c:pt idx="8">
                  <c:v>-14.941111194800916</c:v>
                </c:pt>
                <c:pt idx="9">
                  <c:v>-15.583546291534473</c:v>
                </c:pt>
                <c:pt idx="10">
                  <c:v>-16.22232600395451</c:v>
                </c:pt>
                <c:pt idx="11">
                  <c:v>-16.80217027244921</c:v>
                </c:pt>
                <c:pt idx="12">
                  <c:v>-17.372109495319908</c:v>
                </c:pt>
                <c:pt idx="13">
                  <c:v>-17.721712977413109</c:v>
                </c:pt>
                <c:pt idx="14">
                  <c:v>-17.976925846992405</c:v>
                </c:pt>
                <c:pt idx="15">
                  <c:v>-18.221691998277038</c:v>
                </c:pt>
                <c:pt idx="16">
                  <c:v>-18.448831583601756</c:v>
                </c:pt>
                <c:pt idx="17">
                  <c:v>-18.671918392647036</c:v>
                </c:pt>
                <c:pt idx="18">
                  <c:v>-18.875705303904486</c:v>
                </c:pt>
                <c:pt idx="19">
                  <c:v>-19.078143487477341</c:v>
                </c:pt>
                <c:pt idx="20">
                  <c:v>-19.25724616036695</c:v>
                </c:pt>
                <c:pt idx="21">
                  <c:v>-19.432298444965099</c:v>
                </c:pt>
                <c:pt idx="22">
                  <c:v>-19.546699687153058</c:v>
                </c:pt>
                <c:pt idx="23">
                  <c:v>-19.628351066849177</c:v>
                </c:pt>
              </c:numCache>
            </c:numRef>
          </c:yVal>
          <c:smooth val="0"/>
          <c:extLst>
            <c:ext xmlns:c16="http://schemas.microsoft.com/office/drawing/2014/chart" uri="{C3380CC4-5D6E-409C-BE32-E72D297353CC}">
              <c16:uniqueId val="{00000000-AD95-4E1B-80E9-81AB70C609AA}"/>
            </c:ext>
          </c:extLst>
        </c:ser>
        <c:dLbls>
          <c:showLegendKey val="0"/>
          <c:showVal val="0"/>
          <c:showCatName val="0"/>
          <c:showSerName val="0"/>
          <c:showPercent val="0"/>
          <c:showBubbleSize val="0"/>
        </c:dLbls>
        <c:axId val="1984474016"/>
        <c:axId val="1984474496"/>
      </c:scatterChart>
      <c:valAx>
        <c:axId val="1984474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 Emulsión [m</a:t>
                </a:r>
                <a:r>
                  <a:rPr lang="en-US">
                    <a:latin typeface="Aptos Narrow" panose="020B0004020202020204" pitchFamily="34" charset="0"/>
                  </a:rPr>
                  <a:t>³</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984474496"/>
        <c:crosses val="autoZero"/>
        <c:crossBetween val="midCat"/>
      </c:valAx>
      <c:valAx>
        <c:axId val="1984474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9844740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v>CUSUM</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0-06E2-4058-AE28-C21FB2EB9E1A}"/>
              </c:ext>
            </c:extLst>
          </c:dPt>
          <c:dPt>
            <c:idx val="2"/>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1-06E2-4058-AE28-C21FB2EB9E1A}"/>
              </c:ext>
            </c:extLst>
          </c:dPt>
          <c:dPt>
            <c:idx val="3"/>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A-06E2-4058-AE28-C21FB2EB9E1A}"/>
              </c:ext>
            </c:extLst>
          </c:dPt>
          <c:dPt>
            <c:idx val="4"/>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9-06E2-4058-AE28-C21FB2EB9E1A}"/>
              </c:ext>
            </c:extLst>
          </c:dPt>
          <c:dPt>
            <c:idx val="5"/>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15-06E2-4058-AE28-C21FB2EB9E1A}"/>
              </c:ext>
            </c:extLst>
          </c:dPt>
          <c:dPt>
            <c:idx val="6"/>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B-06E2-4058-AE28-C21FB2EB9E1A}"/>
              </c:ext>
            </c:extLst>
          </c:dPt>
          <c:dPt>
            <c:idx val="7"/>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C-06E2-4058-AE28-C21FB2EB9E1A}"/>
              </c:ext>
            </c:extLst>
          </c:dPt>
          <c:dPt>
            <c:idx val="8"/>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16-06E2-4058-AE28-C21FB2EB9E1A}"/>
              </c:ext>
            </c:extLst>
          </c:dPt>
          <c:dPt>
            <c:idx val="9"/>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D-06E2-4058-AE28-C21FB2EB9E1A}"/>
              </c:ext>
            </c:extLst>
          </c:dPt>
          <c:dPt>
            <c:idx val="10"/>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2-06E2-4058-AE28-C21FB2EB9E1A}"/>
              </c:ext>
            </c:extLst>
          </c:dPt>
          <c:dPt>
            <c:idx val="11"/>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3-06E2-4058-AE28-C21FB2EB9E1A}"/>
              </c:ext>
            </c:extLst>
          </c:dPt>
          <c:dPt>
            <c:idx val="12"/>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E-06E2-4058-AE28-C21FB2EB9E1A}"/>
              </c:ext>
            </c:extLst>
          </c:dPt>
          <c:dPt>
            <c:idx val="13"/>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0F-06E2-4058-AE28-C21FB2EB9E1A}"/>
              </c:ext>
            </c:extLst>
          </c:dPt>
          <c:dPt>
            <c:idx val="14"/>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4-06E2-4058-AE28-C21FB2EB9E1A}"/>
              </c:ext>
            </c:extLst>
          </c:dPt>
          <c:dPt>
            <c:idx val="15"/>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10-06E2-4058-AE28-C21FB2EB9E1A}"/>
              </c:ext>
            </c:extLst>
          </c:dPt>
          <c:dPt>
            <c:idx val="16"/>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5-06E2-4058-AE28-C21FB2EB9E1A}"/>
              </c:ext>
            </c:extLst>
          </c:dPt>
          <c:dPt>
            <c:idx val="17"/>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11-06E2-4058-AE28-C21FB2EB9E1A}"/>
              </c:ext>
            </c:extLst>
          </c:dPt>
          <c:dPt>
            <c:idx val="18"/>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12-06E2-4058-AE28-C21FB2EB9E1A}"/>
              </c:ext>
            </c:extLst>
          </c:dPt>
          <c:dPt>
            <c:idx val="19"/>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13-06E2-4058-AE28-C21FB2EB9E1A}"/>
              </c:ext>
            </c:extLst>
          </c:dPt>
          <c:dPt>
            <c:idx val="20"/>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6-06E2-4058-AE28-C21FB2EB9E1A}"/>
              </c:ext>
            </c:extLst>
          </c:dPt>
          <c:dPt>
            <c:idx val="21"/>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7-06E2-4058-AE28-C21FB2EB9E1A}"/>
              </c:ext>
            </c:extLst>
          </c:dPt>
          <c:dPt>
            <c:idx val="22"/>
            <c:marker>
              <c:symbol val="circle"/>
              <c:size val="5"/>
              <c:spPr>
                <a:solidFill>
                  <a:schemeClr val="accent1"/>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8-06E2-4058-AE28-C21FB2EB9E1A}"/>
              </c:ext>
            </c:extLst>
          </c:dPt>
          <c:dPt>
            <c:idx val="23"/>
            <c:marker>
              <c:symbol val="circle"/>
              <c:size val="5"/>
              <c:spPr>
                <a:solidFill>
                  <a:schemeClr val="accent1"/>
                </a:solidFill>
                <a:ln w="9525">
                  <a:solidFill>
                    <a:srgbClr val="00B050"/>
                  </a:solidFill>
                </a:ln>
                <a:effectLst/>
              </c:spPr>
            </c:marker>
            <c:bubble3D val="0"/>
            <c:spPr>
              <a:ln w="28575" cap="rnd">
                <a:solidFill>
                  <a:srgbClr val="00B050"/>
                </a:solidFill>
                <a:round/>
              </a:ln>
              <a:effectLst/>
            </c:spPr>
            <c:extLst>
              <c:ext xmlns:c16="http://schemas.microsoft.com/office/drawing/2014/chart" uri="{C3380CC4-5D6E-409C-BE32-E72D297353CC}">
                <c16:uniqueId val="{00000014-06E2-4058-AE28-C21FB2EB9E1A}"/>
              </c:ext>
            </c:extLst>
          </c:dPt>
          <c:cat>
            <c:numRef>
              <c:f>'Consumo Eléctrico'!$X$696:$X$719</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Eléctrico'!$AC$696:$AC$719</c:f>
              <c:numCache>
                <c:formatCode>0.00</c:formatCode>
                <c:ptCount val="24"/>
                <c:pt idx="0">
                  <c:v>-72.655511721999574</c:v>
                </c:pt>
                <c:pt idx="1">
                  <c:v>814.95382732799953</c:v>
                </c:pt>
                <c:pt idx="2">
                  <c:v>1448.7097743039994</c:v>
                </c:pt>
                <c:pt idx="3">
                  <c:v>1320.25635831</c:v>
                </c:pt>
                <c:pt idx="4">
                  <c:v>1238.5042893099999</c:v>
                </c:pt>
                <c:pt idx="5">
                  <c:v>1317.7876574639995</c:v>
                </c:pt>
                <c:pt idx="6">
                  <c:v>1235.9773392959996</c:v>
                </c:pt>
                <c:pt idx="7">
                  <c:v>865.84432973399817</c:v>
                </c:pt>
                <c:pt idx="8">
                  <c:v>960.00411073399846</c:v>
                </c:pt>
                <c:pt idx="9">
                  <c:v>880.5233107339991</c:v>
                </c:pt>
                <c:pt idx="10">
                  <c:v>1053.117717365998</c:v>
                </c:pt>
                <c:pt idx="11">
                  <c:v>1181.9230285579979</c:v>
                </c:pt>
                <c:pt idx="12">
                  <c:v>824.64990355799819</c:v>
                </c:pt>
                <c:pt idx="13">
                  <c:v>573.08459955799844</c:v>
                </c:pt>
                <c:pt idx="14">
                  <c:v>1025.1256985579985</c:v>
                </c:pt>
                <c:pt idx="15">
                  <c:v>720.12139455799843</c:v>
                </c:pt>
                <c:pt idx="16">
                  <c:v>1174.0254505579996</c:v>
                </c:pt>
                <c:pt idx="17">
                  <c:v>852.05548255800022</c:v>
                </c:pt>
                <c:pt idx="18">
                  <c:v>825.43217455800004</c:v>
                </c:pt>
                <c:pt idx="19">
                  <c:v>317.95468655800141</c:v>
                </c:pt>
                <c:pt idx="20">
                  <c:v>496.96133655800077</c:v>
                </c:pt>
                <c:pt idx="21">
                  <c:v>774.3654105580008</c:v>
                </c:pt>
                <c:pt idx="22">
                  <c:v>1048.1481055580007</c:v>
                </c:pt>
                <c:pt idx="23">
                  <c:v>887.87224055800107</c:v>
                </c:pt>
              </c:numCache>
            </c:numRef>
          </c:val>
          <c:smooth val="0"/>
          <c:extLst>
            <c:ext xmlns:c16="http://schemas.microsoft.com/office/drawing/2014/chart" uri="{C3380CC4-5D6E-409C-BE32-E72D297353CC}">
              <c16:uniqueId val="{00000000-C3FE-45AC-9143-112386ED29CB}"/>
            </c:ext>
          </c:extLst>
        </c:ser>
        <c:dLbls>
          <c:showLegendKey val="0"/>
          <c:showVal val="0"/>
          <c:showCatName val="0"/>
          <c:showSerName val="0"/>
          <c:showPercent val="0"/>
          <c:showBubbleSize val="0"/>
        </c:dLbls>
        <c:marker val="1"/>
        <c:smooth val="0"/>
        <c:axId val="243864848"/>
        <c:axId val="243865328"/>
      </c:lineChart>
      <c:dateAx>
        <c:axId val="243864848"/>
        <c:scaling>
          <c:orientation val="minMax"/>
        </c:scaling>
        <c:delete val="0"/>
        <c:axPos val="b"/>
        <c:numFmt formatCode="mmm\-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43865328"/>
        <c:crosses val="autoZero"/>
        <c:auto val="1"/>
        <c:lblOffset val="100"/>
        <c:baseTimeUnit val="months"/>
      </c:dateAx>
      <c:valAx>
        <c:axId val="243865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CUSUM [kWh/mes]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43864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Tasa de producción de quiebre,</a:t>
            </a:r>
            <a:r>
              <a:rPr lang="en-US" baseline="0"/>
              <a:t> entre alto y bajo IC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IC Real</c:v>
          </c:tx>
          <c:spPr>
            <a:ln w="25400" cap="rnd">
              <a:noFill/>
              <a:round/>
            </a:ln>
            <a:effectLst/>
          </c:spPr>
          <c:marker>
            <c:symbol val="circle"/>
            <c:size val="5"/>
            <c:spPr>
              <a:solidFill>
                <a:schemeClr val="accent1"/>
              </a:solidFill>
              <a:ln w="9525">
                <a:solidFill>
                  <a:schemeClr val="accent1"/>
                </a:solidFill>
              </a:ln>
              <a:effectLst/>
            </c:spPr>
          </c:marker>
          <c:dLbls>
            <c:dLbl>
              <c:idx val="8"/>
              <c:layout>
                <c:manualLayout>
                  <c:x val="8.5157137384595568E-3"/>
                  <c:y val="-5.13492633885576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09-4C35-BCAA-FEB3294384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'Consumo Eléctrico'!$Y$605:$Y$628</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Eléctrico'!$AD$605:$AD$629</c:f>
              <c:numCache>
                <c:formatCode>0.00</c:formatCode>
                <c:ptCount val="25"/>
                <c:pt idx="0">
                  <c:v>119.90988129311137</c:v>
                </c:pt>
                <c:pt idx="1">
                  <c:v>99.482832305131936</c:v>
                </c:pt>
                <c:pt idx="2">
                  <c:v>92.547081360625711</c:v>
                </c:pt>
                <c:pt idx="3">
                  <c:v>49.399709321183188</c:v>
                </c:pt>
                <c:pt idx="4">
                  <c:v>39.576089823292257</c:v>
                </c:pt>
                <c:pt idx="5">
                  <c:v>52.725556854376016</c:v>
                </c:pt>
                <c:pt idx="6">
                  <c:v>54.41117017277449</c:v>
                </c:pt>
                <c:pt idx="7">
                  <c:v>49.973803310053576</c:v>
                </c:pt>
                <c:pt idx="8">
                  <c:v>78.084181313598521</c:v>
                </c:pt>
                <c:pt idx="9">
                  <c:v>80.763928571428565</c:v>
                </c:pt>
                <c:pt idx="10">
                  <c:v>63.736386346643165</c:v>
                </c:pt>
                <c:pt idx="11">
                  <c:v>209.18147872857202</c:v>
                </c:pt>
                <c:pt idx="12">
                  <c:v>104.30769230769231</c:v>
                </c:pt>
                <c:pt idx="13">
                  <c:v>84.187452180566169</c:v>
                </c:pt>
                <c:pt idx="14">
                  <c:v>81.713122402239378</c:v>
                </c:pt>
                <c:pt idx="15">
                  <c:v>45.658557046979865</c:v>
                </c:pt>
                <c:pt idx="16">
                  <c:v>36.617296918767508</c:v>
                </c:pt>
                <c:pt idx="17">
                  <c:v>48.297614274258216</c:v>
                </c:pt>
                <c:pt idx="18">
                  <c:v>47.386620780690173</c:v>
                </c:pt>
                <c:pt idx="19">
                  <c:v>76.750445156695164</c:v>
                </c:pt>
                <c:pt idx="20">
                  <c:v>110.59705521472392</c:v>
                </c:pt>
                <c:pt idx="21">
                  <c:v>128.37040205303677</c:v>
                </c:pt>
                <c:pt idx="22">
                  <c:v>55.442546155965829</c:v>
                </c:pt>
                <c:pt idx="23">
                  <c:v>141.49122807017542</c:v>
                </c:pt>
                <c:pt idx="24">
                  <c:v>81.275505498440893</c:v>
                </c:pt>
              </c:numCache>
            </c:numRef>
          </c:yVal>
          <c:smooth val="0"/>
          <c:extLst>
            <c:ext xmlns:c16="http://schemas.microsoft.com/office/drawing/2014/chart" uri="{C3380CC4-5D6E-409C-BE32-E72D297353CC}">
              <c16:uniqueId val="{00000000-5140-454A-B0BC-C96438F2D7B1}"/>
            </c:ext>
          </c:extLst>
        </c:ser>
        <c:ser>
          <c:idx val="1"/>
          <c:order val="1"/>
          <c:tx>
            <c:v>IC LBE</c:v>
          </c:tx>
          <c:spPr>
            <a:ln w="25400" cap="rnd">
              <a:noFill/>
              <a:round/>
            </a:ln>
            <a:effectLst/>
          </c:spPr>
          <c:marker>
            <c:symbol val="circle"/>
            <c:size val="5"/>
            <c:spPr>
              <a:solidFill>
                <a:schemeClr val="accent2"/>
              </a:solidFill>
              <a:ln w="9525">
                <a:solidFill>
                  <a:schemeClr val="accent2"/>
                </a:solidFill>
              </a:ln>
              <a:effectLst/>
            </c:spPr>
          </c:marker>
          <c:dLbls>
            <c:dLbl>
              <c:idx val="8"/>
              <c:layout>
                <c:manualLayout>
                  <c:x val="4.2505521736487329E-3"/>
                  <c:y val="5.7868476592677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09-4C35-BCAA-FEB3294384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'Consumo Eléctrico'!$Y$605:$Y$628</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Eléctrico'!$AC$605:$AC$628</c:f>
              <c:numCache>
                <c:formatCode>0.00</c:formatCode>
                <c:ptCount val="24"/>
                <c:pt idx="0">
                  <c:v>120.91429818803256</c:v>
                </c:pt>
                <c:pt idx="1">
                  <c:v>90.55734345980089</c:v>
                </c:pt>
                <c:pt idx="2">
                  <c:v>86.493841665023538</c:v>
                </c:pt>
                <c:pt idx="3">
                  <c:v>50.045730155783673</c:v>
                </c:pt>
                <c:pt idx="4">
                  <c:v>39.884171746694633</c:v>
                </c:pt>
                <c:pt idx="5">
                  <c:v>52.304709581391329</c:v>
                </c:pt>
                <c:pt idx="6">
                  <c:v>54.871632053912627</c:v>
                </c:pt>
                <c:pt idx="7">
                  <c:v>51.921303313978193</c:v>
                </c:pt>
                <c:pt idx="8">
                  <c:v>77.292411049142672</c:v>
                </c:pt>
                <c:pt idx="9">
                  <c:v>81.473668891746613</c:v>
                </c:pt>
                <c:pt idx="10">
                  <c:v>62.599668520199103</c:v>
                </c:pt>
                <c:pt idx="11">
                  <c:v>206.04061204166084</c:v>
                </c:pt>
                <c:pt idx="12">
                  <c:v>108.70501009975119</c:v>
                </c:pt>
                <c:pt idx="13">
                  <c:v>86.593488300757116</c:v>
                </c:pt>
                <c:pt idx="14">
                  <c:v>77.878778870428491</c:v>
                </c:pt>
                <c:pt idx="15">
                  <c:v>47.080156240966929</c:v>
                </c:pt>
                <c:pt idx="16">
                  <c:v>35.172535502920951</c:v>
                </c:pt>
                <c:pt idx="17">
                  <c:v>49.9114044440444</c:v>
                </c:pt>
                <c:pt idx="18">
                  <c:v>47.512197030932249</c:v>
                </c:pt>
                <c:pt idx="19">
                  <c:v>81.268675356606565</c:v>
                </c:pt>
                <c:pt idx="20">
                  <c:v>108.40076447998996</c:v>
                </c:pt>
                <c:pt idx="21">
                  <c:v>124.41551823189307</c:v>
                </c:pt>
                <c:pt idx="22">
                  <c:v>53.933756208184739</c:v>
                </c:pt>
                <c:pt idx="23">
                  <c:v>144.16932324431744</c:v>
                </c:pt>
              </c:numCache>
            </c:numRef>
          </c:yVal>
          <c:smooth val="0"/>
          <c:extLst>
            <c:ext xmlns:c16="http://schemas.microsoft.com/office/drawing/2014/chart" uri="{C3380CC4-5D6E-409C-BE32-E72D297353CC}">
              <c16:uniqueId val="{00000001-5140-454A-B0BC-C96438F2D7B1}"/>
            </c:ext>
          </c:extLst>
        </c:ser>
        <c:dLbls>
          <c:showLegendKey val="0"/>
          <c:showVal val="0"/>
          <c:showCatName val="0"/>
          <c:showSerName val="0"/>
          <c:showPercent val="0"/>
          <c:showBubbleSize val="0"/>
        </c:dLbls>
        <c:axId val="1062871183"/>
        <c:axId val="1062866383"/>
      </c:scatterChart>
      <c:valAx>
        <c:axId val="106287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 [m³]</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66383"/>
        <c:crosses val="autoZero"/>
        <c:crossBetween val="midCat"/>
        <c:majorUnit val="10"/>
      </c:valAx>
      <c:valAx>
        <c:axId val="106286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711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E-real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R-real</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5826571703099666E-2"/>
                  <c:y val="-0.265483377077865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Eléctrico'!$Y$605:$Y$628</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Eléctrico'!$Z$605:$Z$628</c:f>
              <c:numCache>
                <c:formatCode>0.00</c:formatCode>
                <c:ptCount val="24"/>
                <c:pt idx="0">
                  <c:v>8674.83</c:v>
                </c:pt>
                <c:pt idx="1">
                  <c:v>9893.119999999999</c:v>
                </c:pt>
                <c:pt idx="2">
                  <c:v>9689.25</c:v>
                </c:pt>
                <c:pt idx="3">
                  <c:v>9823.56</c:v>
                </c:pt>
                <c:pt idx="4">
                  <c:v>10503.89</c:v>
                </c:pt>
                <c:pt idx="5">
                  <c:v>9931.33</c:v>
                </c:pt>
                <c:pt idx="6">
                  <c:v>9668.73</c:v>
                </c:pt>
                <c:pt idx="7">
                  <c:v>9498.1299999999992</c:v>
                </c:pt>
                <c:pt idx="8">
                  <c:v>9284.99</c:v>
                </c:pt>
                <c:pt idx="9">
                  <c:v>9045.56</c:v>
                </c:pt>
                <c:pt idx="10">
                  <c:v>9676.81</c:v>
                </c:pt>
                <c:pt idx="11">
                  <c:v>8577.93</c:v>
                </c:pt>
                <c:pt idx="12">
                  <c:v>8475</c:v>
                </c:pt>
                <c:pt idx="13">
                  <c:v>8802.64</c:v>
                </c:pt>
                <c:pt idx="14">
                  <c:v>9633.16</c:v>
                </c:pt>
                <c:pt idx="15">
                  <c:v>9796.5</c:v>
                </c:pt>
                <c:pt idx="16">
                  <c:v>11503.69</c:v>
                </c:pt>
                <c:pt idx="17">
                  <c:v>9636.34</c:v>
                </c:pt>
                <c:pt idx="18">
                  <c:v>10051.65</c:v>
                </c:pt>
                <c:pt idx="19">
                  <c:v>8620.61</c:v>
                </c:pt>
                <c:pt idx="20">
                  <c:v>9013.66</c:v>
                </c:pt>
                <c:pt idx="21">
                  <c:v>9003.9</c:v>
                </c:pt>
                <c:pt idx="22">
                  <c:v>10060.049999999999</c:v>
                </c:pt>
                <c:pt idx="23">
                  <c:v>8468.25</c:v>
                </c:pt>
              </c:numCache>
            </c:numRef>
          </c:yVal>
          <c:smooth val="0"/>
          <c:extLst>
            <c:ext xmlns:c16="http://schemas.microsoft.com/office/drawing/2014/chart" uri="{C3380CC4-5D6E-409C-BE32-E72D297353CC}">
              <c16:uniqueId val="{00000001-A51B-4F86-BF53-0878AFC0FBA4}"/>
            </c:ext>
          </c:extLst>
        </c:ser>
        <c:dLbls>
          <c:showLegendKey val="0"/>
          <c:showVal val="0"/>
          <c:showCatName val="0"/>
          <c:showSerName val="0"/>
          <c:showPercent val="0"/>
          <c:showBubbleSize val="0"/>
        </c:dLbls>
        <c:axId val="1565669871"/>
        <c:axId val="1565679471"/>
      </c:scatterChart>
      <c:valAx>
        <c:axId val="156566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 [Ton/mes]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65679471"/>
        <c:crosses val="autoZero"/>
        <c:crossBetween val="midCat"/>
      </c:valAx>
      <c:valAx>
        <c:axId val="1565679471"/>
        <c:scaling>
          <c:orientation val="minMax"/>
          <c:min val="7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 [kWh/mes]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656698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incial sin filtro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inicial sin filtro</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70389148389363265"/>
                  <c:y val="-0.467394014483250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Eléctrico'!$Z$74:$Z$97</c:f>
              <c:numCache>
                <c:formatCode>_ * #,##0.00_ ;_ * \-#,##0.00_ ;_ * "-"_ ;_ @_ </c:formatCode>
                <c:ptCount val="24"/>
                <c:pt idx="0">
                  <c:v>8674.83</c:v>
                </c:pt>
                <c:pt idx="1">
                  <c:v>9893.119999999999</c:v>
                </c:pt>
                <c:pt idx="2">
                  <c:v>9689.25</c:v>
                </c:pt>
                <c:pt idx="3">
                  <c:v>9823.56</c:v>
                </c:pt>
                <c:pt idx="4">
                  <c:v>10503.89</c:v>
                </c:pt>
                <c:pt idx="5">
                  <c:v>9931.33</c:v>
                </c:pt>
                <c:pt idx="6">
                  <c:v>9668.73</c:v>
                </c:pt>
                <c:pt idx="7">
                  <c:v>9498.1299999999992</c:v>
                </c:pt>
                <c:pt idx="8">
                  <c:v>9284.99</c:v>
                </c:pt>
                <c:pt idx="9">
                  <c:v>9045.56</c:v>
                </c:pt>
                <c:pt idx="10">
                  <c:v>9676.81</c:v>
                </c:pt>
                <c:pt idx="11">
                  <c:v>8577.93</c:v>
                </c:pt>
                <c:pt idx="12">
                  <c:v>8475</c:v>
                </c:pt>
                <c:pt idx="13">
                  <c:v>8802.64</c:v>
                </c:pt>
                <c:pt idx="14">
                  <c:v>9633.16</c:v>
                </c:pt>
                <c:pt idx="15">
                  <c:v>9796.5</c:v>
                </c:pt>
                <c:pt idx="16">
                  <c:v>11503.69</c:v>
                </c:pt>
                <c:pt idx="17">
                  <c:v>9636.34</c:v>
                </c:pt>
                <c:pt idx="18">
                  <c:v>10051.65</c:v>
                </c:pt>
                <c:pt idx="19">
                  <c:v>8620.61</c:v>
                </c:pt>
                <c:pt idx="20">
                  <c:v>9013.66</c:v>
                </c:pt>
                <c:pt idx="21">
                  <c:v>9003.9</c:v>
                </c:pt>
                <c:pt idx="22">
                  <c:v>10060.049999999999</c:v>
                </c:pt>
                <c:pt idx="23">
                  <c:v>8468.25</c:v>
                </c:pt>
              </c:numCache>
            </c:numRef>
          </c:yVal>
          <c:smooth val="0"/>
          <c:extLst>
            <c:ext xmlns:c16="http://schemas.microsoft.com/office/drawing/2014/chart" uri="{C3380CC4-5D6E-409C-BE32-E72D297353CC}">
              <c16:uniqueId val="{00000008-9443-4E16-B2C3-09501881DE86}"/>
            </c:ext>
          </c:extLst>
        </c:ser>
        <c:ser>
          <c:idx val="1"/>
          <c:order val="1"/>
          <c:tx>
            <c:v>Límite superior</c:v>
          </c:tx>
          <c:spPr>
            <a:ln w="25400" cap="rnd">
              <a:noFill/>
              <a:round/>
            </a:ln>
            <a:effectLst/>
          </c:spPr>
          <c:marker>
            <c:symbol val="circle"/>
            <c:size val="5"/>
            <c:spPr>
              <a:solidFill>
                <a:schemeClr val="accent2"/>
              </a:solidFill>
              <a:ln w="9525">
                <a:solidFill>
                  <a:schemeClr val="accent2"/>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Eléctrico'!$AE$74:$AE$97</c:f>
              <c:numCache>
                <c:formatCode>_ * #,##0.00_ ;_ * \-#,##0.00_ ;_ * "-"_ ;_ @_ </c:formatCode>
                <c:ptCount val="24"/>
                <c:pt idx="0">
                  <c:v>9573.8949266978052</c:v>
                </c:pt>
                <c:pt idx="1">
                  <c:v>9822.107451388154</c:v>
                </c:pt>
                <c:pt idx="2">
                  <c:v>9870.1899889872766</c:v>
                </c:pt>
                <c:pt idx="3">
                  <c:v>10732.61497035966</c:v>
                </c:pt>
                <c:pt idx="4">
                  <c:v>11342.146902224915</c:v>
                </c:pt>
                <c:pt idx="5">
                  <c:v>10636.449895161411</c:v>
                </c:pt>
                <c:pt idx="6">
                  <c:v>10538.803838312266</c:v>
                </c:pt>
                <c:pt idx="7">
                  <c:v>10652.049568550861</c:v>
                </c:pt>
                <c:pt idx="8">
                  <c:v>10000.379358276747</c:v>
                </c:pt>
                <c:pt idx="9">
                  <c:v>9937.0918925519582</c:v>
                </c:pt>
                <c:pt idx="10">
                  <c:v>10301.846774168738</c:v>
                </c:pt>
                <c:pt idx="11">
                  <c:v>9286.8806827539593</c:v>
                </c:pt>
                <c:pt idx="12">
                  <c:v>9655.4580906652263</c:v>
                </c:pt>
                <c:pt idx="13">
                  <c:v>9868.9502507296056</c:v>
                </c:pt>
                <c:pt idx="14">
                  <c:v>9991.0373589946503</c:v>
                </c:pt>
                <c:pt idx="15">
                  <c:v>10876.42076154393</c:v>
                </c:pt>
                <c:pt idx="16">
                  <c:v>11788.639514972168</c:v>
                </c:pt>
                <c:pt idx="17">
                  <c:v>10738.672066247134</c:v>
                </c:pt>
                <c:pt idx="18">
                  <c:v>10854.073233849504</c:v>
                </c:pt>
                <c:pt idx="19">
                  <c:v>9940.0227158561429</c:v>
                </c:pt>
                <c:pt idx="20">
                  <c:v>9657.7477963716228</c:v>
                </c:pt>
                <c:pt idx="21">
                  <c:v>9553.703569072979</c:v>
                </c:pt>
                <c:pt idx="22">
                  <c:v>10573.172137788817</c:v>
                </c:pt>
                <c:pt idx="23">
                  <c:v>9459.459282197713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9-9443-4E16-B2C3-09501881DE86}"/>
            </c:ext>
          </c:extLst>
        </c:ser>
        <c:ser>
          <c:idx val="2"/>
          <c:order val="2"/>
          <c:tx>
            <c:v>Límite inferior</c:v>
          </c:tx>
          <c:spPr>
            <a:ln w="25400" cap="rnd">
              <a:noFill/>
              <a:round/>
            </a:ln>
            <a:effectLst/>
          </c:spPr>
          <c:marker>
            <c:symbol val="circle"/>
            <c:size val="5"/>
            <c:spPr>
              <a:solidFill>
                <a:schemeClr val="accent3"/>
              </a:solidFill>
              <a:ln w="9525">
                <a:solidFill>
                  <a:schemeClr val="accent3"/>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Eléctrico'!$AF$74:$AF$97</c:f>
              <c:numCache>
                <c:formatCode>_(* #,##0.00_);_(* \(#,##0.00\);_(* "-"??_);_(@_)</c:formatCode>
                <c:ptCount val="24"/>
                <c:pt idx="0">
                  <c:v>8047.3755077208689</c:v>
                </c:pt>
                <c:pt idx="1">
                  <c:v>8295.588032411215</c:v>
                </c:pt>
                <c:pt idx="2">
                  <c:v>8343.6705700103412</c:v>
                </c:pt>
                <c:pt idx="3">
                  <c:v>9206.0955513827248</c:v>
                </c:pt>
                <c:pt idx="4">
                  <c:v>9815.6274832479758</c:v>
                </c:pt>
                <c:pt idx="5">
                  <c:v>9109.930476184476</c:v>
                </c:pt>
                <c:pt idx="6">
                  <c:v>9012.2844193353303</c:v>
                </c:pt>
                <c:pt idx="7">
                  <c:v>9125.5301495739259</c:v>
                </c:pt>
                <c:pt idx="8">
                  <c:v>8473.8599392998112</c:v>
                </c:pt>
                <c:pt idx="9">
                  <c:v>8410.5724735750191</c:v>
                </c:pt>
                <c:pt idx="10">
                  <c:v>8775.3273551918028</c:v>
                </c:pt>
                <c:pt idx="11">
                  <c:v>7760.3612637770211</c:v>
                </c:pt>
                <c:pt idx="12">
                  <c:v>8128.9386716882882</c:v>
                </c:pt>
                <c:pt idx="13">
                  <c:v>8342.4308317526702</c:v>
                </c:pt>
                <c:pt idx="14">
                  <c:v>8464.5179400177149</c:v>
                </c:pt>
                <c:pt idx="15">
                  <c:v>9349.9013425669909</c:v>
                </c:pt>
                <c:pt idx="16">
                  <c:v>10262.120095995233</c:v>
                </c:pt>
                <c:pt idx="17">
                  <c:v>9212.1526472701953</c:v>
                </c:pt>
                <c:pt idx="18">
                  <c:v>9327.5538148725645</c:v>
                </c:pt>
                <c:pt idx="19">
                  <c:v>8413.5032968792075</c:v>
                </c:pt>
                <c:pt idx="20">
                  <c:v>8131.2283773946847</c:v>
                </c:pt>
                <c:pt idx="21">
                  <c:v>8027.1841500960409</c:v>
                </c:pt>
                <c:pt idx="22">
                  <c:v>9046.6527188118816</c:v>
                </c:pt>
                <c:pt idx="23">
                  <c:v>7932.9398632207749</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A-9443-4E16-B2C3-09501881DE86}"/>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0_ ;_ * \-#,##0.00_ ;_ * &quot;-&quot;_ ;_ @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Identificación</a:t>
            </a:r>
            <a:r>
              <a:rPr lang="es-CL" baseline="0"/>
              <a:t> valores</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9664545056867891"/>
                  <c:y val="-0.1237674978127734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Eléctrico'!$Y$289:$Y$314</c:f>
              <c:numCache>
                <c:formatCode>0.00</c:formatCode>
                <c:ptCount val="26"/>
                <c:pt idx="0">
                  <c:v>72.344580000000008</c:v>
                </c:pt>
                <c:pt idx="1">
                  <c:v>104.69536000000001</c:v>
                </c:pt>
                <c:pt idx="2">
                  <c:v>198.85866000000001</c:v>
                </c:pt>
                <c:pt idx="3">
                  <c:v>265.41000000000003</c:v>
                </c:pt>
                <c:pt idx="4">
                  <c:v>188.35893999999999</c:v>
                </c:pt>
                <c:pt idx="5">
                  <c:v>177.69752000000003</c:v>
                </c:pt>
                <c:pt idx="6">
                  <c:v>190.06218000000001</c:v>
                </c:pt>
                <c:pt idx="7">
                  <c:v>118.91</c:v>
                </c:pt>
                <c:pt idx="8">
                  <c:v>112</c:v>
                </c:pt>
                <c:pt idx="9">
                  <c:v>151.82552000000001</c:v>
                </c:pt>
                <c:pt idx="10">
                  <c:v>41.00712</c:v>
                </c:pt>
                <c:pt idx="11">
                  <c:v>81.25</c:v>
                </c:pt>
                <c:pt idx="12">
                  <c:v>104.56</c:v>
                </c:pt>
                <c:pt idx="13">
                  <c:v>117.89</c:v>
                </c:pt>
                <c:pt idx="14">
                  <c:v>214.56</c:v>
                </c:pt>
                <c:pt idx="15">
                  <c:v>314.16000000000003</c:v>
                </c:pt>
                <c:pt idx="16">
                  <c:v>199.52</c:v>
                </c:pt>
                <c:pt idx="17">
                  <c:v>212.12</c:v>
                </c:pt>
                <c:pt idx="18">
                  <c:v>112.32</c:v>
                </c:pt>
                <c:pt idx="19">
                  <c:v>81.5</c:v>
                </c:pt>
                <c:pt idx="20">
                  <c:v>70.14</c:v>
                </c:pt>
                <c:pt idx="21">
                  <c:v>181.45</c:v>
                </c:pt>
                <c:pt idx="22">
                  <c:v>59.85</c:v>
                </c:pt>
              </c:numCache>
            </c:numRef>
          </c:xVal>
          <c:yVal>
            <c:numRef>
              <c:f>'Consumo Eléctrico'!$Z$289:$Z$314</c:f>
              <c:numCache>
                <c:formatCode>0.00</c:formatCode>
                <c:ptCount val="26"/>
                <c:pt idx="0">
                  <c:v>8674.83</c:v>
                </c:pt>
                <c:pt idx="1">
                  <c:v>9689.25</c:v>
                </c:pt>
                <c:pt idx="2">
                  <c:v>9823.56</c:v>
                </c:pt>
                <c:pt idx="3">
                  <c:v>10503.89</c:v>
                </c:pt>
                <c:pt idx="4">
                  <c:v>9931.33</c:v>
                </c:pt>
                <c:pt idx="5">
                  <c:v>9668.73</c:v>
                </c:pt>
                <c:pt idx="6">
                  <c:v>9498.1299999999992</c:v>
                </c:pt>
                <c:pt idx="7">
                  <c:v>9284.99</c:v>
                </c:pt>
                <c:pt idx="8">
                  <c:v>9045.56</c:v>
                </c:pt>
                <c:pt idx="9">
                  <c:v>9676.81</c:v>
                </c:pt>
                <c:pt idx="10">
                  <c:v>8577.93</c:v>
                </c:pt>
                <c:pt idx="11">
                  <c:v>8475</c:v>
                </c:pt>
                <c:pt idx="12">
                  <c:v>8802.64</c:v>
                </c:pt>
                <c:pt idx="13">
                  <c:v>9633.16</c:v>
                </c:pt>
                <c:pt idx="14">
                  <c:v>9796.5</c:v>
                </c:pt>
                <c:pt idx="15">
                  <c:v>11503.69</c:v>
                </c:pt>
                <c:pt idx="16">
                  <c:v>9636.34</c:v>
                </c:pt>
                <c:pt idx="17">
                  <c:v>10051.65</c:v>
                </c:pt>
                <c:pt idx="18">
                  <c:v>8620.61</c:v>
                </c:pt>
                <c:pt idx="19">
                  <c:v>9013.66</c:v>
                </c:pt>
                <c:pt idx="20">
                  <c:v>9003.9</c:v>
                </c:pt>
                <c:pt idx="21">
                  <c:v>10060.049999999999</c:v>
                </c:pt>
                <c:pt idx="22">
                  <c:v>8468.25</c:v>
                </c:pt>
              </c:numCache>
            </c:numRef>
          </c:yVal>
          <c:smooth val="0"/>
          <c:extLst>
            <c:ext xmlns:c16="http://schemas.microsoft.com/office/drawing/2014/chart" uri="{C3380CC4-5D6E-409C-BE32-E72D297353CC}">
              <c16:uniqueId val="{00000000-42E3-49F5-9D34-8C9D3341CAD1}"/>
            </c:ext>
          </c:extLst>
        </c:ser>
        <c:dLbls>
          <c:showLegendKey val="0"/>
          <c:showVal val="0"/>
          <c:showCatName val="0"/>
          <c:showSerName val="0"/>
          <c:showPercent val="0"/>
          <c:showBubbleSize val="0"/>
        </c:dLbls>
        <c:axId val="1106738271"/>
        <c:axId val="1106715711"/>
      </c:scatterChart>
      <c:valAx>
        <c:axId val="1106738271"/>
        <c:scaling>
          <c:orientation val="minMax"/>
          <c:max val="3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06715711"/>
        <c:crosses val="autoZero"/>
        <c:crossBetween val="midCat"/>
      </c:valAx>
      <c:valAx>
        <c:axId val="1106715711"/>
        <c:scaling>
          <c:orientation val="minMax"/>
          <c:min val="6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1067382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CEAT</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2416010498687658E-2"/>
                  <c:y val="-0.157941455234762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Eléctrico'!$Z$745:$Z$756</c:f>
              <c:numCache>
                <c:formatCode>General</c:formatCode>
                <c:ptCount val="12"/>
                <c:pt idx="0">
                  <c:v>8674.83</c:v>
                </c:pt>
                <c:pt idx="1">
                  <c:v>9893.119999999999</c:v>
                </c:pt>
                <c:pt idx="2">
                  <c:v>9689.25</c:v>
                </c:pt>
                <c:pt idx="3">
                  <c:v>9823.56</c:v>
                </c:pt>
                <c:pt idx="4">
                  <c:v>10503.89</c:v>
                </c:pt>
                <c:pt idx="5">
                  <c:v>9931.33</c:v>
                </c:pt>
                <c:pt idx="6">
                  <c:v>9668.73</c:v>
                </c:pt>
                <c:pt idx="7">
                  <c:v>9498.1299999999992</c:v>
                </c:pt>
                <c:pt idx="8">
                  <c:v>9284.99</c:v>
                </c:pt>
                <c:pt idx="9">
                  <c:v>9045.56</c:v>
                </c:pt>
                <c:pt idx="10">
                  <c:v>9676.81</c:v>
                </c:pt>
                <c:pt idx="11">
                  <c:v>8577.93</c:v>
                </c:pt>
              </c:numCache>
            </c:numRef>
          </c:xVal>
          <c:yVal>
            <c:numRef>
              <c:f>'Consumo Eléctrico'!$AB$745:$AB$756</c:f>
              <c:numCache>
                <c:formatCode>0.00</c:formatCode>
                <c:ptCount val="12"/>
                <c:pt idx="0">
                  <c:v>255.1420588235294</c:v>
                </c:pt>
                <c:pt idx="1">
                  <c:v>274.80888888888887</c:v>
                </c:pt>
                <c:pt idx="2">
                  <c:v>254.98026315789474</c:v>
                </c:pt>
                <c:pt idx="3">
                  <c:v>288.92823529411766</c:v>
                </c:pt>
                <c:pt idx="4">
                  <c:v>308.93794117647059</c:v>
                </c:pt>
                <c:pt idx="5">
                  <c:v>300.94939393939393</c:v>
                </c:pt>
                <c:pt idx="6">
                  <c:v>292.99181818181819</c:v>
                </c:pt>
                <c:pt idx="7">
                  <c:v>279.35676470588231</c:v>
                </c:pt>
                <c:pt idx="8">
                  <c:v>265.28542857142855</c:v>
                </c:pt>
                <c:pt idx="9">
                  <c:v>251.26555555555555</c:v>
                </c:pt>
                <c:pt idx="10">
                  <c:v>268.80027777777775</c:v>
                </c:pt>
                <c:pt idx="11">
                  <c:v>245.08371428571431</c:v>
                </c:pt>
              </c:numCache>
            </c:numRef>
          </c:yVal>
          <c:smooth val="0"/>
          <c:extLst>
            <c:ext xmlns:c16="http://schemas.microsoft.com/office/drawing/2014/chart" uri="{C3380CC4-5D6E-409C-BE32-E72D297353CC}">
              <c16:uniqueId val="{00000001-930B-4D00-B98D-386C027FAC68}"/>
            </c:ext>
          </c:extLst>
        </c:ser>
        <c:dLbls>
          <c:showLegendKey val="0"/>
          <c:showVal val="0"/>
          <c:showCatName val="0"/>
          <c:showSerName val="0"/>
          <c:showPercent val="0"/>
          <c:showBubbleSize val="0"/>
        </c:dLbls>
        <c:axId val="1493854688"/>
        <c:axId val="1493861408"/>
      </c:scatterChart>
      <c:valAx>
        <c:axId val="1493854688"/>
        <c:scaling>
          <c:orientation val="minMax"/>
          <c:min val="8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CEATi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61408"/>
        <c:crosses val="autoZero"/>
        <c:crossBetween val="midCat"/>
      </c:valAx>
      <c:valAx>
        <c:axId val="1493861408"/>
        <c:scaling>
          <c:orientation val="minMax"/>
          <c:min val="22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CEi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546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v>CEAT</c:v>
          </c:tx>
          <c:spPr>
            <a:solidFill>
              <a:schemeClr val="accent1"/>
            </a:solidFill>
            <a:ln>
              <a:noFill/>
            </a:ln>
            <a:effectLst/>
          </c:spPr>
          <c:invertIfNegative val="0"/>
          <c:cat>
            <c:numRef>
              <c:f>'Consumo Eléctrico'!$X$745:$X$768</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Eléctrico'!$AE$745:$AE$768</c:f>
              <c:numCache>
                <c:formatCode>_ * #,##0.00_ ;_ * \-#,##0.00_ ;_ * "-"_ ;_ @_ </c:formatCode>
                <c:ptCount val="24"/>
                <c:pt idx="0">
                  <c:v>255.1420588235294</c:v>
                </c:pt>
                <c:pt idx="1">
                  <c:v>274.80888888888887</c:v>
                </c:pt>
                <c:pt idx="2">
                  <c:v>254.98026315789474</c:v>
                </c:pt>
                <c:pt idx="3">
                  <c:v>288.92823529411766</c:v>
                </c:pt>
                <c:pt idx="4">
                  <c:v>308.93794117647059</c:v>
                </c:pt>
                <c:pt idx="5">
                  <c:v>300.94939393939393</c:v>
                </c:pt>
                <c:pt idx="6">
                  <c:v>292.99181818181819</c:v>
                </c:pt>
                <c:pt idx="7">
                  <c:v>279.35676470588231</c:v>
                </c:pt>
                <c:pt idx="8">
                  <c:v>265.28542857142855</c:v>
                </c:pt>
                <c:pt idx="9">
                  <c:v>251.26555555555555</c:v>
                </c:pt>
                <c:pt idx="10">
                  <c:v>268.80027777777775</c:v>
                </c:pt>
                <c:pt idx="11">
                  <c:v>245.08371428571431</c:v>
                </c:pt>
                <c:pt idx="12">
                  <c:v>325.96153846153845</c:v>
                </c:pt>
                <c:pt idx="13">
                  <c:v>266.74666666666667</c:v>
                </c:pt>
                <c:pt idx="14">
                  <c:v>291.91393939393942</c:v>
                </c:pt>
                <c:pt idx="15">
                  <c:v>296.86363636363637</c:v>
                </c:pt>
                <c:pt idx="16">
                  <c:v>348.59666666666669</c:v>
                </c:pt>
                <c:pt idx="17">
                  <c:v>292.01030303030302</c:v>
                </c:pt>
                <c:pt idx="18">
                  <c:v>287.19</c:v>
                </c:pt>
                <c:pt idx="19">
                  <c:v>246.30314285714289</c:v>
                </c:pt>
                <c:pt idx="20">
                  <c:v>265.10764705882355</c:v>
                </c:pt>
                <c:pt idx="21">
                  <c:v>257.25428571428569</c:v>
                </c:pt>
                <c:pt idx="22">
                  <c:v>287.43</c:v>
                </c:pt>
                <c:pt idx="23">
                  <c:v>249.06617647058823</c:v>
                </c:pt>
              </c:numCache>
            </c:numRef>
          </c:val>
          <c:extLst>
            <c:ext xmlns:c16="http://schemas.microsoft.com/office/drawing/2014/chart" uri="{C3380CC4-5D6E-409C-BE32-E72D297353CC}">
              <c16:uniqueId val="{00000000-8A33-43CB-B5D6-462412F76AFC}"/>
            </c:ext>
          </c:extLst>
        </c:ser>
        <c:ser>
          <c:idx val="1"/>
          <c:order val="1"/>
          <c:tx>
            <c:v>CEAT Meta</c:v>
          </c:tx>
          <c:spPr>
            <a:solidFill>
              <a:schemeClr val="accent2"/>
            </a:solidFill>
            <a:ln>
              <a:noFill/>
            </a:ln>
            <a:effectLst/>
          </c:spPr>
          <c:invertIfNegative val="0"/>
          <c:cat>
            <c:numRef>
              <c:f>'Consumo Eléctrico'!$X$745:$X$768</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Eléctrico'!$AF$745:$AF$768</c:f>
              <c:numCache>
                <c:formatCode>0.00</c:formatCode>
                <c:ptCount val="24"/>
                <c:pt idx="0">
                  <c:v>247.47862800000001</c:v>
                </c:pt>
                <c:pt idx="1">
                  <c:v>285.97659199999998</c:v>
                </c:pt>
                <c:pt idx="2">
                  <c:v>279.53430000000003</c:v>
                </c:pt>
                <c:pt idx="3">
                  <c:v>283.77849600000002</c:v>
                </c:pt>
                <c:pt idx="4">
                  <c:v>305.27692400000001</c:v>
                </c:pt>
                <c:pt idx="5">
                  <c:v>287.18402800000001</c:v>
                </c:pt>
                <c:pt idx="6">
                  <c:v>278.88586800000002</c:v>
                </c:pt>
                <c:pt idx="7">
                  <c:v>273.49490800000001</c:v>
                </c:pt>
                <c:pt idx="8">
                  <c:v>266.75968399999999</c:v>
                </c:pt>
                <c:pt idx="9">
                  <c:v>259.19369599999999</c:v>
                </c:pt>
                <c:pt idx="10">
                  <c:v>279.14119599999998</c:v>
                </c:pt>
                <c:pt idx="11">
                  <c:v>244.41658800000005</c:v>
                </c:pt>
                <c:pt idx="12">
                  <c:v>241.16399999999999</c:v>
                </c:pt>
                <c:pt idx="13">
                  <c:v>251.51742400000001</c:v>
                </c:pt>
                <c:pt idx="14">
                  <c:v>277.76185600000002</c:v>
                </c:pt>
                <c:pt idx="15">
                  <c:v>282.92340000000002</c:v>
                </c:pt>
                <c:pt idx="16">
                  <c:v>336.87060400000001</c:v>
                </c:pt>
                <c:pt idx="17">
                  <c:v>277.86234400000001</c:v>
                </c:pt>
                <c:pt idx="18">
                  <c:v>290.98613999999998</c:v>
                </c:pt>
                <c:pt idx="19">
                  <c:v>245.76527600000003</c:v>
                </c:pt>
                <c:pt idx="20">
                  <c:v>258.18565599999999</c:v>
                </c:pt>
                <c:pt idx="21">
                  <c:v>257.87724000000003</c:v>
                </c:pt>
                <c:pt idx="22">
                  <c:v>291.25157999999999</c:v>
                </c:pt>
                <c:pt idx="23">
                  <c:v>240.95069999999998</c:v>
                </c:pt>
              </c:numCache>
            </c:numRef>
          </c:val>
          <c:extLst>
            <c:ext xmlns:c16="http://schemas.microsoft.com/office/drawing/2014/chart" uri="{C3380CC4-5D6E-409C-BE32-E72D297353CC}">
              <c16:uniqueId val="{00000001-8A33-43CB-B5D6-462412F76AFC}"/>
            </c:ext>
          </c:extLst>
        </c:ser>
        <c:dLbls>
          <c:showLegendKey val="0"/>
          <c:showVal val="0"/>
          <c:showCatName val="0"/>
          <c:showSerName val="0"/>
          <c:showPercent val="0"/>
          <c:showBubbleSize val="0"/>
        </c:dLbls>
        <c:gapWidth val="219"/>
        <c:overlap val="-27"/>
        <c:axId val="2016993696"/>
        <c:axId val="2016976416"/>
      </c:barChart>
      <c:dateAx>
        <c:axId val="201699369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76416"/>
        <c:crosses val="autoZero"/>
        <c:auto val="1"/>
        <c:lblOffset val="100"/>
        <c:baseTimeUnit val="months"/>
      </c:dateAx>
      <c:valAx>
        <c:axId val="201697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energético eléctrico por trabajador [kWh/trabajador]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9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CEAEFET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v>CEAEFET</c:v>
          </c:tx>
          <c:spPr>
            <a:solidFill>
              <a:schemeClr val="accent1"/>
            </a:solidFill>
            <a:ln>
              <a:noFill/>
            </a:ln>
            <a:effectLst/>
          </c:spPr>
          <c:invertIfNegative val="0"/>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strRef>
          </c:cat>
          <c:val>
            <c:numRef>
              <c:f>'Consumo Eléctrico'!$AE$788:$AE$811</c:f>
              <c:numCache>
                <c:formatCode>_ * #,##0.00_ ;_ * \-#,##0.00_ ;_ * "-"_ ;_ @_ </c:formatCode>
                <c:ptCount val="24"/>
                <c:pt idx="0">
                  <c:v>457.97401143953124</c:v>
                </c:pt>
                <c:pt idx="1">
                  <c:v>523.38179244026026</c:v>
                </c:pt>
                <c:pt idx="2">
                  <c:v>500.92161038208457</c:v>
                </c:pt>
                <c:pt idx="3">
                  <c:v>773.4739370953796</c:v>
                </c:pt>
                <c:pt idx="4">
                  <c:v>764.51286438272962</c:v>
                </c:pt>
                <c:pt idx="5">
                  <c:v>776.08373148528267</c:v>
                </c:pt>
                <c:pt idx="6">
                  <c:v>743.66803872414425</c:v>
                </c:pt>
                <c:pt idx="7">
                  <c:v>744.31281781417715</c:v>
                </c:pt>
                <c:pt idx="8">
                  <c:v>458.84714920789776</c:v>
                </c:pt>
                <c:pt idx="9">
                  <c:v>438.21945216198947</c:v>
                </c:pt>
                <c:pt idx="10">
                  <c:v>627.53081867570938</c:v>
                </c:pt>
                <c:pt idx="11">
                  <c:v>374.33367857246259</c:v>
                </c:pt>
                <c:pt idx="12">
                  <c:v>573.68285256608442</c:v>
                </c:pt>
                <c:pt idx="13">
                  <c:v>532.80068350381202</c:v>
                </c:pt>
                <c:pt idx="14">
                  <c:v>569.77563299885605</c:v>
                </c:pt>
                <c:pt idx="15">
                  <c:v>786.67312795004659</c:v>
                </c:pt>
                <c:pt idx="16">
                  <c:v>778.12385269703907</c:v>
                </c:pt>
                <c:pt idx="17">
                  <c:v>708.87344823565809</c:v>
                </c:pt>
                <c:pt idx="18">
                  <c:v>696.07845238422351</c:v>
                </c:pt>
                <c:pt idx="19">
                  <c:v>680.93052619395337</c:v>
                </c:pt>
                <c:pt idx="20">
                  <c:v>456.84331372702411</c:v>
                </c:pt>
                <c:pt idx="21">
                  <c:v>441.84452381100056</c:v>
                </c:pt>
                <c:pt idx="22">
                  <c:v>642.48621190760241</c:v>
                </c:pt>
                <c:pt idx="23">
                  <c:v>377.09680147161248</c:v>
                </c:pt>
              </c:numCache>
            </c:numRef>
          </c:val>
          <c:extLst>
            <c:ext xmlns:c16="http://schemas.microsoft.com/office/drawing/2014/chart" uri="{C3380CC4-5D6E-409C-BE32-E72D297353CC}">
              <c16:uniqueId val="{00000000-F7D3-4791-9780-EFB129380F8D}"/>
            </c:ext>
          </c:extLst>
        </c:ser>
        <c:ser>
          <c:idx val="1"/>
          <c:order val="1"/>
          <c:tx>
            <c:v>CEAEFET Meta</c:v>
          </c:tx>
          <c:spPr>
            <a:solidFill>
              <a:schemeClr val="accent2"/>
            </a:solidFill>
            <a:ln>
              <a:noFill/>
            </a:ln>
            <a:effectLst/>
          </c:spPr>
          <c:invertIfNegative val="0"/>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strRef>
          </c:cat>
          <c:val>
            <c:numRef>
              <c:f>'Consumo Eléctrico'!$AF$788:$AF$811</c:f>
              <c:numCache>
                <c:formatCode>0.00</c:formatCode>
                <c:ptCount val="24"/>
                <c:pt idx="0">
                  <c:v>436.34927789063238</c:v>
                </c:pt>
                <c:pt idx="1">
                  <c:v>539.70112708004012</c:v>
                </c:pt>
                <c:pt idx="2">
                  <c:v>545.80866974680725</c:v>
                </c:pt>
                <c:pt idx="3">
                  <c:v>775.32239801527589</c:v>
                </c:pt>
                <c:pt idx="4">
                  <c:v>765.6946214928048</c:v>
                </c:pt>
                <c:pt idx="5">
                  <c:v>753.60211519285292</c:v>
                </c:pt>
                <c:pt idx="6">
                  <c:v>719.79903078153768</c:v>
                </c:pt>
                <c:pt idx="7">
                  <c:v>743.99169145955204</c:v>
                </c:pt>
                <c:pt idx="8">
                  <c:v>451.786947023935</c:v>
                </c:pt>
                <c:pt idx="9">
                  <c:v>442.82044877947931</c:v>
                </c:pt>
                <c:pt idx="10">
                  <c:v>658.18105932548713</c:v>
                </c:pt>
                <c:pt idx="11">
                  <c:v>358.31504850114374</c:v>
                </c:pt>
                <c:pt idx="12">
                  <c:v>415.63983166829502</c:v>
                </c:pt>
                <c:pt idx="13">
                  <c:v>499.90655275777522</c:v>
                </c:pt>
                <c:pt idx="14">
                  <c:v>538.46403009120718</c:v>
                </c:pt>
                <c:pt idx="15">
                  <c:v>764.64473782630864</c:v>
                </c:pt>
                <c:pt idx="16">
                  <c:v>755.72955359247237</c:v>
                </c:pt>
                <c:pt idx="17">
                  <c:v>683.51523182014444</c:v>
                </c:pt>
                <c:pt idx="18">
                  <c:v>714.16476833695128</c:v>
                </c:pt>
                <c:pt idx="19">
                  <c:v>697.41116197051247</c:v>
                </c:pt>
                <c:pt idx="20">
                  <c:v>435.13445626831475</c:v>
                </c:pt>
                <c:pt idx="21">
                  <c:v>432.98204333496665</c:v>
                </c:pt>
                <c:pt idx="22">
                  <c:v>654.89175036980839</c:v>
                </c:pt>
                <c:pt idx="23">
                  <c:v>349.45480350110051</c:v>
                </c:pt>
              </c:numCache>
            </c:numRef>
          </c:val>
          <c:extLst>
            <c:ext xmlns:c16="http://schemas.microsoft.com/office/drawing/2014/chart" uri="{C3380CC4-5D6E-409C-BE32-E72D297353CC}">
              <c16:uniqueId val="{00000001-F7D3-4791-9780-EFB129380F8D}"/>
            </c:ext>
          </c:extLst>
        </c:ser>
        <c:dLbls>
          <c:showLegendKey val="0"/>
          <c:showVal val="0"/>
          <c:showCatName val="0"/>
          <c:showSerName val="0"/>
          <c:showPercent val="0"/>
          <c:showBubbleSize val="0"/>
        </c:dLbls>
        <c:gapWidth val="219"/>
        <c:overlap val="-27"/>
        <c:axId val="2016993696"/>
        <c:axId val="2016976416"/>
      </c:barChart>
      <c:catAx>
        <c:axId val="20169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76416"/>
        <c:crosses val="autoZero"/>
        <c:auto val="1"/>
        <c:lblAlgn val="ctr"/>
        <c:lblOffset val="100"/>
        <c:noMultiLvlLbl val="0"/>
      </c:catAx>
      <c:valAx>
        <c:axId val="201697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energético eléctrico por trabajador [kWh/trabajador]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9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CEAEFET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CEAEFET</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2416010498687658E-2"/>
                  <c:y val="-0.157941455234762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Eléctrico'!$Z$788:$Z$799</c:f>
              <c:numCache>
                <c:formatCode>0.00</c:formatCode>
                <c:ptCount val="12"/>
                <c:pt idx="0">
                  <c:v>15571.116388944061</c:v>
                </c:pt>
                <c:pt idx="1">
                  <c:v>18841.744527849369</c:v>
                </c:pt>
                <c:pt idx="2">
                  <c:v>19035.021194519213</c:v>
                </c:pt>
                <c:pt idx="3">
                  <c:v>26298.113861242906</c:v>
                </c:pt>
                <c:pt idx="4">
                  <c:v>25993.437389012808</c:v>
                </c:pt>
                <c:pt idx="5">
                  <c:v>25610.763139014329</c:v>
                </c:pt>
                <c:pt idx="6">
                  <c:v>24541.045277896759</c:v>
                </c:pt>
                <c:pt idx="7">
                  <c:v>25306.635805682025</c:v>
                </c:pt>
                <c:pt idx="8">
                  <c:v>16059.650222276421</c:v>
                </c:pt>
                <c:pt idx="9">
                  <c:v>15775.900277831621</c:v>
                </c:pt>
                <c:pt idx="10">
                  <c:v>22591.109472325537</c:v>
                </c:pt>
                <c:pt idx="11">
                  <c:v>13101.678750036192</c:v>
                </c:pt>
              </c:numCache>
            </c:numRef>
          </c:xVal>
          <c:yVal>
            <c:numRef>
              <c:f>'Consumo Eléctrico'!$AB$788:$AB$799</c:f>
              <c:numCache>
                <c:formatCode>0.00</c:formatCode>
                <c:ptCount val="12"/>
                <c:pt idx="0">
                  <c:v>457.97401143953124</c:v>
                </c:pt>
                <c:pt idx="1">
                  <c:v>523.38179244026026</c:v>
                </c:pt>
                <c:pt idx="2">
                  <c:v>500.92161038208457</c:v>
                </c:pt>
                <c:pt idx="3">
                  <c:v>773.4739370953796</c:v>
                </c:pt>
                <c:pt idx="4">
                  <c:v>764.51286438272962</c:v>
                </c:pt>
                <c:pt idx="5">
                  <c:v>776.08373148528267</c:v>
                </c:pt>
                <c:pt idx="6">
                  <c:v>743.66803872414425</c:v>
                </c:pt>
                <c:pt idx="7">
                  <c:v>744.31281781417715</c:v>
                </c:pt>
                <c:pt idx="8">
                  <c:v>458.84714920789776</c:v>
                </c:pt>
                <c:pt idx="9">
                  <c:v>438.21945216198947</c:v>
                </c:pt>
                <c:pt idx="10">
                  <c:v>627.53081867570938</c:v>
                </c:pt>
                <c:pt idx="11">
                  <c:v>374.33367857246259</c:v>
                </c:pt>
              </c:numCache>
            </c:numRef>
          </c:yVal>
          <c:smooth val="0"/>
          <c:extLst>
            <c:ext xmlns:c16="http://schemas.microsoft.com/office/drawing/2014/chart" uri="{C3380CC4-5D6E-409C-BE32-E72D297353CC}">
              <c16:uniqueId val="{00000001-CC6E-4DAC-9480-A1F7BA035B73}"/>
            </c:ext>
          </c:extLst>
        </c:ser>
        <c:dLbls>
          <c:showLegendKey val="0"/>
          <c:showVal val="0"/>
          <c:showCatName val="0"/>
          <c:showSerName val="0"/>
          <c:showPercent val="0"/>
          <c:showBubbleSize val="0"/>
        </c:dLbls>
        <c:axId val="1493854688"/>
        <c:axId val="1493861408"/>
      </c:scatterChart>
      <c:valAx>
        <c:axId val="1493854688"/>
        <c:scaling>
          <c:orientation val="minMax"/>
          <c:min val="7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CEAEFETi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61408"/>
        <c:crosses val="autoZero"/>
        <c:crossBetween val="midCat"/>
      </c:valAx>
      <c:valAx>
        <c:axId val="1493861408"/>
        <c:scaling>
          <c:orientation val="minMax"/>
          <c:min val="18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CEf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546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v>CEAS</c:v>
          </c:tx>
          <c:spPr>
            <a:solidFill>
              <a:schemeClr val="accent1"/>
            </a:solidFill>
            <a:ln>
              <a:noFill/>
            </a:ln>
            <a:effectLst/>
          </c:spPr>
          <c:invertIfNegative val="0"/>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strRef>
          </c:cat>
          <c:val>
            <c:numRef>
              <c:f>'Consumo Eléctrico'!$AE$838:$AE$861</c:f>
              <c:numCache>
                <c:formatCode>_ * #,##0.00_ ;_ * \-#,##0.00_ ;_ * "-"_ ;_ @_ </c:formatCode>
                <c:ptCount val="24"/>
                <c:pt idx="0">
                  <c:v>1.7301240432160068</c:v>
                </c:pt>
                <c:pt idx="1">
                  <c:v>2.0935271697610411</c:v>
                </c:pt>
                <c:pt idx="2">
                  <c:v>2.1150023549465793</c:v>
                </c:pt>
                <c:pt idx="3">
                  <c:v>2.9220126512492119</c:v>
                </c:pt>
                <c:pt idx="4">
                  <c:v>2.8881597098903122</c:v>
                </c:pt>
                <c:pt idx="5">
                  <c:v>2.8456403487793698</c:v>
                </c:pt>
                <c:pt idx="6">
                  <c:v>2.7267828086551953</c:v>
                </c:pt>
                <c:pt idx="7">
                  <c:v>2.8118484228535583</c:v>
                </c:pt>
                <c:pt idx="8">
                  <c:v>1.7844055802529357</c:v>
                </c:pt>
                <c:pt idx="9">
                  <c:v>1.7528778086479579</c:v>
                </c:pt>
                <c:pt idx="10">
                  <c:v>2.5101232747028375</c:v>
                </c:pt>
                <c:pt idx="11">
                  <c:v>1.4557420833373547</c:v>
                </c:pt>
                <c:pt idx="12">
                  <c:v>1.6573060185242439</c:v>
                </c:pt>
                <c:pt idx="13">
                  <c:v>1.9536025061806439</c:v>
                </c:pt>
                <c:pt idx="14">
                  <c:v>2.0891773209958053</c:v>
                </c:pt>
                <c:pt idx="15">
                  <c:v>2.8844681358168374</c:v>
                </c:pt>
                <c:pt idx="16">
                  <c:v>2.8531207932224762</c:v>
                </c:pt>
                <c:pt idx="17">
                  <c:v>2.5992026435307465</c:v>
                </c:pt>
                <c:pt idx="18">
                  <c:v>2.7069717592719802</c:v>
                </c:pt>
                <c:pt idx="19">
                  <c:v>2.6480631574209297</c:v>
                </c:pt>
                <c:pt idx="20">
                  <c:v>1.7258525185243132</c:v>
                </c:pt>
                <c:pt idx="21">
                  <c:v>1.7182842592650021</c:v>
                </c:pt>
                <c:pt idx="22">
                  <c:v>2.4985574907517871</c:v>
                </c:pt>
                <c:pt idx="23">
                  <c:v>1.4245879166705362</c:v>
                </c:pt>
              </c:numCache>
            </c:numRef>
          </c:val>
          <c:extLst>
            <c:ext xmlns:c16="http://schemas.microsoft.com/office/drawing/2014/chart" uri="{C3380CC4-5D6E-409C-BE32-E72D297353CC}">
              <c16:uniqueId val="{00000000-22E7-4BAE-A5AF-1204093A6C25}"/>
            </c:ext>
          </c:extLst>
        </c:ser>
        <c:ser>
          <c:idx val="1"/>
          <c:order val="1"/>
          <c:tx>
            <c:v>CEAS Meta</c:v>
          </c:tx>
          <c:spPr>
            <a:solidFill>
              <a:schemeClr val="accent2"/>
            </a:solidFill>
            <a:ln>
              <a:noFill/>
            </a:ln>
            <a:effectLst/>
          </c:spPr>
          <c:invertIfNegative val="0"/>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extLst xmlns:c15="http://schemas.microsoft.com/office/drawing/2012/chart"/>
            </c:strRef>
          </c:cat>
          <c:val>
            <c:numRef>
              <c:f>'Consumo Eléctrico'!$AF$838:$AF$861</c:f>
              <c:numCache>
                <c:formatCode>0.00</c:formatCode>
                <c:ptCount val="24"/>
                <c:pt idx="0">
                  <c:v>1.5571116388944162</c:v>
                </c:pt>
                <c:pt idx="1">
                  <c:v>1.8841744527849469</c:v>
                </c:pt>
                <c:pt idx="2">
                  <c:v>1.9035021194519315</c:v>
                </c:pt>
                <c:pt idx="3">
                  <c:v>2.6298113861243011</c:v>
                </c:pt>
                <c:pt idx="4">
                  <c:v>2.599343738901291</c:v>
                </c:pt>
                <c:pt idx="5">
                  <c:v>2.5610763139014434</c:v>
                </c:pt>
                <c:pt idx="6">
                  <c:v>2.4541045277896862</c:v>
                </c:pt>
                <c:pt idx="7">
                  <c:v>2.5306635805682127</c:v>
                </c:pt>
                <c:pt idx="8">
                  <c:v>1.6059650222276523</c:v>
                </c:pt>
                <c:pt idx="9">
                  <c:v>1.5775900277831723</c:v>
                </c:pt>
                <c:pt idx="10">
                  <c:v>2.2591109472325641</c:v>
                </c:pt>
                <c:pt idx="11">
                  <c:v>1.3101678750036292</c:v>
                </c:pt>
                <c:pt idx="12">
                  <c:v>1.4915754166718294</c:v>
                </c:pt>
                <c:pt idx="13">
                  <c:v>1.7582422555625896</c:v>
                </c:pt>
                <c:pt idx="14">
                  <c:v>1.880259588896235</c:v>
                </c:pt>
                <c:pt idx="15">
                  <c:v>2.5960213222351638</c:v>
                </c:pt>
                <c:pt idx="16">
                  <c:v>2.5678087139002392</c:v>
                </c:pt>
                <c:pt idx="17">
                  <c:v>2.339282379177682</c:v>
                </c:pt>
                <c:pt idx="18">
                  <c:v>2.4362745833447925</c:v>
                </c:pt>
                <c:pt idx="19">
                  <c:v>2.3832568416788469</c:v>
                </c:pt>
                <c:pt idx="20">
                  <c:v>1.5532672666718921</c:v>
                </c:pt>
                <c:pt idx="21">
                  <c:v>1.5464558333385119</c:v>
                </c:pt>
                <c:pt idx="22">
                  <c:v>2.2487017416766188</c:v>
                </c:pt>
                <c:pt idx="23">
                  <c:v>1.2821291250034925</c:v>
                </c:pt>
              </c:numCache>
            </c:numRef>
          </c:val>
          <c:extLst xmlns:c15="http://schemas.microsoft.com/office/drawing/2012/chart">
            <c:ext xmlns:c16="http://schemas.microsoft.com/office/drawing/2014/chart" uri="{C3380CC4-5D6E-409C-BE32-E72D297353CC}">
              <c16:uniqueId val="{00000001-22E7-4BAE-A5AF-1204093A6C25}"/>
            </c:ext>
          </c:extLst>
        </c:ser>
        <c:dLbls>
          <c:showLegendKey val="0"/>
          <c:showVal val="0"/>
          <c:showCatName val="0"/>
          <c:showSerName val="0"/>
          <c:showPercent val="0"/>
          <c:showBubbleSize val="0"/>
        </c:dLbls>
        <c:gapWidth val="219"/>
        <c:overlap val="-27"/>
        <c:axId val="2016993696"/>
        <c:axId val="2016976416"/>
        <c:extLst/>
      </c:barChart>
      <c:catAx>
        <c:axId val="20169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76416"/>
        <c:crosses val="autoZero"/>
        <c:auto val="1"/>
        <c:lblAlgn val="ctr"/>
        <c:lblOffset val="100"/>
        <c:noMultiLvlLbl val="0"/>
      </c:catAx>
      <c:valAx>
        <c:axId val="201697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a:t>
                </a:r>
                <a:r>
                  <a:rPr lang="en-US" baseline="0"/>
                  <a:t> energético anual  por superficie [kWh/m²]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9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v>CEAS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strRef>
          </c:cat>
          <c:val>
            <c:numRef>
              <c:f>'Consumo Eléctrico'!$AE$838:$AE$849</c:f>
              <c:numCache>
                <c:formatCode>_ * #,##0.00_ ;_ * \-#,##0.00_ ;_ * "-"_ ;_ @_ </c:formatCode>
                <c:ptCount val="12"/>
                <c:pt idx="0">
                  <c:v>1.7301240432160068</c:v>
                </c:pt>
                <c:pt idx="1">
                  <c:v>2.0935271697610411</c:v>
                </c:pt>
                <c:pt idx="2">
                  <c:v>2.1150023549465793</c:v>
                </c:pt>
                <c:pt idx="3">
                  <c:v>2.9220126512492119</c:v>
                </c:pt>
                <c:pt idx="4">
                  <c:v>2.8881597098903122</c:v>
                </c:pt>
                <c:pt idx="5">
                  <c:v>2.8456403487793698</c:v>
                </c:pt>
                <c:pt idx="6">
                  <c:v>2.7267828086551953</c:v>
                </c:pt>
                <c:pt idx="7">
                  <c:v>2.8118484228535583</c:v>
                </c:pt>
                <c:pt idx="8">
                  <c:v>1.7844055802529357</c:v>
                </c:pt>
                <c:pt idx="9">
                  <c:v>1.7528778086479579</c:v>
                </c:pt>
                <c:pt idx="10">
                  <c:v>2.5101232747028375</c:v>
                </c:pt>
                <c:pt idx="11">
                  <c:v>1.4557420833373547</c:v>
                </c:pt>
              </c:numCache>
            </c:numRef>
          </c:val>
          <c:extLst>
            <c:ext xmlns:c16="http://schemas.microsoft.com/office/drawing/2014/chart" uri="{C3380CC4-5D6E-409C-BE32-E72D297353CC}">
              <c16:uniqueId val="{00000000-F26A-4445-9678-1E6A09C9B19A}"/>
            </c:ext>
          </c:extLst>
        </c:ser>
        <c:ser>
          <c:idx val="1"/>
          <c:order val="1"/>
          <c:tx>
            <c:v>CEAS Meta</c:v>
          </c:tx>
          <c:spPr>
            <a:solidFill>
              <a:schemeClr val="accent2"/>
            </a:solidFill>
            <a:ln>
              <a:noFill/>
            </a:ln>
            <a:effectLst/>
          </c:spPr>
          <c:invertIfNegative val="0"/>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extLst xmlns:c15="http://schemas.microsoft.com/office/drawing/2012/chart"/>
            </c:strRef>
          </c:cat>
          <c:val>
            <c:numRef>
              <c:f>'Consumo Eléctrico'!$AF$838:$AF$849</c:f>
              <c:numCache>
                <c:formatCode>0.00</c:formatCode>
                <c:ptCount val="12"/>
                <c:pt idx="0">
                  <c:v>1.5571116388944162</c:v>
                </c:pt>
                <c:pt idx="1">
                  <c:v>1.8841744527849469</c:v>
                </c:pt>
                <c:pt idx="2">
                  <c:v>1.9035021194519315</c:v>
                </c:pt>
                <c:pt idx="3">
                  <c:v>2.6298113861243011</c:v>
                </c:pt>
                <c:pt idx="4">
                  <c:v>2.599343738901291</c:v>
                </c:pt>
                <c:pt idx="5">
                  <c:v>2.5610763139014434</c:v>
                </c:pt>
                <c:pt idx="6">
                  <c:v>2.4541045277896862</c:v>
                </c:pt>
                <c:pt idx="7">
                  <c:v>2.5306635805682127</c:v>
                </c:pt>
                <c:pt idx="8">
                  <c:v>1.6059650222276523</c:v>
                </c:pt>
                <c:pt idx="9">
                  <c:v>1.5775900277831723</c:v>
                </c:pt>
                <c:pt idx="10">
                  <c:v>2.2591109472325641</c:v>
                </c:pt>
                <c:pt idx="11">
                  <c:v>1.3101678750036292</c:v>
                </c:pt>
              </c:numCache>
            </c:numRef>
          </c:val>
          <c:extLst xmlns:c15="http://schemas.microsoft.com/office/drawing/2012/chart">
            <c:ext xmlns:c16="http://schemas.microsoft.com/office/drawing/2014/chart" uri="{C3380CC4-5D6E-409C-BE32-E72D297353CC}">
              <c16:uniqueId val="{00000001-F26A-4445-9678-1E6A09C9B19A}"/>
            </c:ext>
          </c:extLst>
        </c:ser>
        <c:dLbls>
          <c:showLegendKey val="0"/>
          <c:showVal val="0"/>
          <c:showCatName val="0"/>
          <c:showSerName val="0"/>
          <c:showPercent val="0"/>
          <c:showBubbleSize val="0"/>
        </c:dLbls>
        <c:gapWidth val="219"/>
        <c:overlap val="-27"/>
        <c:axId val="2016993696"/>
        <c:axId val="2016976416"/>
        <c:extLst/>
      </c:barChart>
      <c:catAx>
        <c:axId val="20169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76416"/>
        <c:crosses val="autoZero"/>
        <c:auto val="1"/>
        <c:lblAlgn val="ctr"/>
        <c:lblOffset val="100"/>
        <c:noMultiLvlLbl val="0"/>
      </c:catAx>
      <c:valAx>
        <c:axId val="201697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a:t>
                </a:r>
                <a:r>
                  <a:rPr lang="en-US" baseline="0"/>
                  <a:t> energético anual  por superficie [kWh/m²]</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9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CEAS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2416010498687658E-2"/>
                  <c:y val="-0.157941455234762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Eléctrico'!$Z$838:$Z$849</c:f>
              <c:numCache>
                <c:formatCode>_(* #,##0_);_(* \(#,##0\);_(* "-"_);_(@_)</c:formatCode>
                <c:ptCount val="12"/>
                <c:pt idx="0">
                  <c:v>15571.116388944061</c:v>
                </c:pt>
                <c:pt idx="1">
                  <c:v>18841.744527849369</c:v>
                </c:pt>
                <c:pt idx="2">
                  <c:v>19035.021194519213</c:v>
                </c:pt>
                <c:pt idx="3">
                  <c:v>26298.113861242906</c:v>
                </c:pt>
                <c:pt idx="4">
                  <c:v>25993.437389012808</c:v>
                </c:pt>
                <c:pt idx="5">
                  <c:v>25610.763139014329</c:v>
                </c:pt>
                <c:pt idx="6">
                  <c:v>24541.045277896759</c:v>
                </c:pt>
                <c:pt idx="7">
                  <c:v>25306.635805682025</c:v>
                </c:pt>
                <c:pt idx="8">
                  <c:v>16059.650222276421</c:v>
                </c:pt>
                <c:pt idx="9">
                  <c:v>15775.900277831621</c:v>
                </c:pt>
                <c:pt idx="10">
                  <c:v>22591.109472325537</c:v>
                </c:pt>
                <c:pt idx="11">
                  <c:v>13101.678750036192</c:v>
                </c:pt>
              </c:numCache>
            </c:numRef>
          </c:xVal>
          <c:yVal>
            <c:numRef>
              <c:f>'Consumo Eléctrico'!$AB$838:$AB$849</c:f>
              <c:numCache>
                <c:formatCode>0.00</c:formatCode>
                <c:ptCount val="12"/>
                <c:pt idx="0">
                  <c:v>1.7301240432160068</c:v>
                </c:pt>
                <c:pt idx="1">
                  <c:v>2.0935271697610411</c:v>
                </c:pt>
                <c:pt idx="2">
                  <c:v>2.1150023549465793</c:v>
                </c:pt>
                <c:pt idx="3">
                  <c:v>2.9220126512492119</c:v>
                </c:pt>
                <c:pt idx="4">
                  <c:v>2.8881597098903122</c:v>
                </c:pt>
                <c:pt idx="5">
                  <c:v>2.8456403487793698</c:v>
                </c:pt>
                <c:pt idx="6">
                  <c:v>2.7267828086551953</c:v>
                </c:pt>
                <c:pt idx="7">
                  <c:v>2.8118484228535583</c:v>
                </c:pt>
                <c:pt idx="8">
                  <c:v>1.7844055802529357</c:v>
                </c:pt>
                <c:pt idx="9">
                  <c:v>1.7528778086479579</c:v>
                </c:pt>
                <c:pt idx="10">
                  <c:v>2.5101232747028375</c:v>
                </c:pt>
                <c:pt idx="11">
                  <c:v>1.4557420833373547</c:v>
                </c:pt>
              </c:numCache>
            </c:numRef>
          </c:yVal>
          <c:smooth val="0"/>
          <c:extLst>
            <c:ext xmlns:c16="http://schemas.microsoft.com/office/drawing/2014/chart" uri="{C3380CC4-5D6E-409C-BE32-E72D297353CC}">
              <c16:uniqueId val="{00000001-939D-41BC-ABB9-98AE04A773C5}"/>
            </c:ext>
          </c:extLst>
        </c:ser>
        <c:dLbls>
          <c:showLegendKey val="0"/>
          <c:showVal val="0"/>
          <c:showCatName val="0"/>
          <c:showSerName val="0"/>
          <c:showPercent val="0"/>
          <c:showBubbleSize val="0"/>
        </c:dLbls>
        <c:axId val="1493854688"/>
        <c:axId val="1493861408"/>
      </c:scatterChart>
      <c:valAx>
        <c:axId val="1493854688"/>
        <c:scaling>
          <c:orientation val="minMax"/>
          <c:min val="12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CEASu</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0_);_(* \(#,##0\);_(* &quot;-&quot;_);_(@_)"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61408"/>
        <c:crosses val="autoZero"/>
        <c:crossBetween val="midCat"/>
      </c:valAx>
      <c:valAx>
        <c:axId val="1493861408"/>
        <c:scaling>
          <c:orientation val="minMax"/>
          <c:min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CEi,u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546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v>CEAIT</c:v>
          </c:tx>
          <c:spPr>
            <a:solidFill>
              <a:schemeClr val="accent1"/>
            </a:solidFill>
            <a:ln>
              <a:noFill/>
            </a:ln>
            <a:effectLst/>
          </c:spPr>
          <c:invertIfNegative val="0"/>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strRef>
          </c:cat>
          <c:val>
            <c:numRef>
              <c:f>'Consumo Eléctrico'!$AE$923:$AE$946</c:f>
              <c:numCache>
                <c:formatCode>_ * #,##0.00_ ;_ * \-#,##0.00_ ;_ * "-"_ ;_ @_ </c:formatCode>
                <c:ptCount val="24"/>
                <c:pt idx="0">
                  <c:v>202.94117647058823</c:v>
                </c:pt>
                <c:pt idx="1">
                  <c:v>209.85668276972626</c:v>
                </c:pt>
                <c:pt idx="2">
                  <c:v>183.69031273836765</c:v>
                </c:pt>
                <c:pt idx="3">
                  <c:v>193.63853367433933</c:v>
                </c:pt>
                <c:pt idx="4">
                  <c:v>192.4910485933504</c:v>
                </c:pt>
                <c:pt idx="5">
                  <c:v>192.4655248133509</c:v>
                </c:pt>
                <c:pt idx="6">
                  <c:v>188.9925340360123</c:v>
                </c:pt>
                <c:pt idx="7">
                  <c:v>197.10144927536228</c:v>
                </c:pt>
                <c:pt idx="8">
                  <c:v>198.28737060041408</c:v>
                </c:pt>
                <c:pt idx="9">
                  <c:v>211.02093397745571</c:v>
                </c:pt>
                <c:pt idx="10">
                  <c:v>206.38325281803543</c:v>
                </c:pt>
                <c:pt idx="11">
                  <c:v>208.73706004140786</c:v>
                </c:pt>
                <c:pt idx="12">
                  <c:v>157.76142697881826</c:v>
                </c:pt>
                <c:pt idx="13">
                  <c:v>197.14536671058411</c:v>
                </c:pt>
                <c:pt idx="14">
                  <c:v>191.30434782608694</c:v>
                </c:pt>
                <c:pt idx="15">
                  <c:v>194.79841897233203</c:v>
                </c:pt>
                <c:pt idx="16">
                  <c:v>195.97013614404918</c:v>
                </c:pt>
                <c:pt idx="17">
                  <c:v>195.97013614404918</c:v>
                </c:pt>
                <c:pt idx="18">
                  <c:v>201.7407867494824</c:v>
                </c:pt>
                <c:pt idx="19">
                  <c:v>201.7407867494824</c:v>
                </c:pt>
                <c:pt idx="20">
                  <c:v>204.11935208866157</c:v>
                </c:pt>
                <c:pt idx="21">
                  <c:v>200.58633540372671</c:v>
                </c:pt>
                <c:pt idx="22">
                  <c:v>202.89855072463769</c:v>
                </c:pt>
                <c:pt idx="23">
                  <c:v>198.26257459505541</c:v>
                </c:pt>
              </c:numCache>
            </c:numRef>
          </c:val>
          <c:extLst>
            <c:ext xmlns:c16="http://schemas.microsoft.com/office/drawing/2014/chart" uri="{C3380CC4-5D6E-409C-BE32-E72D297353CC}">
              <c16:uniqueId val="{00000000-A7C0-4FEA-84DC-799AD994F4BC}"/>
            </c:ext>
          </c:extLst>
        </c:ser>
        <c:ser>
          <c:idx val="1"/>
          <c:order val="1"/>
          <c:tx>
            <c:v>CEAIT Meta</c:v>
          </c:tx>
          <c:spPr>
            <a:solidFill>
              <a:schemeClr val="accent2"/>
            </a:solidFill>
            <a:ln>
              <a:noFill/>
            </a:ln>
            <a:effectLst/>
          </c:spPr>
          <c:invertIfNegative val="0"/>
          <c:cat>
            <c:strRef>
              <c:f>'[1]Consumo Eléctrico'!$X$897:$X$920</c:f>
              <c:strCache>
                <c:ptCount val="24"/>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strCache>
              <c:extLst xmlns:c15="http://schemas.microsoft.com/office/drawing/2012/chart"/>
            </c:strRef>
          </c:cat>
          <c:val>
            <c:numRef>
              <c:f>'Consumo Eléctrico'!$AF$923:$AF$946</c:f>
              <c:numCache>
                <c:formatCode>0.00</c:formatCode>
                <c:ptCount val="24"/>
                <c:pt idx="0">
                  <c:v>198.089</c:v>
                </c:pt>
                <c:pt idx="1">
                  <c:v>208.23902898550725</c:v>
                </c:pt>
                <c:pt idx="2">
                  <c:v>199.33259420289855</c:v>
                </c:pt>
                <c:pt idx="3">
                  <c:v>193.18650724637683</c:v>
                </c:pt>
                <c:pt idx="4">
                  <c:v>192.58178260869568</c:v>
                </c:pt>
                <c:pt idx="5">
                  <c:v>189.58511594202901</c:v>
                </c:pt>
                <c:pt idx="6">
                  <c:v>187.8086811594203</c:v>
                </c:pt>
                <c:pt idx="7">
                  <c:v>195.01146376811593</c:v>
                </c:pt>
                <c:pt idx="8">
                  <c:v>198.70989855072463</c:v>
                </c:pt>
                <c:pt idx="9">
                  <c:v>208.88868115942029</c:v>
                </c:pt>
                <c:pt idx="10">
                  <c:v>206.30085507246378</c:v>
                </c:pt>
                <c:pt idx="11">
                  <c:v>204.37885507246375</c:v>
                </c:pt>
                <c:pt idx="12">
                  <c:v>154.71685507246377</c:v>
                </c:pt>
                <c:pt idx="13">
                  <c:v>191.97885507246377</c:v>
                </c:pt>
                <c:pt idx="14">
                  <c:v>188.99117391304347</c:v>
                </c:pt>
                <c:pt idx="15">
                  <c:v>190.77839130434785</c:v>
                </c:pt>
                <c:pt idx="16">
                  <c:v>191.37772463768115</c:v>
                </c:pt>
                <c:pt idx="17">
                  <c:v>191.37772463768115</c:v>
                </c:pt>
                <c:pt idx="18">
                  <c:v>200.58337681159418</c:v>
                </c:pt>
                <c:pt idx="19">
                  <c:v>200.58337681159418</c:v>
                </c:pt>
                <c:pt idx="20">
                  <c:v>198.70989855072463</c:v>
                </c:pt>
                <c:pt idx="21">
                  <c:v>199.95708695652172</c:v>
                </c:pt>
                <c:pt idx="22">
                  <c:v>201.21146376811595</c:v>
                </c:pt>
                <c:pt idx="23">
                  <c:v>195.6233768115942</c:v>
                </c:pt>
              </c:numCache>
            </c:numRef>
          </c:val>
          <c:extLst xmlns:c15="http://schemas.microsoft.com/office/drawing/2012/chart">
            <c:ext xmlns:c16="http://schemas.microsoft.com/office/drawing/2014/chart" uri="{C3380CC4-5D6E-409C-BE32-E72D297353CC}">
              <c16:uniqueId val="{00000001-A7C0-4FEA-84DC-799AD994F4BC}"/>
            </c:ext>
          </c:extLst>
        </c:ser>
        <c:dLbls>
          <c:showLegendKey val="0"/>
          <c:showVal val="0"/>
          <c:showCatName val="0"/>
          <c:showSerName val="0"/>
          <c:showPercent val="0"/>
          <c:showBubbleSize val="0"/>
        </c:dLbls>
        <c:gapWidth val="219"/>
        <c:overlap val="-27"/>
        <c:axId val="2016993696"/>
        <c:axId val="2016976416"/>
        <c:extLst/>
      </c:barChart>
      <c:catAx>
        <c:axId val="20169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76416"/>
        <c:crosses val="autoZero"/>
        <c:auto val="1"/>
        <c:lblAlgn val="ctr"/>
        <c:lblOffset val="100"/>
        <c:noMultiLvlLbl val="0"/>
      </c:catAx>
      <c:valAx>
        <c:axId val="201697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a:t>
                </a:r>
                <a:r>
                  <a:rPr lang="en-US" baseline="0"/>
                  <a:t> energético de iluminación por trabajador [kWh/trabajador]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9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v>CEAIT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'Consumo Eléctrico'!$X$923:$X$946</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Eléctrico'!$AE$923:$AE$934</c:f>
              <c:numCache>
                <c:formatCode>_ * #,##0.00_ ;_ * \-#,##0.00_ ;_ * "-"_ ;_ @_ </c:formatCode>
                <c:ptCount val="12"/>
                <c:pt idx="0">
                  <c:v>202.94117647058823</c:v>
                </c:pt>
                <c:pt idx="1">
                  <c:v>209.85668276972626</c:v>
                </c:pt>
                <c:pt idx="2">
                  <c:v>183.69031273836765</c:v>
                </c:pt>
                <c:pt idx="3">
                  <c:v>193.63853367433933</c:v>
                </c:pt>
                <c:pt idx="4">
                  <c:v>192.4910485933504</c:v>
                </c:pt>
                <c:pt idx="5">
                  <c:v>192.4655248133509</c:v>
                </c:pt>
                <c:pt idx="6">
                  <c:v>188.9925340360123</c:v>
                </c:pt>
                <c:pt idx="7">
                  <c:v>197.10144927536228</c:v>
                </c:pt>
                <c:pt idx="8">
                  <c:v>198.28737060041408</c:v>
                </c:pt>
                <c:pt idx="9">
                  <c:v>211.02093397745571</c:v>
                </c:pt>
                <c:pt idx="10">
                  <c:v>206.38325281803543</c:v>
                </c:pt>
                <c:pt idx="11">
                  <c:v>208.73706004140786</c:v>
                </c:pt>
              </c:numCache>
            </c:numRef>
          </c:val>
          <c:extLst>
            <c:ext xmlns:c16="http://schemas.microsoft.com/office/drawing/2014/chart" uri="{C3380CC4-5D6E-409C-BE32-E72D297353CC}">
              <c16:uniqueId val="{00000000-5FA4-4E3D-B92A-39EDDE04F58A}"/>
            </c:ext>
          </c:extLst>
        </c:ser>
        <c:ser>
          <c:idx val="1"/>
          <c:order val="1"/>
          <c:tx>
            <c:v>CEAIT Meta</c:v>
          </c:tx>
          <c:spPr>
            <a:solidFill>
              <a:schemeClr val="accent2"/>
            </a:solidFill>
            <a:ln>
              <a:noFill/>
            </a:ln>
            <a:effectLst/>
          </c:spPr>
          <c:invertIfNegative val="0"/>
          <c:cat>
            <c:numRef>
              <c:f>'Consumo Eléctrico'!$X$923:$X$946</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Eléctrico'!$AF$923:$AF$934</c:f>
              <c:numCache>
                <c:formatCode>0.00</c:formatCode>
                <c:ptCount val="12"/>
                <c:pt idx="0">
                  <c:v>198.089</c:v>
                </c:pt>
                <c:pt idx="1">
                  <c:v>208.23902898550725</c:v>
                </c:pt>
                <c:pt idx="2">
                  <c:v>199.33259420289855</c:v>
                </c:pt>
                <c:pt idx="3">
                  <c:v>193.18650724637683</c:v>
                </c:pt>
                <c:pt idx="4">
                  <c:v>192.58178260869568</c:v>
                </c:pt>
                <c:pt idx="5">
                  <c:v>189.58511594202901</c:v>
                </c:pt>
                <c:pt idx="6">
                  <c:v>187.8086811594203</c:v>
                </c:pt>
                <c:pt idx="7">
                  <c:v>195.01146376811593</c:v>
                </c:pt>
                <c:pt idx="8">
                  <c:v>198.70989855072463</c:v>
                </c:pt>
                <c:pt idx="9">
                  <c:v>208.88868115942029</c:v>
                </c:pt>
                <c:pt idx="10">
                  <c:v>206.30085507246378</c:v>
                </c:pt>
                <c:pt idx="11">
                  <c:v>204.37885507246375</c:v>
                </c:pt>
              </c:numCache>
            </c:numRef>
          </c:val>
          <c:extLst xmlns:c15="http://schemas.microsoft.com/office/drawing/2012/chart">
            <c:ext xmlns:c16="http://schemas.microsoft.com/office/drawing/2014/chart" uri="{C3380CC4-5D6E-409C-BE32-E72D297353CC}">
              <c16:uniqueId val="{00000001-5FA4-4E3D-B92A-39EDDE04F58A}"/>
            </c:ext>
          </c:extLst>
        </c:ser>
        <c:dLbls>
          <c:showLegendKey val="0"/>
          <c:showVal val="0"/>
          <c:showCatName val="0"/>
          <c:showSerName val="0"/>
          <c:showPercent val="0"/>
          <c:showBubbleSize val="0"/>
        </c:dLbls>
        <c:gapWidth val="219"/>
        <c:overlap val="-27"/>
        <c:axId val="2016993696"/>
        <c:axId val="2016976416"/>
        <c:extLst/>
      </c:barChart>
      <c:dateAx>
        <c:axId val="201699369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76416"/>
        <c:crosses val="autoZero"/>
        <c:auto val="1"/>
        <c:lblOffset val="100"/>
        <c:baseTimeUnit val="months"/>
      </c:dateAx>
      <c:valAx>
        <c:axId val="2016976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a:t>
                </a:r>
                <a:r>
                  <a:rPr lang="en-US" baseline="0"/>
                  <a:t> energético de iluminación por trabajador [kWh/trabajador]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1699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CEAIT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CEAIT</c:v>
          </c:tx>
          <c:spPr>
            <a:ln w="25400" cap="rnd">
              <a:noFill/>
              <a:round/>
            </a:ln>
            <a:effectLst/>
          </c:spPr>
          <c:marker>
            <c:symbol val="circle"/>
            <c:size val="5"/>
            <c:spPr>
              <a:solidFill>
                <a:schemeClr val="accent1"/>
              </a:solidFill>
              <a:ln w="9525">
                <a:solidFill>
                  <a:schemeClr val="accent1"/>
                </a:solidFill>
              </a:ln>
              <a:effectLst/>
            </c:spPr>
          </c:marker>
          <c:dLbls>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47-46EC-9F66-F9BED5AED5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1"/>
            <c:dispEq val="1"/>
            <c:trendlineLbl>
              <c:layout>
                <c:manualLayout>
                  <c:x val="8.2416010498687658E-2"/>
                  <c:y val="-0.157941455234762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Eléctrico'!$Z$923:$Z$934</c:f>
              <c:numCache>
                <c:formatCode>_(* #,##0_);_(* \(#,##0\);_(* "-"_);_(@_)</c:formatCode>
                <c:ptCount val="12"/>
                <c:pt idx="0">
                  <c:v>6900</c:v>
                </c:pt>
                <c:pt idx="1">
                  <c:v>7554.840579710145</c:v>
                </c:pt>
                <c:pt idx="2">
                  <c:v>6980.231884057971</c:v>
                </c:pt>
                <c:pt idx="3">
                  <c:v>6583.7101449275369</c:v>
                </c:pt>
                <c:pt idx="4">
                  <c:v>6544.6956521739139</c:v>
                </c:pt>
                <c:pt idx="5">
                  <c:v>6351.36231884058</c:v>
                </c:pt>
                <c:pt idx="6">
                  <c:v>6236.753623188406</c:v>
                </c:pt>
                <c:pt idx="7">
                  <c:v>6701.4492753623181</c:v>
                </c:pt>
                <c:pt idx="8">
                  <c:v>6940.057971014493</c:v>
                </c:pt>
                <c:pt idx="9">
                  <c:v>7596.753623188406</c:v>
                </c:pt>
                <c:pt idx="10">
                  <c:v>7429.797101449275</c:v>
                </c:pt>
                <c:pt idx="11">
                  <c:v>7305.797101449275</c:v>
                </c:pt>
              </c:numCache>
            </c:numRef>
          </c:xVal>
          <c:yVal>
            <c:numRef>
              <c:f>'Consumo Eléctrico'!$AB$923:$AB$934</c:f>
              <c:numCache>
                <c:formatCode>0.00</c:formatCode>
                <c:ptCount val="12"/>
                <c:pt idx="0">
                  <c:v>202.94117647058823</c:v>
                </c:pt>
                <c:pt idx="1">
                  <c:v>209.85668276972626</c:v>
                </c:pt>
                <c:pt idx="2">
                  <c:v>183.69031273836765</c:v>
                </c:pt>
                <c:pt idx="3">
                  <c:v>193.63853367433933</c:v>
                </c:pt>
                <c:pt idx="4">
                  <c:v>192.4910485933504</c:v>
                </c:pt>
                <c:pt idx="5">
                  <c:v>192.4655248133509</c:v>
                </c:pt>
                <c:pt idx="6">
                  <c:v>188.9925340360123</c:v>
                </c:pt>
                <c:pt idx="7">
                  <c:v>197.10144927536228</c:v>
                </c:pt>
                <c:pt idx="8">
                  <c:v>198.28737060041408</c:v>
                </c:pt>
                <c:pt idx="9">
                  <c:v>211.02093397745571</c:v>
                </c:pt>
                <c:pt idx="10">
                  <c:v>206.38325281803543</c:v>
                </c:pt>
                <c:pt idx="11">
                  <c:v>208.73706004140786</c:v>
                </c:pt>
              </c:numCache>
            </c:numRef>
          </c:yVal>
          <c:smooth val="0"/>
          <c:extLst>
            <c:ext xmlns:c16="http://schemas.microsoft.com/office/drawing/2014/chart" uri="{C3380CC4-5D6E-409C-BE32-E72D297353CC}">
              <c16:uniqueId val="{00000001-9C47-46EC-9F66-F9BED5AED500}"/>
            </c:ext>
          </c:extLst>
        </c:ser>
        <c:dLbls>
          <c:showLegendKey val="0"/>
          <c:showVal val="0"/>
          <c:showCatName val="0"/>
          <c:showSerName val="0"/>
          <c:showPercent val="0"/>
          <c:showBubbleSize val="0"/>
        </c:dLbls>
        <c:axId val="1493854688"/>
        <c:axId val="1493861408"/>
      </c:scatterChart>
      <c:valAx>
        <c:axId val="1493854688"/>
        <c:scaling>
          <c:orientation val="minMax"/>
          <c:min val="6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CEAITu</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0_);_(* \(#,##0\);_(* &quot;-&quot;_);_(@_)"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61408"/>
        <c:crosses val="autoZero"/>
        <c:crossBetween val="midCat"/>
      </c:valAx>
      <c:valAx>
        <c:axId val="14938614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x,u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938546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incial sin filtro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inicial sin filtro</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276011518290559"/>
                  <c:y val="-0.2223747758523630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Eléctrico'!$Z$74:$Z$97</c:f>
              <c:numCache>
                <c:formatCode>_ * #,##0.00_ ;_ * \-#,##0.00_ ;_ * "-"_ ;_ @_ </c:formatCode>
                <c:ptCount val="24"/>
                <c:pt idx="0">
                  <c:v>8674.83</c:v>
                </c:pt>
                <c:pt idx="1">
                  <c:v>9893.119999999999</c:v>
                </c:pt>
                <c:pt idx="2">
                  <c:v>9689.25</c:v>
                </c:pt>
                <c:pt idx="3">
                  <c:v>9823.56</c:v>
                </c:pt>
                <c:pt idx="4">
                  <c:v>10503.89</c:v>
                </c:pt>
                <c:pt idx="5">
                  <c:v>9931.33</c:v>
                </c:pt>
                <c:pt idx="6">
                  <c:v>9668.73</c:v>
                </c:pt>
                <c:pt idx="7">
                  <c:v>9498.1299999999992</c:v>
                </c:pt>
                <c:pt idx="8">
                  <c:v>9284.99</c:v>
                </c:pt>
                <c:pt idx="9">
                  <c:v>9045.56</c:v>
                </c:pt>
                <c:pt idx="10">
                  <c:v>9676.81</c:v>
                </c:pt>
                <c:pt idx="11">
                  <c:v>8577.93</c:v>
                </c:pt>
                <c:pt idx="12">
                  <c:v>8475</c:v>
                </c:pt>
                <c:pt idx="13">
                  <c:v>8802.64</c:v>
                </c:pt>
                <c:pt idx="14">
                  <c:v>9633.16</c:v>
                </c:pt>
                <c:pt idx="15">
                  <c:v>9796.5</c:v>
                </c:pt>
                <c:pt idx="16">
                  <c:v>11503.69</c:v>
                </c:pt>
                <c:pt idx="17">
                  <c:v>9636.34</c:v>
                </c:pt>
                <c:pt idx="18">
                  <c:v>10051.65</c:v>
                </c:pt>
                <c:pt idx="19">
                  <c:v>8620.61</c:v>
                </c:pt>
                <c:pt idx="20">
                  <c:v>9013.66</c:v>
                </c:pt>
                <c:pt idx="21">
                  <c:v>9003.9</c:v>
                </c:pt>
                <c:pt idx="22">
                  <c:v>10060.049999999999</c:v>
                </c:pt>
                <c:pt idx="23">
                  <c:v>8468.25</c:v>
                </c:pt>
              </c:numCache>
            </c:numRef>
          </c:yVal>
          <c:smooth val="0"/>
          <c:extLst>
            <c:ext xmlns:c16="http://schemas.microsoft.com/office/drawing/2014/chart" uri="{C3380CC4-5D6E-409C-BE32-E72D297353CC}">
              <c16:uniqueId val="{00000008-26E0-43ED-88BB-269F2E36DB74}"/>
            </c:ext>
          </c:extLst>
        </c:ser>
        <c:ser>
          <c:idx val="1"/>
          <c:order val="1"/>
          <c:tx>
            <c:v>Límite superior</c:v>
          </c:tx>
          <c:spPr>
            <a:ln w="25400" cap="rnd">
              <a:noFill/>
              <a:round/>
            </a:ln>
            <a:effectLst/>
          </c:spPr>
          <c:marker>
            <c:symbol val="circle"/>
            <c:size val="5"/>
            <c:spPr>
              <a:solidFill>
                <a:schemeClr val="accent2"/>
              </a:solidFill>
              <a:ln w="9525">
                <a:solidFill>
                  <a:schemeClr val="accent2"/>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Eléctrico'!$AE$74:$AE$97</c:f>
              <c:numCache>
                <c:formatCode>_ * #,##0.00_ ;_ * \-#,##0.00_ ;_ * "-"_ ;_ @_ </c:formatCode>
                <c:ptCount val="24"/>
                <c:pt idx="0">
                  <c:v>9573.8949266978052</c:v>
                </c:pt>
                <c:pt idx="1">
                  <c:v>9822.107451388154</c:v>
                </c:pt>
                <c:pt idx="2">
                  <c:v>9870.1899889872766</c:v>
                </c:pt>
                <c:pt idx="3">
                  <c:v>10732.61497035966</c:v>
                </c:pt>
                <c:pt idx="4">
                  <c:v>11342.146902224915</c:v>
                </c:pt>
                <c:pt idx="5">
                  <c:v>10636.449895161411</c:v>
                </c:pt>
                <c:pt idx="6">
                  <c:v>10538.803838312266</c:v>
                </c:pt>
                <c:pt idx="7">
                  <c:v>10652.049568550861</c:v>
                </c:pt>
                <c:pt idx="8">
                  <c:v>10000.379358276747</c:v>
                </c:pt>
                <c:pt idx="9">
                  <c:v>9937.0918925519582</c:v>
                </c:pt>
                <c:pt idx="10">
                  <c:v>10301.846774168738</c:v>
                </c:pt>
                <c:pt idx="11">
                  <c:v>9286.8806827539593</c:v>
                </c:pt>
                <c:pt idx="12">
                  <c:v>9655.4580906652263</c:v>
                </c:pt>
                <c:pt idx="13">
                  <c:v>9868.9502507296056</c:v>
                </c:pt>
                <c:pt idx="14">
                  <c:v>9991.0373589946503</c:v>
                </c:pt>
                <c:pt idx="15">
                  <c:v>10876.42076154393</c:v>
                </c:pt>
                <c:pt idx="16">
                  <c:v>11788.639514972168</c:v>
                </c:pt>
                <c:pt idx="17">
                  <c:v>10738.672066247134</c:v>
                </c:pt>
                <c:pt idx="18">
                  <c:v>10854.073233849504</c:v>
                </c:pt>
                <c:pt idx="19">
                  <c:v>9940.0227158561429</c:v>
                </c:pt>
                <c:pt idx="20">
                  <c:v>9657.7477963716228</c:v>
                </c:pt>
                <c:pt idx="21">
                  <c:v>9553.703569072979</c:v>
                </c:pt>
                <c:pt idx="22">
                  <c:v>10573.172137788817</c:v>
                </c:pt>
                <c:pt idx="23">
                  <c:v>9459.459282197713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9-26E0-43ED-88BB-269F2E36DB74}"/>
            </c:ext>
          </c:extLst>
        </c:ser>
        <c:ser>
          <c:idx val="2"/>
          <c:order val="2"/>
          <c:tx>
            <c:v>Límite inferior</c:v>
          </c:tx>
          <c:spPr>
            <a:ln w="25400" cap="rnd">
              <a:noFill/>
              <a:round/>
            </a:ln>
            <a:effectLst/>
          </c:spPr>
          <c:marker>
            <c:symbol val="circle"/>
            <c:size val="5"/>
            <c:spPr>
              <a:solidFill>
                <a:srgbClr val="00B050"/>
              </a:solidFill>
              <a:ln w="9525">
                <a:solidFill>
                  <a:srgbClr val="00B050"/>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Eléctrico'!$AF$74:$AF$97</c:f>
              <c:numCache>
                <c:formatCode>_(* #,##0.00_);_(* \(#,##0.00\);_(* "-"??_);_(@_)</c:formatCode>
                <c:ptCount val="24"/>
                <c:pt idx="0">
                  <c:v>8047.3755077208689</c:v>
                </c:pt>
                <c:pt idx="1">
                  <c:v>8295.588032411215</c:v>
                </c:pt>
                <c:pt idx="2">
                  <c:v>8343.6705700103412</c:v>
                </c:pt>
                <c:pt idx="3">
                  <c:v>9206.0955513827248</c:v>
                </c:pt>
                <c:pt idx="4">
                  <c:v>9815.6274832479758</c:v>
                </c:pt>
                <c:pt idx="5">
                  <c:v>9109.930476184476</c:v>
                </c:pt>
                <c:pt idx="6">
                  <c:v>9012.2844193353303</c:v>
                </c:pt>
                <c:pt idx="7">
                  <c:v>9125.5301495739259</c:v>
                </c:pt>
                <c:pt idx="8">
                  <c:v>8473.8599392998112</c:v>
                </c:pt>
                <c:pt idx="9">
                  <c:v>8410.5724735750191</c:v>
                </c:pt>
                <c:pt idx="10">
                  <c:v>8775.3273551918028</c:v>
                </c:pt>
                <c:pt idx="11">
                  <c:v>7760.3612637770211</c:v>
                </c:pt>
                <c:pt idx="12">
                  <c:v>8128.9386716882882</c:v>
                </c:pt>
                <c:pt idx="13">
                  <c:v>8342.4308317526702</c:v>
                </c:pt>
                <c:pt idx="14">
                  <c:v>8464.5179400177149</c:v>
                </c:pt>
                <c:pt idx="15">
                  <c:v>9349.9013425669909</c:v>
                </c:pt>
                <c:pt idx="16">
                  <c:v>10262.120095995233</c:v>
                </c:pt>
                <c:pt idx="17">
                  <c:v>9212.1526472701953</c:v>
                </c:pt>
                <c:pt idx="18">
                  <c:v>9327.5538148725645</c:v>
                </c:pt>
                <c:pt idx="19">
                  <c:v>8413.5032968792075</c:v>
                </c:pt>
                <c:pt idx="20">
                  <c:v>8131.2283773946847</c:v>
                </c:pt>
                <c:pt idx="21">
                  <c:v>8027.1841500960409</c:v>
                </c:pt>
                <c:pt idx="22">
                  <c:v>9046.6527188118816</c:v>
                </c:pt>
                <c:pt idx="23">
                  <c:v>7932.9398632207749</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A-26E0-43ED-88BB-269F2E36DB74}"/>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m</a:t>
                </a:r>
                <a:r>
                  <a:rPr lang="es-CL">
                    <a:latin typeface="Aptos Narrow" panose="020B0004020202020204" pitchFamily="34" charset="0"/>
                  </a:rPr>
                  <a:t>³</a:t>
                </a:r>
                <a:r>
                  <a:rPr lang="es-CL"/>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ax val="12500"/>
          <c:min val="7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Modelo incial sin filtro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Modelo inicial sin filtro</c:v>
          </c:tx>
          <c:spPr>
            <a:ln w="38100" cap="rnd">
              <a:noFill/>
              <a:round/>
            </a:ln>
            <a:effectLst/>
          </c:spPr>
          <c:marker>
            <c:symbol val="circle"/>
            <c:size val="5"/>
            <c:spPr>
              <a:solidFill>
                <a:schemeClr val="accent1"/>
              </a:solidFill>
              <a:ln w="9525">
                <a:solidFill>
                  <a:schemeClr val="accent1"/>
                </a:solidFill>
              </a:ln>
              <a:effectLst/>
            </c:spPr>
          </c:marker>
          <c:dLbls>
            <c:dLbl>
              <c:idx val="1"/>
              <c:layout>
                <c:manualLayout>
                  <c:x val="0"/>
                  <c:y val="-9.62837748192910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E9-4597-88BC-09F0FD64FA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1"/>
            <c:dispEq val="1"/>
            <c:trendlineLbl>
              <c:layout>
                <c:manualLayout>
                  <c:x val="0.70389148389363265"/>
                  <c:y val="-0.467394014483250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Eléctrico'!$Z$74:$Z$97</c:f>
              <c:numCache>
                <c:formatCode>_ * #,##0.00_ ;_ * \-#,##0.00_ ;_ * "-"_ ;_ @_ </c:formatCode>
                <c:ptCount val="24"/>
                <c:pt idx="0">
                  <c:v>8674.83</c:v>
                </c:pt>
                <c:pt idx="1">
                  <c:v>9893.119999999999</c:v>
                </c:pt>
                <c:pt idx="2">
                  <c:v>9689.25</c:v>
                </c:pt>
                <c:pt idx="3">
                  <c:v>9823.56</c:v>
                </c:pt>
                <c:pt idx="4">
                  <c:v>10503.89</c:v>
                </c:pt>
                <c:pt idx="5">
                  <c:v>9931.33</c:v>
                </c:pt>
                <c:pt idx="6">
                  <c:v>9668.73</c:v>
                </c:pt>
                <c:pt idx="7">
                  <c:v>9498.1299999999992</c:v>
                </c:pt>
                <c:pt idx="8">
                  <c:v>9284.99</c:v>
                </c:pt>
                <c:pt idx="9">
                  <c:v>9045.56</c:v>
                </c:pt>
                <c:pt idx="10">
                  <c:v>9676.81</c:v>
                </c:pt>
                <c:pt idx="11">
                  <c:v>8577.93</c:v>
                </c:pt>
                <c:pt idx="12">
                  <c:v>8475</c:v>
                </c:pt>
                <c:pt idx="13">
                  <c:v>8802.64</c:v>
                </c:pt>
                <c:pt idx="14">
                  <c:v>9633.16</c:v>
                </c:pt>
                <c:pt idx="15">
                  <c:v>9796.5</c:v>
                </c:pt>
                <c:pt idx="16">
                  <c:v>11503.69</c:v>
                </c:pt>
                <c:pt idx="17">
                  <c:v>9636.34</c:v>
                </c:pt>
                <c:pt idx="18">
                  <c:v>10051.65</c:v>
                </c:pt>
                <c:pt idx="19">
                  <c:v>8620.61</c:v>
                </c:pt>
                <c:pt idx="20">
                  <c:v>9013.66</c:v>
                </c:pt>
                <c:pt idx="21">
                  <c:v>9003.9</c:v>
                </c:pt>
                <c:pt idx="22">
                  <c:v>10060.049999999999</c:v>
                </c:pt>
                <c:pt idx="23">
                  <c:v>8468.25</c:v>
                </c:pt>
              </c:numCache>
            </c:numRef>
          </c:yVal>
          <c:smooth val="0"/>
          <c:extLst>
            <c:ext xmlns:c16="http://schemas.microsoft.com/office/drawing/2014/chart" uri="{C3380CC4-5D6E-409C-BE32-E72D297353CC}">
              <c16:uniqueId val="{00000002-38E9-4597-88BC-09F0FD64FAB1}"/>
            </c:ext>
          </c:extLst>
        </c:ser>
        <c:ser>
          <c:idx val="1"/>
          <c:order val="1"/>
          <c:tx>
            <c:v>Límite superior</c:v>
          </c:tx>
          <c:spPr>
            <a:ln w="25400" cap="rnd">
              <a:noFill/>
              <a:round/>
            </a:ln>
            <a:effectLst/>
          </c:spPr>
          <c:marker>
            <c:symbol val="circle"/>
            <c:size val="5"/>
            <c:spPr>
              <a:solidFill>
                <a:schemeClr val="accent2"/>
              </a:solidFill>
              <a:ln w="9525">
                <a:solidFill>
                  <a:schemeClr val="accent2"/>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Eléctrico'!$AE$74:$AE$97</c:f>
              <c:numCache>
                <c:formatCode>_ * #,##0.00_ ;_ * \-#,##0.00_ ;_ * "-"_ ;_ @_ </c:formatCode>
                <c:ptCount val="24"/>
                <c:pt idx="0">
                  <c:v>9573.8949266978052</c:v>
                </c:pt>
                <c:pt idx="1">
                  <c:v>9822.107451388154</c:v>
                </c:pt>
                <c:pt idx="2">
                  <c:v>9870.1899889872766</c:v>
                </c:pt>
                <c:pt idx="3">
                  <c:v>10732.61497035966</c:v>
                </c:pt>
                <c:pt idx="4">
                  <c:v>11342.146902224915</c:v>
                </c:pt>
                <c:pt idx="5">
                  <c:v>10636.449895161411</c:v>
                </c:pt>
                <c:pt idx="6">
                  <c:v>10538.803838312266</c:v>
                </c:pt>
                <c:pt idx="7">
                  <c:v>10652.049568550861</c:v>
                </c:pt>
                <c:pt idx="8">
                  <c:v>10000.379358276747</c:v>
                </c:pt>
                <c:pt idx="9">
                  <c:v>9937.0918925519582</c:v>
                </c:pt>
                <c:pt idx="10">
                  <c:v>10301.846774168738</c:v>
                </c:pt>
                <c:pt idx="11">
                  <c:v>9286.8806827539593</c:v>
                </c:pt>
                <c:pt idx="12">
                  <c:v>9655.4580906652263</c:v>
                </c:pt>
                <c:pt idx="13">
                  <c:v>9868.9502507296056</c:v>
                </c:pt>
                <c:pt idx="14">
                  <c:v>9991.0373589946503</c:v>
                </c:pt>
                <c:pt idx="15">
                  <c:v>10876.42076154393</c:v>
                </c:pt>
                <c:pt idx="16">
                  <c:v>11788.639514972168</c:v>
                </c:pt>
                <c:pt idx="17">
                  <c:v>10738.672066247134</c:v>
                </c:pt>
                <c:pt idx="18">
                  <c:v>10854.073233849504</c:v>
                </c:pt>
                <c:pt idx="19">
                  <c:v>9940.0227158561429</c:v>
                </c:pt>
                <c:pt idx="20">
                  <c:v>9657.7477963716228</c:v>
                </c:pt>
                <c:pt idx="21">
                  <c:v>9553.703569072979</c:v>
                </c:pt>
                <c:pt idx="22">
                  <c:v>10573.172137788817</c:v>
                </c:pt>
                <c:pt idx="23">
                  <c:v>9459.459282197713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3-38E9-4597-88BC-09F0FD64FAB1}"/>
            </c:ext>
          </c:extLst>
        </c:ser>
        <c:ser>
          <c:idx val="2"/>
          <c:order val="2"/>
          <c:tx>
            <c:v>Límite inferior</c:v>
          </c:tx>
          <c:spPr>
            <a:ln w="25400" cap="rnd">
              <a:noFill/>
              <a:round/>
            </a:ln>
            <a:effectLst/>
          </c:spPr>
          <c:marker>
            <c:symbol val="circle"/>
            <c:size val="5"/>
            <c:spPr>
              <a:solidFill>
                <a:srgbClr val="00B050"/>
              </a:solidFill>
              <a:ln w="9525">
                <a:solidFill>
                  <a:srgbClr val="00B050"/>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Eléctrico'!$AF$74:$AF$97</c:f>
              <c:numCache>
                <c:formatCode>_(* #,##0.00_);_(* \(#,##0.00\);_(* "-"??_);_(@_)</c:formatCode>
                <c:ptCount val="24"/>
                <c:pt idx="0">
                  <c:v>8047.3755077208689</c:v>
                </c:pt>
                <c:pt idx="1">
                  <c:v>8295.588032411215</c:v>
                </c:pt>
                <c:pt idx="2">
                  <c:v>8343.6705700103412</c:v>
                </c:pt>
                <c:pt idx="3">
                  <c:v>9206.0955513827248</c:v>
                </c:pt>
                <c:pt idx="4">
                  <c:v>9815.6274832479758</c:v>
                </c:pt>
                <c:pt idx="5">
                  <c:v>9109.930476184476</c:v>
                </c:pt>
                <c:pt idx="6">
                  <c:v>9012.2844193353303</c:v>
                </c:pt>
                <c:pt idx="7">
                  <c:v>9125.5301495739259</c:v>
                </c:pt>
                <c:pt idx="8">
                  <c:v>8473.8599392998112</c:v>
                </c:pt>
                <c:pt idx="9">
                  <c:v>8410.5724735750191</c:v>
                </c:pt>
                <c:pt idx="10">
                  <c:v>8775.3273551918028</c:v>
                </c:pt>
                <c:pt idx="11">
                  <c:v>7760.3612637770211</c:v>
                </c:pt>
                <c:pt idx="12">
                  <c:v>8128.9386716882882</c:v>
                </c:pt>
                <c:pt idx="13">
                  <c:v>8342.4308317526702</c:v>
                </c:pt>
                <c:pt idx="14">
                  <c:v>8464.5179400177149</c:v>
                </c:pt>
                <c:pt idx="15">
                  <c:v>9349.9013425669909</c:v>
                </c:pt>
                <c:pt idx="16">
                  <c:v>10262.120095995233</c:v>
                </c:pt>
                <c:pt idx="17">
                  <c:v>9212.1526472701953</c:v>
                </c:pt>
                <c:pt idx="18">
                  <c:v>9327.5538148725645</c:v>
                </c:pt>
                <c:pt idx="19">
                  <c:v>8413.5032968792075</c:v>
                </c:pt>
                <c:pt idx="20">
                  <c:v>8131.2283773946847</c:v>
                </c:pt>
                <c:pt idx="21">
                  <c:v>8027.1841500960409</c:v>
                </c:pt>
                <c:pt idx="22">
                  <c:v>9046.6527188118816</c:v>
                </c:pt>
                <c:pt idx="23">
                  <c:v>7932.9398632207749</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4-38E9-4597-88BC-09F0FD64FAB1}"/>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in val="6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Eléctrico'!$Y$637</c:f>
              <c:strCache>
                <c:ptCount val="1"/>
                <c:pt idx="0">
                  <c:v>Producción [m³/mes]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2"/>
            <c:marker>
              <c:symbol val="circle"/>
              <c:size val="5"/>
              <c:spPr>
                <a:solidFill>
                  <a:srgbClr val="FF0000"/>
                </a:solidFill>
                <a:ln w="9525">
                  <a:solidFill>
                    <a:srgbClr val="FF0000"/>
                  </a:solidFill>
                </a:ln>
                <a:effectLst/>
              </c:spPr>
            </c:marker>
            <c:bubble3D val="0"/>
            <c:spPr>
              <a:ln w="28575" cap="rnd">
                <a:solidFill>
                  <a:srgbClr val="FF0000"/>
                </a:solidFill>
                <a:round/>
              </a:ln>
              <a:effectLst/>
            </c:spPr>
            <c:extLst>
              <c:ext xmlns:c16="http://schemas.microsoft.com/office/drawing/2014/chart" uri="{C3380CC4-5D6E-409C-BE32-E72D297353CC}">
                <c16:uniqueId val="{00000001-A484-4443-BEA9-F4DCA70020D5}"/>
              </c:ext>
            </c:extLst>
          </c:dPt>
          <c:dLbls>
            <c:dLbl>
              <c:idx val="1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84-4443-BEA9-F4DCA70020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'Consumo Eléctrico'!$Y$638:$Y$661</c:f>
              <c:numCache>
                <c:formatCode>0.00</c:formatCode>
                <c:ptCount val="24"/>
                <c:pt idx="0">
                  <c:v>41.00712</c:v>
                </c:pt>
                <c:pt idx="1">
                  <c:v>59.85</c:v>
                </c:pt>
                <c:pt idx="2">
                  <c:v>70.14</c:v>
                </c:pt>
                <c:pt idx="3">
                  <c:v>72.344580000000008</c:v>
                </c:pt>
                <c:pt idx="4">
                  <c:v>81.25</c:v>
                </c:pt>
                <c:pt idx="5">
                  <c:v>81.5</c:v>
                </c:pt>
                <c:pt idx="6">
                  <c:v>99.44550000000001</c:v>
                </c:pt>
                <c:pt idx="7">
                  <c:v>104.56</c:v>
                </c:pt>
                <c:pt idx="8">
                  <c:v>104.69536000000001</c:v>
                </c:pt>
                <c:pt idx="9">
                  <c:v>112</c:v>
                </c:pt>
                <c:pt idx="10">
                  <c:v>112.32</c:v>
                </c:pt>
                <c:pt idx="11">
                  <c:v>117.89</c:v>
                </c:pt>
                <c:pt idx="12">
                  <c:v>118.91</c:v>
                </c:pt>
                <c:pt idx="13">
                  <c:v>151.82552000000001</c:v>
                </c:pt>
                <c:pt idx="14">
                  <c:v>177.69752000000003</c:v>
                </c:pt>
                <c:pt idx="15">
                  <c:v>181.45</c:v>
                </c:pt>
                <c:pt idx="16">
                  <c:v>188.35893999999999</c:v>
                </c:pt>
                <c:pt idx="17">
                  <c:v>190.06218000000001</c:v>
                </c:pt>
                <c:pt idx="18">
                  <c:v>198.85866000000001</c:v>
                </c:pt>
                <c:pt idx="19">
                  <c:v>199.52</c:v>
                </c:pt>
                <c:pt idx="20">
                  <c:v>212.12</c:v>
                </c:pt>
                <c:pt idx="21">
                  <c:v>214.56</c:v>
                </c:pt>
                <c:pt idx="22">
                  <c:v>265.41000000000003</c:v>
                </c:pt>
                <c:pt idx="23">
                  <c:v>314.16000000000003</c:v>
                </c:pt>
              </c:numCache>
            </c:numRef>
          </c:val>
          <c:smooth val="0"/>
          <c:extLst>
            <c:ext xmlns:c16="http://schemas.microsoft.com/office/drawing/2014/chart" uri="{C3380CC4-5D6E-409C-BE32-E72D297353CC}">
              <c16:uniqueId val="{00000000-A484-4443-BEA9-F4DCA70020D5}"/>
            </c:ext>
          </c:extLst>
        </c:ser>
        <c:dLbls>
          <c:showLegendKey val="0"/>
          <c:showVal val="0"/>
          <c:showCatName val="0"/>
          <c:showSerName val="0"/>
          <c:showPercent val="0"/>
          <c:showBubbleSize val="0"/>
        </c:dLbls>
        <c:marker val="1"/>
        <c:smooth val="0"/>
        <c:axId val="480130400"/>
        <c:axId val="480120320"/>
      </c:lineChart>
      <c:catAx>
        <c:axId val="4801304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80120320"/>
        <c:crosses val="autoZero"/>
        <c:auto val="1"/>
        <c:lblAlgn val="ctr"/>
        <c:lblOffset val="100"/>
        <c:noMultiLvlLbl val="0"/>
      </c:catAx>
      <c:valAx>
        <c:axId val="480120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48013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CUSUM</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1-DAC6-47DD-92F5-38551B2D45C7}"/>
              </c:ext>
            </c:extLst>
          </c:dPt>
          <c:dPt>
            <c:idx val="2"/>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3-DAC6-47DD-92F5-38551B2D45C7}"/>
              </c:ext>
            </c:extLst>
          </c:dPt>
          <c:dPt>
            <c:idx val="3"/>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05-DAC6-47DD-92F5-38551B2D45C7}"/>
              </c:ext>
            </c:extLst>
          </c:dPt>
          <c:dPt>
            <c:idx val="4"/>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07-DAC6-47DD-92F5-38551B2D45C7}"/>
              </c:ext>
            </c:extLst>
          </c:dPt>
          <c:dPt>
            <c:idx val="5"/>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9-DAC6-47DD-92F5-38551B2D45C7}"/>
              </c:ext>
            </c:extLst>
          </c:dPt>
          <c:dPt>
            <c:idx val="6"/>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0B-DAC6-47DD-92F5-38551B2D45C7}"/>
              </c:ext>
            </c:extLst>
          </c:dPt>
          <c:dPt>
            <c:idx val="7"/>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0D-DAC6-47DD-92F5-38551B2D45C7}"/>
              </c:ext>
            </c:extLst>
          </c:dPt>
          <c:dPt>
            <c:idx val="8"/>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F-DAC6-47DD-92F5-38551B2D45C7}"/>
              </c:ext>
            </c:extLst>
          </c:dPt>
          <c:dPt>
            <c:idx val="9"/>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11-DAC6-47DD-92F5-38551B2D45C7}"/>
              </c:ext>
            </c:extLst>
          </c:dPt>
          <c:dPt>
            <c:idx val="10"/>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13-DAC6-47DD-92F5-38551B2D45C7}"/>
              </c:ext>
            </c:extLst>
          </c:dPt>
          <c:dPt>
            <c:idx val="11"/>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15-DAC6-47DD-92F5-38551B2D45C7}"/>
              </c:ext>
            </c:extLst>
          </c:dPt>
          <c:dPt>
            <c:idx val="12"/>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17-DAC6-47DD-92F5-38551B2D45C7}"/>
              </c:ext>
            </c:extLst>
          </c:dPt>
          <c:dPt>
            <c:idx val="13"/>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19-DAC6-47DD-92F5-38551B2D45C7}"/>
              </c:ext>
            </c:extLst>
          </c:dPt>
          <c:dPt>
            <c:idx val="14"/>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1B-DAC6-47DD-92F5-38551B2D45C7}"/>
              </c:ext>
            </c:extLst>
          </c:dPt>
          <c:dPt>
            <c:idx val="15"/>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1D-DAC6-47DD-92F5-38551B2D45C7}"/>
              </c:ext>
            </c:extLst>
          </c:dPt>
          <c:dPt>
            <c:idx val="16"/>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1F-DAC6-47DD-92F5-38551B2D45C7}"/>
              </c:ext>
            </c:extLst>
          </c:dPt>
          <c:dPt>
            <c:idx val="17"/>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21-DAC6-47DD-92F5-38551B2D45C7}"/>
              </c:ext>
            </c:extLst>
          </c:dPt>
          <c:dPt>
            <c:idx val="18"/>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23-DAC6-47DD-92F5-38551B2D45C7}"/>
              </c:ext>
            </c:extLst>
          </c:dPt>
          <c:dPt>
            <c:idx val="19"/>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25-DAC6-47DD-92F5-38551B2D45C7}"/>
              </c:ext>
            </c:extLst>
          </c:dPt>
          <c:dPt>
            <c:idx val="20"/>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27-DAC6-47DD-92F5-38551B2D45C7}"/>
              </c:ext>
            </c:extLst>
          </c:dPt>
          <c:dPt>
            <c:idx val="21"/>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29-DAC6-47DD-92F5-38551B2D45C7}"/>
              </c:ext>
            </c:extLst>
          </c:dPt>
          <c:dPt>
            <c:idx val="22"/>
            <c:marker>
              <c:symbol val="circle"/>
              <c:size val="5"/>
              <c:spPr>
                <a:solidFill>
                  <a:schemeClr val="accent1"/>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2B-DAC6-47DD-92F5-38551B2D45C7}"/>
              </c:ext>
            </c:extLst>
          </c:dPt>
          <c:dPt>
            <c:idx val="23"/>
            <c:marker>
              <c:symbol val="circle"/>
              <c:size val="5"/>
              <c:spPr>
                <a:solidFill>
                  <a:schemeClr val="accent1"/>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2D-DAC6-47DD-92F5-38551B2D45C7}"/>
              </c:ext>
            </c:extLst>
          </c:dPt>
          <c:cat>
            <c:numRef>
              <c:f>'Consumo Eléctrico'!$X$696:$X$719</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Eléctrico'!$AC$696:$AC$719</c:f>
              <c:numCache>
                <c:formatCode>0.00</c:formatCode>
                <c:ptCount val="24"/>
                <c:pt idx="0">
                  <c:v>-72.655511721999574</c:v>
                </c:pt>
                <c:pt idx="1">
                  <c:v>814.95382732799953</c:v>
                </c:pt>
                <c:pt idx="2">
                  <c:v>1448.7097743039994</c:v>
                </c:pt>
                <c:pt idx="3">
                  <c:v>1320.25635831</c:v>
                </c:pt>
                <c:pt idx="4">
                  <c:v>1238.5042893099999</c:v>
                </c:pt>
                <c:pt idx="5">
                  <c:v>1317.7876574639995</c:v>
                </c:pt>
                <c:pt idx="6">
                  <c:v>1235.9773392959996</c:v>
                </c:pt>
                <c:pt idx="7">
                  <c:v>865.84432973399817</c:v>
                </c:pt>
                <c:pt idx="8">
                  <c:v>960.00411073399846</c:v>
                </c:pt>
                <c:pt idx="9">
                  <c:v>880.5233107339991</c:v>
                </c:pt>
                <c:pt idx="10">
                  <c:v>1053.117717365998</c:v>
                </c:pt>
                <c:pt idx="11">
                  <c:v>1181.9230285579979</c:v>
                </c:pt>
                <c:pt idx="12">
                  <c:v>824.64990355799819</c:v>
                </c:pt>
                <c:pt idx="13">
                  <c:v>573.08459955799844</c:v>
                </c:pt>
                <c:pt idx="14">
                  <c:v>1025.1256985579985</c:v>
                </c:pt>
                <c:pt idx="15">
                  <c:v>720.12139455799843</c:v>
                </c:pt>
                <c:pt idx="16">
                  <c:v>1174.0254505579996</c:v>
                </c:pt>
                <c:pt idx="17">
                  <c:v>852.05548255800022</c:v>
                </c:pt>
                <c:pt idx="18">
                  <c:v>825.43217455800004</c:v>
                </c:pt>
                <c:pt idx="19">
                  <c:v>317.95468655800141</c:v>
                </c:pt>
                <c:pt idx="20">
                  <c:v>496.96133655800077</c:v>
                </c:pt>
                <c:pt idx="21">
                  <c:v>774.3654105580008</c:v>
                </c:pt>
                <c:pt idx="22">
                  <c:v>1048.1481055580007</c:v>
                </c:pt>
                <c:pt idx="23">
                  <c:v>887.87224055800107</c:v>
                </c:pt>
              </c:numCache>
            </c:numRef>
          </c:val>
          <c:smooth val="0"/>
          <c:extLst>
            <c:ext xmlns:c16="http://schemas.microsoft.com/office/drawing/2014/chart" uri="{C3380CC4-5D6E-409C-BE32-E72D297353CC}">
              <c16:uniqueId val="{0000002E-DAC6-47DD-92F5-38551B2D45C7}"/>
            </c:ext>
          </c:extLst>
        </c:ser>
        <c:ser>
          <c:idx val="1"/>
          <c:order val="1"/>
          <c:tx>
            <c:v>LCS</c:v>
          </c:tx>
          <c:spPr>
            <a:ln w="28575" cap="rnd">
              <a:solidFill>
                <a:schemeClr val="accent2"/>
              </a:solidFill>
              <a:round/>
            </a:ln>
            <a:effectLst/>
          </c:spPr>
          <c:marker>
            <c:symbol val="none"/>
          </c:marker>
          <c:val>
            <c:numRef>
              <c:f>'Consumo Eléctrico'!$AI$696:$AI$719</c:f>
              <c:numCache>
                <c:formatCode>0.00</c:formatCode>
                <c:ptCount val="24"/>
                <c:pt idx="0">
                  <c:v>1417.8826149569936</c:v>
                </c:pt>
                <c:pt idx="1">
                  <c:v>1417.8826149569936</c:v>
                </c:pt>
                <c:pt idx="2">
                  <c:v>1417.8826149569936</c:v>
                </c:pt>
                <c:pt idx="3">
                  <c:v>1417.8826149569936</c:v>
                </c:pt>
                <c:pt idx="4">
                  <c:v>1417.8826149569936</c:v>
                </c:pt>
                <c:pt idx="5">
                  <c:v>1417.8826149569936</c:v>
                </c:pt>
                <c:pt idx="6">
                  <c:v>1417.8826149569936</c:v>
                </c:pt>
                <c:pt idx="7">
                  <c:v>1417.8826149569936</c:v>
                </c:pt>
                <c:pt idx="8">
                  <c:v>1417.8826149569936</c:v>
                </c:pt>
                <c:pt idx="9">
                  <c:v>1417.8826149569936</c:v>
                </c:pt>
                <c:pt idx="10">
                  <c:v>1417.8826149569936</c:v>
                </c:pt>
                <c:pt idx="11">
                  <c:v>1417.8826149569936</c:v>
                </c:pt>
                <c:pt idx="12">
                  <c:v>1417.8826149569936</c:v>
                </c:pt>
                <c:pt idx="13">
                  <c:v>1417.8826149569936</c:v>
                </c:pt>
                <c:pt idx="14">
                  <c:v>1417.8826149569936</c:v>
                </c:pt>
                <c:pt idx="15">
                  <c:v>1417.8826149569936</c:v>
                </c:pt>
                <c:pt idx="16">
                  <c:v>1417.8826149569936</c:v>
                </c:pt>
                <c:pt idx="17">
                  <c:v>1417.8826149569936</c:v>
                </c:pt>
                <c:pt idx="18">
                  <c:v>1417.8826149569936</c:v>
                </c:pt>
                <c:pt idx="19">
                  <c:v>1417.8826149569936</c:v>
                </c:pt>
                <c:pt idx="20">
                  <c:v>1417.8826149569936</c:v>
                </c:pt>
                <c:pt idx="21">
                  <c:v>1417.8826149569936</c:v>
                </c:pt>
                <c:pt idx="22">
                  <c:v>1417.8826149569936</c:v>
                </c:pt>
                <c:pt idx="23">
                  <c:v>1417.8826149569936</c:v>
                </c:pt>
              </c:numCache>
            </c:numRef>
          </c:val>
          <c:smooth val="0"/>
          <c:extLst>
            <c:ext xmlns:c16="http://schemas.microsoft.com/office/drawing/2014/chart" uri="{C3380CC4-5D6E-409C-BE32-E72D297353CC}">
              <c16:uniqueId val="{0000002F-DAC6-47DD-92F5-38551B2D45C7}"/>
            </c:ext>
          </c:extLst>
        </c:ser>
        <c:ser>
          <c:idx val="2"/>
          <c:order val="2"/>
          <c:tx>
            <c:v>LCI</c:v>
          </c:tx>
          <c:spPr>
            <a:ln w="28575" cap="rnd">
              <a:solidFill>
                <a:schemeClr val="accent3"/>
              </a:solidFill>
              <a:round/>
            </a:ln>
            <a:effectLst/>
          </c:spPr>
          <c:marker>
            <c:symbol val="none"/>
          </c:marker>
          <c:val>
            <c:numRef>
              <c:f>'Consumo Eléctrico'!$AJ$696:$AJ$719</c:f>
              <c:numCache>
                <c:formatCode>0.00</c:formatCode>
                <c:ptCount val="24"/>
                <c:pt idx="0">
                  <c:v>-1343.89326157716</c:v>
                </c:pt>
                <c:pt idx="1">
                  <c:v>-1343.89326157716</c:v>
                </c:pt>
                <c:pt idx="2">
                  <c:v>-1343.89326157716</c:v>
                </c:pt>
                <c:pt idx="3">
                  <c:v>-1343.89326157716</c:v>
                </c:pt>
                <c:pt idx="4">
                  <c:v>-1343.89326157716</c:v>
                </c:pt>
                <c:pt idx="5">
                  <c:v>-1343.89326157716</c:v>
                </c:pt>
                <c:pt idx="6">
                  <c:v>-1343.89326157716</c:v>
                </c:pt>
                <c:pt idx="7">
                  <c:v>-1343.89326157716</c:v>
                </c:pt>
                <c:pt idx="8">
                  <c:v>-1343.89326157716</c:v>
                </c:pt>
                <c:pt idx="9">
                  <c:v>-1343.89326157716</c:v>
                </c:pt>
                <c:pt idx="10">
                  <c:v>-1343.89326157716</c:v>
                </c:pt>
                <c:pt idx="11">
                  <c:v>-1343.89326157716</c:v>
                </c:pt>
                <c:pt idx="12">
                  <c:v>-1343.89326157716</c:v>
                </c:pt>
                <c:pt idx="13">
                  <c:v>-1343.89326157716</c:v>
                </c:pt>
                <c:pt idx="14">
                  <c:v>-1343.89326157716</c:v>
                </c:pt>
                <c:pt idx="15">
                  <c:v>-1343.89326157716</c:v>
                </c:pt>
                <c:pt idx="16">
                  <c:v>-1343.89326157716</c:v>
                </c:pt>
                <c:pt idx="17">
                  <c:v>-1343.89326157716</c:v>
                </c:pt>
                <c:pt idx="18">
                  <c:v>-1343.89326157716</c:v>
                </c:pt>
                <c:pt idx="19">
                  <c:v>-1343.89326157716</c:v>
                </c:pt>
                <c:pt idx="20">
                  <c:v>-1343.89326157716</c:v>
                </c:pt>
                <c:pt idx="21">
                  <c:v>-1343.89326157716</c:v>
                </c:pt>
                <c:pt idx="22">
                  <c:v>-1343.89326157716</c:v>
                </c:pt>
                <c:pt idx="23">
                  <c:v>-1343.89326157716</c:v>
                </c:pt>
              </c:numCache>
            </c:numRef>
          </c:val>
          <c:smooth val="0"/>
          <c:extLst>
            <c:ext xmlns:c16="http://schemas.microsoft.com/office/drawing/2014/chart" uri="{C3380CC4-5D6E-409C-BE32-E72D297353CC}">
              <c16:uniqueId val="{00000030-DAC6-47DD-92F5-38551B2D45C7}"/>
            </c:ext>
          </c:extLst>
        </c:ser>
        <c:dLbls>
          <c:showLegendKey val="0"/>
          <c:showVal val="0"/>
          <c:showCatName val="0"/>
          <c:showSerName val="0"/>
          <c:showPercent val="0"/>
          <c:showBubbleSize val="0"/>
        </c:dLbls>
        <c:marker val="1"/>
        <c:smooth val="0"/>
        <c:axId val="243864848"/>
        <c:axId val="243865328"/>
      </c:lineChart>
      <c:dateAx>
        <c:axId val="243864848"/>
        <c:scaling>
          <c:orientation val="minMax"/>
        </c:scaling>
        <c:delete val="0"/>
        <c:axPos val="b"/>
        <c:numFmt formatCode="mmm\-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43865328"/>
        <c:crosses val="autoZero"/>
        <c:auto val="1"/>
        <c:lblOffset val="100"/>
        <c:baseTimeUnit val="months"/>
      </c:dateAx>
      <c:valAx>
        <c:axId val="243865328"/>
        <c:scaling>
          <c:orientation val="minMax"/>
          <c:min val="-2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CUSUM [kWh/mes]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438648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12495760636092"/>
          <c:y val="0.17020671543312391"/>
          <c:w val="0.82044273613780339"/>
          <c:h val="0.65908900384321323"/>
        </c:manualLayout>
      </c:layout>
      <c:scatterChart>
        <c:scatterStyle val="lineMarker"/>
        <c:varyColors val="0"/>
        <c:ser>
          <c:idx val="0"/>
          <c:order val="0"/>
          <c:tx>
            <c:v>IC Real</c:v>
          </c:tx>
          <c:spPr>
            <a:ln w="25400" cap="rnd">
              <a:noFill/>
              <a:round/>
            </a:ln>
            <a:effectLst/>
          </c:spPr>
          <c:marker>
            <c:symbol val="circle"/>
            <c:size val="5"/>
            <c:spPr>
              <a:solidFill>
                <a:schemeClr val="accent1"/>
              </a:solidFill>
              <a:ln w="9525">
                <a:solidFill>
                  <a:schemeClr val="accent1"/>
                </a:solidFill>
              </a:ln>
              <a:effectLst/>
            </c:spPr>
          </c:marker>
          <c:xVal>
            <c:numRef>
              <c:f>'Consumo Eléctrico'!$Y$638:$Y$661</c:f>
              <c:numCache>
                <c:formatCode>0.00</c:formatCode>
                <c:ptCount val="24"/>
                <c:pt idx="0">
                  <c:v>41.00712</c:v>
                </c:pt>
                <c:pt idx="1">
                  <c:v>59.85</c:v>
                </c:pt>
                <c:pt idx="2">
                  <c:v>70.14</c:v>
                </c:pt>
                <c:pt idx="3">
                  <c:v>72.344580000000008</c:v>
                </c:pt>
                <c:pt idx="4">
                  <c:v>81.25</c:v>
                </c:pt>
                <c:pt idx="5">
                  <c:v>81.5</c:v>
                </c:pt>
                <c:pt idx="6">
                  <c:v>99.44550000000001</c:v>
                </c:pt>
                <c:pt idx="7">
                  <c:v>104.56</c:v>
                </c:pt>
                <c:pt idx="8">
                  <c:v>104.69536000000001</c:v>
                </c:pt>
                <c:pt idx="9">
                  <c:v>112</c:v>
                </c:pt>
                <c:pt idx="10">
                  <c:v>112.32</c:v>
                </c:pt>
                <c:pt idx="11">
                  <c:v>117.89</c:v>
                </c:pt>
                <c:pt idx="12">
                  <c:v>118.91</c:v>
                </c:pt>
                <c:pt idx="13">
                  <c:v>151.82552000000001</c:v>
                </c:pt>
                <c:pt idx="14">
                  <c:v>177.69752000000003</c:v>
                </c:pt>
                <c:pt idx="15">
                  <c:v>181.45</c:v>
                </c:pt>
                <c:pt idx="16">
                  <c:v>188.35893999999999</c:v>
                </c:pt>
                <c:pt idx="17">
                  <c:v>190.06218000000001</c:v>
                </c:pt>
                <c:pt idx="18">
                  <c:v>198.85866000000001</c:v>
                </c:pt>
                <c:pt idx="19">
                  <c:v>199.52</c:v>
                </c:pt>
                <c:pt idx="20">
                  <c:v>212.12</c:v>
                </c:pt>
                <c:pt idx="21">
                  <c:v>214.56</c:v>
                </c:pt>
                <c:pt idx="22">
                  <c:v>265.41000000000003</c:v>
                </c:pt>
                <c:pt idx="23">
                  <c:v>314.16000000000003</c:v>
                </c:pt>
              </c:numCache>
            </c:numRef>
          </c:xVal>
          <c:yVal>
            <c:numRef>
              <c:f>'Consumo Eléctrico'!$AD$638:$AD$661</c:f>
              <c:numCache>
                <c:formatCode>0.00</c:formatCode>
                <c:ptCount val="24"/>
                <c:pt idx="0">
                  <c:v>209.18147872857202</c:v>
                </c:pt>
                <c:pt idx="1">
                  <c:v>141.49122807017542</c:v>
                </c:pt>
                <c:pt idx="2">
                  <c:v>128.37040205303677</c:v>
                </c:pt>
                <c:pt idx="3">
                  <c:v>119.90988129311137</c:v>
                </c:pt>
                <c:pt idx="4">
                  <c:v>104.30769230769231</c:v>
                </c:pt>
                <c:pt idx="5">
                  <c:v>110.59705521472392</c:v>
                </c:pt>
                <c:pt idx="6">
                  <c:v>99.48283230513195</c:v>
                </c:pt>
                <c:pt idx="7">
                  <c:v>84.187452180566169</c:v>
                </c:pt>
                <c:pt idx="8">
                  <c:v>92.547081360625711</c:v>
                </c:pt>
                <c:pt idx="9">
                  <c:v>80.763928571428565</c:v>
                </c:pt>
                <c:pt idx="10">
                  <c:v>76.750445156695164</c:v>
                </c:pt>
                <c:pt idx="11">
                  <c:v>81.713122402239378</c:v>
                </c:pt>
                <c:pt idx="12">
                  <c:v>78.084181313598521</c:v>
                </c:pt>
                <c:pt idx="13">
                  <c:v>63.736386346643165</c:v>
                </c:pt>
                <c:pt idx="14">
                  <c:v>54.41117017277449</c:v>
                </c:pt>
                <c:pt idx="15">
                  <c:v>55.442546155965843</c:v>
                </c:pt>
                <c:pt idx="16">
                  <c:v>52.725556854376016</c:v>
                </c:pt>
                <c:pt idx="17">
                  <c:v>49.973803310053576</c:v>
                </c:pt>
                <c:pt idx="18">
                  <c:v>49.399709321183188</c:v>
                </c:pt>
                <c:pt idx="19">
                  <c:v>48.297614274258216</c:v>
                </c:pt>
                <c:pt idx="20">
                  <c:v>47.386620780690173</c:v>
                </c:pt>
                <c:pt idx="21">
                  <c:v>45.658557046979865</c:v>
                </c:pt>
                <c:pt idx="22">
                  <c:v>39.576089823292257</c:v>
                </c:pt>
                <c:pt idx="23">
                  <c:v>36.617296918767508</c:v>
                </c:pt>
              </c:numCache>
            </c:numRef>
          </c:yVal>
          <c:smooth val="0"/>
          <c:extLst>
            <c:ext xmlns:c16="http://schemas.microsoft.com/office/drawing/2014/chart" uri="{C3380CC4-5D6E-409C-BE32-E72D297353CC}">
              <c16:uniqueId val="{00000000-CA50-456C-BD20-2B3F70D65DE5}"/>
            </c:ext>
          </c:extLst>
        </c:ser>
        <c:dLbls>
          <c:showLegendKey val="0"/>
          <c:showVal val="0"/>
          <c:showCatName val="0"/>
          <c:showSerName val="0"/>
          <c:showPercent val="0"/>
          <c:showBubbleSize val="0"/>
        </c:dLbls>
        <c:axId val="1062871183"/>
        <c:axId val="1062866383"/>
      </c:scatterChart>
      <c:scatterChart>
        <c:scatterStyle val="smoothMarker"/>
        <c:varyColors val="0"/>
        <c:ser>
          <c:idx val="1"/>
          <c:order val="1"/>
          <c:tx>
            <c:v>IC LBE</c:v>
          </c:tx>
          <c:spPr>
            <a:ln w="19050" cap="rnd">
              <a:solidFill>
                <a:schemeClr val="accent2"/>
              </a:solidFill>
              <a:round/>
            </a:ln>
            <a:effectLst/>
          </c:spPr>
          <c:marker>
            <c:symbol val="none"/>
          </c:marker>
          <c:xVal>
            <c:numRef>
              <c:f>'Consumo Eléctrico'!$Y$638:$Y$661</c:f>
              <c:numCache>
                <c:formatCode>0.00</c:formatCode>
                <c:ptCount val="24"/>
                <c:pt idx="0">
                  <c:v>41.00712</c:v>
                </c:pt>
                <c:pt idx="1">
                  <c:v>59.85</c:v>
                </c:pt>
                <c:pt idx="2">
                  <c:v>70.14</c:v>
                </c:pt>
                <c:pt idx="3">
                  <c:v>72.344580000000008</c:v>
                </c:pt>
                <c:pt idx="4">
                  <c:v>81.25</c:v>
                </c:pt>
                <c:pt idx="5">
                  <c:v>81.5</c:v>
                </c:pt>
                <c:pt idx="6">
                  <c:v>99.44550000000001</c:v>
                </c:pt>
                <c:pt idx="7">
                  <c:v>104.56</c:v>
                </c:pt>
                <c:pt idx="8">
                  <c:v>104.69536000000001</c:v>
                </c:pt>
                <c:pt idx="9">
                  <c:v>112</c:v>
                </c:pt>
                <c:pt idx="10">
                  <c:v>112.32</c:v>
                </c:pt>
                <c:pt idx="11">
                  <c:v>117.89</c:v>
                </c:pt>
                <c:pt idx="12">
                  <c:v>118.91</c:v>
                </c:pt>
                <c:pt idx="13">
                  <c:v>151.82552000000001</c:v>
                </c:pt>
                <c:pt idx="14">
                  <c:v>177.69752000000003</c:v>
                </c:pt>
                <c:pt idx="15">
                  <c:v>181.45</c:v>
                </c:pt>
                <c:pt idx="16">
                  <c:v>188.35893999999999</c:v>
                </c:pt>
                <c:pt idx="17">
                  <c:v>190.06218000000001</c:v>
                </c:pt>
                <c:pt idx="18">
                  <c:v>198.85866000000001</c:v>
                </c:pt>
                <c:pt idx="19">
                  <c:v>199.52</c:v>
                </c:pt>
                <c:pt idx="20">
                  <c:v>212.12</c:v>
                </c:pt>
                <c:pt idx="21">
                  <c:v>214.56</c:v>
                </c:pt>
                <c:pt idx="22">
                  <c:v>265.41000000000003</c:v>
                </c:pt>
                <c:pt idx="23">
                  <c:v>314.16000000000003</c:v>
                </c:pt>
              </c:numCache>
            </c:numRef>
          </c:xVal>
          <c:yVal>
            <c:numRef>
              <c:f>'Consumo Eléctrico'!$AC$638:$AC$661</c:f>
              <c:numCache>
                <c:formatCode>0.00</c:formatCode>
                <c:ptCount val="24"/>
                <c:pt idx="0">
                  <c:v>206.04061204166084</c:v>
                </c:pt>
                <c:pt idx="1">
                  <c:v>144.16932324431744</c:v>
                </c:pt>
                <c:pt idx="2">
                  <c:v>124.41551823189307</c:v>
                </c:pt>
                <c:pt idx="3">
                  <c:v>120.91429818803256</c:v>
                </c:pt>
                <c:pt idx="4">
                  <c:v>108.70501009975119</c:v>
                </c:pt>
                <c:pt idx="5">
                  <c:v>108.40076447998996</c:v>
                </c:pt>
                <c:pt idx="6">
                  <c:v>90.55734345980089</c:v>
                </c:pt>
                <c:pt idx="7">
                  <c:v>86.593488300757116</c:v>
                </c:pt>
                <c:pt idx="8">
                  <c:v>86.493841665023538</c:v>
                </c:pt>
                <c:pt idx="9">
                  <c:v>81.473668891746613</c:v>
                </c:pt>
                <c:pt idx="10">
                  <c:v>81.268675356606565</c:v>
                </c:pt>
                <c:pt idx="11">
                  <c:v>77.878778870428491</c:v>
                </c:pt>
                <c:pt idx="12">
                  <c:v>77.292411049142672</c:v>
                </c:pt>
                <c:pt idx="13">
                  <c:v>62.599668520199103</c:v>
                </c:pt>
                <c:pt idx="14">
                  <c:v>54.871632053912627</c:v>
                </c:pt>
                <c:pt idx="15">
                  <c:v>53.933756208184739</c:v>
                </c:pt>
                <c:pt idx="16">
                  <c:v>52.304709581391329</c:v>
                </c:pt>
                <c:pt idx="17">
                  <c:v>51.921303313978193</c:v>
                </c:pt>
                <c:pt idx="18">
                  <c:v>50.045730155783673</c:v>
                </c:pt>
                <c:pt idx="19">
                  <c:v>49.9114044440444</c:v>
                </c:pt>
                <c:pt idx="20">
                  <c:v>47.512197030932249</c:v>
                </c:pt>
                <c:pt idx="21">
                  <c:v>47.080156240966929</c:v>
                </c:pt>
                <c:pt idx="22">
                  <c:v>39.884171746694633</c:v>
                </c:pt>
                <c:pt idx="23">
                  <c:v>35.172535502920951</c:v>
                </c:pt>
              </c:numCache>
            </c:numRef>
          </c:yVal>
          <c:smooth val="1"/>
          <c:extLst>
            <c:ext xmlns:c16="http://schemas.microsoft.com/office/drawing/2014/chart" uri="{C3380CC4-5D6E-409C-BE32-E72D297353CC}">
              <c16:uniqueId val="{00000001-CA50-456C-BD20-2B3F70D65DE5}"/>
            </c:ext>
          </c:extLst>
        </c:ser>
        <c:dLbls>
          <c:showLegendKey val="0"/>
          <c:showVal val="0"/>
          <c:showCatName val="0"/>
          <c:showSerName val="0"/>
          <c:showPercent val="0"/>
          <c:showBubbleSize val="0"/>
        </c:dLbls>
        <c:axId val="186937120"/>
        <c:axId val="186936640"/>
      </c:scatterChart>
      <c:valAx>
        <c:axId val="106287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 [m</a:t>
                </a:r>
                <a:r>
                  <a:rPr lang="en-US">
                    <a:latin typeface="Aptos Narrow" panose="020B0004020202020204" pitchFamily="34" charset="0"/>
                  </a:rPr>
                  <a:t>³]</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66383"/>
        <c:crosses val="autoZero"/>
        <c:crossBetween val="midCat"/>
      </c:valAx>
      <c:valAx>
        <c:axId val="106286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71183"/>
        <c:crosses val="autoZero"/>
        <c:crossBetween val="midCat"/>
      </c:valAx>
      <c:valAx>
        <c:axId val="186936640"/>
        <c:scaling>
          <c:orientation val="minMax"/>
        </c:scaling>
        <c:delete val="0"/>
        <c:axPos val="r"/>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6937120"/>
        <c:crosses val="max"/>
        <c:crossBetween val="midCat"/>
      </c:valAx>
      <c:valAx>
        <c:axId val="186937120"/>
        <c:scaling>
          <c:orientation val="minMax"/>
        </c:scaling>
        <c:delete val="1"/>
        <c:axPos val="t"/>
        <c:numFmt formatCode="0.00" sourceLinked="1"/>
        <c:majorTickMark val="out"/>
        <c:minorTickMark val="none"/>
        <c:tickLblPos val="nextTo"/>
        <c:crossAx val="186936640"/>
        <c:crosses val="max"/>
        <c:crossBetween val="midCat"/>
      </c:valAx>
      <c:spPr>
        <a:noFill/>
        <a:ln>
          <a:noFill/>
        </a:ln>
        <a:effectLst/>
      </c:spPr>
    </c:plotArea>
    <c:legend>
      <c:legendPos val="b"/>
      <c:layout>
        <c:manualLayout>
          <c:xMode val="edge"/>
          <c:yMode val="edge"/>
          <c:x val="0.34334179112601693"/>
          <c:y val="6.9002224409534185E-2"/>
          <c:w val="0.30835716668426938"/>
          <c:h val="7.96852063648816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IC</a:t>
            </a:r>
          </a:p>
        </c:rich>
      </c:tx>
      <c:layout>
        <c:manualLayout>
          <c:xMode val="edge"/>
          <c:yMode val="edge"/>
          <c:x val="0.17661483128378408"/>
          <c:y val="3.2123133136475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manualLayout>
          <c:layoutTarget val="inner"/>
          <c:xMode val="edge"/>
          <c:yMode val="edge"/>
          <c:x val="9.2341592206387491E-2"/>
          <c:y val="0.17020671543312391"/>
          <c:w val="0.86022610514198317"/>
          <c:h val="0.69137412906453499"/>
        </c:manualLayout>
      </c:layout>
      <c:scatterChart>
        <c:scatterStyle val="lineMarker"/>
        <c:varyColors val="0"/>
        <c:ser>
          <c:idx val="0"/>
          <c:order val="0"/>
          <c:tx>
            <c:v>IC Real</c:v>
          </c:tx>
          <c:spPr>
            <a:ln w="25400" cap="rnd">
              <a:noFill/>
              <a:round/>
            </a:ln>
            <a:effectLst/>
          </c:spPr>
          <c:marker>
            <c:symbol val="circle"/>
            <c:size val="5"/>
            <c:spPr>
              <a:solidFill>
                <a:schemeClr val="accent1"/>
              </a:solidFill>
              <a:ln w="9525">
                <a:solidFill>
                  <a:schemeClr val="accent1"/>
                </a:solidFill>
              </a:ln>
              <a:effectLst/>
            </c:spPr>
          </c:marker>
          <c:xVal>
            <c:numRef>
              <c:f>'Consumo Eléctrico'!$Y$638:$Y$661</c:f>
              <c:numCache>
                <c:formatCode>0.00</c:formatCode>
                <c:ptCount val="24"/>
                <c:pt idx="0">
                  <c:v>41.00712</c:v>
                </c:pt>
                <c:pt idx="1">
                  <c:v>59.85</c:v>
                </c:pt>
                <c:pt idx="2">
                  <c:v>70.14</c:v>
                </c:pt>
                <c:pt idx="3">
                  <c:v>72.344580000000008</c:v>
                </c:pt>
                <c:pt idx="4">
                  <c:v>81.25</c:v>
                </c:pt>
                <c:pt idx="5">
                  <c:v>81.5</c:v>
                </c:pt>
                <c:pt idx="6">
                  <c:v>99.44550000000001</c:v>
                </c:pt>
                <c:pt idx="7">
                  <c:v>104.56</c:v>
                </c:pt>
                <c:pt idx="8">
                  <c:v>104.69536000000001</c:v>
                </c:pt>
                <c:pt idx="9">
                  <c:v>112</c:v>
                </c:pt>
                <c:pt idx="10">
                  <c:v>112.32</c:v>
                </c:pt>
                <c:pt idx="11">
                  <c:v>117.89</c:v>
                </c:pt>
                <c:pt idx="12">
                  <c:v>118.91</c:v>
                </c:pt>
                <c:pt idx="13">
                  <c:v>151.82552000000001</c:v>
                </c:pt>
                <c:pt idx="14">
                  <c:v>177.69752000000003</c:v>
                </c:pt>
                <c:pt idx="15">
                  <c:v>181.45</c:v>
                </c:pt>
                <c:pt idx="16">
                  <c:v>188.35893999999999</c:v>
                </c:pt>
                <c:pt idx="17">
                  <c:v>190.06218000000001</c:v>
                </c:pt>
                <c:pt idx="18">
                  <c:v>198.85866000000001</c:v>
                </c:pt>
                <c:pt idx="19">
                  <c:v>199.52</c:v>
                </c:pt>
                <c:pt idx="20">
                  <c:v>212.12</c:v>
                </c:pt>
                <c:pt idx="21">
                  <c:v>214.56</c:v>
                </c:pt>
                <c:pt idx="22">
                  <c:v>265.41000000000003</c:v>
                </c:pt>
                <c:pt idx="23">
                  <c:v>314.16000000000003</c:v>
                </c:pt>
              </c:numCache>
            </c:numRef>
          </c:xVal>
          <c:yVal>
            <c:numRef>
              <c:f>'Consumo Eléctrico'!$AD$638:$AD$661</c:f>
              <c:numCache>
                <c:formatCode>0.00</c:formatCode>
                <c:ptCount val="24"/>
                <c:pt idx="0">
                  <c:v>209.18147872857202</c:v>
                </c:pt>
                <c:pt idx="1">
                  <c:v>141.49122807017542</c:v>
                </c:pt>
                <c:pt idx="2">
                  <c:v>128.37040205303677</c:v>
                </c:pt>
                <c:pt idx="3">
                  <c:v>119.90988129311137</c:v>
                </c:pt>
                <c:pt idx="4">
                  <c:v>104.30769230769231</c:v>
                </c:pt>
                <c:pt idx="5">
                  <c:v>110.59705521472392</c:v>
                </c:pt>
                <c:pt idx="6">
                  <c:v>99.48283230513195</c:v>
                </c:pt>
                <c:pt idx="7">
                  <c:v>84.187452180566169</c:v>
                </c:pt>
                <c:pt idx="8">
                  <c:v>92.547081360625711</c:v>
                </c:pt>
                <c:pt idx="9">
                  <c:v>80.763928571428565</c:v>
                </c:pt>
                <c:pt idx="10">
                  <c:v>76.750445156695164</c:v>
                </c:pt>
                <c:pt idx="11">
                  <c:v>81.713122402239378</c:v>
                </c:pt>
                <c:pt idx="12">
                  <c:v>78.084181313598521</c:v>
                </c:pt>
                <c:pt idx="13">
                  <c:v>63.736386346643165</c:v>
                </c:pt>
                <c:pt idx="14">
                  <c:v>54.41117017277449</c:v>
                </c:pt>
                <c:pt idx="15">
                  <c:v>55.442546155965843</c:v>
                </c:pt>
                <c:pt idx="16">
                  <c:v>52.725556854376016</c:v>
                </c:pt>
                <c:pt idx="17">
                  <c:v>49.973803310053576</c:v>
                </c:pt>
                <c:pt idx="18">
                  <c:v>49.399709321183188</c:v>
                </c:pt>
                <c:pt idx="19">
                  <c:v>48.297614274258216</c:v>
                </c:pt>
                <c:pt idx="20">
                  <c:v>47.386620780690173</c:v>
                </c:pt>
                <c:pt idx="21">
                  <c:v>45.658557046979865</c:v>
                </c:pt>
                <c:pt idx="22">
                  <c:v>39.576089823292257</c:v>
                </c:pt>
                <c:pt idx="23">
                  <c:v>36.617296918767508</c:v>
                </c:pt>
              </c:numCache>
            </c:numRef>
          </c:yVal>
          <c:smooth val="0"/>
          <c:extLst>
            <c:ext xmlns:c16="http://schemas.microsoft.com/office/drawing/2014/chart" uri="{C3380CC4-5D6E-409C-BE32-E72D297353CC}">
              <c16:uniqueId val="{00000000-E8EC-433B-BCD6-CA100CF50B96}"/>
            </c:ext>
          </c:extLst>
        </c:ser>
        <c:dLbls>
          <c:showLegendKey val="0"/>
          <c:showVal val="0"/>
          <c:showCatName val="0"/>
          <c:showSerName val="0"/>
          <c:showPercent val="0"/>
          <c:showBubbleSize val="0"/>
        </c:dLbls>
        <c:axId val="1062871183"/>
        <c:axId val="1062866383"/>
      </c:scatterChart>
      <c:scatterChart>
        <c:scatterStyle val="smoothMarker"/>
        <c:varyColors val="0"/>
        <c:ser>
          <c:idx val="1"/>
          <c:order val="1"/>
          <c:tx>
            <c:v>IC LBE</c:v>
          </c:tx>
          <c:spPr>
            <a:ln w="19050" cap="rnd">
              <a:solidFill>
                <a:schemeClr val="accent2"/>
              </a:solidFill>
              <a:round/>
            </a:ln>
            <a:effectLst/>
          </c:spPr>
          <c:marker>
            <c:symbol val="none"/>
          </c:marker>
          <c:xVal>
            <c:numRef>
              <c:f>'Consumo Eléctrico'!$Y$638:$Y$661</c:f>
              <c:numCache>
                <c:formatCode>0.00</c:formatCode>
                <c:ptCount val="24"/>
                <c:pt idx="0">
                  <c:v>41.00712</c:v>
                </c:pt>
                <c:pt idx="1">
                  <c:v>59.85</c:v>
                </c:pt>
                <c:pt idx="2">
                  <c:v>70.14</c:v>
                </c:pt>
                <c:pt idx="3">
                  <c:v>72.344580000000008</c:v>
                </c:pt>
                <c:pt idx="4">
                  <c:v>81.25</c:v>
                </c:pt>
                <c:pt idx="5">
                  <c:v>81.5</c:v>
                </c:pt>
                <c:pt idx="6">
                  <c:v>99.44550000000001</c:v>
                </c:pt>
                <c:pt idx="7">
                  <c:v>104.56</c:v>
                </c:pt>
                <c:pt idx="8">
                  <c:v>104.69536000000001</c:v>
                </c:pt>
                <c:pt idx="9">
                  <c:v>112</c:v>
                </c:pt>
                <c:pt idx="10">
                  <c:v>112.32</c:v>
                </c:pt>
                <c:pt idx="11">
                  <c:v>117.89</c:v>
                </c:pt>
                <c:pt idx="12">
                  <c:v>118.91</c:v>
                </c:pt>
                <c:pt idx="13">
                  <c:v>151.82552000000001</c:v>
                </c:pt>
                <c:pt idx="14">
                  <c:v>177.69752000000003</c:v>
                </c:pt>
                <c:pt idx="15">
                  <c:v>181.45</c:v>
                </c:pt>
                <c:pt idx="16">
                  <c:v>188.35893999999999</c:v>
                </c:pt>
                <c:pt idx="17">
                  <c:v>190.06218000000001</c:v>
                </c:pt>
                <c:pt idx="18">
                  <c:v>198.85866000000001</c:v>
                </c:pt>
                <c:pt idx="19">
                  <c:v>199.52</c:v>
                </c:pt>
                <c:pt idx="20">
                  <c:v>212.12</c:v>
                </c:pt>
                <c:pt idx="21">
                  <c:v>214.56</c:v>
                </c:pt>
                <c:pt idx="22">
                  <c:v>265.41000000000003</c:v>
                </c:pt>
                <c:pt idx="23">
                  <c:v>314.16000000000003</c:v>
                </c:pt>
              </c:numCache>
            </c:numRef>
          </c:xVal>
          <c:yVal>
            <c:numRef>
              <c:f>'Consumo Eléctrico'!$AC$638:$AC$661</c:f>
              <c:numCache>
                <c:formatCode>0.00</c:formatCode>
                <c:ptCount val="24"/>
                <c:pt idx="0">
                  <c:v>206.04061204166084</c:v>
                </c:pt>
                <c:pt idx="1">
                  <c:v>144.16932324431744</c:v>
                </c:pt>
                <c:pt idx="2">
                  <c:v>124.41551823189307</c:v>
                </c:pt>
                <c:pt idx="3">
                  <c:v>120.91429818803256</c:v>
                </c:pt>
                <c:pt idx="4">
                  <c:v>108.70501009975119</c:v>
                </c:pt>
                <c:pt idx="5">
                  <c:v>108.40076447998996</c:v>
                </c:pt>
                <c:pt idx="6">
                  <c:v>90.55734345980089</c:v>
                </c:pt>
                <c:pt idx="7">
                  <c:v>86.593488300757116</c:v>
                </c:pt>
                <c:pt idx="8">
                  <c:v>86.493841665023538</c:v>
                </c:pt>
                <c:pt idx="9">
                  <c:v>81.473668891746613</c:v>
                </c:pt>
                <c:pt idx="10">
                  <c:v>81.268675356606565</c:v>
                </c:pt>
                <c:pt idx="11">
                  <c:v>77.878778870428491</c:v>
                </c:pt>
                <c:pt idx="12">
                  <c:v>77.292411049142672</c:v>
                </c:pt>
                <c:pt idx="13">
                  <c:v>62.599668520199103</c:v>
                </c:pt>
                <c:pt idx="14">
                  <c:v>54.871632053912627</c:v>
                </c:pt>
                <c:pt idx="15">
                  <c:v>53.933756208184739</c:v>
                </c:pt>
                <c:pt idx="16">
                  <c:v>52.304709581391329</c:v>
                </c:pt>
                <c:pt idx="17">
                  <c:v>51.921303313978193</c:v>
                </c:pt>
                <c:pt idx="18">
                  <c:v>50.045730155783673</c:v>
                </c:pt>
                <c:pt idx="19">
                  <c:v>49.9114044440444</c:v>
                </c:pt>
                <c:pt idx="20">
                  <c:v>47.512197030932249</c:v>
                </c:pt>
                <c:pt idx="21">
                  <c:v>47.080156240966929</c:v>
                </c:pt>
                <c:pt idx="22">
                  <c:v>39.884171746694633</c:v>
                </c:pt>
                <c:pt idx="23">
                  <c:v>35.172535502920951</c:v>
                </c:pt>
              </c:numCache>
            </c:numRef>
          </c:yVal>
          <c:smooth val="1"/>
          <c:extLst>
            <c:ext xmlns:c16="http://schemas.microsoft.com/office/drawing/2014/chart" uri="{C3380CC4-5D6E-409C-BE32-E72D297353CC}">
              <c16:uniqueId val="{00000001-E8EC-433B-BCD6-CA100CF50B96}"/>
            </c:ext>
          </c:extLst>
        </c:ser>
        <c:dLbls>
          <c:showLegendKey val="0"/>
          <c:showVal val="0"/>
          <c:showCatName val="0"/>
          <c:showSerName val="0"/>
          <c:showPercent val="0"/>
          <c:showBubbleSize val="0"/>
        </c:dLbls>
        <c:axId val="186937120"/>
        <c:axId val="186936640"/>
      </c:scatterChart>
      <c:valAx>
        <c:axId val="106287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Producción [m</a:t>
                </a:r>
                <a:r>
                  <a:rPr lang="en-US">
                    <a:latin typeface="Aptos Narrow" panose="020B0004020202020204" pitchFamily="34" charset="0"/>
                  </a:rPr>
                  <a:t>³]</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66383"/>
        <c:crosses val="autoZero"/>
        <c:crossBetween val="midCat"/>
      </c:valAx>
      <c:valAx>
        <c:axId val="106286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Índice de consumo [kWh/m³]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62871183"/>
        <c:crosses val="autoZero"/>
        <c:crossBetween val="midCat"/>
      </c:valAx>
      <c:valAx>
        <c:axId val="186936640"/>
        <c:scaling>
          <c:orientation val="minMax"/>
        </c:scaling>
        <c:delete val="0"/>
        <c:axPos val="r"/>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6937120"/>
        <c:crosses val="max"/>
        <c:crossBetween val="midCat"/>
      </c:valAx>
      <c:valAx>
        <c:axId val="186937120"/>
        <c:scaling>
          <c:orientation val="minMax"/>
        </c:scaling>
        <c:delete val="1"/>
        <c:axPos val="t"/>
        <c:numFmt formatCode="0.00" sourceLinked="1"/>
        <c:majorTickMark val="out"/>
        <c:minorTickMark val="none"/>
        <c:tickLblPos val="nextTo"/>
        <c:crossAx val="186936640"/>
        <c:crosses val="max"/>
        <c:crossBetween val="midCat"/>
      </c:valAx>
      <c:spPr>
        <a:noFill/>
        <a:ln>
          <a:noFill/>
        </a:ln>
        <a:effectLst/>
      </c:spPr>
    </c:plotArea>
    <c:legend>
      <c:legendPos val="b"/>
      <c:layout>
        <c:manualLayout>
          <c:xMode val="edge"/>
          <c:yMode val="edge"/>
          <c:x val="0.34334179112601693"/>
          <c:y val="6.9002224409534185E-2"/>
          <c:w val="0.30835716668426938"/>
          <c:h val="7.968517673672036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Modelo inicial sin filtro</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5.797090188674877E-2"/>
                  <c:y val="-0.1807290128819479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numRef>
          </c:xVal>
          <c:yVal>
            <c:numRef>
              <c:f>'Consumo Eléctrico'!$Z$74:$Z$97</c:f>
              <c:numCache>
                <c:formatCode>_ * #,##0.00_ ;_ * \-#,##0.00_ ;_ * "-"_ ;_ @_ </c:formatCode>
                <c:ptCount val="24"/>
                <c:pt idx="0">
                  <c:v>8674.83</c:v>
                </c:pt>
                <c:pt idx="1">
                  <c:v>9893.119999999999</c:v>
                </c:pt>
                <c:pt idx="2">
                  <c:v>9689.25</c:v>
                </c:pt>
                <c:pt idx="3">
                  <c:v>9823.56</c:v>
                </c:pt>
                <c:pt idx="4">
                  <c:v>10503.89</c:v>
                </c:pt>
                <c:pt idx="5">
                  <c:v>9931.33</c:v>
                </c:pt>
                <c:pt idx="6">
                  <c:v>9668.73</c:v>
                </c:pt>
                <c:pt idx="7">
                  <c:v>9498.1299999999992</c:v>
                </c:pt>
                <c:pt idx="8">
                  <c:v>9284.99</c:v>
                </c:pt>
                <c:pt idx="9">
                  <c:v>9045.56</c:v>
                </c:pt>
                <c:pt idx="10">
                  <c:v>9676.81</c:v>
                </c:pt>
                <c:pt idx="11">
                  <c:v>8577.93</c:v>
                </c:pt>
                <c:pt idx="12">
                  <c:v>8475</c:v>
                </c:pt>
                <c:pt idx="13">
                  <c:v>8802.64</c:v>
                </c:pt>
                <c:pt idx="14">
                  <c:v>9633.16</c:v>
                </c:pt>
                <c:pt idx="15">
                  <c:v>9796.5</c:v>
                </c:pt>
                <c:pt idx="16">
                  <c:v>11503.69</c:v>
                </c:pt>
                <c:pt idx="17">
                  <c:v>9636.34</c:v>
                </c:pt>
                <c:pt idx="18">
                  <c:v>10051.65</c:v>
                </c:pt>
                <c:pt idx="19">
                  <c:v>8620.61</c:v>
                </c:pt>
                <c:pt idx="20">
                  <c:v>9013.66</c:v>
                </c:pt>
                <c:pt idx="21">
                  <c:v>9003.9</c:v>
                </c:pt>
                <c:pt idx="22">
                  <c:v>10060.049999999999</c:v>
                </c:pt>
                <c:pt idx="23">
                  <c:v>8468.25</c:v>
                </c:pt>
              </c:numCache>
            </c:numRef>
          </c:yVal>
          <c:smooth val="0"/>
          <c:extLst>
            <c:ext xmlns:c16="http://schemas.microsoft.com/office/drawing/2014/chart" uri="{C3380CC4-5D6E-409C-BE32-E72D297353CC}">
              <c16:uniqueId val="{00000001-E807-4043-A2AC-A87BDDA682AA}"/>
            </c:ext>
          </c:extLst>
        </c:ser>
        <c:ser>
          <c:idx val="1"/>
          <c:order val="1"/>
          <c:tx>
            <c:v>Límite superior</c:v>
          </c:tx>
          <c:spPr>
            <a:ln w="25400" cap="rnd">
              <a:noFill/>
              <a:round/>
            </a:ln>
            <a:effectLst/>
          </c:spPr>
          <c:marker>
            <c:symbol val="circle"/>
            <c:size val="5"/>
            <c:spPr>
              <a:solidFill>
                <a:schemeClr val="accent2"/>
              </a:solidFill>
              <a:ln w="9525">
                <a:solidFill>
                  <a:schemeClr val="accent2"/>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Eléctrico'!$AE$74:$AE$97</c:f>
              <c:numCache>
                <c:formatCode>_ * #,##0.00_ ;_ * \-#,##0.00_ ;_ * "-"_ ;_ @_ </c:formatCode>
                <c:ptCount val="24"/>
                <c:pt idx="0">
                  <c:v>9573.8949266978052</c:v>
                </c:pt>
                <c:pt idx="1">
                  <c:v>9822.107451388154</c:v>
                </c:pt>
                <c:pt idx="2">
                  <c:v>9870.1899889872766</c:v>
                </c:pt>
                <c:pt idx="3">
                  <c:v>10732.61497035966</c:v>
                </c:pt>
                <c:pt idx="4">
                  <c:v>11342.146902224915</c:v>
                </c:pt>
                <c:pt idx="5">
                  <c:v>10636.449895161411</c:v>
                </c:pt>
                <c:pt idx="6">
                  <c:v>10538.803838312266</c:v>
                </c:pt>
                <c:pt idx="7">
                  <c:v>10652.049568550861</c:v>
                </c:pt>
                <c:pt idx="8">
                  <c:v>10000.379358276747</c:v>
                </c:pt>
                <c:pt idx="9">
                  <c:v>9937.0918925519582</c:v>
                </c:pt>
                <c:pt idx="10">
                  <c:v>10301.846774168738</c:v>
                </c:pt>
                <c:pt idx="11">
                  <c:v>9286.8806827539593</c:v>
                </c:pt>
                <c:pt idx="12">
                  <c:v>9655.4580906652263</c:v>
                </c:pt>
                <c:pt idx="13">
                  <c:v>9868.9502507296056</c:v>
                </c:pt>
                <c:pt idx="14">
                  <c:v>9991.0373589946503</c:v>
                </c:pt>
                <c:pt idx="15">
                  <c:v>10876.42076154393</c:v>
                </c:pt>
                <c:pt idx="16">
                  <c:v>11788.639514972168</c:v>
                </c:pt>
                <c:pt idx="17">
                  <c:v>10738.672066247134</c:v>
                </c:pt>
                <c:pt idx="18">
                  <c:v>10854.073233849504</c:v>
                </c:pt>
                <c:pt idx="19">
                  <c:v>9940.0227158561429</c:v>
                </c:pt>
                <c:pt idx="20">
                  <c:v>9657.7477963716228</c:v>
                </c:pt>
                <c:pt idx="21">
                  <c:v>9553.703569072979</c:v>
                </c:pt>
                <c:pt idx="22">
                  <c:v>10573.172137788817</c:v>
                </c:pt>
                <c:pt idx="23">
                  <c:v>9459.459282197713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2-E807-4043-A2AC-A87BDDA682AA}"/>
            </c:ext>
          </c:extLst>
        </c:ser>
        <c:ser>
          <c:idx val="2"/>
          <c:order val="2"/>
          <c:tx>
            <c:v>Límite inferior</c:v>
          </c:tx>
          <c:spPr>
            <a:ln w="25400" cap="rnd">
              <a:noFill/>
              <a:round/>
            </a:ln>
            <a:effectLst/>
          </c:spPr>
          <c:marker>
            <c:symbol val="circle"/>
            <c:size val="5"/>
            <c:spPr>
              <a:solidFill>
                <a:srgbClr val="00B050"/>
              </a:solidFill>
              <a:ln w="9525">
                <a:solidFill>
                  <a:srgbClr val="00B050"/>
                </a:solidFill>
              </a:ln>
              <a:effectLst/>
            </c:spPr>
          </c:marker>
          <c:xVal>
            <c:numRef>
              <c:f>'Consumo Eléctrico'!$Y$74:$Y$97</c:f>
              <c:numCache>
                <c:formatCode>0.00</c:formatCode>
                <c:ptCount val="24"/>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pt idx="12">
                  <c:v>81.25</c:v>
                </c:pt>
                <c:pt idx="13">
                  <c:v>104.56</c:v>
                </c:pt>
                <c:pt idx="14">
                  <c:v>117.89</c:v>
                </c:pt>
                <c:pt idx="15">
                  <c:v>214.56</c:v>
                </c:pt>
                <c:pt idx="16">
                  <c:v>314.16000000000003</c:v>
                </c:pt>
                <c:pt idx="17">
                  <c:v>199.52</c:v>
                </c:pt>
                <c:pt idx="18">
                  <c:v>212.12</c:v>
                </c:pt>
                <c:pt idx="19">
                  <c:v>112.32</c:v>
                </c:pt>
                <c:pt idx="20">
                  <c:v>81.5</c:v>
                </c:pt>
                <c:pt idx="21">
                  <c:v>70.14</c:v>
                </c:pt>
                <c:pt idx="22">
                  <c:v>181.45</c:v>
                </c:pt>
                <c:pt idx="23">
                  <c:v>59.85</c:v>
                </c:pt>
              </c:numCache>
              <c:extLst xmlns:c15="http://schemas.microsoft.com/office/drawing/2012/chart"/>
            </c:numRef>
          </c:xVal>
          <c:yVal>
            <c:numRef>
              <c:f>'Consumo Eléctrico'!$AF$74:$AF$97</c:f>
              <c:numCache>
                <c:formatCode>_(* #,##0.00_);_(* \(#,##0.00\);_(* "-"??_);_(@_)</c:formatCode>
                <c:ptCount val="24"/>
                <c:pt idx="0">
                  <c:v>8047.3755077208689</c:v>
                </c:pt>
                <c:pt idx="1">
                  <c:v>8295.588032411215</c:v>
                </c:pt>
                <c:pt idx="2">
                  <c:v>8343.6705700103412</c:v>
                </c:pt>
                <c:pt idx="3">
                  <c:v>9206.0955513827248</c:v>
                </c:pt>
                <c:pt idx="4">
                  <c:v>9815.6274832479758</c:v>
                </c:pt>
                <c:pt idx="5">
                  <c:v>9109.930476184476</c:v>
                </c:pt>
                <c:pt idx="6">
                  <c:v>9012.2844193353303</c:v>
                </c:pt>
                <c:pt idx="7">
                  <c:v>9125.5301495739259</c:v>
                </c:pt>
                <c:pt idx="8">
                  <c:v>8473.8599392998112</c:v>
                </c:pt>
                <c:pt idx="9">
                  <c:v>8410.5724735750191</c:v>
                </c:pt>
                <c:pt idx="10">
                  <c:v>8775.3273551918028</c:v>
                </c:pt>
                <c:pt idx="11">
                  <c:v>7760.3612637770211</c:v>
                </c:pt>
                <c:pt idx="12">
                  <c:v>8128.9386716882882</c:v>
                </c:pt>
                <c:pt idx="13">
                  <c:v>8342.4308317526702</c:v>
                </c:pt>
                <c:pt idx="14">
                  <c:v>8464.5179400177149</c:v>
                </c:pt>
                <c:pt idx="15">
                  <c:v>9349.9013425669909</c:v>
                </c:pt>
                <c:pt idx="16">
                  <c:v>10262.120095995233</c:v>
                </c:pt>
                <c:pt idx="17">
                  <c:v>9212.1526472701953</c:v>
                </c:pt>
                <c:pt idx="18">
                  <c:v>9327.5538148725645</c:v>
                </c:pt>
                <c:pt idx="19">
                  <c:v>8413.5032968792075</c:v>
                </c:pt>
                <c:pt idx="20">
                  <c:v>8131.2283773946847</c:v>
                </c:pt>
                <c:pt idx="21">
                  <c:v>8027.1841500960409</c:v>
                </c:pt>
                <c:pt idx="22">
                  <c:v>9046.6527188118816</c:v>
                </c:pt>
                <c:pt idx="23">
                  <c:v>7932.9398632207749</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3-E807-4043-A2AC-A87BDDA682AA}"/>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m</a:t>
                </a:r>
                <a:r>
                  <a:rPr lang="es-CL">
                    <a:latin typeface="Aptos Narrow" panose="020B0004020202020204" pitchFamily="34" charset="0"/>
                  </a:rPr>
                  <a:t>³</a:t>
                </a:r>
                <a:r>
                  <a:rPr lang="es-CL"/>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ax val="12500"/>
          <c:min val="7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Modelo filtrado</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9038769798703491E-2"/>
                  <c:y val="-0.151428572119022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Eléctrico'!$Y$106:$Y$128</c:f>
              <c:numCache>
                <c:formatCode>0.00</c:formatCode>
                <c:ptCount val="23"/>
                <c:pt idx="0">
                  <c:v>72.344580000000008</c:v>
                </c:pt>
                <c:pt idx="1">
                  <c:v>104.69536000000001</c:v>
                </c:pt>
                <c:pt idx="2">
                  <c:v>198.85866000000001</c:v>
                </c:pt>
                <c:pt idx="3">
                  <c:v>265.41000000000003</c:v>
                </c:pt>
                <c:pt idx="4">
                  <c:v>188.35893999999999</c:v>
                </c:pt>
                <c:pt idx="5">
                  <c:v>177.69752000000003</c:v>
                </c:pt>
                <c:pt idx="6">
                  <c:v>190.06218000000001</c:v>
                </c:pt>
                <c:pt idx="7">
                  <c:v>118.91</c:v>
                </c:pt>
                <c:pt idx="8">
                  <c:v>112</c:v>
                </c:pt>
                <c:pt idx="9">
                  <c:v>151.82552000000001</c:v>
                </c:pt>
                <c:pt idx="10">
                  <c:v>41.00712</c:v>
                </c:pt>
                <c:pt idx="11">
                  <c:v>81.25</c:v>
                </c:pt>
                <c:pt idx="12">
                  <c:v>104.56</c:v>
                </c:pt>
                <c:pt idx="13">
                  <c:v>117.89</c:v>
                </c:pt>
                <c:pt idx="14">
                  <c:v>214.56</c:v>
                </c:pt>
                <c:pt idx="15">
                  <c:v>314.16000000000003</c:v>
                </c:pt>
                <c:pt idx="16">
                  <c:v>199.52</c:v>
                </c:pt>
                <c:pt idx="17">
                  <c:v>212.12</c:v>
                </c:pt>
                <c:pt idx="18">
                  <c:v>112.32</c:v>
                </c:pt>
                <c:pt idx="19">
                  <c:v>81.5</c:v>
                </c:pt>
                <c:pt idx="20">
                  <c:v>70.14</c:v>
                </c:pt>
                <c:pt idx="21">
                  <c:v>181.45</c:v>
                </c:pt>
                <c:pt idx="22">
                  <c:v>59.85</c:v>
                </c:pt>
              </c:numCache>
            </c:numRef>
          </c:xVal>
          <c:yVal>
            <c:numRef>
              <c:f>'Consumo Eléctrico'!$Z$106:$Z$128</c:f>
              <c:numCache>
                <c:formatCode>0.00</c:formatCode>
                <c:ptCount val="23"/>
                <c:pt idx="0">
                  <c:v>8674.83</c:v>
                </c:pt>
                <c:pt idx="1">
                  <c:v>9689.25</c:v>
                </c:pt>
                <c:pt idx="2">
                  <c:v>9823.56</c:v>
                </c:pt>
                <c:pt idx="3">
                  <c:v>10503.89</c:v>
                </c:pt>
                <c:pt idx="4">
                  <c:v>9931.33</c:v>
                </c:pt>
                <c:pt idx="5">
                  <c:v>9668.73</c:v>
                </c:pt>
                <c:pt idx="6">
                  <c:v>9498.1299999999992</c:v>
                </c:pt>
                <c:pt idx="7">
                  <c:v>9284.99</c:v>
                </c:pt>
                <c:pt idx="8">
                  <c:v>9045.56</c:v>
                </c:pt>
                <c:pt idx="9">
                  <c:v>9676.81</c:v>
                </c:pt>
                <c:pt idx="10">
                  <c:v>8577.93</c:v>
                </c:pt>
                <c:pt idx="11">
                  <c:v>8475</c:v>
                </c:pt>
                <c:pt idx="12">
                  <c:v>8802.64</c:v>
                </c:pt>
                <c:pt idx="13">
                  <c:v>9633.16</c:v>
                </c:pt>
                <c:pt idx="14">
                  <c:v>9796.5</c:v>
                </c:pt>
                <c:pt idx="15">
                  <c:v>11503.69</c:v>
                </c:pt>
                <c:pt idx="16">
                  <c:v>9636.34</c:v>
                </c:pt>
                <c:pt idx="17">
                  <c:v>10051.65</c:v>
                </c:pt>
                <c:pt idx="18">
                  <c:v>8620.61</c:v>
                </c:pt>
                <c:pt idx="19">
                  <c:v>9013.66</c:v>
                </c:pt>
                <c:pt idx="20">
                  <c:v>9003.9</c:v>
                </c:pt>
                <c:pt idx="21">
                  <c:v>10060.049999999999</c:v>
                </c:pt>
                <c:pt idx="22">
                  <c:v>8468.25</c:v>
                </c:pt>
              </c:numCache>
            </c:numRef>
          </c:yVal>
          <c:smooth val="0"/>
          <c:extLst>
            <c:ext xmlns:c16="http://schemas.microsoft.com/office/drawing/2014/chart" uri="{C3380CC4-5D6E-409C-BE32-E72D297353CC}">
              <c16:uniqueId val="{00000001-054F-41E9-93BD-409B18CC24B4}"/>
            </c:ext>
          </c:extLst>
        </c:ser>
        <c:dLbls>
          <c:showLegendKey val="0"/>
          <c:showVal val="0"/>
          <c:showCatName val="0"/>
          <c:showSerName val="0"/>
          <c:showPercent val="0"/>
          <c:showBubbleSize val="0"/>
        </c:dLbls>
        <c:axId val="1551365055"/>
        <c:axId val="1551367935"/>
        <c:extLst/>
      </c:scatterChart>
      <c:valAx>
        <c:axId val="155136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Ton/mes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in val="8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Modelo LB</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3604392478480283"/>
                  <c:y val="1.045117919005835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Eléctrico'!$Y$289:$Y$311</c:f>
              <c:numCache>
                <c:formatCode>0.00</c:formatCode>
                <c:ptCount val="23"/>
                <c:pt idx="0">
                  <c:v>72.344580000000008</c:v>
                </c:pt>
                <c:pt idx="1">
                  <c:v>104.69536000000001</c:v>
                </c:pt>
                <c:pt idx="2">
                  <c:v>198.85866000000001</c:v>
                </c:pt>
                <c:pt idx="3">
                  <c:v>265.41000000000003</c:v>
                </c:pt>
                <c:pt idx="4">
                  <c:v>188.35893999999999</c:v>
                </c:pt>
                <c:pt idx="5">
                  <c:v>177.69752000000003</c:v>
                </c:pt>
                <c:pt idx="6">
                  <c:v>190.06218000000001</c:v>
                </c:pt>
                <c:pt idx="7">
                  <c:v>118.91</c:v>
                </c:pt>
                <c:pt idx="8">
                  <c:v>112</c:v>
                </c:pt>
                <c:pt idx="9">
                  <c:v>151.82552000000001</c:v>
                </c:pt>
                <c:pt idx="10">
                  <c:v>41.00712</c:v>
                </c:pt>
                <c:pt idx="11">
                  <c:v>81.25</c:v>
                </c:pt>
                <c:pt idx="12">
                  <c:v>104.56</c:v>
                </c:pt>
                <c:pt idx="13">
                  <c:v>117.89</c:v>
                </c:pt>
                <c:pt idx="14">
                  <c:v>214.56</c:v>
                </c:pt>
                <c:pt idx="15">
                  <c:v>314.16000000000003</c:v>
                </c:pt>
                <c:pt idx="16">
                  <c:v>199.52</c:v>
                </c:pt>
                <c:pt idx="17">
                  <c:v>212.12</c:v>
                </c:pt>
                <c:pt idx="18">
                  <c:v>112.32</c:v>
                </c:pt>
                <c:pt idx="19">
                  <c:v>81.5</c:v>
                </c:pt>
                <c:pt idx="20">
                  <c:v>70.14</c:v>
                </c:pt>
                <c:pt idx="21">
                  <c:v>181.45</c:v>
                </c:pt>
                <c:pt idx="22">
                  <c:v>59.85</c:v>
                </c:pt>
              </c:numCache>
            </c:numRef>
          </c:xVal>
          <c:yVal>
            <c:numRef>
              <c:f>'Consumo Eléctrico'!$Z$289:$Z$311</c:f>
              <c:numCache>
                <c:formatCode>0.00</c:formatCode>
                <c:ptCount val="23"/>
                <c:pt idx="0">
                  <c:v>8674.83</c:v>
                </c:pt>
                <c:pt idx="1">
                  <c:v>9689.25</c:v>
                </c:pt>
                <c:pt idx="2">
                  <c:v>9823.56</c:v>
                </c:pt>
                <c:pt idx="3">
                  <c:v>10503.89</c:v>
                </c:pt>
                <c:pt idx="4">
                  <c:v>9931.33</c:v>
                </c:pt>
                <c:pt idx="5">
                  <c:v>9668.73</c:v>
                </c:pt>
                <c:pt idx="6">
                  <c:v>9498.1299999999992</c:v>
                </c:pt>
                <c:pt idx="7">
                  <c:v>9284.99</c:v>
                </c:pt>
                <c:pt idx="8">
                  <c:v>9045.56</c:v>
                </c:pt>
                <c:pt idx="9">
                  <c:v>9676.81</c:v>
                </c:pt>
                <c:pt idx="10">
                  <c:v>8577.93</c:v>
                </c:pt>
                <c:pt idx="11">
                  <c:v>8475</c:v>
                </c:pt>
                <c:pt idx="12">
                  <c:v>8802.64</c:v>
                </c:pt>
                <c:pt idx="13">
                  <c:v>9633.16</c:v>
                </c:pt>
                <c:pt idx="14">
                  <c:v>9796.5</c:v>
                </c:pt>
                <c:pt idx="15">
                  <c:v>11503.69</c:v>
                </c:pt>
                <c:pt idx="16">
                  <c:v>9636.34</c:v>
                </c:pt>
                <c:pt idx="17">
                  <c:v>10051.65</c:v>
                </c:pt>
                <c:pt idx="18">
                  <c:v>8620.61</c:v>
                </c:pt>
                <c:pt idx="19">
                  <c:v>9013.66</c:v>
                </c:pt>
                <c:pt idx="20">
                  <c:v>9003.9</c:v>
                </c:pt>
                <c:pt idx="21">
                  <c:v>10060.049999999999</c:v>
                </c:pt>
                <c:pt idx="22">
                  <c:v>8468.25</c:v>
                </c:pt>
              </c:numCache>
            </c:numRef>
          </c:yVal>
          <c:smooth val="0"/>
          <c:extLst>
            <c:ext xmlns:c16="http://schemas.microsoft.com/office/drawing/2014/chart" uri="{C3380CC4-5D6E-409C-BE32-E72D297353CC}">
              <c16:uniqueId val="{00000001-90BC-49E5-AA3B-768FECEC4CD9}"/>
            </c:ext>
          </c:extLst>
        </c:ser>
        <c:ser>
          <c:idx val="1"/>
          <c:order val="1"/>
          <c:tx>
            <c:v>Modelo Meta</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9268340776889133E-3"/>
                  <c:y val="0.2726285265695291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'Consumo Eléctrico'!$Y$450:$Y$462</c:f>
              <c:numCache>
                <c:formatCode>_ * #,##0.00_ ;_ * \-#,##0.00_ ;_ * "-"_ ;_ @_ </c:formatCode>
                <c:ptCount val="13"/>
                <c:pt idx="0">
                  <c:v>72.344580000000008</c:v>
                </c:pt>
                <c:pt idx="1">
                  <c:v>198.85866000000001</c:v>
                </c:pt>
                <c:pt idx="2">
                  <c:v>265.41000000000003</c:v>
                </c:pt>
                <c:pt idx="3">
                  <c:v>177.69752000000003</c:v>
                </c:pt>
                <c:pt idx="4">
                  <c:v>190.06218000000001</c:v>
                </c:pt>
                <c:pt idx="5">
                  <c:v>112</c:v>
                </c:pt>
                <c:pt idx="6">
                  <c:v>81.25</c:v>
                </c:pt>
                <c:pt idx="7">
                  <c:v>104.56</c:v>
                </c:pt>
                <c:pt idx="8">
                  <c:v>214.56</c:v>
                </c:pt>
                <c:pt idx="9">
                  <c:v>199.52</c:v>
                </c:pt>
                <c:pt idx="10">
                  <c:v>212.12</c:v>
                </c:pt>
                <c:pt idx="11">
                  <c:v>112.32</c:v>
                </c:pt>
                <c:pt idx="12">
                  <c:v>59.85</c:v>
                </c:pt>
              </c:numCache>
            </c:numRef>
          </c:xVal>
          <c:yVal>
            <c:numRef>
              <c:f>'Consumo Eléctrico'!$Z$450:$Z$462</c:f>
              <c:numCache>
                <c:formatCode>_ * #,##0.00_ ;_ * \-#,##0.00_ ;_ * "-"_ ;_ @_ </c:formatCode>
                <c:ptCount val="13"/>
                <c:pt idx="0">
                  <c:v>8674.83</c:v>
                </c:pt>
                <c:pt idx="1">
                  <c:v>9823.56</c:v>
                </c:pt>
                <c:pt idx="2">
                  <c:v>10503.89</c:v>
                </c:pt>
                <c:pt idx="3">
                  <c:v>9668.73</c:v>
                </c:pt>
                <c:pt idx="4">
                  <c:v>9498.1299999999992</c:v>
                </c:pt>
                <c:pt idx="5">
                  <c:v>9045.56</c:v>
                </c:pt>
                <c:pt idx="6">
                  <c:v>8475</c:v>
                </c:pt>
                <c:pt idx="7">
                  <c:v>8802.64</c:v>
                </c:pt>
                <c:pt idx="8">
                  <c:v>9796.5</c:v>
                </c:pt>
                <c:pt idx="9">
                  <c:v>9636.34</c:v>
                </c:pt>
                <c:pt idx="10">
                  <c:v>10051.65</c:v>
                </c:pt>
                <c:pt idx="11">
                  <c:v>8620.61</c:v>
                </c:pt>
                <c:pt idx="12">
                  <c:v>8468.25</c:v>
                </c:pt>
              </c:numCache>
            </c:numRef>
          </c:yVal>
          <c:smooth val="0"/>
          <c:extLst>
            <c:ext xmlns:c16="http://schemas.microsoft.com/office/drawing/2014/chart" uri="{C3380CC4-5D6E-409C-BE32-E72D297353CC}">
              <c16:uniqueId val="{00000003-90BC-49E5-AA3B-768FECEC4CD9}"/>
            </c:ext>
          </c:extLst>
        </c:ser>
        <c:dLbls>
          <c:showLegendKey val="0"/>
          <c:showVal val="0"/>
          <c:showCatName val="0"/>
          <c:showSerName val="0"/>
          <c:showPercent val="0"/>
          <c:showBubbleSize val="0"/>
        </c:dLbls>
        <c:axId val="1551365055"/>
        <c:axId val="1551367935"/>
        <c:extLst/>
      </c:scatterChart>
      <c:valAx>
        <c:axId val="1551365055"/>
        <c:scaling>
          <c:orientation val="minMax"/>
          <c:max val="280"/>
          <c:min val="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m³/mes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7935"/>
        <c:crosses val="autoZero"/>
        <c:crossBetween val="midCat"/>
      </c:valAx>
      <c:valAx>
        <c:axId val="1551367935"/>
        <c:scaling>
          <c:orientation val="minMax"/>
          <c:max val="10500"/>
          <c:min val="8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kWh/mes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5513650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Térmico de la empresa'!$M$23</c:f>
              <c:strCache>
                <c:ptCount val="1"/>
                <c:pt idx="0">
                  <c:v>Consumo de Kerosene año 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'Consumo Térmico de la empresa'!$B$25:$B$36</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'Consumo Térmico de la empresa'!$D$25:$D$36</c:f>
              <c:numCache>
                <c:formatCode>0.00</c:formatCode>
                <c:ptCount val="12"/>
                <c:pt idx="0" formatCode="0.000">
                  <c:v>24.826631000000003</c:v>
                </c:pt>
                <c:pt idx="1">
                  <c:v>32.215048300000007</c:v>
                </c:pt>
                <c:pt idx="2">
                  <c:v>33.644776300000004</c:v>
                </c:pt>
                <c:pt idx="3">
                  <c:v>59.308393900000006</c:v>
                </c:pt>
                <c:pt idx="4">
                  <c:v>55.762370600000011</c:v>
                </c:pt>
                <c:pt idx="5">
                  <c:v>56.445959300000005</c:v>
                </c:pt>
                <c:pt idx="6">
                  <c:v>53.540335000000006</c:v>
                </c:pt>
                <c:pt idx="7">
                  <c:v>56.910620900000012</c:v>
                </c:pt>
                <c:pt idx="8">
                  <c:v>24.388776800000002</c:v>
                </c:pt>
                <c:pt idx="9">
                  <c:v>24.229225</c:v>
                </c:pt>
                <c:pt idx="10">
                  <c:v>46.491478100000009</c:v>
                </c:pt>
                <c:pt idx="11">
                  <c:v>16.285495500000003</c:v>
                </c:pt>
              </c:numCache>
            </c:numRef>
          </c:val>
          <c:smooth val="0"/>
          <c:extLst>
            <c:ext xmlns:c16="http://schemas.microsoft.com/office/drawing/2014/chart" uri="{C3380CC4-5D6E-409C-BE32-E72D297353CC}">
              <c16:uniqueId val="{00000000-4460-4BC0-B0C4-FFA9537D26AC}"/>
            </c:ext>
          </c:extLst>
        </c:ser>
        <c:dLbls>
          <c:showLegendKey val="0"/>
          <c:showVal val="0"/>
          <c:showCatName val="0"/>
          <c:showSerName val="0"/>
          <c:showPercent val="0"/>
          <c:showBubbleSize val="0"/>
        </c:dLbls>
        <c:marker val="1"/>
        <c:smooth val="0"/>
        <c:axId val="559473791"/>
        <c:axId val="559472351"/>
      </c:lineChart>
      <c:dateAx>
        <c:axId val="559473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2351"/>
        <c:crosses val="autoZero"/>
        <c:auto val="1"/>
        <c:lblOffset val="100"/>
        <c:baseTimeUnit val="months"/>
      </c:dateAx>
      <c:valAx>
        <c:axId val="559472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Energía [GJ]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3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Térmico de la empresa'!$M$54</c:f>
              <c:strCache>
                <c:ptCount val="1"/>
                <c:pt idx="0">
                  <c:v>Consumo de Kerosene año 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'Consumo Térmico de la empresa'!$B$56:$B$67</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'Consumo Térmico de la empresa'!$D$56:$D$67</c:f>
              <c:numCache>
                <c:formatCode>0.00</c:formatCode>
                <c:ptCount val="12"/>
                <c:pt idx="0">
                  <c:v>23.186715000000003</c:v>
                </c:pt>
                <c:pt idx="1">
                  <c:v>31.607217200000004</c:v>
                </c:pt>
                <c:pt idx="2">
                  <c:v>33.009969200000008</c:v>
                </c:pt>
                <c:pt idx="3">
                  <c:v>58.189367600000011</c:v>
                </c:pt>
                <c:pt idx="4">
                  <c:v>51.027829700000005</c:v>
                </c:pt>
                <c:pt idx="5">
                  <c:v>49.523341650000006</c:v>
                </c:pt>
                <c:pt idx="6">
                  <c:v>51.519945000000007</c:v>
                </c:pt>
                <c:pt idx="7">
                  <c:v>54.76305030000001</c:v>
                </c:pt>
                <c:pt idx="8">
                  <c:v>23.468445600000003</c:v>
                </c:pt>
                <c:pt idx="9">
                  <c:v>23.258370000000003</c:v>
                </c:pt>
                <c:pt idx="10">
                  <c:v>44.737082700000009</c:v>
                </c:pt>
                <c:pt idx="11">
                  <c:v>15.6709485</c:v>
                </c:pt>
              </c:numCache>
            </c:numRef>
          </c:val>
          <c:smooth val="0"/>
          <c:extLst>
            <c:ext xmlns:c16="http://schemas.microsoft.com/office/drawing/2014/chart" uri="{C3380CC4-5D6E-409C-BE32-E72D297353CC}">
              <c16:uniqueId val="{00000000-659A-4204-9C6A-30A36ECC13AE}"/>
            </c:ext>
          </c:extLst>
        </c:ser>
        <c:dLbls>
          <c:showLegendKey val="0"/>
          <c:showVal val="0"/>
          <c:showCatName val="0"/>
          <c:showSerName val="0"/>
          <c:showPercent val="0"/>
          <c:showBubbleSize val="0"/>
        </c:dLbls>
        <c:marker val="1"/>
        <c:smooth val="0"/>
        <c:axId val="559473791"/>
        <c:axId val="559472351"/>
      </c:lineChart>
      <c:dateAx>
        <c:axId val="559473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2351"/>
        <c:crosses val="autoZero"/>
        <c:auto val="1"/>
        <c:lblOffset val="100"/>
        <c:baseTimeUnit val="months"/>
      </c:dateAx>
      <c:valAx>
        <c:axId val="559472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Energía [GJ]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3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Histórico consumo [Kerosene] años 2022-2023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Térmico de la empresa'!$B$10:$E$10</c:f>
              <c:strCache>
                <c:ptCount val="1"/>
                <c:pt idx="0">
                  <c:v>CONSUMO [Kerosene]</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cat>
            <c:numRef>
              <c:f>'Consumo Térmico de la empresa'!$F$40:$F$63</c:f>
              <c:numCache>
                <c:formatCode>mmm\-yy</c:formatCode>
                <c:ptCount val="24"/>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numCache>
            </c:numRef>
          </c:cat>
          <c:val>
            <c:numRef>
              <c:f>'Consumo Térmico de la empresa'!$G$40:$G$63</c:f>
              <c:numCache>
                <c:formatCode>0.00</c:formatCode>
                <c:ptCount val="24"/>
                <c:pt idx="0">
                  <c:v>24.826631000000003</c:v>
                </c:pt>
                <c:pt idx="1">
                  <c:v>32.215048300000007</c:v>
                </c:pt>
                <c:pt idx="2">
                  <c:v>33.644776300000004</c:v>
                </c:pt>
                <c:pt idx="3">
                  <c:v>59.308393900000006</c:v>
                </c:pt>
                <c:pt idx="4">
                  <c:v>55.762370600000011</c:v>
                </c:pt>
                <c:pt idx="5">
                  <c:v>56.445959300000005</c:v>
                </c:pt>
                <c:pt idx="6">
                  <c:v>53.540335000000006</c:v>
                </c:pt>
                <c:pt idx="7">
                  <c:v>56.910620900000012</c:v>
                </c:pt>
                <c:pt idx="8">
                  <c:v>24.388776800000002</c:v>
                </c:pt>
                <c:pt idx="9">
                  <c:v>24.229225</c:v>
                </c:pt>
                <c:pt idx="10">
                  <c:v>46.491478100000009</c:v>
                </c:pt>
                <c:pt idx="11">
                  <c:v>16.285495500000003</c:v>
                </c:pt>
                <c:pt idx="12">
                  <c:v>23.186715000000003</c:v>
                </c:pt>
                <c:pt idx="13">
                  <c:v>31.607217200000004</c:v>
                </c:pt>
                <c:pt idx="14">
                  <c:v>33.009969200000008</c:v>
                </c:pt>
                <c:pt idx="15">
                  <c:v>58.189367600000011</c:v>
                </c:pt>
                <c:pt idx="16">
                  <c:v>51.027829700000005</c:v>
                </c:pt>
                <c:pt idx="17">
                  <c:v>49.523341650000006</c:v>
                </c:pt>
                <c:pt idx="18">
                  <c:v>51.519945000000007</c:v>
                </c:pt>
                <c:pt idx="19">
                  <c:v>54.76305030000001</c:v>
                </c:pt>
                <c:pt idx="20">
                  <c:v>23.468445600000003</c:v>
                </c:pt>
                <c:pt idx="21">
                  <c:v>23.258370000000003</c:v>
                </c:pt>
                <c:pt idx="22">
                  <c:v>44.737082700000009</c:v>
                </c:pt>
                <c:pt idx="23">
                  <c:v>15.6709485</c:v>
                </c:pt>
              </c:numCache>
            </c:numRef>
          </c:val>
          <c:smooth val="1"/>
          <c:extLst>
            <c:ext xmlns:c16="http://schemas.microsoft.com/office/drawing/2014/chart" uri="{C3380CC4-5D6E-409C-BE32-E72D297353CC}">
              <c16:uniqueId val="{00000000-55DA-46DA-BBA0-33FABE1F3D9E}"/>
            </c:ext>
          </c:extLst>
        </c:ser>
        <c:dLbls>
          <c:showLegendKey val="0"/>
          <c:showVal val="0"/>
          <c:showCatName val="0"/>
          <c:showSerName val="0"/>
          <c:showPercent val="0"/>
          <c:showBubbleSize val="0"/>
        </c:dLbls>
        <c:marker val="1"/>
        <c:smooth val="0"/>
        <c:axId val="286606656"/>
        <c:axId val="286595136"/>
      </c:lineChart>
      <c:dateAx>
        <c:axId val="286606656"/>
        <c:scaling>
          <c:orientation val="minMax"/>
          <c:max val="45291"/>
        </c:scaling>
        <c:delete val="0"/>
        <c:axPos val="b"/>
        <c:majorGridlines>
          <c:spPr>
            <a:ln w="9525" cap="flat" cmpd="sng" algn="ctr">
              <a:solidFill>
                <a:schemeClr val="tx1">
                  <a:lumMod val="15000"/>
                  <a:lumOff val="85000"/>
                </a:schemeClr>
              </a:solidFill>
              <a:round/>
            </a:ln>
            <a:effectLst/>
          </c:spPr>
        </c:majorGridlines>
        <c:numFmt formatCode="mmm\-yy" sourceLinked="1"/>
        <c:majorTickMark val="cross"/>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86595136"/>
        <c:crosses val="autoZero"/>
        <c:auto val="1"/>
        <c:lblOffset val="100"/>
        <c:baseTimeUnit val="months"/>
        <c:majorUnit val="1"/>
        <c:majorTimeUnit val="months"/>
      </c:dateAx>
      <c:valAx>
        <c:axId val="286595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[GJ/mes]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86606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Energéticos'!$F$4:$F$7</c:f>
          <c:strCache>
            <c:ptCount val="4"/>
            <c:pt idx="0">
              <c:v>kWh/m³ Emulsión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Energéticos'!$F$4:$F$7</c:f>
              <c:strCache>
                <c:ptCount val="4"/>
                <c:pt idx="0">
                  <c:v>kWh/m³ Emulsión</c:v>
                </c:pt>
              </c:strCache>
            </c:strRef>
          </c:tx>
          <c:spPr>
            <a:solidFill>
              <a:schemeClr val="accent1"/>
            </a:solidFill>
            <a:ln>
              <a:noFill/>
            </a:ln>
            <a:effectLst/>
          </c:spPr>
          <c:invertIfNegative val="0"/>
          <c:cat>
            <c:numRef>
              <c:f>'Indicadores Energéticos'!$A$8:$A$19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Energéticos'!$F$8:$F$19</c:f>
              <c:numCache>
                <c:formatCode>0.00</c:formatCode>
                <c:ptCount val="12"/>
                <c:pt idx="0">
                  <c:v>119.90988129311137</c:v>
                </c:pt>
                <c:pt idx="1">
                  <c:v>99.482832305131936</c:v>
                </c:pt>
                <c:pt idx="2">
                  <c:v>92.547081360625711</c:v>
                </c:pt>
                <c:pt idx="3">
                  <c:v>49.399709321183188</c:v>
                </c:pt>
                <c:pt idx="4">
                  <c:v>39.576089823292257</c:v>
                </c:pt>
                <c:pt idx="5">
                  <c:v>52.725556854376016</c:v>
                </c:pt>
                <c:pt idx="6">
                  <c:v>54.41117017277449</c:v>
                </c:pt>
                <c:pt idx="7">
                  <c:v>49.973803310053576</c:v>
                </c:pt>
                <c:pt idx="8">
                  <c:v>78.084181313598521</c:v>
                </c:pt>
                <c:pt idx="9">
                  <c:v>80.763928571428565</c:v>
                </c:pt>
                <c:pt idx="10">
                  <c:v>63.736386346643165</c:v>
                </c:pt>
                <c:pt idx="11">
                  <c:v>209.18147872857202</c:v>
                </c:pt>
              </c:numCache>
            </c:numRef>
          </c:val>
          <c:extLst>
            <c:ext xmlns:c16="http://schemas.microsoft.com/office/drawing/2014/chart" uri="{C3380CC4-5D6E-409C-BE32-E72D297353CC}">
              <c16:uniqueId val="{00000000-A078-45CD-853E-22C5A6F24059}"/>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Energéticos'!$G$4:$G$7</c:f>
          <c:strCache>
            <c:ptCount val="4"/>
            <c:pt idx="0">
              <c:v>kWh/m³ Mezcla</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Energéticos'!$G$4:$G$7</c:f>
              <c:strCache>
                <c:ptCount val="4"/>
                <c:pt idx="0">
                  <c:v>kWh/m³ Mezcla</c:v>
                </c:pt>
              </c:strCache>
            </c:strRef>
          </c:tx>
          <c:spPr>
            <a:solidFill>
              <a:schemeClr val="accent1"/>
            </a:solidFill>
            <a:ln>
              <a:noFill/>
            </a:ln>
            <a:effectLst/>
          </c:spPr>
          <c:invertIfNegative val="0"/>
          <c:cat>
            <c:numRef>
              <c:f>'Indicadores Energéticos'!$A$8:$A$19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Energéticos'!$G$8:$G$19</c:f>
              <c:numCache>
                <c:formatCode>0.00</c:formatCode>
                <c:ptCount val="12"/>
                <c:pt idx="0">
                  <c:v>75.988216558835731</c:v>
                </c:pt>
                <c:pt idx="1">
                  <c:v>50.891650197684363</c:v>
                </c:pt>
                <c:pt idx="2">
                  <c:v>168.19185145478986</c:v>
                </c:pt>
                <c:pt idx="3">
                  <c:v>121.29328335523311</c:v>
                </c:pt>
                <c:pt idx="4">
                  <c:v>27.365035736182662</c:v>
                </c:pt>
                <c:pt idx="5">
                  <c:v>97.160267339855736</c:v>
                </c:pt>
                <c:pt idx="6">
                  <c:v>56.874681618770758</c:v>
                </c:pt>
                <c:pt idx="7">
                  <c:v>15.325937139668719</c:v>
                </c:pt>
                <c:pt idx="8">
                  <c:v>14.002866631939721</c:v>
                </c:pt>
                <c:pt idx="9">
                  <c:v>31.048092629004131</c:v>
                </c:pt>
                <c:pt idx="10">
                  <c:v>14.70566602185581</c:v>
                </c:pt>
                <c:pt idx="11">
                  <c:v>72.292754164030882</c:v>
                </c:pt>
              </c:numCache>
            </c:numRef>
          </c:val>
          <c:extLst>
            <c:ext xmlns:c16="http://schemas.microsoft.com/office/drawing/2014/chart" uri="{C3380CC4-5D6E-409C-BE32-E72D297353CC}">
              <c16:uniqueId val="{00000000-402E-46EA-B75D-6EBA98F7FE17}"/>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Energéticos'!$H$4:$H$7</c:f>
          <c:strCache>
            <c:ptCount val="4"/>
            <c:pt idx="0">
              <c:v>kg CO₂/m³ Emulsión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Energéticos'!$H$4:$H$7</c:f>
              <c:strCache>
                <c:ptCount val="4"/>
                <c:pt idx="0">
                  <c:v>kg CO₂/m³ Emulsión</c:v>
                </c:pt>
              </c:strCache>
            </c:strRef>
          </c:tx>
          <c:spPr>
            <a:solidFill>
              <a:schemeClr val="accent1"/>
            </a:solidFill>
            <a:ln>
              <a:noFill/>
            </a:ln>
            <a:effectLst/>
          </c:spPr>
          <c:invertIfNegative val="0"/>
          <c:cat>
            <c:numRef>
              <c:f>'Indicadores Energéticos'!$A$8:$A$19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Energéticos'!$H$8:$H$19</c:f>
              <c:numCache>
                <c:formatCode>0.00</c:formatCode>
                <c:ptCount val="12"/>
                <c:pt idx="0">
                  <c:v>28.586515700277751</c:v>
                </c:pt>
                <c:pt idx="1">
                  <c:v>23.716707221543455</c:v>
                </c:pt>
                <c:pt idx="2">
                  <c:v>22.06322419637317</c:v>
                </c:pt>
                <c:pt idx="3">
                  <c:v>11.776890702170071</c:v>
                </c:pt>
                <c:pt idx="4">
                  <c:v>9.4349398138728748</c:v>
                </c:pt>
                <c:pt idx="5">
                  <c:v>12.569772754083242</c:v>
                </c:pt>
                <c:pt idx="6">
                  <c:v>12.971622969189438</c:v>
                </c:pt>
                <c:pt idx="7">
                  <c:v>11.913754709116773</c:v>
                </c:pt>
                <c:pt idx="8">
                  <c:v>18.615268825161888</c:v>
                </c:pt>
                <c:pt idx="9">
                  <c:v>19.254120571428569</c:v>
                </c:pt>
                <c:pt idx="10">
                  <c:v>15.194754505039731</c:v>
                </c:pt>
                <c:pt idx="11">
                  <c:v>49.868864528891571</c:v>
                </c:pt>
              </c:numCache>
            </c:numRef>
          </c:val>
          <c:extLst>
            <c:ext xmlns:c16="http://schemas.microsoft.com/office/drawing/2014/chart" uri="{C3380CC4-5D6E-409C-BE32-E72D297353CC}">
              <c16:uniqueId val="{00000000-49FC-4721-A3B4-0C6835756615}"/>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kg CO₂/m³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Energéticos'!$I$4:$I$7</c:f>
          <c:strCache>
            <c:ptCount val="4"/>
            <c:pt idx="0">
              <c:v>kg CO₂/m³ Mezcla</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Energéticos'!$I$4:$I$7</c:f>
              <c:strCache>
                <c:ptCount val="4"/>
                <c:pt idx="0">
                  <c:v>kg CO₂/m³ Mezcla</c:v>
                </c:pt>
              </c:strCache>
            </c:strRef>
          </c:tx>
          <c:spPr>
            <a:solidFill>
              <a:schemeClr val="accent1"/>
            </a:solidFill>
            <a:ln>
              <a:noFill/>
            </a:ln>
            <a:effectLst/>
          </c:spPr>
          <c:invertIfNegative val="0"/>
          <c:cat>
            <c:numRef>
              <c:f>'Indicadores Energéticos'!$A$8:$A$19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Energéticos'!$I$8:$I$19</c:f>
              <c:numCache>
                <c:formatCode>0.00</c:formatCode>
                <c:ptCount val="12"/>
                <c:pt idx="0">
                  <c:v>18.115590827626438</c:v>
                </c:pt>
                <c:pt idx="1">
                  <c:v>12.132569407127953</c:v>
                </c:pt>
                <c:pt idx="2">
                  <c:v>40.096937386821899</c:v>
                </c:pt>
                <c:pt idx="3">
                  <c:v>28.916318751887573</c:v>
                </c:pt>
                <c:pt idx="4">
                  <c:v>6.523824519505947</c:v>
                </c:pt>
                <c:pt idx="5">
                  <c:v>23.163007733821608</c:v>
                </c:pt>
                <c:pt idx="6">
                  <c:v>13.558924097914948</c:v>
                </c:pt>
                <c:pt idx="7">
                  <c:v>3.6537034140970226</c:v>
                </c:pt>
                <c:pt idx="8">
                  <c:v>3.3382834050544297</c:v>
                </c:pt>
                <c:pt idx="9">
                  <c:v>7.401865282754585</c:v>
                </c:pt>
                <c:pt idx="10">
                  <c:v>3.5058307796104251</c:v>
                </c:pt>
                <c:pt idx="11">
                  <c:v>17.234592592704963</c:v>
                </c:pt>
              </c:numCache>
            </c:numRef>
          </c:val>
          <c:extLst>
            <c:ext xmlns:c16="http://schemas.microsoft.com/office/drawing/2014/chart" uri="{C3380CC4-5D6E-409C-BE32-E72D297353CC}">
              <c16:uniqueId val="{00000000-AB9A-460A-A1FB-FA8265A264BF}"/>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kg CO₂/m³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Energéticos'!$J$4:$J$7</c:f>
          <c:strCache>
            <c:ptCount val="4"/>
            <c:pt idx="0">
              <c:v>Kerosene gal /m³ Emulsión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Energéticos'!$J$4:$J$7</c:f>
              <c:strCache>
                <c:ptCount val="4"/>
                <c:pt idx="0">
                  <c:v>Kerosene gal /m³ Emulsión</c:v>
                </c:pt>
              </c:strCache>
            </c:strRef>
          </c:tx>
          <c:spPr>
            <a:solidFill>
              <a:schemeClr val="accent1"/>
            </a:solidFill>
            <a:ln>
              <a:noFill/>
            </a:ln>
            <a:effectLst/>
          </c:spPr>
          <c:invertIfNegative val="0"/>
          <c:cat>
            <c:numRef>
              <c:f>'Indicadores Energéticos'!$A$8:$A$19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Energéticos'!$J$8:$J$19</c:f>
              <c:numCache>
                <c:formatCode>0.00</c:formatCode>
                <c:ptCount val="12"/>
                <c:pt idx="0">
                  <c:v>2.4425050224909728</c:v>
                </c:pt>
                <c:pt idx="1">
                  <c:v>2.3056709453921997</c:v>
                </c:pt>
                <c:pt idx="2">
                  <c:v>2.2872513165817474</c:v>
                </c:pt>
                <c:pt idx="3">
                  <c:v>2.1227327992655689</c:v>
                </c:pt>
                <c:pt idx="4">
                  <c:v>1.4953664142270451</c:v>
                </c:pt>
                <c:pt idx="5">
                  <c:v>2.132899027781745</c:v>
                </c:pt>
                <c:pt idx="6">
                  <c:v>2.1444868786013442</c:v>
                </c:pt>
                <c:pt idx="7">
                  <c:v>2.1311856993327134</c:v>
                </c:pt>
                <c:pt idx="8">
                  <c:v>1.4598065764023211</c:v>
                </c:pt>
                <c:pt idx="9">
                  <c:v>1.5397321428571427</c:v>
                </c:pt>
                <c:pt idx="10">
                  <c:v>2.1794768099592217</c:v>
                </c:pt>
                <c:pt idx="11">
                  <c:v>2.8266066965931769</c:v>
                </c:pt>
              </c:numCache>
            </c:numRef>
          </c:val>
          <c:extLst>
            <c:ext xmlns:c16="http://schemas.microsoft.com/office/drawing/2014/chart" uri="{C3380CC4-5D6E-409C-BE32-E72D297353CC}">
              <c16:uniqueId val="{00000000-E301-4511-878D-4E4C3AC519BF}"/>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gal /m³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Energéticos'!$R$4:$R$7</c:f>
          <c:strCache>
            <c:ptCount val="4"/>
            <c:pt idx="0">
              <c:v>kWh/m³ Emulsión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Energéticos'!$R$4:$R$7</c:f>
              <c:strCache>
                <c:ptCount val="4"/>
                <c:pt idx="0">
                  <c:v>kWh/m³ Emulsión</c:v>
                </c:pt>
              </c:strCache>
            </c:strRef>
          </c:tx>
          <c:spPr>
            <a:solidFill>
              <a:schemeClr val="accent1"/>
            </a:solidFill>
            <a:ln>
              <a:noFill/>
            </a:ln>
            <a:effectLst/>
          </c:spPr>
          <c:invertIfNegative val="0"/>
          <c:cat>
            <c:numRef>
              <c:f>'Indicadores Energéticos'!$M$8:$M$19</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'Indicadores Energéticos'!$R$8:$R$19</c:f>
              <c:numCache>
                <c:formatCode>0.00</c:formatCode>
                <c:ptCount val="12"/>
                <c:pt idx="0">
                  <c:v>104.30769230769231</c:v>
                </c:pt>
                <c:pt idx="1">
                  <c:v>84.187452180566169</c:v>
                </c:pt>
                <c:pt idx="2">
                  <c:v>81.713122402239378</c:v>
                </c:pt>
                <c:pt idx="3">
                  <c:v>45.658557046979865</c:v>
                </c:pt>
                <c:pt idx="4">
                  <c:v>36.617296918767508</c:v>
                </c:pt>
                <c:pt idx="5">
                  <c:v>48.297614274258216</c:v>
                </c:pt>
                <c:pt idx="6">
                  <c:v>47.386620780690173</c:v>
                </c:pt>
                <c:pt idx="7">
                  <c:v>76.750445156695164</c:v>
                </c:pt>
                <c:pt idx="8">
                  <c:v>110.59705521472392</c:v>
                </c:pt>
                <c:pt idx="9">
                  <c:v>128.37040205303677</c:v>
                </c:pt>
                <c:pt idx="10">
                  <c:v>55.442546155965829</c:v>
                </c:pt>
                <c:pt idx="11">
                  <c:v>141.49122807017542</c:v>
                </c:pt>
              </c:numCache>
            </c:numRef>
          </c:val>
          <c:extLst>
            <c:ext xmlns:c16="http://schemas.microsoft.com/office/drawing/2014/chart" uri="{C3380CC4-5D6E-409C-BE32-E72D297353CC}">
              <c16:uniqueId val="{00000000-F6CB-4F78-BF15-13799C47DA0D}"/>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Energéticos'!$S$4:$S$7</c:f>
          <c:strCache>
            <c:ptCount val="4"/>
            <c:pt idx="0">
              <c:v>kWh/m³ Mezcla</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Energéticos'!$S$4:$S$7</c:f>
              <c:strCache>
                <c:ptCount val="4"/>
                <c:pt idx="0">
                  <c:v>kWh/m³ Mezcla</c:v>
                </c:pt>
              </c:strCache>
            </c:strRef>
          </c:tx>
          <c:spPr>
            <a:solidFill>
              <a:schemeClr val="accent1"/>
            </a:solidFill>
            <a:ln>
              <a:noFill/>
            </a:ln>
            <a:effectLst/>
          </c:spPr>
          <c:invertIfNegative val="0"/>
          <c:cat>
            <c:numRef>
              <c:f>'Indicadores Energéticos'!$M$8:$M$19</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'Indicadores Energéticos'!$S$8:$S$19</c:f>
              <c:numCache>
                <c:formatCode>0.00</c:formatCode>
                <c:ptCount val="12"/>
                <c:pt idx="0">
                  <c:v>60.44935805991441</c:v>
                </c:pt>
                <c:pt idx="1">
                  <c:v>39.008419746521312</c:v>
                </c:pt>
                <c:pt idx="2">
                  <c:v>176.5608504398827</c:v>
                </c:pt>
                <c:pt idx="3">
                  <c:v>106.99541284403669</c:v>
                </c:pt>
                <c:pt idx="4">
                  <c:v>25.213567123287671</c:v>
                </c:pt>
                <c:pt idx="5">
                  <c:v>95.267820069204149</c:v>
                </c:pt>
                <c:pt idx="6">
                  <c:v>62.619299775728877</c:v>
                </c:pt>
                <c:pt idx="7">
                  <c:v>12.580240788033565</c:v>
                </c:pt>
                <c:pt idx="8">
                  <c:v>12.853704099821746</c:v>
                </c:pt>
                <c:pt idx="9">
                  <c:v>29.857739753282928</c:v>
                </c:pt>
                <c:pt idx="10">
                  <c:v>13.16364183557306</c:v>
                </c:pt>
                <c:pt idx="11">
                  <c:v>59.820923989827634</c:v>
                </c:pt>
              </c:numCache>
            </c:numRef>
          </c:val>
          <c:extLst>
            <c:ext xmlns:c16="http://schemas.microsoft.com/office/drawing/2014/chart" uri="{C3380CC4-5D6E-409C-BE32-E72D297353CC}">
              <c16:uniqueId val="{00000000-1348-4210-BB53-437A82A90C75}"/>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Energéticos'!$T$4:$T$7</c:f>
          <c:strCache>
            <c:ptCount val="4"/>
            <c:pt idx="0">
              <c:v>kg CO₂/m³ Emulsión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Energéticos'!$T$4:$T$7</c:f>
              <c:strCache>
                <c:ptCount val="4"/>
                <c:pt idx="0">
                  <c:v>kg CO₂/m³ Emulsión</c:v>
                </c:pt>
              </c:strCache>
            </c:strRef>
          </c:tx>
          <c:spPr>
            <a:solidFill>
              <a:schemeClr val="accent1"/>
            </a:solidFill>
            <a:ln>
              <a:noFill/>
            </a:ln>
            <a:effectLst/>
          </c:spPr>
          <c:invertIfNegative val="0"/>
          <c:cat>
            <c:numRef>
              <c:f>'Indicadores Energéticos'!$M$8:$M$19</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'Indicadores Energéticos'!$T$8:$T$19</c:f>
              <c:numCache>
                <c:formatCode>0.00</c:formatCode>
                <c:ptCount val="12"/>
                <c:pt idx="0">
                  <c:v>24.866953846153844</c:v>
                </c:pt>
                <c:pt idx="1">
                  <c:v>20.070288599846975</c:v>
                </c:pt>
                <c:pt idx="2">
                  <c:v>19.480408380693866</c:v>
                </c:pt>
                <c:pt idx="3">
                  <c:v>10.885</c:v>
                </c:pt>
                <c:pt idx="4">
                  <c:v>8.7295635854341747</c:v>
                </c:pt>
                <c:pt idx="5">
                  <c:v>11.514151242983159</c:v>
                </c:pt>
                <c:pt idx="6">
                  <c:v>11.296970394116537</c:v>
                </c:pt>
                <c:pt idx="7">
                  <c:v>18.297306125356126</c:v>
                </c:pt>
                <c:pt idx="8">
                  <c:v>26.366337963190183</c:v>
                </c:pt>
                <c:pt idx="9">
                  <c:v>30.603503849443968</c:v>
                </c:pt>
                <c:pt idx="10">
                  <c:v>13.217503003582253</c:v>
                </c:pt>
                <c:pt idx="11">
                  <c:v>33.731508771929825</c:v>
                </c:pt>
              </c:numCache>
            </c:numRef>
          </c:val>
          <c:extLst>
            <c:ext xmlns:c16="http://schemas.microsoft.com/office/drawing/2014/chart" uri="{C3380CC4-5D6E-409C-BE32-E72D297353CC}">
              <c16:uniqueId val="{00000000-7C2B-4376-8976-AF565584B428}"/>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kg CO₂/m³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Energéticos'!$U$4:$U$7</c:f>
          <c:strCache>
            <c:ptCount val="4"/>
            <c:pt idx="0">
              <c:v>kg CO₂/m³ Mezcla</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Energéticos'!$U$4:$U$7</c:f>
              <c:strCache>
                <c:ptCount val="4"/>
                <c:pt idx="0">
                  <c:v>kg CO₂/m³ Mezcla</c:v>
                </c:pt>
              </c:strCache>
            </c:strRef>
          </c:tx>
          <c:spPr>
            <a:solidFill>
              <a:schemeClr val="accent1"/>
            </a:solidFill>
            <a:ln>
              <a:noFill/>
            </a:ln>
            <a:effectLst/>
          </c:spPr>
          <c:invertIfNegative val="0"/>
          <c:cat>
            <c:numRef>
              <c:f>'Indicadores Energéticos'!$M$8:$M$19</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'Indicadores Energéticos'!$U$8:$U$19</c:f>
              <c:numCache>
                <c:formatCode>0.00</c:formatCode>
                <c:ptCount val="12"/>
                <c:pt idx="0">
                  <c:v>14.411126961483596</c:v>
                </c:pt>
                <c:pt idx="1">
                  <c:v>9.2996072675706802</c:v>
                </c:pt>
                <c:pt idx="2">
                  <c:v>42.092106744868033</c:v>
                </c:pt>
                <c:pt idx="3">
                  <c:v>25.507706422018348</c:v>
                </c:pt>
                <c:pt idx="4">
                  <c:v>6.0109144021917809</c:v>
                </c:pt>
                <c:pt idx="5">
                  <c:v>22.711848304498268</c:v>
                </c:pt>
                <c:pt idx="6">
                  <c:v>14.928441066533765</c:v>
                </c:pt>
                <c:pt idx="7">
                  <c:v>2.9991294038672018</c:v>
                </c:pt>
                <c:pt idx="8">
                  <c:v>3.0643230573975044</c:v>
                </c:pt>
                <c:pt idx="9">
                  <c:v>7.1180851571826498</c:v>
                </c:pt>
                <c:pt idx="10">
                  <c:v>3.1382122136006174</c:v>
                </c:pt>
                <c:pt idx="11">
                  <c:v>14.261308279174909</c:v>
                </c:pt>
              </c:numCache>
            </c:numRef>
          </c:val>
          <c:extLst>
            <c:ext xmlns:c16="http://schemas.microsoft.com/office/drawing/2014/chart" uri="{C3380CC4-5D6E-409C-BE32-E72D297353CC}">
              <c16:uniqueId val="{00000000-6970-4873-98DC-D8597017DE37}"/>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kg CO₂/m³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'Indicadores Energéticos'!$V$4:$V$7</c:f>
          <c:strCache>
            <c:ptCount val="4"/>
            <c:pt idx="0">
              <c:v>Kerosene gal /m³ Emulsión</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Energéticos'!$V$4:$V$7</c:f>
              <c:strCache>
                <c:ptCount val="4"/>
                <c:pt idx="0">
                  <c:v>Kerosene gal /m³ Emulsión</c:v>
                </c:pt>
              </c:strCache>
            </c:strRef>
          </c:tx>
          <c:spPr>
            <a:solidFill>
              <a:schemeClr val="accent1"/>
            </a:solidFill>
            <a:ln>
              <a:noFill/>
            </a:ln>
            <a:effectLst/>
          </c:spPr>
          <c:invertIfNegative val="0"/>
          <c:cat>
            <c:numRef>
              <c:f>'Indicadores Energéticos'!$M$8:$M$19</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'Indicadores Energéticos'!$V$8:$V$19</c:f>
              <c:numCache>
                <c:formatCode>0.00</c:formatCode>
                <c:ptCount val="12"/>
                <c:pt idx="0">
                  <c:v>2.0311384615384616</c:v>
                </c:pt>
                <c:pt idx="1">
                  <c:v>2.151514919663351</c:v>
                </c:pt>
                <c:pt idx="2">
                  <c:v>1.9929290016116721</c:v>
                </c:pt>
                <c:pt idx="3">
                  <c:v>1.9302721849366147</c:v>
                </c:pt>
                <c:pt idx="4">
                  <c:v>1.1560586962057551</c:v>
                </c:pt>
                <c:pt idx="5">
                  <c:v>1.7666364274258219</c:v>
                </c:pt>
                <c:pt idx="6">
                  <c:v>1.7286913068074674</c:v>
                </c:pt>
                <c:pt idx="7">
                  <c:v>3.4701976495726501</c:v>
                </c:pt>
                <c:pt idx="8">
                  <c:v>2.0495116564417177</c:v>
                </c:pt>
                <c:pt idx="9">
                  <c:v>2.3601368691189051</c:v>
                </c:pt>
                <c:pt idx="10">
                  <c:v>1.7548272251308903</c:v>
                </c:pt>
                <c:pt idx="11">
                  <c:v>1.8636090225563908</c:v>
                </c:pt>
              </c:numCache>
            </c:numRef>
          </c:val>
          <c:extLst>
            <c:ext xmlns:c16="http://schemas.microsoft.com/office/drawing/2014/chart" uri="{C3380CC4-5D6E-409C-BE32-E72D297353CC}">
              <c16:uniqueId val="{00000000-94CF-47BD-9CC3-E5ADD5B45CA9}"/>
            </c:ext>
          </c:extLst>
        </c:ser>
        <c:dLbls>
          <c:showLegendKey val="0"/>
          <c:showVal val="0"/>
          <c:showCatName val="0"/>
          <c:showSerName val="0"/>
          <c:showPercent val="0"/>
          <c:showBubbleSize val="0"/>
        </c:dLbls>
        <c:gapWidth val="219"/>
        <c:overlap val="-27"/>
        <c:axId val="1643822431"/>
        <c:axId val="1643837791"/>
      </c:barChart>
      <c:dateAx>
        <c:axId val="164382243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37791"/>
        <c:crosses val="autoZero"/>
        <c:auto val="1"/>
        <c:lblOffset val="100"/>
        <c:baseTimeUnit val="months"/>
      </c:dateAx>
      <c:valAx>
        <c:axId val="164383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gal /m³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64382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400" b="0" i="0" u="none" strike="noStrike" kern="1200" spc="0" baseline="0">
                <a:solidFill>
                  <a:sysClr val="windowText" lastClr="000000">
                    <a:lumMod val="65000"/>
                    <a:lumOff val="35000"/>
                  </a:sysClr>
                </a:solidFill>
              </a:rPr>
              <a:t>Producción de Emulsión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Energéticos'!$J$47</c:f>
              <c:strCache>
                <c:ptCount val="1"/>
                <c:pt idx="0">
                  <c:v>[kWh]</c:v>
                </c:pt>
              </c:strCache>
            </c:strRef>
          </c:tx>
          <c:spPr>
            <a:solidFill>
              <a:schemeClr val="accent1"/>
            </a:solidFill>
            <a:ln>
              <a:noFill/>
            </a:ln>
            <a:effectLst/>
          </c:spPr>
          <c:invertIfNegative val="0"/>
          <c:cat>
            <c:numRef>
              <c:f>'Indicadores Energéticos'!$I$48:$I$59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Energéticos'!$J$48:$J$59</c:f>
              <c:numCache>
                <c:formatCode>_ * #,##0.0_ ;_ * \-#,##0.0_ ;_ * "-"_ ;_ @_ </c:formatCode>
                <c:ptCount val="12"/>
                <c:pt idx="0">
                  <c:v>86.7483</c:v>
                </c:pt>
                <c:pt idx="1">
                  <c:v>98.93119999999999</c:v>
                </c:pt>
                <c:pt idx="2">
                  <c:v>96.892499999999998</c:v>
                </c:pt>
                <c:pt idx="3">
                  <c:v>98.235599999999991</c:v>
                </c:pt>
                <c:pt idx="4">
                  <c:v>105.0389</c:v>
                </c:pt>
                <c:pt idx="5">
                  <c:v>99.313299999999998</c:v>
                </c:pt>
                <c:pt idx="6">
                  <c:v>96.687299999999993</c:v>
                </c:pt>
                <c:pt idx="7">
                  <c:v>94.98129999999999</c:v>
                </c:pt>
                <c:pt idx="8">
                  <c:v>92.849899999999991</c:v>
                </c:pt>
                <c:pt idx="9">
                  <c:v>90.45559999999999</c:v>
                </c:pt>
                <c:pt idx="10">
                  <c:v>96.76809999999999</c:v>
                </c:pt>
                <c:pt idx="11">
                  <c:v>85.779300000000006</c:v>
                </c:pt>
              </c:numCache>
            </c:numRef>
          </c:val>
          <c:extLst>
            <c:ext xmlns:c16="http://schemas.microsoft.com/office/drawing/2014/chart" uri="{C3380CC4-5D6E-409C-BE32-E72D297353CC}">
              <c16:uniqueId val="{00000000-76E8-4EC3-B78A-A0B75B0955DF}"/>
            </c:ext>
          </c:extLst>
        </c:ser>
        <c:dLbls>
          <c:showLegendKey val="0"/>
          <c:showVal val="0"/>
          <c:showCatName val="0"/>
          <c:showSerName val="0"/>
          <c:showPercent val="0"/>
          <c:showBubbleSize val="0"/>
        </c:dLbls>
        <c:gapWidth val="219"/>
        <c:axId val="1857886560"/>
        <c:axId val="1857899040"/>
      </c:barChart>
      <c:lineChart>
        <c:grouping val="standard"/>
        <c:varyColors val="0"/>
        <c:ser>
          <c:idx val="1"/>
          <c:order val="1"/>
          <c:tx>
            <c:strRef>
              <c:f>'Indicadores Energéticos'!$K$47</c:f>
              <c:strCache>
                <c:ptCount val="1"/>
                <c:pt idx="0">
                  <c:v>[m³]</c:v>
                </c:pt>
              </c:strCache>
            </c:strRef>
          </c:tx>
          <c:spPr>
            <a:ln w="28575" cap="rnd">
              <a:solidFill>
                <a:schemeClr val="accent2"/>
              </a:solidFill>
              <a:round/>
            </a:ln>
            <a:effectLst/>
          </c:spPr>
          <c:marker>
            <c:symbol val="none"/>
          </c:marker>
          <c:cat>
            <c:numRef>
              <c:f>'Indicadores Energéticos'!$I$48:$I$59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Energéticos'!$K$48:$K$59</c:f>
              <c:numCache>
                <c:formatCode>0.00</c:formatCode>
                <c:ptCount val="12"/>
                <c:pt idx="0">
                  <c:v>72.344580000000008</c:v>
                </c:pt>
                <c:pt idx="1">
                  <c:v>99.44550000000001</c:v>
                </c:pt>
                <c:pt idx="2">
                  <c:v>104.69536000000001</c:v>
                </c:pt>
                <c:pt idx="3">
                  <c:v>198.85866000000001</c:v>
                </c:pt>
                <c:pt idx="4">
                  <c:v>265.41000000000003</c:v>
                </c:pt>
                <c:pt idx="5">
                  <c:v>188.35893999999999</c:v>
                </c:pt>
                <c:pt idx="6">
                  <c:v>177.69752000000003</c:v>
                </c:pt>
                <c:pt idx="7">
                  <c:v>190.06218000000001</c:v>
                </c:pt>
                <c:pt idx="8">
                  <c:v>118.91</c:v>
                </c:pt>
                <c:pt idx="9">
                  <c:v>112</c:v>
                </c:pt>
                <c:pt idx="10">
                  <c:v>151.82552000000001</c:v>
                </c:pt>
                <c:pt idx="11">
                  <c:v>41.00712</c:v>
                </c:pt>
              </c:numCache>
            </c:numRef>
          </c:val>
          <c:smooth val="0"/>
          <c:extLst>
            <c:ext xmlns:c16="http://schemas.microsoft.com/office/drawing/2014/chart" uri="{C3380CC4-5D6E-409C-BE32-E72D297353CC}">
              <c16:uniqueId val="{00000001-76E8-4EC3-B78A-A0B75B0955DF}"/>
            </c:ext>
          </c:extLst>
        </c:ser>
        <c:dLbls>
          <c:showLegendKey val="0"/>
          <c:showVal val="0"/>
          <c:showCatName val="0"/>
          <c:showSerName val="0"/>
          <c:showPercent val="0"/>
          <c:showBubbleSize val="0"/>
        </c:dLbls>
        <c:marker val="1"/>
        <c:smooth val="0"/>
        <c:axId val="1857872640"/>
        <c:axId val="1857877440"/>
      </c:lineChart>
      <c:dateAx>
        <c:axId val="185788656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99040"/>
        <c:crosses val="autoZero"/>
        <c:auto val="1"/>
        <c:lblOffset val="100"/>
        <c:baseTimeUnit val="months"/>
      </c:dateAx>
      <c:valAx>
        <c:axId val="1857899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 Eléctrico en 10² [kWh]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86560"/>
        <c:crosses val="autoZero"/>
        <c:crossBetween val="between"/>
      </c:valAx>
      <c:valAx>
        <c:axId val="18578774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72640"/>
        <c:crosses val="max"/>
        <c:crossBetween val="between"/>
      </c:valAx>
      <c:dateAx>
        <c:axId val="1857872640"/>
        <c:scaling>
          <c:orientation val="minMax"/>
        </c:scaling>
        <c:delete val="1"/>
        <c:axPos val="b"/>
        <c:numFmt formatCode="mmm\-yy" sourceLinked="1"/>
        <c:majorTickMark val="out"/>
        <c:minorTickMark val="none"/>
        <c:tickLblPos val="nextTo"/>
        <c:crossAx val="1857877440"/>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400" b="0" i="0" u="none" strike="noStrike" kern="1200" spc="0" baseline="0">
                <a:solidFill>
                  <a:sysClr val="windowText" lastClr="000000">
                    <a:lumMod val="65000"/>
                    <a:lumOff val="35000"/>
                  </a:sysClr>
                </a:solidFill>
              </a:rPr>
              <a:t>Producción de Emulsión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Energéticos'!$X$47</c:f>
              <c:strCache>
                <c:ptCount val="1"/>
                <c:pt idx="0">
                  <c:v>[kWh]</c:v>
                </c:pt>
              </c:strCache>
            </c:strRef>
          </c:tx>
          <c:spPr>
            <a:solidFill>
              <a:schemeClr val="accent1"/>
            </a:solidFill>
            <a:ln>
              <a:noFill/>
            </a:ln>
            <a:effectLst/>
          </c:spPr>
          <c:invertIfNegative val="0"/>
          <c:cat>
            <c:numRef>
              <c:f>'Indicadores Energéticos'!$I$48:$I$59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Energéticos'!$X$48:$X$59</c:f>
              <c:numCache>
                <c:formatCode>_ * #,##0.0_ ;_ * \-#,##0.0_ ;_ * "-"_ ;_ @_ </c:formatCode>
                <c:ptCount val="12"/>
                <c:pt idx="0">
                  <c:v>84.75</c:v>
                </c:pt>
                <c:pt idx="1">
                  <c:v>88.026399999999995</c:v>
                </c:pt>
                <c:pt idx="2">
                  <c:v>96.331599999999995</c:v>
                </c:pt>
                <c:pt idx="3">
                  <c:v>97.965000000000003</c:v>
                </c:pt>
                <c:pt idx="4">
                  <c:v>115.0369</c:v>
                </c:pt>
                <c:pt idx="5">
                  <c:v>96.363399999999999</c:v>
                </c:pt>
                <c:pt idx="6">
                  <c:v>100.51649999999999</c:v>
                </c:pt>
                <c:pt idx="7">
                  <c:v>86.206100000000006</c:v>
                </c:pt>
                <c:pt idx="8">
                  <c:v>90.136600000000001</c:v>
                </c:pt>
                <c:pt idx="9">
                  <c:v>90.039000000000001</c:v>
                </c:pt>
                <c:pt idx="10">
                  <c:v>100.6005</c:v>
                </c:pt>
                <c:pt idx="11">
                  <c:v>84.682500000000005</c:v>
                </c:pt>
              </c:numCache>
            </c:numRef>
          </c:val>
          <c:extLst>
            <c:ext xmlns:c16="http://schemas.microsoft.com/office/drawing/2014/chart" uri="{C3380CC4-5D6E-409C-BE32-E72D297353CC}">
              <c16:uniqueId val="{00000000-626F-448E-8B66-DC0672F262ED}"/>
            </c:ext>
          </c:extLst>
        </c:ser>
        <c:dLbls>
          <c:showLegendKey val="0"/>
          <c:showVal val="0"/>
          <c:showCatName val="0"/>
          <c:showSerName val="0"/>
          <c:showPercent val="0"/>
          <c:showBubbleSize val="0"/>
        </c:dLbls>
        <c:gapWidth val="219"/>
        <c:axId val="1857886560"/>
        <c:axId val="1857899040"/>
      </c:barChart>
      <c:lineChart>
        <c:grouping val="standard"/>
        <c:varyColors val="0"/>
        <c:ser>
          <c:idx val="1"/>
          <c:order val="1"/>
          <c:tx>
            <c:strRef>
              <c:f>'Indicadores Energéticos'!$Y$47</c:f>
              <c:strCache>
                <c:ptCount val="1"/>
                <c:pt idx="0">
                  <c:v>[m³]</c:v>
                </c:pt>
              </c:strCache>
            </c:strRef>
          </c:tx>
          <c:spPr>
            <a:ln w="28575" cap="rnd">
              <a:solidFill>
                <a:schemeClr val="accent2"/>
              </a:solidFill>
              <a:round/>
            </a:ln>
            <a:effectLst/>
          </c:spPr>
          <c:marker>
            <c:symbol val="none"/>
          </c:marker>
          <c:cat>
            <c:numRef>
              <c:f>'Indicadores Energéticos'!$I$48:$I$59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Energéticos'!$Y$48:$Y$59</c:f>
              <c:numCache>
                <c:formatCode>0.00</c:formatCode>
                <c:ptCount val="12"/>
                <c:pt idx="0">
                  <c:v>81.25</c:v>
                </c:pt>
                <c:pt idx="1">
                  <c:v>104.56</c:v>
                </c:pt>
                <c:pt idx="2">
                  <c:v>117.89</c:v>
                </c:pt>
                <c:pt idx="3">
                  <c:v>214.56</c:v>
                </c:pt>
                <c:pt idx="4">
                  <c:v>314.16000000000003</c:v>
                </c:pt>
                <c:pt idx="5">
                  <c:v>199.52</c:v>
                </c:pt>
                <c:pt idx="6">
                  <c:v>212.12</c:v>
                </c:pt>
                <c:pt idx="7">
                  <c:v>112.32</c:v>
                </c:pt>
                <c:pt idx="8">
                  <c:v>81.5</c:v>
                </c:pt>
                <c:pt idx="9">
                  <c:v>70.14</c:v>
                </c:pt>
                <c:pt idx="10">
                  <c:v>181.45</c:v>
                </c:pt>
                <c:pt idx="11">
                  <c:v>59.85</c:v>
                </c:pt>
              </c:numCache>
            </c:numRef>
          </c:val>
          <c:smooth val="0"/>
          <c:extLst>
            <c:ext xmlns:c16="http://schemas.microsoft.com/office/drawing/2014/chart" uri="{C3380CC4-5D6E-409C-BE32-E72D297353CC}">
              <c16:uniqueId val="{00000001-626F-448E-8B66-DC0672F262ED}"/>
            </c:ext>
          </c:extLst>
        </c:ser>
        <c:dLbls>
          <c:showLegendKey val="0"/>
          <c:showVal val="0"/>
          <c:showCatName val="0"/>
          <c:showSerName val="0"/>
          <c:showPercent val="0"/>
          <c:showBubbleSize val="0"/>
        </c:dLbls>
        <c:marker val="1"/>
        <c:smooth val="0"/>
        <c:axId val="1857872640"/>
        <c:axId val="1857877440"/>
      </c:lineChart>
      <c:dateAx>
        <c:axId val="185788656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99040"/>
        <c:crosses val="autoZero"/>
        <c:auto val="1"/>
        <c:lblOffset val="100"/>
        <c:baseTimeUnit val="months"/>
      </c:dateAx>
      <c:valAx>
        <c:axId val="1857899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 Eléctrico en 10² [kWh]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86560"/>
        <c:crosses val="autoZero"/>
        <c:crossBetween val="between"/>
      </c:valAx>
      <c:valAx>
        <c:axId val="18578774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72640"/>
        <c:crosses val="max"/>
        <c:crossBetween val="between"/>
      </c:valAx>
      <c:dateAx>
        <c:axId val="1857872640"/>
        <c:scaling>
          <c:orientation val="minMax"/>
        </c:scaling>
        <c:delete val="1"/>
        <c:axPos val="b"/>
        <c:numFmt formatCode="mmm\-yy" sourceLinked="1"/>
        <c:majorTickMark val="out"/>
        <c:minorTickMark val="none"/>
        <c:tickLblPos val="nextTo"/>
        <c:crossAx val="1857877440"/>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sz="1400" b="0" i="0" u="none" strike="noStrike" kern="1200" spc="0" baseline="0">
                <a:solidFill>
                  <a:sysClr val="windowText" lastClr="000000">
                    <a:lumMod val="65000"/>
                    <a:lumOff val="35000"/>
                  </a:sysClr>
                </a:solidFill>
              </a:rPr>
              <a:t>kWh/m³ Emulsión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'Indicadores Energéticos'!$J$78</c:f>
              <c:strCache>
                <c:ptCount val="1"/>
                <c:pt idx="0">
                  <c:v>[kWh]</c:v>
                </c:pt>
              </c:strCache>
            </c:strRef>
          </c:tx>
          <c:spPr>
            <a:solidFill>
              <a:schemeClr val="accent1"/>
            </a:solidFill>
            <a:ln>
              <a:noFill/>
            </a:ln>
            <a:effectLst/>
          </c:spPr>
          <c:invertIfNegative val="0"/>
          <c:cat>
            <c:numRef>
              <c:f>'Indicadores Energéticos'!$I$48:$I$59</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Energéticos'!$J$79:$J$90</c:f>
              <c:numCache>
                <c:formatCode>_ * #,##0.0_ ;_ * \-#,##0.0_ ;_ * "-"_ ;_ @_ </c:formatCode>
                <c:ptCount val="12"/>
                <c:pt idx="0">
                  <c:v>86.7483</c:v>
                </c:pt>
                <c:pt idx="1">
                  <c:v>98.93119999999999</c:v>
                </c:pt>
                <c:pt idx="2">
                  <c:v>96.892499999999998</c:v>
                </c:pt>
                <c:pt idx="3">
                  <c:v>98.235599999999991</c:v>
                </c:pt>
                <c:pt idx="4">
                  <c:v>105.0389</c:v>
                </c:pt>
                <c:pt idx="5">
                  <c:v>99.313299999999998</c:v>
                </c:pt>
                <c:pt idx="6">
                  <c:v>96.687299999999993</c:v>
                </c:pt>
                <c:pt idx="7">
                  <c:v>94.98129999999999</c:v>
                </c:pt>
                <c:pt idx="8">
                  <c:v>92.849899999999991</c:v>
                </c:pt>
                <c:pt idx="9">
                  <c:v>90.45559999999999</c:v>
                </c:pt>
                <c:pt idx="10">
                  <c:v>96.76809999999999</c:v>
                </c:pt>
                <c:pt idx="11">
                  <c:v>85.779300000000006</c:v>
                </c:pt>
              </c:numCache>
            </c:numRef>
          </c:val>
          <c:extLst>
            <c:ext xmlns:c16="http://schemas.microsoft.com/office/drawing/2014/chart" uri="{C3380CC4-5D6E-409C-BE32-E72D297353CC}">
              <c16:uniqueId val="{00000000-991B-4AEB-9244-DCB78FB5E48E}"/>
            </c:ext>
          </c:extLst>
        </c:ser>
        <c:dLbls>
          <c:showLegendKey val="0"/>
          <c:showVal val="0"/>
          <c:showCatName val="0"/>
          <c:showSerName val="0"/>
          <c:showPercent val="0"/>
          <c:showBubbleSize val="0"/>
        </c:dLbls>
        <c:gapWidth val="219"/>
        <c:axId val="1857886560"/>
        <c:axId val="1857899040"/>
      </c:barChart>
      <c:lineChart>
        <c:grouping val="standard"/>
        <c:varyColors val="0"/>
        <c:ser>
          <c:idx val="1"/>
          <c:order val="1"/>
          <c:tx>
            <c:strRef>
              <c:f>'Indicadores Energéticos'!$K$78</c:f>
              <c:strCache>
                <c:ptCount val="1"/>
                <c:pt idx="0">
                  <c:v>kWh/m³ Emulsión</c:v>
                </c:pt>
              </c:strCache>
            </c:strRef>
          </c:tx>
          <c:spPr>
            <a:ln w="28575" cap="rnd">
              <a:solidFill>
                <a:schemeClr val="accent2"/>
              </a:solidFill>
              <a:round/>
            </a:ln>
            <a:effectLst/>
          </c:spPr>
          <c:marker>
            <c:symbol val="none"/>
          </c:marker>
          <c:cat>
            <c:numRef>
              <c:f>'Indicadores Energéticos'!$I$79:$I$90</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'Indicadores Energéticos'!$K$79:$K$90</c:f>
              <c:numCache>
                <c:formatCode>0.00</c:formatCode>
                <c:ptCount val="12"/>
                <c:pt idx="0">
                  <c:v>119.90988129311137</c:v>
                </c:pt>
                <c:pt idx="1">
                  <c:v>99.482832305131936</c:v>
                </c:pt>
                <c:pt idx="2">
                  <c:v>92.547081360625711</c:v>
                </c:pt>
                <c:pt idx="3">
                  <c:v>49.399709321183188</c:v>
                </c:pt>
                <c:pt idx="4">
                  <c:v>39.576089823292257</c:v>
                </c:pt>
                <c:pt idx="5">
                  <c:v>52.725556854376016</c:v>
                </c:pt>
                <c:pt idx="6">
                  <c:v>54.41117017277449</c:v>
                </c:pt>
                <c:pt idx="7">
                  <c:v>49.973803310053576</c:v>
                </c:pt>
                <c:pt idx="8">
                  <c:v>78.084181313598521</c:v>
                </c:pt>
                <c:pt idx="9">
                  <c:v>80.763928571428565</c:v>
                </c:pt>
                <c:pt idx="10">
                  <c:v>63.736386346643165</c:v>
                </c:pt>
                <c:pt idx="11">
                  <c:v>209.18147872857202</c:v>
                </c:pt>
              </c:numCache>
            </c:numRef>
          </c:val>
          <c:smooth val="0"/>
          <c:extLst>
            <c:ext xmlns:c16="http://schemas.microsoft.com/office/drawing/2014/chart" uri="{C3380CC4-5D6E-409C-BE32-E72D297353CC}">
              <c16:uniqueId val="{00000001-991B-4AEB-9244-DCB78FB5E48E}"/>
            </c:ext>
          </c:extLst>
        </c:ser>
        <c:dLbls>
          <c:showLegendKey val="0"/>
          <c:showVal val="0"/>
          <c:showCatName val="0"/>
          <c:showSerName val="0"/>
          <c:showPercent val="0"/>
          <c:showBubbleSize val="0"/>
        </c:dLbls>
        <c:marker val="1"/>
        <c:smooth val="0"/>
        <c:axId val="1857872640"/>
        <c:axId val="1857877440"/>
      </c:lineChart>
      <c:dateAx>
        <c:axId val="185788656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99040"/>
        <c:crosses val="autoZero"/>
        <c:auto val="1"/>
        <c:lblOffset val="100"/>
        <c:baseTimeUnit val="months"/>
      </c:dateAx>
      <c:valAx>
        <c:axId val="1857899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 Eléctrico en 10² [kWh]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86560"/>
        <c:crosses val="autoZero"/>
        <c:crossBetween val="between"/>
      </c:valAx>
      <c:valAx>
        <c:axId val="18578774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857872640"/>
        <c:crosses val="max"/>
        <c:crossBetween val="between"/>
      </c:valAx>
      <c:dateAx>
        <c:axId val="1857872640"/>
        <c:scaling>
          <c:orientation val="minMax"/>
        </c:scaling>
        <c:delete val="1"/>
        <c:axPos val="b"/>
        <c:numFmt formatCode="mmm\-yy" sourceLinked="1"/>
        <c:majorTickMark val="out"/>
        <c:minorTickMark val="none"/>
        <c:tickLblPos val="nextTo"/>
        <c:crossAx val="1857877440"/>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spPr>
            <a:solidFill>
              <a:schemeClr val="accent1"/>
            </a:solidFill>
            <a:ln>
              <a:noFill/>
            </a:ln>
            <a:effectLst/>
          </c:spPr>
          <c:invertIfNegative val="0"/>
          <c:val>
            <c:numRef>
              <c:f>'Indicadores Energéticos'!$B$8:$B$19</c:f>
              <c:numCache>
                <c:formatCode>_ * #,##0.0_ ;_ * \-#,##0.0_ ;_ * "-"_ ;_ @_ </c:formatCode>
                <c:ptCount val="12"/>
                <c:pt idx="0">
                  <c:v>8674.83</c:v>
                </c:pt>
                <c:pt idx="1">
                  <c:v>9893.119999999999</c:v>
                </c:pt>
                <c:pt idx="2">
                  <c:v>9689.25</c:v>
                </c:pt>
                <c:pt idx="3">
                  <c:v>9823.56</c:v>
                </c:pt>
                <c:pt idx="4">
                  <c:v>10503.89</c:v>
                </c:pt>
                <c:pt idx="5">
                  <c:v>9931.33</c:v>
                </c:pt>
                <c:pt idx="6">
                  <c:v>9668.73</c:v>
                </c:pt>
                <c:pt idx="7">
                  <c:v>9498.1299999999992</c:v>
                </c:pt>
                <c:pt idx="8">
                  <c:v>9284.99</c:v>
                </c:pt>
                <c:pt idx="9">
                  <c:v>9045.56</c:v>
                </c:pt>
                <c:pt idx="10">
                  <c:v>9676.81</c:v>
                </c:pt>
                <c:pt idx="11">
                  <c:v>8577.93</c:v>
                </c:pt>
              </c:numCache>
            </c:numRef>
          </c:val>
          <c:extLst>
            <c:ext xmlns:c16="http://schemas.microsoft.com/office/drawing/2014/chart" uri="{C3380CC4-5D6E-409C-BE32-E72D297353CC}">
              <c16:uniqueId val="{00000000-1481-499E-BDC9-C13E9AD13815}"/>
            </c:ext>
          </c:extLst>
        </c:ser>
        <c:dLbls>
          <c:showLegendKey val="0"/>
          <c:showVal val="0"/>
          <c:showCatName val="0"/>
          <c:showSerName val="0"/>
          <c:showPercent val="0"/>
          <c:showBubbleSize val="0"/>
        </c:dLbls>
        <c:gapWidth val="219"/>
        <c:overlap val="-27"/>
        <c:axId val="337865584"/>
        <c:axId val="337871824"/>
      </c:barChart>
      <c:catAx>
        <c:axId val="3378655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337871824"/>
        <c:crosses val="autoZero"/>
        <c:auto val="1"/>
        <c:lblAlgn val="ctr"/>
        <c:lblOffset val="100"/>
        <c:noMultiLvlLbl val="0"/>
      </c:catAx>
      <c:valAx>
        <c:axId val="337871824"/>
        <c:scaling>
          <c:orientation val="minMax"/>
        </c:scaling>
        <c:delete val="0"/>
        <c:axPos val="l"/>
        <c:majorGridlines>
          <c:spPr>
            <a:ln w="9525" cap="flat" cmpd="sng" algn="ctr">
              <a:solidFill>
                <a:schemeClr val="tx1">
                  <a:lumMod val="15000"/>
                  <a:lumOff val="85000"/>
                </a:schemeClr>
              </a:solidFill>
              <a:round/>
            </a:ln>
            <a:effectLst/>
          </c:spPr>
        </c:majorGridlines>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337865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 Mensual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Consumo Mensual</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0337155082465315E-2"/>
                  <c:y val="-0.3094075724548330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'Indicadores Energéticos'!$O$30:$O$41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'Indicadores Energéticos'!$B$8:$B$19</c:f>
              <c:numCache>
                <c:formatCode>_ * #,##0.0_ ;_ * \-#,##0.0_ ;_ * "-"_ ;_ @_ </c:formatCode>
                <c:ptCount val="12"/>
                <c:pt idx="0">
                  <c:v>8674.83</c:v>
                </c:pt>
                <c:pt idx="1">
                  <c:v>9893.119999999999</c:v>
                </c:pt>
                <c:pt idx="2">
                  <c:v>9689.25</c:v>
                </c:pt>
                <c:pt idx="3">
                  <c:v>9823.56</c:v>
                </c:pt>
                <c:pt idx="4">
                  <c:v>10503.89</c:v>
                </c:pt>
                <c:pt idx="5">
                  <c:v>9931.33</c:v>
                </c:pt>
                <c:pt idx="6">
                  <c:v>9668.73</c:v>
                </c:pt>
                <c:pt idx="7">
                  <c:v>9498.1299999999992</c:v>
                </c:pt>
                <c:pt idx="8">
                  <c:v>9284.99</c:v>
                </c:pt>
                <c:pt idx="9">
                  <c:v>9045.56</c:v>
                </c:pt>
                <c:pt idx="10">
                  <c:v>9676.81</c:v>
                </c:pt>
                <c:pt idx="11">
                  <c:v>8577.93</c:v>
                </c:pt>
              </c:numCache>
            </c:numRef>
          </c:yVal>
          <c:smooth val="0"/>
          <c:extLst>
            <c:ext xmlns:c16="http://schemas.microsoft.com/office/drawing/2014/chart" uri="{C3380CC4-5D6E-409C-BE32-E72D297353CC}">
              <c16:uniqueId val="{00000000-2FF0-4D66-B4F3-C97D5BB8D5C2}"/>
            </c:ext>
          </c:extLst>
        </c:ser>
        <c:dLbls>
          <c:showLegendKey val="0"/>
          <c:showVal val="0"/>
          <c:showCatName val="0"/>
          <c:showSerName val="0"/>
          <c:showPercent val="0"/>
          <c:showBubbleSize val="0"/>
        </c:dLbls>
        <c:axId val="1013761839"/>
        <c:axId val="1013764719"/>
      </c:scatterChart>
      <c:valAx>
        <c:axId val="1013761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13764719"/>
        <c:crosses val="autoZero"/>
        <c:crossBetween val="midCat"/>
      </c:valAx>
      <c:valAx>
        <c:axId val="10137647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_ ;_ * \-#,##0.0_ ;_ * &quot;-&quot;_ ;_ @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137618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Consumo</a:t>
            </a:r>
            <a:r>
              <a:rPr lang="en-US" baseline="0"/>
              <a:t> Mensual y Referencia </a:t>
            </a:r>
            <a:r>
              <a:rPr lang="en-US"/>
              <a:t>LBE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scatterChart>
        <c:scatterStyle val="lineMarker"/>
        <c:varyColors val="0"/>
        <c:ser>
          <c:idx val="0"/>
          <c:order val="0"/>
          <c:tx>
            <c:v>Consumo Mensual</c:v>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0711132856936874"/>
                  <c:y val="-0.1851028759839189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trendlineLbl>
          </c:trendline>
          <c:xVal>
            <c:numRef>
              <c:f>'Indicadores Energéticos'!$O$30:$O$41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'Indicadores Energéticos'!$B$8:$B$19</c:f>
              <c:numCache>
                <c:formatCode>_ * #,##0.0_ ;_ * \-#,##0.0_ ;_ * "-"_ ;_ @_ </c:formatCode>
                <c:ptCount val="12"/>
                <c:pt idx="0">
                  <c:v>8674.83</c:v>
                </c:pt>
                <c:pt idx="1">
                  <c:v>9893.119999999999</c:v>
                </c:pt>
                <c:pt idx="2">
                  <c:v>9689.25</c:v>
                </c:pt>
                <c:pt idx="3">
                  <c:v>9823.56</c:v>
                </c:pt>
                <c:pt idx="4">
                  <c:v>10503.89</c:v>
                </c:pt>
                <c:pt idx="5">
                  <c:v>9931.33</c:v>
                </c:pt>
                <c:pt idx="6">
                  <c:v>9668.73</c:v>
                </c:pt>
                <c:pt idx="7">
                  <c:v>9498.1299999999992</c:v>
                </c:pt>
                <c:pt idx="8">
                  <c:v>9284.99</c:v>
                </c:pt>
                <c:pt idx="9">
                  <c:v>9045.56</c:v>
                </c:pt>
                <c:pt idx="10">
                  <c:v>9676.81</c:v>
                </c:pt>
                <c:pt idx="11">
                  <c:v>8577.93</c:v>
                </c:pt>
              </c:numCache>
            </c:numRef>
          </c:yVal>
          <c:smooth val="0"/>
          <c:extLst>
            <c:ext xmlns:c16="http://schemas.microsoft.com/office/drawing/2014/chart" uri="{C3380CC4-5D6E-409C-BE32-E72D297353CC}">
              <c16:uniqueId val="{00000001-4DF3-4086-99C4-54427A4E496C}"/>
            </c:ext>
          </c:extLst>
        </c:ser>
        <c:ser>
          <c:idx val="1"/>
          <c:order val="1"/>
          <c:tx>
            <c:v>Consumo Predicho</c:v>
          </c:tx>
          <c:spPr>
            <a:ln w="25400" cap="rnd">
              <a:noFill/>
              <a:round/>
            </a:ln>
            <a:effectLst/>
          </c:spPr>
          <c:marker>
            <c:symbol val="circle"/>
            <c:size val="5"/>
            <c:spPr>
              <a:solidFill>
                <a:schemeClr val="accent2"/>
              </a:solidFill>
              <a:ln w="9525">
                <a:solidFill>
                  <a:schemeClr val="accent2"/>
                </a:solidFill>
              </a:ln>
              <a:effectLst/>
            </c:spPr>
          </c:marker>
          <c:xVal>
            <c:numRef>
              <c:f>'Indicadores Energéticos'!$O$30:$O$41</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'Indicadores Energéticos'!$Q$30:$Q$41</c:f>
              <c:numCache>
                <c:formatCode>_(* #,##0_);_(* \(#,##0\);_(* "-"_);_(@_)</c:formatCode>
                <c:ptCount val="12"/>
                <c:pt idx="0">
                  <c:v>10237.169</c:v>
                </c:pt>
                <c:pt idx="1">
                  <c:v>10149.338</c:v>
                </c:pt>
                <c:pt idx="2">
                  <c:v>10061.507</c:v>
                </c:pt>
                <c:pt idx="3">
                  <c:v>9973.6759999999995</c:v>
                </c:pt>
                <c:pt idx="4">
                  <c:v>9885.8449999999993</c:v>
                </c:pt>
                <c:pt idx="5">
                  <c:v>9798.0139999999992</c:v>
                </c:pt>
                <c:pt idx="6">
                  <c:v>9710.1830000000009</c:v>
                </c:pt>
                <c:pt idx="7">
                  <c:v>9622.3520000000008</c:v>
                </c:pt>
                <c:pt idx="8">
                  <c:v>9534.5210000000006</c:v>
                </c:pt>
                <c:pt idx="9">
                  <c:v>9446.69</c:v>
                </c:pt>
                <c:pt idx="10">
                  <c:v>9358.8590000000004</c:v>
                </c:pt>
                <c:pt idx="11">
                  <c:v>9271.0280000000002</c:v>
                </c:pt>
              </c:numCache>
            </c:numRef>
          </c:yVal>
          <c:smooth val="0"/>
          <c:extLst>
            <c:ext xmlns:c16="http://schemas.microsoft.com/office/drawing/2014/chart" uri="{C3380CC4-5D6E-409C-BE32-E72D297353CC}">
              <c16:uniqueId val="{00000002-4DF3-4086-99C4-54427A4E496C}"/>
            </c:ext>
          </c:extLst>
        </c:ser>
        <c:dLbls>
          <c:showLegendKey val="0"/>
          <c:showVal val="0"/>
          <c:showCatName val="0"/>
          <c:showSerName val="0"/>
          <c:showPercent val="0"/>
          <c:showBubbleSize val="0"/>
        </c:dLbls>
        <c:axId val="1013761839"/>
        <c:axId val="1013764719"/>
      </c:scatterChart>
      <c:valAx>
        <c:axId val="1013761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13764719"/>
        <c:crosses val="autoZero"/>
        <c:crossBetween val="midCat"/>
      </c:valAx>
      <c:valAx>
        <c:axId val="10137647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_ ;_ * \-#,##0.0_ ;_ * &quot;-&quot;_ ;_ @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0137618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Diagrama de Pareto para</a:t>
            </a:r>
            <a:r>
              <a:rPr lang="es-CL" baseline="0"/>
              <a:t> uso energético</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Pareto!$Z$50</c:f>
              <c:strCache>
                <c:ptCount val="1"/>
                <c:pt idx="0">
                  <c:v>Electricidad</c:v>
                </c:pt>
              </c:strCache>
            </c:strRef>
          </c:tx>
          <c:spPr>
            <a:solidFill>
              <a:schemeClr val="accent1"/>
            </a:solidFill>
            <a:ln>
              <a:noFill/>
            </a:ln>
            <a:effectLst/>
          </c:spPr>
          <c:invertIfNegative val="0"/>
          <c:cat>
            <c:strRef>
              <c:f>Pareto!$Y$51:$Y$56</c:f>
              <c:strCache>
                <c:ptCount val="6"/>
                <c:pt idx="0">
                  <c:v>Proceso 02</c:v>
                </c:pt>
                <c:pt idx="1">
                  <c:v> Sector 02 </c:v>
                </c:pt>
                <c:pt idx="2">
                  <c:v>Proceso 01</c:v>
                </c:pt>
                <c:pt idx="3">
                  <c:v>Sector 01</c:v>
                </c:pt>
                <c:pt idx="4">
                  <c:v>Otros</c:v>
                </c:pt>
                <c:pt idx="5">
                  <c:v>Proceso 03</c:v>
                </c:pt>
              </c:strCache>
            </c:strRef>
          </c:cat>
          <c:val>
            <c:numRef>
              <c:f>Pareto!$Z$51:$Z$56</c:f>
              <c:numCache>
                <c:formatCode>_(* #,##0_);_(* \(#,##0\);_(* "-"_);_(@_)</c:formatCode>
                <c:ptCount val="6"/>
                <c:pt idx="0">
                  <c:v>17385.84</c:v>
                </c:pt>
                <c:pt idx="1">
                  <c:v>66224.042400000006</c:v>
                </c:pt>
                <c:pt idx="2">
                  <c:v>0</c:v>
                </c:pt>
                <c:pt idx="3">
                  <c:v>12437.313600000001</c:v>
                </c:pt>
                <c:pt idx="4">
                  <c:v>9321.7339999999967</c:v>
                </c:pt>
                <c:pt idx="5">
                  <c:v>8899.2000000000007</c:v>
                </c:pt>
              </c:numCache>
            </c:numRef>
          </c:val>
          <c:extLst>
            <c:ext xmlns:c16="http://schemas.microsoft.com/office/drawing/2014/chart" uri="{C3380CC4-5D6E-409C-BE32-E72D297353CC}">
              <c16:uniqueId val="{00000000-300C-48AB-BE97-BE1F62EB7165}"/>
            </c:ext>
          </c:extLst>
        </c:ser>
        <c:ser>
          <c:idx val="1"/>
          <c:order val="1"/>
          <c:tx>
            <c:strRef>
              <c:f>Pareto!$AA$50</c:f>
              <c:strCache>
                <c:ptCount val="1"/>
                <c:pt idx="0">
                  <c:v>Kerosene</c:v>
                </c:pt>
              </c:strCache>
            </c:strRef>
          </c:tx>
          <c:spPr>
            <a:solidFill>
              <a:schemeClr val="accent2"/>
            </a:solidFill>
            <a:ln>
              <a:noFill/>
            </a:ln>
            <a:effectLst/>
          </c:spPr>
          <c:invertIfNegative val="0"/>
          <c:cat>
            <c:strRef>
              <c:f>Pareto!$Y$51:$Y$56</c:f>
              <c:strCache>
                <c:ptCount val="6"/>
                <c:pt idx="0">
                  <c:v>Proceso 02</c:v>
                </c:pt>
                <c:pt idx="1">
                  <c:v> Sector 02 </c:v>
                </c:pt>
                <c:pt idx="2">
                  <c:v>Proceso 01</c:v>
                </c:pt>
                <c:pt idx="3">
                  <c:v>Sector 01</c:v>
                </c:pt>
                <c:pt idx="4">
                  <c:v>Otros</c:v>
                </c:pt>
                <c:pt idx="5">
                  <c:v>Proceso 03</c:v>
                </c:pt>
              </c:strCache>
            </c:strRef>
          </c:cat>
          <c:val>
            <c:numRef>
              <c:f>Pareto!$AA$51:$AA$56</c:f>
              <c:numCache>
                <c:formatCode>_(* #,##0_);_(* \(#,##0\);_(* "-"_);_(@_)</c:formatCode>
                <c:ptCount val="6"/>
                <c:pt idx="0">
                  <c:v>85055.801948715016</c:v>
                </c:pt>
                <c:pt idx="1">
                  <c:v>0</c:v>
                </c:pt>
                <c:pt idx="2">
                  <c:v>49399.745989067625</c:v>
                </c:pt>
                <c:pt idx="3">
                  <c:v>0</c:v>
                </c:pt>
                <c:pt idx="4">
                  <c:v>0</c:v>
                </c:pt>
                <c:pt idx="5">
                  <c:v>0</c:v>
                </c:pt>
              </c:numCache>
            </c:numRef>
          </c:val>
          <c:extLst>
            <c:ext xmlns:c16="http://schemas.microsoft.com/office/drawing/2014/chart" uri="{C3380CC4-5D6E-409C-BE32-E72D297353CC}">
              <c16:uniqueId val="{00000001-300C-48AB-BE97-BE1F62EB7165}"/>
            </c:ext>
          </c:extLst>
        </c:ser>
        <c:dLbls>
          <c:showLegendKey val="0"/>
          <c:showVal val="0"/>
          <c:showCatName val="0"/>
          <c:showSerName val="0"/>
          <c:showPercent val="0"/>
          <c:showBubbleSize val="0"/>
        </c:dLbls>
        <c:gapWidth val="219"/>
        <c:axId val="2075905984"/>
        <c:axId val="2075927104"/>
      </c:barChart>
      <c:lineChart>
        <c:grouping val="standard"/>
        <c:varyColors val="0"/>
        <c:ser>
          <c:idx val="2"/>
          <c:order val="2"/>
          <c:tx>
            <c:strRef>
              <c:f>Pareto!$AB$50</c:f>
              <c:strCache>
                <c:ptCount val="1"/>
                <c:pt idx="0">
                  <c:v>%</c:v>
                </c:pt>
              </c:strCache>
            </c:strRef>
          </c:tx>
          <c:spPr>
            <a:ln w="28575" cap="rnd">
              <a:solidFill>
                <a:schemeClr val="accent3"/>
              </a:solidFill>
              <a:round/>
            </a:ln>
            <a:effectLst/>
          </c:spPr>
          <c:marker>
            <c:symbol val="none"/>
          </c:marker>
          <c:cat>
            <c:strRef>
              <c:f>Pareto!$Y$51:$Y$56</c:f>
              <c:strCache>
                <c:ptCount val="6"/>
                <c:pt idx="0">
                  <c:v>Proceso 02</c:v>
                </c:pt>
                <c:pt idx="1">
                  <c:v> Sector 02 </c:v>
                </c:pt>
                <c:pt idx="2">
                  <c:v>Proceso 01</c:v>
                </c:pt>
                <c:pt idx="3">
                  <c:v>Sector 01</c:v>
                </c:pt>
                <c:pt idx="4">
                  <c:v>Otros</c:v>
                </c:pt>
                <c:pt idx="5">
                  <c:v>Proceso 03</c:v>
                </c:pt>
              </c:strCache>
            </c:strRef>
          </c:cat>
          <c:val>
            <c:numRef>
              <c:f>Pareto!$AB$51:$AB$56</c:f>
              <c:numCache>
                <c:formatCode>0%</c:formatCode>
                <c:ptCount val="6"/>
                <c:pt idx="0">
                  <c:v>0.41186927918595839</c:v>
                </c:pt>
                <c:pt idx="1">
                  <c:v>0.26625548057618265</c:v>
                </c:pt>
                <c:pt idx="2">
                  <c:v>0.19861296036891507</c:v>
                </c:pt>
                <c:pt idx="3">
                  <c:v>5.0004542000666098E-2</c:v>
                </c:pt>
                <c:pt idx="4">
                  <c:v>3.7478273388719327E-2</c:v>
                </c:pt>
                <c:pt idx="5">
                  <c:v>3.5779464479558327E-2</c:v>
                </c:pt>
              </c:numCache>
            </c:numRef>
          </c:val>
          <c:smooth val="0"/>
          <c:extLst>
            <c:ext xmlns:c16="http://schemas.microsoft.com/office/drawing/2014/chart" uri="{C3380CC4-5D6E-409C-BE32-E72D297353CC}">
              <c16:uniqueId val="{00000002-300C-48AB-BE97-BE1F62EB7165}"/>
            </c:ext>
          </c:extLst>
        </c:ser>
        <c:dLbls>
          <c:showLegendKey val="0"/>
          <c:showVal val="0"/>
          <c:showCatName val="0"/>
          <c:showSerName val="0"/>
          <c:showPercent val="0"/>
          <c:showBubbleSize val="0"/>
        </c:dLbls>
        <c:marker val="1"/>
        <c:smooth val="0"/>
        <c:axId val="2075905984"/>
        <c:axId val="2075927104"/>
      </c:lineChart>
      <c:lineChart>
        <c:grouping val="standard"/>
        <c:varyColors val="0"/>
        <c:ser>
          <c:idx val="3"/>
          <c:order val="3"/>
          <c:tx>
            <c:strRef>
              <c:f>Pareto!$AC$50</c:f>
              <c:strCache>
                <c:ptCount val="1"/>
                <c:pt idx="0">
                  <c:v>% acum</c:v>
                </c:pt>
              </c:strCache>
            </c:strRef>
          </c:tx>
          <c:spPr>
            <a:ln w="28575" cap="rnd">
              <a:solidFill>
                <a:schemeClr val="accent4"/>
              </a:solidFill>
              <a:round/>
            </a:ln>
            <a:effectLst/>
          </c:spPr>
          <c:marker>
            <c:symbol val="none"/>
          </c:marker>
          <c:dLbls>
            <c:dLbl>
              <c:idx val="0"/>
              <c:layout>
                <c:manualLayout>
                  <c:x val="-5.3309800433106756E-2"/>
                  <c:y val="3.27351480740049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0C-48AB-BE97-BE1F62EB7165}"/>
                </c:ext>
              </c:extLst>
            </c:dLbl>
            <c:dLbl>
              <c:idx val="1"/>
              <c:layout>
                <c:manualLayout>
                  <c:x val="-6.5181181814940245E-3"/>
                  <c:y val="3.58550038433183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0C-48AB-BE97-BE1F62EB71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Pareto!$Y$51:$Y$56</c:f>
              <c:strCache>
                <c:ptCount val="6"/>
                <c:pt idx="0">
                  <c:v>Proceso 02</c:v>
                </c:pt>
                <c:pt idx="1">
                  <c:v> Sector 02 </c:v>
                </c:pt>
                <c:pt idx="2">
                  <c:v>Proceso 01</c:v>
                </c:pt>
                <c:pt idx="3">
                  <c:v>Sector 01</c:v>
                </c:pt>
                <c:pt idx="4">
                  <c:v>Otros</c:v>
                </c:pt>
                <c:pt idx="5">
                  <c:v>Proceso 03</c:v>
                </c:pt>
              </c:strCache>
            </c:strRef>
          </c:cat>
          <c:val>
            <c:numRef>
              <c:f>Pareto!$AC$51:$AC$56</c:f>
              <c:numCache>
                <c:formatCode>0%</c:formatCode>
                <c:ptCount val="6"/>
                <c:pt idx="0">
                  <c:v>0.41186927918595839</c:v>
                </c:pt>
                <c:pt idx="1">
                  <c:v>0.67812475976214104</c:v>
                </c:pt>
                <c:pt idx="2">
                  <c:v>0.87673772013105611</c:v>
                </c:pt>
                <c:pt idx="3">
                  <c:v>0.92674226213172217</c:v>
                </c:pt>
                <c:pt idx="4">
                  <c:v>0.96422053552044151</c:v>
                </c:pt>
                <c:pt idx="5">
                  <c:v>0.99999999999999989</c:v>
                </c:pt>
              </c:numCache>
            </c:numRef>
          </c:val>
          <c:smooth val="0"/>
          <c:extLst>
            <c:ext xmlns:c16="http://schemas.microsoft.com/office/drawing/2014/chart" uri="{C3380CC4-5D6E-409C-BE32-E72D297353CC}">
              <c16:uniqueId val="{00000003-300C-48AB-BE97-BE1F62EB7165}"/>
            </c:ext>
          </c:extLst>
        </c:ser>
        <c:dLbls>
          <c:showLegendKey val="0"/>
          <c:showVal val="0"/>
          <c:showCatName val="0"/>
          <c:showSerName val="0"/>
          <c:showPercent val="0"/>
          <c:showBubbleSize val="0"/>
        </c:dLbls>
        <c:marker val="1"/>
        <c:smooth val="0"/>
        <c:axId val="2075924704"/>
        <c:axId val="2075905024"/>
      </c:lineChart>
      <c:catAx>
        <c:axId val="207590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27104"/>
        <c:crosses val="autoZero"/>
        <c:auto val="1"/>
        <c:lblAlgn val="ctr"/>
        <c:lblOffset val="100"/>
        <c:noMultiLvlLbl val="0"/>
      </c:catAx>
      <c:valAx>
        <c:axId val="2075927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 Energético [kWh]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05984"/>
        <c:crosses val="autoZero"/>
        <c:crossBetween val="between"/>
      </c:valAx>
      <c:valAx>
        <c:axId val="20759050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24704"/>
        <c:crosses val="max"/>
        <c:crossBetween val="between"/>
      </c:valAx>
      <c:catAx>
        <c:axId val="2075924704"/>
        <c:scaling>
          <c:orientation val="minMax"/>
        </c:scaling>
        <c:delete val="1"/>
        <c:axPos val="b"/>
        <c:numFmt formatCode="General" sourceLinked="1"/>
        <c:majorTickMark val="out"/>
        <c:minorTickMark val="none"/>
        <c:tickLblPos val="nextTo"/>
        <c:crossAx val="2075905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Diagrama de</a:t>
            </a:r>
            <a:r>
              <a:rPr lang="es-CL" baseline="0"/>
              <a:t> Pareto por tipo de fuente energética</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Pareto!$Z$64</c:f>
              <c:strCache>
                <c:ptCount val="1"/>
                <c:pt idx="0">
                  <c:v>Electricidad</c:v>
                </c:pt>
              </c:strCache>
            </c:strRef>
          </c:tx>
          <c:spPr>
            <a:solidFill>
              <a:schemeClr val="accent1"/>
            </a:solidFill>
            <a:ln>
              <a:noFill/>
            </a:ln>
            <a:effectLst/>
          </c:spPr>
          <c:invertIfNegative val="0"/>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Pareto!$Z$65:$Z$75</c:f>
              <c:numCache>
                <c:formatCode>0.0</c:formatCode>
                <c:ptCount val="11"/>
                <c:pt idx="0">
                  <c:v>11553.84</c:v>
                </c:pt>
                <c:pt idx="1">
                  <c:v>0</c:v>
                </c:pt>
                <c:pt idx="2">
                  <c:v>30345.062400000003</c:v>
                </c:pt>
                <c:pt idx="3">
                  <c:v>25615.71</c:v>
                </c:pt>
                <c:pt idx="4">
                  <c:v>4622.3999999999996</c:v>
                </c:pt>
                <c:pt idx="5">
                  <c:v>9321.7339999999967</c:v>
                </c:pt>
                <c:pt idx="6">
                  <c:v>10263.27</c:v>
                </c:pt>
                <c:pt idx="7">
                  <c:v>9704.4480000000021</c:v>
                </c:pt>
                <c:pt idx="8">
                  <c:v>8899.2000000000007</c:v>
                </c:pt>
                <c:pt idx="9">
                  <c:v>2732.8656000000001</c:v>
                </c:pt>
                <c:pt idx="10">
                  <c:v>1209.5999999999999</c:v>
                </c:pt>
              </c:numCache>
            </c:numRef>
          </c:val>
          <c:extLst>
            <c:ext xmlns:c16="http://schemas.microsoft.com/office/drawing/2014/chart" uri="{C3380CC4-5D6E-409C-BE32-E72D297353CC}">
              <c16:uniqueId val="{00000000-6D62-4745-A1D4-1FCF00C291FE}"/>
            </c:ext>
          </c:extLst>
        </c:ser>
        <c:ser>
          <c:idx val="1"/>
          <c:order val="1"/>
          <c:tx>
            <c:strRef>
              <c:f>Pareto!$AA$64</c:f>
              <c:strCache>
                <c:ptCount val="1"/>
                <c:pt idx="0">
                  <c:v>Kerosene</c:v>
                </c:pt>
              </c:strCache>
            </c:strRef>
          </c:tx>
          <c:spPr>
            <a:solidFill>
              <a:schemeClr val="accent2"/>
            </a:solidFill>
            <a:ln>
              <a:noFill/>
            </a:ln>
            <a:effectLst/>
          </c:spPr>
          <c:invertIfNegative val="0"/>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Pareto!$AA$65:$AA$75</c:f>
              <c:numCache>
                <c:formatCode>0.0</c:formatCode>
                <c:ptCount val="11"/>
                <c:pt idx="0">
                  <c:v>70240.682793956177</c:v>
                </c:pt>
                <c:pt idx="1">
                  <c:v>49399.745989067625</c:v>
                </c:pt>
                <c:pt idx="2">
                  <c:v>0</c:v>
                </c:pt>
                <c:pt idx="3">
                  <c:v>0</c:v>
                </c:pt>
                <c:pt idx="4">
                  <c:v>14815.119154758839</c:v>
                </c:pt>
                <c:pt idx="5">
                  <c:v>0</c:v>
                </c:pt>
                <c:pt idx="6">
                  <c:v>0</c:v>
                </c:pt>
                <c:pt idx="7">
                  <c:v>0</c:v>
                </c:pt>
                <c:pt idx="8">
                  <c:v>0</c:v>
                </c:pt>
                <c:pt idx="9">
                  <c:v>0</c:v>
                </c:pt>
                <c:pt idx="10">
                  <c:v>0</c:v>
                </c:pt>
              </c:numCache>
            </c:numRef>
          </c:val>
          <c:extLst>
            <c:ext xmlns:c16="http://schemas.microsoft.com/office/drawing/2014/chart" uri="{C3380CC4-5D6E-409C-BE32-E72D297353CC}">
              <c16:uniqueId val="{00000001-6D62-4745-A1D4-1FCF00C291FE}"/>
            </c:ext>
          </c:extLst>
        </c:ser>
        <c:dLbls>
          <c:showLegendKey val="0"/>
          <c:showVal val="0"/>
          <c:showCatName val="0"/>
          <c:showSerName val="0"/>
          <c:showPercent val="0"/>
          <c:showBubbleSize val="0"/>
        </c:dLbls>
        <c:gapWidth val="219"/>
        <c:axId val="121224047"/>
        <c:axId val="121223567"/>
      </c:barChart>
      <c:lineChart>
        <c:grouping val="standard"/>
        <c:varyColors val="0"/>
        <c:ser>
          <c:idx val="2"/>
          <c:order val="2"/>
          <c:tx>
            <c:strRef>
              <c:f>Pareto!$AB$64</c:f>
              <c:strCache>
                <c:ptCount val="1"/>
                <c:pt idx="0">
                  <c:v>%</c:v>
                </c:pt>
              </c:strCache>
            </c:strRef>
          </c:tx>
          <c:spPr>
            <a:ln w="28575" cap="rnd">
              <a:solidFill>
                <a:schemeClr val="accent3"/>
              </a:solidFill>
              <a:round/>
            </a:ln>
            <a:effectLst/>
          </c:spPr>
          <c:marker>
            <c:symbol val="none"/>
          </c:marker>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Pareto!$AB$65:$AB$75</c:f>
              <c:numCache>
                <c:formatCode>0.0%</c:formatCode>
                <c:ptCount val="11"/>
                <c:pt idx="0">
                  <c:v>0.32885700095837589</c:v>
                </c:pt>
                <c:pt idx="1">
                  <c:v>0.19861296036891507</c:v>
                </c:pt>
                <c:pt idx="2">
                  <c:v>0.12200311064711222</c:v>
                </c:pt>
                <c:pt idx="3">
                  <c:v>0.10298862662527722</c:v>
                </c:pt>
                <c:pt idx="4">
                  <c:v>7.8149050045894966E-2</c:v>
                </c:pt>
                <c:pt idx="5">
                  <c:v>3.7478273388719327E-2</c:v>
                </c:pt>
                <c:pt idx="6">
                  <c:v>4.1263743303793218E-2</c:v>
                </c:pt>
                <c:pt idx="7">
                  <c:v>3.9016984954796038E-2</c:v>
                </c:pt>
                <c:pt idx="8">
                  <c:v>3.5779464479558327E-2</c:v>
                </c:pt>
                <c:pt idx="9">
                  <c:v>1.0987557045870063E-2</c:v>
                </c:pt>
                <c:pt idx="10">
                  <c:v>4.863228181687539E-3</c:v>
                </c:pt>
              </c:numCache>
            </c:numRef>
          </c:val>
          <c:smooth val="0"/>
          <c:extLst>
            <c:ext xmlns:c16="http://schemas.microsoft.com/office/drawing/2014/chart" uri="{C3380CC4-5D6E-409C-BE32-E72D297353CC}">
              <c16:uniqueId val="{00000002-6D62-4745-A1D4-1FCF00C291FE}"/>
            </c:ext>
          </c:extLst>
        </c:ser>
        <c:dLbls>
          <c:showLegendKey val="0"/>
          <c:showVal val="0"/>
          <c:showCatName val="0"/>
          <c:showSerName val="0"/>
          <c:showPercent val="0"/>
          <c:showBubbleSize val="0"/>
        </c:dLbls>
        <c:marker val="1"/>
        <c:smooth val="0"/>
        <c:axId val="121224047"/>
        <c:axId val="121223567"/>
      </c:lineChart>
      <c:lineChart>
        <c:grouping val="standard"/>
        <c:varyColors val="0"/>
        <c:ser>
          <c:idx val="3"/>
          <c:order val="3"/>
          <c:tx>
            <c:strRef>
              <c:f>Pareto!$AC$64</c:f>
              <c:strCache>
                <c:ptCount val="1"/>
                <c:pt idx="0">
                  <c:v>% acum</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Pareto!$AC$65:$AC$75</c:f>
              <c:numCache>
                <c:formatCode>0.0%</c:formatCode>
                <c:ptCount val="11"/>
                <c:pt idx="0">
                  <c:v>0.32885700095837589</c:v>
                </c:pt>
                <c:pt idx="1">
                  <c:v>0.52746996132729096</c:v>
                </c:pt>
                <c:pt idx="2">
                  <c:v>0.64947307197440318</c:v>
                </c:pt>
                <c:pt idx="3">
                  <c:v>0.75246169859968037</c:v>
                </c:pt>
                <c:pt idx="4">
                  <c:v>0.83061074864557538</c:v>
                </c:pt>
                <c:pt idx="5">
                  <c:v>0.86808902203429472</c:v>
                </c:pt>
                <c:pt idx="6">
                  <c:v>0.90935276533808795</c:v>
                </c:pt>
                <c:pt idx="7">
                  <c:v>0.94836975029288395</c:v>
                </c:pt>
                <c:pt idx="8">
                  <c:v>0.98414921477244233</c:v>
                </c:pt>
                <c:pt idx="9">
                  <c:v>0.99513677181831239</c:v>
                </c:pt>
                <c:pt idx="10">
                  <c:v>0.99999999999999989</c:v>
                </c:pt>
              </c:numCache>
            </c:numRef>
          </c:val>
          <c:smooth val="0"/>
          <c:extLst>
            <c:ext xmlns:c16="http://schemas.microsoft.com/office/drawing/2014/chart" uri="{C3380CC4-5D6E-409C-BE32-E72D297353CC}">
              <c16:uniqueId val="{00000003-6D62-4745-A1D4-1FCF00C291FE}"/>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21237007"/>
        <c:axId val="121222607"/>
      </c:lineChart>
      <c:catAx>
        <c:axId val="12122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23567"/>
        <c:crosses val="autoZero"/>
        <c:auto val="1"/>
        <c:lblAlgn val="ctr"/>
        <c:lblOffset val="100"/>
        <c:noMultiLvlLbl val="0"/>
      </c:catAx>
      <c:valAx>
        <c:axId val="121223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Consumo Energético [kWh]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24047"/>
        <c:crosses val="autoZero"/>
        <c:crossBetween val="between"/>
      </c:valAx>
      <c:valAx>
        <c:axId val="121222607"/>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37007"/>
        <c:crosses val="max"/>
        <c:crossBetween val="between"/>
      </c:valAx>
      <c:catAx>
        <c:axId val="121237007"/>
        <c:scaling>
          <c:orientation val="minMax"/>
        </c:scaling>
        <c:delete val="1"/>
        <c:axPos val="b"/>
        <c:numFmt formatCode="General" sourceLinked="1"/>
        <c:majorTickMark val="out"/>
        <c:minorTickMark val="none"/>
        <c:tickLblPos val="nextTo"/>
        <c:crossAx val="1212226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Diagrama de Pareto GEI Generados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Pareto!$AP$50</c:f>
              <c:strCache>
                <c:ptCount val="1"/>
                <c:pt idx="0">
                  <c:v>Electricidad GEI</c:v>
                </c:pt>
              </c:strCache>
            </c:strRef>
          </c:tx>
          <c:spPr>
            <a:solidFill>
              <a:schemeClr val="accent1"/>
            </a:solidFill>
            <a:ln>
              <a:noFill/>
            </a:ln>
            <a:effectLst/>
          </c:spPr>
          <c:invertIfNegative val="0"/>
          <c:cat>
            <c:strRef>
              <c:f>Pareto!$Y$51:$Y$56</c:f>
              <c:strCache>
                <c:ptCount val="6"/>
                <c:pt idx="0">
                  <c:v>Proceso 02</c:v>
                </c:pt>
                <c:pt idx="1">
                  <c:v> Sector 02 </c:v>
                </c:pt>
                <c:pt idx="2">
                  <c:v>Proceso 01</c:v>
                </c:pt>
                <c:pt idx="3">
                  <c:v>Sector 01</c:v>
                </c:pt>
                <c:pt idx="4">
                  <c:v>Otros</c:v>
                </c:pt>
                <c:pt idx="5">
                  <c:v>Proceso 03</c:v>
                </c:pt>
              </c:strCache>
            </c:strRef>
          </c:cat>
          <c:val>
            <c:numRef>
              <c:f>Pareto!$AP$51:$AP$56</c:f>
              <c:numCache>
                <c:formatCode>_ * #,##0.00_ ;_ * \-#,##0.00_ ;_ * "-"_ ;_ @_ </c:formatCode>
                <c:ptCount val="6"/>
                <c:pt idx="0">
                  <c:v>4.1447842560000003</c:v>
                </c:pt>
                <c:pt idx="1">
                  <c:v>15.787811708160001</c:v>
                </c:pt>
                <c:pt idx="2">
                  <c:v>0</c:v>
                </c:pt>
                <c:pt idx="3">
                  <c:v>2.9650555622400003</c:v>
                </c:pt>
                <c:pt idx="4">
                  <c:v>2.2223013855999993</c:v>
                </c:pt>
                <c:pt idx="5">
                  <c:v>2.1215692800000001</c:v>
                </c:pt>
              </c:numCache>
            </c:numRef>
          </c:val>
          <c:extLst>
            <c:ext xmlns:c16="http://schemas.microsoft.com/office/drawing/2014/chart" uri="{C3380CC4-5D6E-409C-BE32-E72D297353CC}">
              <c16:uniqueId val="{00000000-AFB0-4B8E-B25D-1FAE2DE0ED1E}"/>
            </c:ext>
          </c:extLst>
        </c:ser>
        <c:ser>
          <c:idx val="1"/>
          <c:order val="1"/>
          <c:tx>
            <c:strRef>
              <c:f>Pareto!$AQ$50</c:f>
              <c:strCache>
                <c:ptCount val="1"/>
                <c:pt idx="0">
                  <c:v>Kerosene GEI</c:v>
                </c:pt>
              </c:strCache>
            </c:strRef>
          </c:tx>
          <c:spPr>
            <a:solidFill>
              <a:schemeClr val="accent2"/>
            </a:solidFill>
            <a:ln>
              <a:noFill/>
            </a:ln>
            <a:effectLst/>
          </c:spPr>
          <c:invertIfNegative val="0"/>
          <c:cat>
            <c:strRef>
              <c:f>Pareto!$Y$51:$Y$56</c:f>
              <c:strCache>
                <c:ptCount val="6"/>
                <c:pt idx="0">
                  <c:v>Proceso 02</c:v>
                </c:pt>
                <c:pt idx="1">
                  <c:v> Sector 02 </c:v>
                </c:pt>
                <c:pt idx="2">
                  <c:v>Proceso 01</c:v>
                </c:pt>
                <c:pt idx="3">
                  <c:v>Sector 01</c:v>
                </c:pt>
                <c:pt idx="4">
                  <c:v>Otros</c:v>
                </c:pt>
                <c:pt idx="5">
                  <c:v>Proceso 03</c:v>
                </c:pt>
              </c:strCache>
            </c:strRef>
          </c:cat>
          <c:val>
            <c:numRef>
              <c:f>Pareto!$AQ$51:$AQ$56</c:f>
              <c:numCache>
                <c:formatCode>_ * #,##0.00_ ;_ * \-#,##0.00_ ;_ * "-"_ ;_ @_ </c:formatCode>
                <c:ptCount val="6"/>
                <c:pt idx="0">
                  <c:v>22.015843776405397</c:v>
                </c:pt>
                <c:pt idx="1">
                  <c:v>0</c:v>
                </c:pt>
                <c:pt idx="2">
                  <c:v>12.786630251810266</c:v>
                </c:pt>
                <c:pt idx="3">
                  <c:v>0</c:v>
                </c:pt>
                <c:pt idx="4">
                  <c:v>0</c:v>
                </c:pt>
                <c:pt idx="5">
                  <c:v>0</c:v>
                </c:pt>
              </c:numCache>
            </c:numRef>
          </c:val>
          <c:extLst>
            <c:ext xmlns:c16="http://schemas.microsoft.com/office/drawing/2014/chart" uri="{C3380CC4-5D6E-409C-BE32-E72D297353CC}">
              <c16:uniqueId val="{00000001-AFB0-4B8E-B25D-1FAE2DE0ED1E}"/>
            </c:ext>
          </c:extLst>
        </c:ser>
        <c:dLbls>
          <c:showLegendKey val="0"/>
          <c:showVal val="0"/>
          <c:showCatName val="0"/>
          <c:showSerName val="0"/>
          <c:showPercent val="0"/>
          <c:showBubbleSize val="0"/>
        </c:dLbls>
        <c:gapWidth val="219"/>
        <c:axId val="2075905984"/>
        <c:axId val="2075927104"/>
      </c:barChart>
      <c:lineChart>
        <c:grouping val="standard"/>
        <c:varyColors val="0"/>
        <c:ser>
          <c:idx val="3"/>
          <c:order val="2"/>
          <c:tx>
            <c:strRef>
              <c:f>Pareto!$AS$50</c:f>
              <c:strCache>
                <c:ptCount val="1"/>
                <c:pt idx="0">
                  <c:v>% acum</c:v>
                </c:pt>
              </c:strCache>
            </c:strRef>
          </c:tx>
          <c:spPr>
            <a:ln w="28575" cap="rnd">
              <a:solidFill>
                <a:schemeClr val="accent4"/>
              </a:solidFill>
              <a:round/>
            </a:ln>
            <a:effectLst/>
          </c:spPr>
          <c:marker>
            <c:symbol val="none"/>
          </c:marker>
          <c:dLbls>
            <c:dLbl>
              <c:idx val="0"/>
              <c:layout>
                <c:manualLayout>
                  <c:x val="-5.5062123341991537E-2"/>
                  <c:y val="1.72533967586221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B0-4B8E-B25D-1FAE2DE0ED1E}"/>
                </c:ext>
              </c:extLst>
            </c:dLbl>
            <c:dLbl>
              <c:idx val="1"/>
              <c:layout>
                <c:manualLayout>
                  <c:x val="-8.3716403624004999E-3"/>
                  <c:y val="2.66771572991353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B0-4B8E-B25D-1FAE2DE0ED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Pareto!$AO$51:$AO$56</c:f>
              <c:strCache>
                <c:ptCount val="6"/>
                <c:pt idx="0">
                  <c:v>Proceso 02</c:v>
                </c:pt>
                <c:pt idx="1">
                  <c:v>Sector 02</c:v>
                </c:pt>
                <c:pt idx="2">
                  <c:v>Proceso 01</c:v>
                </c:pt>
                <c:pt idx="3">
                  <c:v>Sector 01</c:v>
                </c:pt>
                <c:pt idx="4">
                  <c:v>Otros</c:v>
                </c:pt>
                <c:pt idx="5">
                  <c:v>Proceso 03</c:v>
                </c:pt>
              </c:strCache>
            </c:strRef>
          </c:cat>
          <c:val>
            <c:numRef>
              <c:f>Pareto!$AS$51:$AS$56</c:f>
              <c:numCache>
                <c:formatCode>0%</c:formatCode>
                <c:ptCount val="6"/>
                <c:pt idx="0">
                  <c:v>0.42164640619782545</c:v>
                </c:pt>
                <c:pt idx="1">
                  <c:v>0.67610796041692478</c:v>
                </c:pt>
                <c:pt idx="2">
                  <c:v>0.88219768755871109</c:v>
                </c:pt>
                <c:pt idx="3">
                  <c:v>0.9299872521076481</c:v>
                </c:pt>
                <c:pt idx="4">
                  <c:v>0.9658054056919575</c:v>
                </c:pt>
                <c:pt idx="5">
                  <c:v>1</c:v>
                </c:pt>
              </c:numCache>
            </c:numRef>
          </c:val>
          <c:smooth val="0"/>
          <c:extLst>
            <c:ext xmlns:c16="http://schemas.microsoft.com/office/drawing/2014/chart" uri="{C3380CC4-5D6E-409C-BE32-E72D297353CC}">
              <c16:uniqueId val="{00000003-AFB0-4B8E-B25D-1FAE2DE0ED1E}"/>
            </c:ext>
          </c:extLst>
        </c:ser>
        <c:dLbls>
          <c:showLegendKey val="0"/>
          <c:showVal val="0"/>
          <c:showCatName val="0"/>
          <c:showSerName val="0"/>
          <c:showPercent val="0"/>
          <c:showBubbleSize val="0"/>
        </c:dLbls>
        <c:marker val="1"/>
        <c:smooth val="0"/>
        <c:axId val="2075924704"/>
        <c:axId val="2075905024"/>
      </c:lineChart>
      <c:catAx>
        <c:axId val="207590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27104"/>
        <c:crosses val="autoZero"/>
        <c:auto val="1"/>
        <c:lblAlgn val="ctr"/>
        <c:lblOffset val="100"/>
        <c:noMultiLvlLbl val="0"/>
      </c:catAx>
      <c:valAx>
        <c:axId val="2075927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GEI [Ton CO₂]</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05984"/>
        <c:crosses val="autoZero"/>
        <c:crossBetween val="between"/>
      </c:valAx>
      <c:valAx>
        <c:axId val="20759050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24704"/>
        <c:crosses val="max"/>
        <c:crossBetween val="between"/>
      </c:valAx>
      <c:catAx>
        <c:axId val="2075924704"/>
        <c:scaling>
          <c:orientation val="minMax"/>
        </c:scaling>
        <c:delete val="1"/>
        <c:axPos val="b"/>
        <c:numFmt formatCode="General" sourceLinked="1"/>
        <c:majorTickMark val="out"/>
        <c:minorTickMark val="none"/>
        <c:tickLblPos val="nextTo"/>
        <c:crossAx val="2075905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Diagrama de</a:t>
            </a:r>
            <a:r>
              <a:rPr lang="es-CL" baseline="0"/>
              <a:t> Pareto GEI por USE´s</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Pareto!$AP$64</c:f>
              <c:strCache>
                <c:ptCount val="1"/>
                <c:pt idx="0">
                  <c:v>Electricidad</c:v>
                </c:pt>
              </c:strCache>
            </c:strRef>
          </c:tx>
          <c:spPr>
            <a:solidFill>
              <a:schemeClr val="accent1"/>
            </a:solidFill>
            <a:ln>
              <a:noFill/>
            </a:ln>
            <a:effectLst/>
          </c:spPr>
          <c:invertIfNegative val="0"/>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Pareto!$AP$65:$AP$75</c:f>
              <c:numCache>
                <c:formatCode>_ * #,##0.00_ ;_ * \-#,##0.00_ ;_ * "-"_ ;_ @_ </c:formatCode>
                <c:ptCount val="11"/>
                <c:pt idx="0">
                  <c:v>2.7544354559999999</c:v>
                </c:pt>
                <c:pt idx="1">
                  <c:v>0</c:v>
                </c:pt>
                <c:pt idx="2">
                  <c:v>7.2342628761600007</c:v>
                </c:pt>
                <c:pt idx="3">
                  <c:v>6.106785264</c:v>
                </c:pt>
                <c:pt idx="4">
                  <c:v>1.1019801599999999</c:v>
                </c:pt>
                <c:pt idx="5">
                  <c:v>2.2223013855999993</c:v>
                </c:pt>
                <c:pt idx="6">
                  <c:v>2.4467635680000002</c:v>
                </c:pt>
                <c:pt idx="7">
                  <c:v>2.3135404032000007</c:v>
                </c:pt>
                <c:pt idx="8">
                  <c:v>2.1215692800000001</c:v>
                </c:pt>
                <c:pt idx="9">
                  <c:v>0.65151515904000012</c:v>
                </c:pt>
                <c:pt idx="10">
                  <c:v>0.28836863999999995</c:v>
                </c:pt>
              </c:numCache>
            </c:numRef>
          </c:val>
          <c:extLst>
            <c:ext xmlns:c16="http://schemas.microsoft.com/office/drawing/2014/chart" uri="{C3380CC4-5D6E-409C-BE32-E72D297353CC}">
              <c16:uniqueId val="{00000000-2C2F-4B23-9284-5C6B367511D9}"/>
            </c:ext>
          </c:extLst>
        </c:ser>
        <c:ser>
          <c:idx val="1"/>
          <c:order val="1"/>
          <c:tx>
            <c:strRef>
              <c:f>Pareto!$AQ$64</c:f>
              <c:strCache>
                <c:ptCount val="1"/>
                <c:pt idx="0">
                  <c:v>Kerosene GEI</c:v>
                </c:pt>
              </c:strCache>
            </c:strRef>
          </c:tx>
          <c:spPr>
            <a:solidFill>
              <a:schemeClr val="accent2"/>
            </a:solidFill>
            <a:ln>
              <a:noFill/>
            </a:ln>
            <a:effectLst/>
          </c:spPr>
          <c:invertIfNegative val="0"/>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Pareto!$AQ$65:$AQ$75</c:f>
              <c:numCache>
                <c:formatCode>_ * #,##0.00_ ;_ * \-#,##0.00_ ;_ * "-"_ ;_ @_ </c:formatCode>
                <c:ptCount val="11"/>
                <c:pt idx="0">
                  <c:v>18.181098334387617</c:v>
                </c:pt>
                <c:pt idx="1">
                  <c:v>12.786630251810266</c:v>
                </c:pt>
                <c:pt idx="2">
                  <c:v>0</c:v>
                </c:pt>
                <c:pt idx="3">
                  <c:v>0</c:v>
                </c:pt>
                <c:pt idx="4">
                  <c:v>3.8347454420177778</c:v>
                </c:pt>
                <c:pt idx="5">
                  <c:v>0</c:v>
                </c:pt>
                <c:pt idx="6">
                  <c:v>0</c:v>
                </c:pt>
                <c:pt idx="7">
                  <c:v>0</c:v>
                </c:pt>
                <c:pt idx="8">
                  <c:v>0</c:v>
                </c:pt>
                <c:pt idx="9">
                  <c:v>0</c:v>
                </c:pt>
                <c:pt idx="10">
                  <c:v>0</c:v>
                </c:pt>
              </c:numCache>
            </c:numRef>
          </c:val>
          <c:extLst>
            <c:ext xmlns:c16="http://schemas.microsoft.com/office/drawing/2014/chart" uri="{C3380CC4-5D6E-409C-BE32-E72D297353CC}">
              <c16:uniqueId val="{00000001-2C2F-4B23-9284-5C6B367511D9}"/>
            </c:ext>
          </c:extLst>
        </c:ser>
        <c:dLbls>
          <c:showLegendKey val="0"/>
          <c:showVal val="0"/>
          <c:showCatName val="0"/>
          <c:showSerName val="0"/>
          <c:showPercent val="0"/>
          <c:showBubbleSize val="0"/>
        </c:dLbls>
        <c:gapWidth val="219"/>
        <c:axId val="121224047"/>
        <c:axId val="121223567"/>
      </c:barChart>
      <c:lineChart>
        <c:grouping val="standard"/>
        <c:varyColors val="0"/>
        <c:ser>
          <c:idx val="2"/>
          <c:order val="2"/>
          <c:tx>
            <c:strRef>
              <c:f>Pareto!$AR$64</c:f>
              <c:strCache>
                <c:ptCount val="1"/>
                <c:pt idx="0">
                  <c:v>%</c:v>
                </c:pt>
              </c:strCache>
            </c:strRef>
          </c:tx>
          <c:spPr>
            <a:ln w="28575" cap="rnd">
              <a:solidFill>
                <a:schemeClr val="accent3"/>
              </a:solidFill>
              <a:round/>
            </a:ln>
            <a:effectLst/>
          </c:spPr>
          <c:marker>
            <c:symbol val="none"/>
          </c:marker>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Pareto!$AR$65:$AR$75</c:f>
              <c:numCache>
                <c:formatCode>0.0%</c:formatCode>
                <c:ptCount val="11"/>
                <c:pt idx="0">
                  <c:v>0.33743045364260782</c:v>
                </c:pt>
                <c:pt idx="1">
                  <c:v>0.20608972714178631</c:v>
                </c:pt>
                <c:pt idx="2">
                  <c:v>0.11659891878149004</c:v>
                </c:pt>
                <c:pt idx="3">
                  <c:v>9.8426691316350762E-2</c:v>
                </c:pt>
                <c:pt idx="4">
                  <c:v>7.9568143620143791E-2</c:v>
                </c:pt>
                <c:pt idx="5">
                  <c:v>3.5818153584309446E-2</c:v>
                </c:pt>
                <c:pt idx="6">
                  <c:v>3.9435944121258532E-2</c:v>
                </c:pt>
                <c:pt idx="7">
                  <c:v>3.7288707113391655E-2</c:v>
                </c:pt>
                <c:pt idx="8">
                  <c:v>3.4194594308042552E-2</c:v>
                </c:pt>
                <c:pt idx="9">
                  <c:v>1.0500857435545364E-2</c:v>
                </c:pt>
                <c:pt idx="10">
                  <c:v>4.6478089350737439E-3</c:v>
                </c:pt>
              </c:numCache>
            </c:numRef>
          </c:val>
          <c:smooth val="0"/>
          <c:extLst>
            <c:ext xmlns:c16="http://schemas.microsoft.com/office/drawing/2014/chart" uri="{C3380CC4-5D6E-409C-BE32-E72D297353CC}">
              <c16:uniqueId val="{00000002-2C2F-4B23-9284-5C6B367511D9}"/>
            </c:ext>
          </c:extLst>
        </c:ser>
        <c:dLbls>
          <c:showLegendKey val="0"/>
          <c:showVal val="0"/>
          <c:showCatName val="0"/>
          <c:showSerName val="0"/>
          <c:showPercent val="0"/>
          <c:showBubbleSize val="0"/>
        </c:dLbls>
        <c:marker val="1"/>
        <c:smooth val="0"/>
        <c:axId val="121224047"/>
        <c:axId val="121223567"/>
      </c:lineChart>
      <c:lineChart>
        <c:grouping val="standard"/>
        <c:varyColors val="0"/>
        <c:ser>
          <c:idx val="3"/>
          <c:order val="3"/>
          <c:tx>
            <c:strRef>
              <c:f>Pareto!$AS$64</c:f>
              <c:strCache>
                <c:ptCount val="1"/>
                <c:pt idx="0">
                  <c:v>% acum</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Pareto!$AO$65:$AO$75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Pareto!$AS$65:$AS$75</c:f>
              <c:numCache>
                <c:formatCode>0.0%</c:formatCode>
                <c:ptCount val="11"/>
                <c:pt idx="0">
                  <c:v>0.33743045364260782</c:v>
                </c:pt>
                <c:pt idx="1">
                  <c:v>0.54352018078439412</c:v>
                </c:pt>
                <c:pt idx="2">
                  <c:v>0.6601190995658841</c:v>
                </c:pt>
                <c:pt idx="3">
                  <c:v>0.75854579088223484</c:v>
                </c:pt>
                <c:pt idx="4">
                  <c:v>0.83811393450237859</c:v>
                </c:pt>
                <c:pt idx="5">
                  <c:v>0.87393208808668799</c:v>
                </c:pt>
                <c:pt idx="6">
                  <c:v>0.91336803220794649</c:v>
                </c:pt>
                <c:pt idx="7">
                  <c:v>0.9506567393213381</c:v>
                </c:pt>
                <c:pt idx="8">
                  <c:v>0.9848513336293806</c:v>
                </c:pt>
                <c:pt idx="9">
                  <c:v>0.99535219106492601</c:v>
                </c:pt>
                <c:pt idx="10">
                  <c:v>0.99999999999999978</c:v>
                </c:pt>
              </c:numCache>
            </c:numRef>
          </c:val>
          <c:smooth val="0"/>
          <c:extLst>
            <c:ext xmlns:c16="http://schemas.microsoft.com/office/drawing/2014/chart" uri="{C3380CC4-5D6E-409C-BE32-E72D297353CC}">
              <c16:uniqueId val="{00000003-2C2F-4B23-9284-5C6B367511D9}"/>
            </c:ext>
          </c:extLst>
        </c:ser>
        <c:dLbls>
          <c:showLegendKey val="0"/>
          <c:showVal val="0"/>
          <c:showCatName val="0"/>
          <c:showSerName val="0"/>
          <c:showPercent val="0"/>
          <c:showBubbleSize val="0"/>
        </c:dLbls>
        <c:marker val="1"/>
        <c:smooth val="0"/>
        <c:axId val="121237007"/>
        <c:axId val="121222607"/>
      </c:lineChart>
      <c:catAx>
        <c:axId val="12122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23567"/>
        <c:crosses val="autoZero"/>
        <c:auto val="1"/>
        <c:lblAlgn val="ctr"/>
        <c:lblOffset val="100"/>
        <c:noMultiLvlLbl val="0"/>
      </c:catAx>
      <c:valAx>
        <c:axId val="121223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GEI [Ton CO₂]</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CL"/>
            </a:p>
          </c:txPr>
        </c:title>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24047"/>
        <c:crosses val="autoZero"/>
        <c:crossBetween val="between"/>
      </c:valAx>
      <c:valAx>
        <c:axId val="121222607"/>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37007"/>
        <c:crosses val="max"/>
        <c:crossBetween val="between"/>
      </c:valAx>
      <c:catAx>
        <c:axId val="121237007"/>
        <c:scaling>
          <c:orientation val="minMax"/>
        </c:scaling>
        <c:delete val="1"/>
        <c:axPos val="b"/>
        <c:numFmt formatCode="General" sourceLinked="1"/>
        <c:majorTickMark val="out"/>
        <c:minorTickMark val="none"/>
        <c:tickLblPos val="nextTo"/>
        <c:crossAx val="1212226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pieChart>
        <c:varyColors val="1"/>
        <c:ser>
          <c:idx val="0"/>
          <c:order val="0"/>
          <c:tx>
            <c:strRef>
              <c:f>Pareto!$S$50</c:f>
              <c:strCache>
                <c:ptCount val="1"/>
                <c:pt idx="0">
                  <c:v>Kerosene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47-47FE-8D16-ED8873B85F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47-47FE-8D16-ED8873B85F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47-47FE-8D16-ED8873B85FBA}"/>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CL"/>
              </a:p>
            </c:txPr>
            <c:dLblPos val="inEnd"/>
            <c:showLegendKey val="0"/>
            <c:showVal val="1"/>
            <c:showCatName val="0"/>
            <c:showSerName val="0"/>
            <c:showPercent val="0"/>
            <c:showBubbleSize val="0"/>
            <c:showLeaderLines val="0"/>
            <c:extLst>
              <c:ext xmlns:c15="http://schemas.microsoft.com/office/drawing/2012/chart" uri="{CE6537A1-D6FC-4f65-9D91-7224C49458BB}"/>
            </c:extLst>
          </c:dLbls>
          <c:cat>
            <c:strRef>
              <c:f>Pareto!$D$61:$G$63</c:f>
              <c:strCache>
                <c:ptCount val="3"/>
                <c:pt idx="0">
                  <c:v>Proceso 01 (almacenamiento y aceite térmico)</c:v>
                </c:pt>
                <c:pt idx="1">
                  <c:v>Proceso 02 (agua jabonosa y aditivos)</c:v>
                </c:pt>
                <c:pt idx="2">
                  <c:v>Proceso 02 (Emulsión)</c:v>
                </c:pt>
              </c:strCache>
            </c:strRef>
          </c:cat>
          <c:val>
            <c:numRef>
              <c:f>Pareto!$H$61:$H$63</c:f>
              <c:numCache>
                <c:formatCode>0%</c:formatCode>
                <c:ptCount val="3"/>
                <c:pt idx="0">
                  <c:v>0.36740578389466411</c:v>
                </c:pt>
                <c:pt idx="1">
                  <c:v>0.11018600111327737</c:v>
                </c:pt>
                <c:pt idx="2">
                  <c:v>0.52240821499205836</c:v>
                </c:pt>
              </c:numCache>
            </c:numRef>
          </c:val>
          <c:extLst>
            <c:ext xmlns:c16="http://schemas.microsoft.com/office/drawing/2014/chart" uri="{C3380CC4-5D6E-409C-BE32-E72D297353CC}">
              <c16:uniqueId val="{00000000-9C40-4A5E-BC39-E8190F3237D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pieChart>
        <c:varyColors val="1"/>
        <c:ser>
          <c:idx val="0"/>
          <c:order val="0"/>
          <c:tx>
            <c:strRef>
              <c:f>Pareto!$Q$50</c:f>
              <c:strCache>
                <c:ptCount val="1"/>
                <c:pt idx="0">
                  <c:v>Electricidad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5B-443F-980A-A603AE3699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5B-443F-980A-A603AE3699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5B-443F-980A-A603AE3699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5B-443F-980A-A603AE3699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5B-443F-980A-A603AE3699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A5B-443F-980A-A603AE36996D}"/>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CL"/>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Pareto!$P$51:$P$56</c:f>
              <c:strCache>
                <c:ptCount val="6"/>
                <c:pt idx="0">
                  <c:v>Proceso 01</c:v>
                </c:pt>
                <c:pt idx="1">
                  <c:v>Proceso 02</c:v>
                </c:pt>
                <c:pt idx="2">
                  <c:v>Proceso 03</c:v>
                </c:pt>
                <c:pt idx="3">
                  <c:v>Sector 01</c:v>
                </c:pt>
                <c:pt idx="4">
                  <c:v>Sector 02</c:v>
                </c:pt>
                <c:pt idx="5">
                  <c:v>Otros</c:v>
                </c:pt>
              </c:strCache>
            </c:strRef>
          </c:cat>
          <c:val>
            <c:numRef>
              <c:f>Pareto!$Q$51:$Q$56</c:f>
              <c:numCache>
                <c:formatCode>_ * #,##0.0_ ;_ * \-#,##0.0_ ;_ * "-"?_ ;_ @_ </c:formatCode>
                <c:ptCount val="6"/>
                <c:pt idx="1">
                  <c:v>17385.84</c:v>
                </c:pt>
                <c:pt idx="2" formatCode="_ * #,##0.0_ ;_ * \-#,##0.0_ ;_ * &quot;-&quot;_ ;_ @_ ">
                  <c:v>8899.2000000000007</c:v>
                </c:pt>
                <c:pt idx="3">
                  <c:v>12437.313600000001</c:v>
                </c:pt>
                <c:pt idx="4" formatCode="_(* #,##0.00_);_(* \(#,##0.00\);_(* &quot;-&quot;??_);_(@_)">
                  <c:v>66224.042400000006</c:v>
                </c:pt>
                <c:pt idx="5" formatCode="_(* #,##0.00_);_(* \(#,##0.00\);_(* &quot;-&quot;??_);_(@_)">
                  <c:v>9321.7339999999967</c:v>
                </c:pt>
              </c:numCache>
            </c:numRef>
          </c:val>
          <c:extLst>
            <c:ext xmlns:c16="http://schemas.microsoft.com/office/drawing/2014/chart" uri="{C3380CC4-5D6E-409C-BE32-E72D297353CC}">
              <c16:uniqueId val="{00000000-AA02-45F3-8ED3-C98598597CD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Pareto!$Q$48</c:f>
          <c:strCache>
            <c:ptCount val="1"/>
            <c:pt idx="0">
              <c:v>Consumo Energético Total</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s-CL"/>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F7-4EC3-9968-FCC21B89E8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129E-490D-B385-43F10938A0EE}"/>
              </c:ext>
            </c:extLst>
          </c:dPt>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CL"/>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Pareto!$Q$50:$S$50</c15:sqref>
                  </c15:fullRef>
                </c:ext>
              </c:extLst>
              <c:f>(Pareto!$Q$50,Pareto!$S$50)</c:f>
              <c:strCache>
                <c:ptCount val="2"/>
                <c:pt idx="0">
                  <c:v>Electricidad</c:v>
                </c:pt>
                <c:pt idx="1">
                  <c:v>Kerosene</c:v>
                </c:pt>
              </c:strCache>
            </c:strRef>
          </c:cat>
          <c:val>
            <c:numRef>
              <c:extLst>
                <c:ext xmlns:c15="http://schemas.microsoft.com/office/drawing/2012/chart" uri="{02D57815-91ED-43cb-92C2-25804820EDAC}">
                  <c15:fullRef>
                    <c15:sqref>Pareto!$Q$60:$S$60</c15:sqref>
                  </c15:fullRef>
                </c:ext>
              </c:extLst>
              <c:f>(Pareto!$Q$60,Pareto!$S$60)</c:f>
              <c:numCache>
                <c:formatCode>0%</c:formatCode>
                <c:ptCount val="2"/>
                <c:pt idx="0">
                  <c:v>0.45941798122084609</c:v>
                </c:pt>
                <c:pt idx="1">
                  <c:v>0.54058201877915391</c:v>
                </c:pt>
              </c:numCache>
            </c:numRef>
          </c:val>
          <c:extLst>
            <c:ext xmlns:c15="http://schemas.microsoft.com/office/drawing/2012/chart" uri="{02D57815-91ED-43cb-92C2-25804820EDAC}">
              <c15:categoryFilterExceptions>
                <c15:categoryFilterException>
                  <c15:sqref>Pareto!$R$60</c15:sqref>
                  <c15:spPr xmlns:c15="http://schemas.microsoft.com/office/drawing/2012/chart">
                    <a:solidFill>
                      <a:schemeClr val="accent2"/>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0-A94F-41A4-8EFA-3634CB03844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chemeClr val="bg1"/>
          </a:solidFill>
        </a:defRPr>
      </a:pPr>
      <a:endParaRPr lang="es-CL"/>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Pareto!$Z$61</c:f>
          <c:strCache>
            <c:ptCount val="1"/>
            <c:pt idx="0">
              <c:v>Consumo energético anual por uso energético</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22-46BE-871C-49259DDF37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22-46BE-871C-49259DDF37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22-46BE-871C-49259DDF37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22-46BE-871C-49259DDF37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922-46BE-871C-49259DDF37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922-46BE-871C-49259DDF37A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922-46BE-871C-49259DDF37A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1-005F-4F6F-AD14-DF7AEA8CB56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2-005F-4F6F-AD14-DF7AEA8CB56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4-005F-4F6F-AD14-DF7AEA8CB56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3-005F-4F6F-AD14-DF7AEA8CB56E}"/>
              </c:ext>
            </c:extLst>
          </c:dPt>
          <c:dLbls>
            <c:dLbl>
              <c:idx val="7"/>
              <c:layout>
                <c:manualLayout>
                  <c:x val="-7.8024956580876367E-2"/>
                  <c:y val="4.0884368620589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CL"/>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5F-4F6F-AD14-DF7AEA8CB56E}"/>
                </c:ext>
              </c:extLst>
            </c:dLbl>
            <c:dLbl>
              <c:idx val="8"/>
              <c:layout>
                <c:manualLayout>
                  <c:x val="-7.2269289170817569E-2"/>
                  <c:y val="1.9958807232429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CL"/>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5F-4F6F-AD14-DF7AEA8CB56E}"/>
                </c:ext>
              </c:extLst>
            </c:dLbl>
            <c:dLbl>
              <c:idx val="9"/>
              <c:layout>
                <c:manualLayout>
                  <c:x val="8.6845233611805198E-2"/>
                  <c:y val="1.5922645086030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CL"/>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05F-4F6F-AD14-DF7AEA8CB56E}"/>
                </c:ext>
              </c:extLst>
            </c:dLbl>
            <c:dLbl>
              <c:idx val="10"/>
              <c:layout>
                <c:manualLayout>
                  <c:x val="-3.3885364780677531E-2"/>
                  <c:y val="1.135170603674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CL"/>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5F-4F6F-AD14-DF7AEA8CB5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L"/>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Pareto!$AB$65:$AB$75</c:f>
              <c:numCache>
                <c:formatCode>0.0%</c:formatCode>
                <c:ptCount val="11"/>
                <c:pt idx="0">
                  <c:v>0.32885700095837589</c:v>
                </c:pt>
                <c:pt idx="1">
                  <c:v>0.19861296036891507</c:v>
                </c:pt>
                <c:pt idx="2">
                  <c:v>0.12200311064711222</c:v>
                </c:pt>
                <c:pt idx="3">
                  <c:v>0.10298862662527722</c:v>
                </c:pt>
                <c:pt idx="4">
                  <c:v>7.8149050045894966E-2</c:v>
                </c:pt>
                <c:pt idx="5">
                  <c:v>3.7478273388719327E-2</c:v>
                </c:pt>
                <c:pt idx="6">
                  <c:v>4.1263743303793218E-2</c:v>
                </c:pt>
                <c:pt idx="7">
                  <c:v>3.9016984954796038E-2</c:v>
                </c:pt>
                <c:pt idx="8">
                  <c:v>3.5779464479558327E-2</c:v>
                </c:pt>
                <c:pt idx="9">
                  <c:v>1.0987557045870063E-2</c:v>
                </c:pt>
                <c:pt idx="10">
                  <c:v>4.863228181687539E-3</c:v>
                </c:pt>
              </c:numCache>
            </c:numRef>
          </c:val>
          <c:extLst>
            <c:ext xmlns:c16="http://schemas.microsoft.com/office/drawing/2014/chart" uri="{C3380CC4-5D6E-409C-BE32-E72D297353CC}">
              <c16:uniqueId val="{00000000-005F-4F6F-AD14-DF7AEA8CB56E}"/>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2"/>
        <c:txPr>
          <a:bodyPr rot="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s-CL"/>
          </a:p>
        </c:txPr>
      </c:legendEntry>
      <c:layout>
        <c:manualLayout>
          <c:xMode val="edge"/>
          <c:yMode val="edge"/>
          <c:x val="0.71829194740967706"/>
          <c:y val="0.24448236941701224"/>
          <c:w val="0.24289681165000818"/>
          <c:h val="0.54826321138763734"/>
        </c:manualLayout>
      </c:layout>
      <c:overlay val="0"/>
      <c:spPr>
        <a:noFill/>
        <a:ln>
          <a:noFill/>
        </a:ln>
        <a:effectLst/>
      </c:spPr>
      <c:txPr>
        <a:bodyPr rot="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userShapes r:id="rId3"/>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Diagrama de</a:t>
            </a:r>
            <a:r>
              <a:rPr lang="es-CL" baseline="0"/>
              <a:t> Pareto GEI por USE´s</a:t>
            </a:r>
            <a:endParaRPr lang="es-C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Pareto!$BF$64</c:f>
              <c:strCache>
                <c:ptCount val="1"/>
                <c:pt idx="0">
                  <c:v>Emisiones GEI</c:v>
                </c:pt>
              </c:strCache>
            </c:strRef>
          </c:tx>
          <c:spPr>
            <a:solidFill>
              <a:schemeClr val="accent2"/>
            </a:solidFill>
            <a:ln>
              <a:noFill/>
            </a:ln>
            <a:effectLst/>
          </c:spPr>
          <c:invertIfNegative val="0"/>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Pareto!$BF$65:$BF$75</c:f>
              <c:numCache>
                <c:formatCode>_(* #,##0.00_);_(* \(#,##0.00\);_(* "-"??_);_(@_)</c:formatCode>
                <c:ptCount val="11"/>
                <c:pt idx="0">
                  <c:v>20.935533790387616</c:v>
                </c:pt>
                <c:pt idx="1">
                  <c:v>12.786630251810266</c:v>
                </c:pt>
                <c:pt idx="2">
                  <c:v>7.2342628761600007</c:v>
                </c:pt>
                <c:pt idx="3">
                  <c:v>6.106785264</c:v>
                </c:pt>
                <c:pt idx="4">
                  <c:v>4.9367256020177779</c:v>
                </c:pt>
                <c:pt idx="5">
                  <c:v>2.2223013855999993</c:v>
                </c:pt>
                <c:pt idx="6">
                  <c:v>2.4467635680000002</c:v>
                </c:pt>
                <c:pt idx="7">
                  <c:v>2.3135404032000007</c:v>
                </c:pt>
                <c:pt idx="8">
                  <c:v>2.1215692800000001</c:v>
                </c:pt>
                <c:pt idx="9">
                  <c:v>0.65151515904000012</c:v>
                </c:pt>
                <c:pt idx="10">
                  <c:v>0.28836863999999995</c:v>
                </c:pt>
              </c:numCache>
            </c:numRef>
          </c:val>
          <c:extLst>
            <c:ext xmlns:c16="http://schemas.microsoft.com/office/drawing/2014/chart" uri="{C3380CC4-5D6E-409C-BE32-E72D297353CC}">
              <c16:uniqueId val="{00000000-6576-403D-B893-68A72CEBBBA7}"/>
            </c:ext>
          </c:extLst>
        </c:ser>
        <c:dLbls>
          <c:showLegendKey val="0"/>
          <c:showVal val="0"/>
          <c:showCatName val="0"/>
          <c:showSerName val="0"/>
          <c:showPercent val="0"/>
          <c:showBubbleSize val="0"/>
        </c:dLbls>
        <c:gapWidth val="219"/>
        <c:axId val="121224047"/>
        <c:axId val="121223567"/>
      </c:barChart>
      <c:lineChart>
        <c:grouping val="standard"/>
        <c:varyColors val="0"/>
        <c:ser>
          <c:idx val="2"/>
          <c:order val="1"/>
          <c:tx>
            <c:strRef>
              <c:f>Pareto!$BG$64</c:f>
              <c:strCache>
                <c:ptCount val="1"/>
                <c:pt idx="0">
                  <c:v>%</c:v>
                </c:pt>
              </c:strCache>
            </c:strRef>
          </c:tx>
          <c:spPr>
            <a:ln w="28575" cap="rnd">
              <a:solidFill>
                <a:schemeClr val="accent3"/>
              </a:solidFill>
              <a:round/>
            </a:ln>
            <a:effectLst/>
          </c:spPr>
          <c:marker>
            <c:symbol val="none"/>
          </c:marker>
          <c:cat>
            <c:strRef>
              <c:f>Pareto!$Y$65:$Y$75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Pareto!$BG$65:$BG$75</c:f>
              <c:numCache>
                <c:formatCode>0.00%</c:formatCode>
                <c:ptCount val="11"/>
                <c:pt idx="0">
                  <c:v>0.33743045364260776</c:v>
                </c:pt>
                <c:pt idx="1">
                  <c:v>0.20608972714178625</c:v>
                </c:pt>
                <c:pt idx="2">
                  <c:v>0.11659891878149001</c:v>
                </c:pt>
                <c:pt idx="3">
                  <c:v>9.8426691316350734E-2</c:v>
                </c:pt>
                <c:pt idx="4">
                  <c:v>7.9568143620143764E-2</c:v>
                </c:pt>
                <c:pt idx="5">
                  <c:v>3.581815358430944E-2</c:v>
                </c:pt>
                <c:pt idx="6">
                  <c:v>3.9435944121258518E-2</c:v>
                </c:pt>
                <c:pt idx="7">
                  <c:v>3.7288707113391648E-2</c:v>
                </c:pt>
                <c:pt idx="8">
                  <c:v>3.4194594308042545E-2</c:v>
                </c:pt>
                <c:pt idx="9">
                  <c:v>1.0500857435545363E-2</c:v>
                </c:pt>
                <c:pt idx="10">
                  <c:v>4.6478089350737431E-3</c:v>
                </c:pt>
              </c:numCache>
            </c:numRef>
          </c:val>
          <c:smooth val="0"/>
          <c:extLst>
            <c:ext xmlns:c16="http://schemas.microsoft.com/office/drawing/2014/chart" uri="{C3380CC4-5D6E-409C-BE32-E72D297353CC}">
              <c16:uniqueId val="{00000002-6576-403D-B893-68A72CEBBBA7}"/>
            </c:ext>
          </c:extLst>
        </c:ser>
        <c:dLbls>
          <c:showLegendKey val="0"/>
          <c:showVal val="0"/>
          <c:showCatName val="0"/>
          <c:showSerName val="0"/>
          <c:showPercent val="0"/>
          <c:showBubbleSize val="0"/>
        </c:dLbls>
        <c:marker val="1"/>
        <c:smooth val="0"/>
        <c:axId val="121224047"/>
        <c:axId val="121223567"/>
      </c:lineChart>
      <c:lineChart>
        <c:grouping val="standard"/>
        <c:varyColors val="0"/>
        <c:ser>
          <c:idx val="3"/>
          <c:order val="2"/>
          <c:tx>
            <c:strRef>
              <c:f>Pareto!$BH$64</c:f>
              <c:strCache>
                <c:ptCount val="1"/>
                <c:pt idx="0">
                  <c:v>% acum</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Pareto!$BE$65:$BE$75</c:f>
              <c:strCache>
                <c:ptCount val="11"/>
                <c:pt idx="0">
                  <c:v>Bombas-Motores (Emulsión)</c:v>
                </c:pt>
                <c:pt idx="1">
                  <c:v>Quemadores (Almacenamiento y aceite térmico)</c:v>
                </c:pt>
                <c:pt idx="2">
                  <c:v>Aires Acondicionados (Laboratorios)</c:v>
                </c:pt>
                <c:pt idx="3">
                  <c:v>Equipos (Laboratorios)</c:v>
                </c:pt>
                <c:pt idx="4">
                  <c:v>Bombas-Motores (Agua jabonosa y aditivos)</c:v>
                </c:pt>
                <c:pt idx="5">
                  <c:v>Varios</c:v>
                </c:pt>
                <c:pt idx="6">
                  <c:v>Luminarias (Laboratorios)</c:v>
                </c:pt>
                <c:pt idx="7">
                  <c:v>Aires Acondicionados (Oficinas)</c:v>
                </c:pt>
                <c:pt idx="8">
                  <c:v>Bombas-Motores (Nodriza)</c:v>
                </c:pt>
                <c:pt idx="9">
                  <c:v>Luminarias (Oficinas)</c:v>
                </c:pt>
                <c:pt idx="10">
                  <c:v>Bomba (Almacenamiento)</c:v>
                </c:pt>
              </c:strCache>
            </c:strRef>
          </c:cat>
          <c:val>
            <c:numRef>
              <c:f>Pareto!$BH$65:$BH$75</c:f>
              <c:numCache>
                <c:formatCode>0.0%</c:formatCode>
                <c:ptCount val="11"/>
                <c:pt idx="0">
                  <c:v>0.33743045364260776</c:v>
                </c:pt>
                <c:pt idx="1">
                  <c:v>0.54352018078439401</c:v>
                </c:pt>
                <c:pt idx="2">
                  <c:v>0.66011909956588399</c:v>
                </c:pt>
                <c:pt idx="3">
                  <c:v>0.75854579088223473</c:v>
                </c:pt>
                <c:pt idx="4">
                  <c:v>0.83811393450237848</c:v>
                </c:pt>
                <c:pt idx="5">
                  <c:v>0.87393208808668787</c:v>
                </c:pt>
                <c:pt idx="6">
                  <c:v>0.91336803220794638</c:v>
                </c:pt>
                <c:pt idx="7">
                  <c:v>0.95065673932133798</c:v>
                </c:pt>
                <c:pt idx="8">
                  <c:v>0.98485133362938049</c:v>
                </c:pt>
                <c:pt idx="9">
                  <c:v>0.9953521910649259</c:v>
                </c:pt>
                <c:pt idx="10">
                  <c:v>0.99999999999999967</c:v>
                </c:pt>
              </c:numCache>
            </c:numRef>
          </c:val>
          <c:smooth val="0"/>
          <c:extLst>
            <c:ext xmlns:c16="http://schemas.microsoft.com/office/drawing/2014/chart" uri="{C3380CC4-5D6E-409C-BE32-E72D297353CC}">
              <c16:uniqueId val="{00000003-6576-403D-B893-68A72CEBBBA7}"/>
            </c:ext>
          </c:extLst>
        </c:ser>
        <c:dLbls>
          <c:showLegendKey val="0"/>
          <c:showVal val="0"/>
          <c:showCatName val="0"/>
          <c:showSerName val="0"/>
          <c:showPercent val="0"/>
          <c:showBubbleSize val="0"/>
        </c:dLbls>
        <c:marker val="1"/>
        <c:smooth val="0"/>
        <c:axId val="121237007"/>
        <c:axId val="121222607"/>
      </c:lineChart>
      <c:catAx>
        <c:axId val="12122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23567"/>
        <c:crosses val="autoZero"/>
        <c:auto val="1"/>
        <c:lblAlgn val="ctr"/>
        <c:lblOffset val="100"/>
        <c:noMultiLvlLbl val="0"/>
      </c:catAx>
      <c:valAx>
        <c:axId val="121223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GEI [Ton CO₂]</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CL"/>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24047"/>
        <c:crosses val="autoZero"/>
        <c:crossBetween val="between"/>
      </c:valAx>
      <c:valAx>
        <c:axId val="121222607"/>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21237007"/>
        <c:crosses val="max"/>
        <c:crossBetween val="between"/>
      </c:valAx>
      <c:catAx>
        <c:axId val="121237007"/>
        <c:scaling>
          <c:orientation val="minMax"/>
        </c:scaling>
        <c:delete val="1"/>
        <c:axPos val="b"/>
        <c:numFmt formatCode="General" sourceLinked="1"/>
        <c:majorTickMark val="out"/>
        <c:minorTickMark val="none"/>
        <c:tickLblPos val="nextTo"/>
        <c:crossAx val="1212226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L"/>
              <a:t>Diagrama de Pareto GEI Generados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Pareto!$BF$50</c:f>
              <c:strCache>
                <c:ptCount val="1"/>
                <c:pt idx="0">
                  <c:v>Emisiones GEI</c:v>
                </c:pt>
              </c:strCache>
            </c:strRef>
          </c:tx>
          <c:spPr>
            <a:solidFill>
              <a:schemeClr val="accent2"/>
            </a:solidFill>
            <a:ln>
              <a:noFill/>
            </a:ln>
            <a:effectLst/>
          </c:spPr>
          <c:invertIfNegative val="0"/>
          <c:cat>
            <c:strRef>
              <c:f>Pareto!$Y$51:$Y$56</c:f>
              <c:strCache>
                <c:ptCount val="6"/>
                <c:pt idx="0">
                  <c:v>Proceso 02</c:v>
                </c:pt>
                <c:pt idx="1">
                  <c:v> Sector 02 </c:v>
                </c:pt>
                <c:pt idx="2">
                  <c:v>Proceso 01</c:v>
                </c:pt>
                <c:pt idx="3">
                  <c:v>Sector 01</c:v>
                </c:pt>
                <c:pt idx="4">
                  <c:v>Otros</c:v>
                </c:pt>
                <c:pt idx="5">
                  <c:v>Proceso 03</c:v>
                </c:pt>
              </c:strCache>
            </c:strRef>
          </c:cat>
          <c:val>
            <c:numRef>
              <c:f>Pareto!$BF$51:$BF$56</c:f>
              <c:numCache>
                <c:formatCode>_ * #,##0.00_ ;_ * \-#,##0.00_ ;_ * "-"_ ;_ @_ </c:formatCode>
                <c:ptCount val="6"/>
                <c:pt idx="0">
                  <c:v>26.160628032405398</c:v>
                </c:pt>
                <c:pt idx="1">
                  <c:v>15.787811708160001</c:v>
                </c:pt>
                <c:pt idx="2">
                  <c:v>12.786630251810266</c:v>
                </c:pt>
                <c:pt idx="3">
                  <c:v>2.9650555622400003</c:v>
                </c:pt>
                <c:pt idx="4">
                  <c:v>2.2223013855999993</c:v>
                </c:pt>
                <c:pt idx="5">
                  <c:v>2.1215692800000001</c:v>
                </c:pt>
              </c:numCache>
            </c:numRef>
          </c:val>
          <c:extLst>
            <c:ext xmlns:c16="http://schemas.microsoft.com/office/drawing/2014/chart" uri="{C3380CC4-5D6E-409C-BE32-E72D297353CC}">
              <c16:uniqueId val="{00000000-BE6B-4F72-BCCD-CFC0CD230435}"/>
            </c:ext>
          </c:extLst>
        </c:ser>
        <c:dLbls>
          <c:showLegendKey val="0"/>
          <c:showVal val="0"/>
          <c:showCatName val="0"/>
          <c:showSerName val="0"/>
          <c:showPercent val="0"/>
          <c:showBubbleSize val="0"/>
        </c:dLbls>
        <c:gapWidth val="219"/>
        <c:axId val="2075905984"/>
        <c:axId val="2075927104"/>
      </c:barChart>
      <c:lineChart>
        <c:grouping val="standard"/>
        <c:varyColors val="0"/>
        <c:ser>
          <c:idx val="3"/>
          <c:order val="1"/>
          <c:tx>
            <c:strRef>
              <c:f>Pareto!$BH$50</c:f>
              <c:strCache>
                <c:ptCount val="1"/>
                <c:pt idx="0">
                  <c:v>% acum</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Pareto!$BE$51:$BE$56</c:f>
              <c:strCache>
                <c:ptCount val="6"/>
                <c:pt idx="0">
                  <c:v>Proceso 02</c:v>
                </c:pt>
                <c:pt idx="1">
                  <c:v>Sector 02</c:v>
                </c:pt>
                <c:pt idx="2">
                  <c:v>Proceso 01</c:v>
                </c:pt>
                <c:pt idx="3">
                  <c:v>Sector 01</c:v>
                </c:pt>
                <c:pt idx="4">
                  <c:v>Otros</c:v>
                </c:pt>
                <c:pt idx="5">
                  <c:v>Proceso 03</c:v>
                </c:pt>
              </c:strCache>
            </c:strRef>
          </c:cat>
          <c:val>
            <c:numRef>
              <c:f>Pareto!$BH$51:$BH$56</c:f>
              <c:numCache>
                <c:formatCode>0%</c:formatCode>
                <c:ptCount val="6"/>
                <c:pt idx="0">
                  <c:v>0.4216464061978254</c:v>
                </c:pt>
                <c:pt idx="1">
                  <c:v>0.67610796041692467</c:v>
                </c:pt>
                <c:pt idx="2">
                  <c:v>0.88219768755871097</c:v>
                </c:pt>
                <c:pt idx="3">
                  <c:v>0.92998725210764799</c:v>
                </c:pt>
                <c:pt idx="4">
                  <c:v>0.96580540569195739</c:v>
                </c:pt>
                <c:pt idx="5">
                  <c:v>0.99999999999999989</c:v>
                </c:pt>
              </c:numCache>
            </c:numRef>
          </c:val>
          <c:smooth val="0"/>
          <c:extLst>
            <c:ext xmlns:c16="http://schemas.microsoft.com/office/drawing/2014/chart" uri="{C3380CC4-5D6E-409C-BE32-E72D297353CC}">
              <c16:uniqueId val="{00000004-BE6B-4F72-BCCD-CFC0CD230435}"/>
            </c:ext>
          </c:extLst>
        </c:ser>
        <c:dLbls>
          <c:showLegendKey val="0"/>
          <c:showVal val="0"/>
          <c:showCatName val="0"/>
          <c:showSerName val="0"/>
          <c:showPercent val="0"/>
          <c:showBubbleSize val="0"/>
        </c:dLbls>
        <c:marker val="1"/>
        <c:smooth val="0"/>
        <c:axId val="2075924704"/>
        <c:axId val="2075905024"/>
      </c:lineChart>
      <c:catAx>
        <c:axId val="207590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27104"/>
        <c:crosses val="autoZero"/>
        <c:auto val="1"/>
        <c:lblAlgn val="ctr"/>
        <c:lblOffset val="100"/>
        <c:noMultiLvlLbl val="0"/>
      </c:catAx>
      <c:valAx>
        <c:axId val="2075927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GEI [Ton CO₂]</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05984"/>
        <c:crosses val="autoZero"/>
        <c:crossBetween val="between"/>
      </c:valAx>
      <c:valAx>
        <c:axId val="20759050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2075924704"/>
        <c:crosses val="max"/>
        <c:crossBetween val="between"/>
      </c:valAx>
      <c:catAx>
        <c:axId val="2075924704"/>
        <c:scaling>
          <c:orientation val="minMax"/>
        </c:scaling>
        <c:delete val="1"/>
        <c:axPos val="b"/>
        <c:numFmt formatCode="General" sourceLinked="1"/>
        <c:majorTickMark val="out"/>
        <c:minorTickMark val="none"/>
        <c:tickLblPos val="nextTo"/>
        <c:crossAx val="2075905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Térmico de la empresa'!$M$23</c:f>
              <c:strCache>
                <c:ptCount val="1"/>
                <c:pt idx="0">
                  <c:v>Consumo de Kerosene año 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'Consumo Térmico de la empresa'!$B$25:$B$36</c:f>
              <c:numCache>
                <c:formatCode>mmm\-yy</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'Consumo Térmico de la empresa'!$D$25:$D$36</c:f>
              <c:numCache>
                <c:formatCode>0.00</c:formatCode>
                <c:ptCount val="12"/>
                <c:pt idx="0" formatCode="0.000">
                  <c:v>24.826631000000003</c:v>
                </c:pt>
                <c:pt idx="1">
                  <c:v>32.215048300000007</c:v>
                </c:pt>
                <c:pt idx="2">
                  <c:v>33.644776300000004</c:v>
                </c:pt>
                <c:pt idx="3">
                  <c:v>59.308393900000006</c:v>
                </c:pt>
                <c:pt idx="4">
                  <c:v>55.762370600000011</c:v>
                </c:pt>
                <c:pt idx="5">
                  <c:v>56.445959300000005</c:v>
                </c:pt>
                <c:pt idx="6">
                  <c:v>53.540335000000006</c:v>
                </c:pt>
                <c:pt idx="7">
                  <c:v>56.910620900000012</c:v>
                </c:pt>
                <c:pt idx="8">
                  <c:v>24.388776800000002</c:v>
                </c:pt>
                <c:pt idx="9">
                  <c:v>24.229225</c:v>
                </c:pt>
                <c:pt idx="10">
                  <c:v>46.491478100000009</c:v>
                </c:pt>
                <c:pt idx="11">
                  <c:v>16.285495500000003</c:v>
                </c:pt>
              </c:numCache>
            </c:numRef>
          </c:val>
          <c:smooth val="0"/>
          <c:extLst>
            <c:ext xmlns:c16="http://schemas.microsoft.com/office/drawing/2014/chart" uri="{C3380CC4-5D6E-409C-BE32-E72D297353CC}">
              <c16:uniqueId val="{00000000-788C-418E-A97F-90011C4F5447}"/>
            </c:ext>
          </c:extLst>
        </c:ser>
        <c:dLbls>
          <c:showLegendKey val="0"/>
          <c:showVal val="0"/>
          <c:showCatName val="0"/>
          <c:showSerName val="0"/>
          <c:showPercent val="0"/>
          <c:showBubbleSize val="0"/>
        </c:dLbls>
        <c:marker val="1"/>
        <c:smooth val="0"/>
        <c:axId val="559473791"/>
        <c:axId val="559472351"/>
      </c:lineChart>
      <c:dateAx>
        <c:axId val="559473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2351"/>
        <c:crosses val="autoZero"/>
        <c:auto val="1"/>
        <c:lblOffset val="100"/>
        <c:baseTimeUnit val="months"/>
      </c:dateAx>
      <c:valAx>
        <c:axId val="559472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Energía [GJ]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3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lineChart>
        <c:grouping val="standard"/>
        <c:varyColors val="0"/>
        <c:ser>
          <c:idx val="0"/>
          <c:order val="0"/>
          <c:tx>
            <c:strRef>
              <c:f>'Consumo Térmico de la empresa'!$M$54</c:f>
              <c:strCache>
                <c:ptCount val="1"/>
                <c:pt idx="0">
                  <c:v>Consumo de Kerosene año 2023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'Consumo Térmico de la empresa'!$B$56:$B$67</c:f>
              <c:numCache>
                <c:formatCode>mmm\-yy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'Consumo Térmico de la empresa'!$D$56:$D$67</c:f>
              <c:numCache>
                <c:formatCode>0.00</c:formatCode>
                <c:ptCount val="12"/>
                <c:pt idx="0">
                  <c:v>23.186715000000003</c:v>
                </c:pt>
                <c:pt idx="1">
                  <c:v>31.607217200000004</c:v>
                </c:pt>
                <c:pt idx="2">
                  <c:v>33.009969200000008</c:v>
                </c:pt>
                <c:pt idx="3">
                  <c:v>58.189367600000011</c:v>
                </c:pt>
                <c:pt idx="4">
                  <c:v>51.027829700000005</c:v>
                </c:pt>
                <c:pt idx="5">
                  <c:v>49.523341650000006</c:v>
                </c:pt>
                <c:pt idx="6">
                  <c:v>51.519945000000007</c:v>
                </c:pt>
                <c:pt idx="7">
                  <c:v>54.76305030000001</c:v>
                </c:pt>
                <c:pt idx="8">
                  <c:v>23.468445600000003</c:v>
                </c:pt>
                <c:pt idx="9">
                  <c:v>23.258370000000003</c:v>
                </c:pt>
                <c:pt idx="10">
                  <c:v>44.737082700000009</c:v>
                </c:pt>
                <c:pt idx="11">
                  <c:v>15.6709485</c:v>
                </c:pt>
              </c:numCache>
            </c:numRef>
          </c:val>
          <c:smooth val="0"/>
          <c:extLst>
            <c:ext xmlns:c16="http://schemas.microsoft.com/office/drawing/2014/chart" uri="{C3380CC4-5D6E-409C-BE32-E72D297353CC}">
              <c16:uniqueId val="{00000000-1370-41CF-9256-4FBCB6FB67B2}"/>
            </c:ext>
          </c:extLst>
        </c:ser>
        <c:dLbls>
          <c:showLegendKey val="0"/>
          <c:showVal val="0"/>
          <c:showCatName val="0"/>
          <c:showSerName val="0"/>
          <c:showPercent val="0"/>
          <c:showBubbleSize val="0"/>
        </c:dLbls>
        <c:marker val="1"/>
        <c:smooth val="0"/>
        <c:axId val="559473791"/>
        <c:axId val="559472351"/>
      </c:lineChart>
      <c:dateAx>
        <c:axId val="559473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2351"/>
        <c:crosses val="autoZero"/>
        <c:auto val="1"/>
        <c:lblOffset val="100"/>
        <c:baseTimeUnit val="months"/>
      </c:dateAx>
      <c:valAx>
        <c:axId val="559472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Energía [GJ]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559473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'Balance Térmico'!$B$71</c:f>
          <c:strCache>
            <c:ptCount val="1"/>
            <c:pt idx="0">
              <c:v>Distribución de consumo de kerosene 2022</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doughnutChart>
        <c:varyColors val="1"/>
        <c:ser>
          <c:idx val="0"/>
          <c:order val="0"/>
          <c:spPr>
            <a:scene3d>
              <a:camera prst="orthographicFront"/>
              <a:lightRig rig="threePt" dir="t"/>
            </a:scene3d>
            <a:sp3d>
              <a:bevelT/>
            </a:sp3d>
          </c:spPr>
          <c:dPt>
            <c:idx val="0"/>
            <c:bubble3D val="0"/>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71AC-4B58-B1B8-E2AB9688CDFA}"/>
              </c:ext>
            </c:extLst>
          </c:dPt>
          <c:dPt>
            <c:idx val="1"/>
            <c:bubble3D val="0"/>
            <c:spPr>
              <a:solidFill>
                <a:schemeClr val="accent2"/>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71AC-4B58-B1B8-E2AB9688CDFA}"/>
              </c:ext>
            </c:extLst>
          </c:dPt>
          <c:dPt>
            <c:idx val="2"/>
            <c:bubble3D val="0"/>
            <c:spPr>
              <a:solidFill>
                <a:schemeClr val="accent3"/>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71AC-4B58-B1B8-E2AB9688CDFA}"/>
              </c:ext>
            </c:extLst>
          </c:dPt>
          <c:dLbls>
            <c:dLbl>
              <c:idx val="0"/>
              <c:layout>
                <c:manualLayout>
                  <c:x val="0.15833333333333333"/>
                  <c:y val="-0.2129629629629629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1AC-4B58-B1B8-E2AB9688CDFA}"/>
                </c:ext>
              </c:extLst>
            </c:dLbl>
            <c:dLbl>
              <c:idx val="1"/>
              <c:layout>
                <c:manualLayout>
                  <c:x val="-0.24444444444444449"/>
                  <c:y val="7.87037037037036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1AC-4B58-B1B8-E2AB9688CDFA}"/>
                </c:ext>
              </c:extLst>
            </c:dLbl>
            <c:dLbl>
              <c:idx val="2"/>
              <c:layout>
                <c:manualLayout>
                  <c:x val="-0.24444444444444444"/>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1AC-4B58-B1B8-E2AB9688CDF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'Balance Térmico'!$B$74:$B$76</c:f>
              <c:strCache>
                <c:ptCount val="3"/>
                <c:pt idx="0">
                  <c:v>Calentamiento de asfalto</c:v>
                </c:pt>
                <c:pt idx="1">
                  <c:v>Calentamiento aceite térmico</c:v>
                </c:pt>
                <c:pt idx="2">
                  <c:v>Calentamiento de agua</c:v>
                </c:pt>
              </c:strCache>
            </c:strRef>
          </c:cat>
          <c:val>
            <c:numRef>
              <c:f>'Balance Térmico'!$D$74:$D$76</c:f>
              <c:numCache>
                <c:formatCode>0%</c:formatCode>
                <c:ptCount val="3"/>
                <c:pt idx="0">
                  <c:v>0.36740578389466416</c:v>
                </c:pt>
                <c:pt idx="1">
                  <c:v>0.52240821499205847</c:v>
                </c:pt>
                <c:pt idx="2">
                  <c:v>0.11018600111327741</c:v>
                </c:pt>
              </c:numCache>
            </c:numRef>
          </c:val>
          <c:extLst>
            <c:ext xmlns:c16="http://schemas.microsoft.com/office/drawing/2014/chart" uri="{C3380CC4-5D6E-409C-BE32-E72D297353CC}">
              <c16:uniqueId val="{00000006-71AC-4B58-B1B8-E2AB9688CDFA}"/>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'Balance Térmico'!$N$71</c:f>
          <c:strCache>
            <c:ptCount val="1"/>
            <c:pt idx="0">
              <c:v>Distribución de consumo de kerosene 2023</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doughnutChart>
        <c:varyColors val="1"/>
        <c:ser>
          <c:idx val="0"/>
          <c:order val="0"/>
          <c:spPr>
            <a:scene3d>
              <a:camera prst="orthographicFront"/>
              <a:lightRig rig="threePt" dir="t"/>
            </a:scene3d>
            <a:sp3d>
              <a:bevelT/>
            </a:sp3d>
          </c:spPr>
          <c:dPt>
            <c:idx val="0"/>
            <c:bubble3D val="0"/>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E157-4F30-9006-EA5BD9CBB511}"/>
              </c:ext>
            </c:extLst>
          </c:dPt>
          <c:dPt>
            <c:idx val="1"/>
            <c:bubble3D val="0"/>
            <c:spPr>
              <a:solidFill>
                <a:schemeClr val="accent2"/>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E157-4F30-9006-EA5BD9CBB511}"/>
              </c:ext>
            </c:extLst>
          </c:dPt>
          <c:dPt>
            <c:idx val="2"/>
            <c:bubble3D val="0"/>
            <c:spPr>
              <a:solidFill>
                <a:schemeClr val="accent3"/>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E157-4F30-9006-EA5BD9CBB511}"/>
              </c:ext>
            </c:extLst>
          </c:dPt>
          <c:dLbls>
            <c:dLbl>
              <c:idx val="0"/>
              <c:layout>
                <c:manualLayout>
                  <c:x val="0.19444444444444425"/>
                  <c:y val="-0.2037037037037036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57-4F30-9006-EA5BD9CBB511}"/>
                </c:ext>
              </c:extLst>
            </c:dLbl>
            <c:dLbl>
              <c:idx val="1"/>
              <c:layout>
                <c:manualLayout>
                  <c:x val="-0.18055555555555558"/>
                  <c:y val="6.48148148148147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57-4F30-9006-EA5BD9CBB511}"/>
                </c:ext>
              </c:extLst>
            </c:dLbl>
            <c:dLbl>
              <c:idx val="2"/>
              <c:layout>
                <c:manualLayout>
                  <c:x val="-0.27500000000000002"/>
                  <c:y val="-6.94444444444444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57-4F30-9006-EA5BD9CBB51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'Balance Térmico'!$N$74:$N$76</c:f>
              <c:strCache>
                <c:ptCount val="3"/>
                <c:pt idx="0">
                  <c:v>Calentamiento de asfalto</c:v>
                </c:pt>
                <c:pt idx="1">
                  <c:v>Calentamiento aceite térmico</c:v>
                </c:pt>
                <c:pt idx="2">
                  <c:v>Calentamiento de agua</c:v>
                </c:pt>
              </c:strCache>
            </c:strRef>
          </c:cat>
          <c:val>
            <c:numRef>
              <c:f>'Balance Térmico'!$P$74:$P$76</c:f>
              <c:numCache>
                <c:formatCode>0%</c:formatCode>
                <c:ptCount val="3"/>
                <c:pt idx="0">
                  <c:v>0.38150034719240322</c:v>
                </c:pt>
                <c:pt idx="1">
                  <c:v>0.50138398427485864</c:v>
                </c:pt>
                <c:pt idx="2">
                  <c:v>0.11711566853273807</c:v>
                </c:pt>
              </c:numCache>
            </c:numRef>
          </c:val>
          <c:extLst>
            <c:ext xmlns:c16="http://schemas.microsoft.com/office/drawing/2014/chart" uri="{C3380CC4-5D6E-409C-BE32-E72D297353CC}">
              <c16:uniqueId val="{00000006-E157-4F30-9006-EA5BD9CBB511}"/>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'Balance Eléctrico'!$C$4:$C$5</c:f>
          <c:strCache>
            <c:ptCount val="2"/>
            <c:pt idx="0">
              <c:v>Consumo mensual [kWh/mes] - 2022</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doughnutChart>
        <c:varyColors val="1"/>
        <c:ser>
          <c:idx val="0"/>
          <c:order val="0"/>
          <c:tx>
            <c:v>2022</c:v>
          </c:tx>
          <c:spPr>
            <a:scene3d>
              <a:camera prst="orthographicFront"/>
              <a:lightRig rig="threePt" dir="t"/>
            </a:scene3d>
            <a:sp3d>
              <a:bevelT/>
            </a:sp3d>
          </c:spPr>
          <c:dPt>
            <c:idx val="0"/>
            <c:bubble3D val="0"/>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C383-4F25-A480-8A79825D5893}"/>
              </c:ext>
            </c:extLst>
          </c:dPt>
          <c:dPt>
            <c:idx val="1"/>
            <c:bubble3D val="0"/>
            <c:spPr>
              <a:solidFill>
                <a:schemeClr val="accent2"/>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C383-4F25-A480-8A79825D5893}"/>
              </c:ext>
            </c:extLst>
          </c:dPt>
          <c:dPt>
            <c:idx val="2"/>
            <c:bubble3D val="0"/>
            <c:spPr>
              <a:solidFill>
                <a:schemeClr val="accent3"/>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C383-4F25-A480-8A79825D5893}"/>
              </c:ext>
            </c:extLst>
          </c:dPt>
          <c:dPt>
            <c:idx val="3"/>
            <c:bubble3D val="0"/>
            <c:spPr>
              <a:solidFill>
                <a:schemeClr val="accent4"/>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7-C383-4F25-A480-8A79825D5893}"/>
              </c:ext>
            </c:extLst>
          </c:dPt>
          <c:dPt>
            <c:idx val="4"/>
            <c:bubble3D val="0"/>
            <c:spPr>
              <a:solidFill>
                <a:schemeClr val="accent5"/>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9-C383-4F25-A480-8A79825D5893}"/>
              </c:ext>
            </c:extLst>
          </c:dPt>
          <c:dPt>
            <c:idx val="5"/>
            <c:bubble3D val="0"/>
            <c:spPr>
              <a:solidFill>
                <a:schemeClr val="accent6"/>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B-C383-4F25-A480-8A79825D5893}"/>
              </c:ext>
            </c:extLst>
          </c:dPt>
          <c:dLbls>
            <c:dLbl>
              <c:idx val="0"/>
              <c:layout>
                <c:manualLayout>
                  <c:x val="3.6785672165813514E-2"/>
                  <c:y val="-0.123569248075943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383-4F25-A480-8A79825D5893}"/>
                </c:ext>
              </c:extLst>
            </c:dLbl>
            <c:dLbl>
              <c:idx val="1"/>
              <c:layout>
                <c:manualLayout>
                  <c:x val="0.17276073174537196"/>
                  <c:y val="-4.0453717630229687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383-4F25-A480-8A79825D5893}"/>
                </c:ext>
              </c:extLst>
            </c:dLbl>
            <c:dLbl>
              <c:idx val="2"/>
              <c:layout>
                <c:manualLayout>
                  <c:x val="0.16229038436686449"/>
                  <c:y val="0.1279823305849969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383-4F25-A480-8A79825D5893}"/>
                </c:ext>
              </c:extLst>
            </c:dLbl>
            <c:dLbl>
              <c:idx val="3"/>
              <c:layout>
                <c:manualLayout>
                  <c:x val="-0.15182003698835708"/>
                  <c:y val="0.132395514398272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383-4F25-A480-8A79825D5893}"/>
                </c:ext>
              </c:extLst>
            </c:dLbl>
            <c:dLbl>
              <c:idx val="4"/>
              <c:layout>
                <c:manualLayout>
                  <c:x val="-0.25128833708417725"/>
                  <c:y val="-4.41318381327576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383-4F25-A480-8A79825D5893}"/>
                </c:ext>
              </c:extLst>
            </c:dLbl>
            <c:dLbl>
              <c:idx val="5"/>
              <c:layout>
                <c:manualLayout>
                  <c:x val="-0.1779959054346256"/>
                  <c:y val="-0.1103295953318940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383-4F25-A480-8A79825D589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'Balance Eléctrico'!$B$6:$B$11</c:f>
              <c:strCache>
                <c:ptCount val="6"/>
                <c:pt idx="0">
                  <c:v>Nodriza</c:v>
                </c:pt>
                <c:pt idx="1">
                  <c:v>Emulsiones</c:v>
                </c:pt>
                <c:pt idx="2">
                  <c:v>Aires acondicionados</c:v>
                </c:pt>
                <c:pt idx="3">
                  <c:v>Luminarias</c:v>
                </c:pt>
                <c:pt idx="4">
                  <c:v>Equipos de laboratorio</c:v>
                </c:pt>
                <c:pt idx="5">
                  <c:v>Otros</c:v>
                </c:pt>
              </c:strCache>
            </c:strRef>
          </c:cat>
          <c:val>
            <c:numRef>
              <c:f>'Balance Eléctrico'!$D$6:$D$11</c:f>
              <c:numCache>
                <c:formatCode>0.0%</c:formatCode>
                <c:ptCount val="6"/>
                <c:pt idx="0">
                  <c:v>7.7879982808854928E-2</c:v>
                </c:pt>
                <c:pt idx="1">
                  <c:v>0.15214951010399835</c:v>
                </c:pt>
                <c:pt idx="2">
                  <c:v>0.35048714282801341</c:v>
                </c:pt>
                <c:pt idx="3">
                  <c:v>0.11373368584923899</c:v>
                </c:pt>
                <c:pt idx="4">
                  <c:v>0.22417195415729649</c:v>
                </c:pt>
                <c:pt idx="5">
                  <c:v>8.157772425259778E-2</c:v>
                </c:pt>
              </c:numCache>
            </c:numRef>
          </c:val>
          <c:extLst>
            <c:ext xmlns:c16="http://schemas.microsoft.com/office/drawing/2014/chart" uri="{C3380CC4-5D6E-409C-BE32-E72D297353CC}">
              <c16:uniqueId val="{0000000C-C383-4F25-A480-8A79825D589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'Balance Eléctrico'!$L$4:$L$5</c:f>
          <c:strCache>
            <c:ptCount val="2"/>
            <c:pt idx="0">
              <c:v>Consumo mensual [kWh/mes] -2023</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doughnutChart>
        <c:varyColors val="1"/>
        <c:ser>
          <c:idx val="0"/>
          <c:order val="0"/>
          <c:tx>
            <c:v>2023</c:v>
          </c:tx>
          <c:spPr>
            <a:scene3d>
              <a:camera prst="orthographicFront"/>
              <a:lightRig rig="threePt" dir="t"/>
            </a:scene3d>
            <a:sp3d>
              <a:bevelT/>
            </a:sp3d>
          </c:spPr>
          <c:dPt>
            <c:idx val="0"/>
            <c:bubble3D val="0"/>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6593-4347-9941-ED2F2A74368F}"/>
              </c:ext>
            </c:extLst>
          </c:dPt>
          <c:dPt>
            <c:idx val="1"/>
            <c:bubble3D val="0"/>
            <c:spPr>
              <a:solidFill>
                <a:schemeClr val="accent2"/>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6593-4347-9941-ED2F2A74368F}"/>
              </c:ext>
            </c:extLst>
          </c:dPt>
          <c:dPt>
            <c:idx val="2"/>
            <c:bubble3D val="0"/>
            <c:spPr>
              <a:solidFill>
                <a:schemeClr val="accent3"/>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6593-4347-9941-ED2F2A74368F}"/>
              </c:ext>
            </c:extLst>
          </c:dPt>
          <c:dPt>
            <c:idx val="3"/>
            <c:bubble3D val="0"/>
            <c:spPr>
              <a:solidFill>
                <a:schemeClr val="accent4"/>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7-6593-4347-9941-ED2F2A74368F}"/>
              </c:ext>
            </c:extLst>
          </c:dPt>
          <c:dPt>
            <c:idx val="4"/>
            <c:bubble3D val="0"/>
            <c:spPr>
              <a:solidFill>
                <a:schemeClr val="accent5"/>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9-6593-4347-9941-ED2F2A74368F}"/>
              </c:ext>
            </c:extLst>
          </c:dPt>
          <c:dPt>
            <c:idx val="5"/>
            <c:bubble3D val="0"/>
            <c:spPr>
              <a:solidFill>
                <a:schemeClr val="accent6"/>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B-6593-4347-9941-ED2F2A74368F}"/>
              </c:ext>
            </c:extLst>
          </c:dPt>
          <c:dLbls>
            <c:dLbl>
              <c:idx val="0"/>
              <c:layout>
                <c:manualLayout>
                  <c:x val="5.2351726102364528E-2"/>
                  <c:y val="-0.1235691467717213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593-4347-9941-ED2F2A74368F}"/>
                </c:ext>
              </c:extLst>
            </c:dLbl>
            <c:dLbl>
              <c:idx val="1"/>
              <c:layout>
                <c:manualLayout>
                  <c:x val="0.14920241939173889"/>
                  <c:y val="-6.619775719913645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593-4347-9941-ED2F2A74368F}"/>
                </c:ext>
              </c:extLst>
            </c:dLbl>
            <c:dLbl>
              <c:idx val="2"/>
              <c:layout>
                <c:manualLayout>
                  <c:x val="0.209406904409458"/>
                  <c:y val="-4.41318381327576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593-4347-9941-ED2F2A74368F}"/>
                </c:ext>
              </c:extLst>
            </c:dLbl>
            <c:dLbl>
              <c:idx val="3"/>
              <c:layout>
                <c:manualLayout>
                  <c:x val="-0.15443759200197538"/>
                  <c:y val="8.3850492452239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593-4347-9941-ED2F2A74368F}"/>
                </c:ext>
              </c:extLst>
            </c:dLbl>
            <c:dLbl>
              <c:idx val="4"/>
              <c:layout>
                <c:manualLayout>
                  <c:x val="-0.23296518115552214"/>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593-4347-9941-ED2F2A74368F}"/>
                </c:ext>
              </c:extLst>
            </c:dLbl>
            <c:dLbl>
              <c:idx val="5"/>
              <c:layout>
                <c:manualLayout>
                  <c:x val="-0.15443759200197535"/>
                  <c:y val="-7.06109410124122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593-4347-9941-ED2F2A74368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CL"/>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'Balance Eléctrico'!$K$6:$K$11</c:f>
              <c:strCache>
                <c:ptCount val="6"/>
                <c:pt idx="0">
                  <c:v>Nodriza</c:v>
                </c:pt>
                <c:pt idx="1">
                  <c:v>Emulsiones</c:v>
                </c:pt>
                <c:pt idx="2">
                  <c:v>Aires acondicionados</c:v>
                </c:pt>
                <c:pt idx="3">
                  <c:v>Luminarias</c:v>
                </c:pt>
                <c:pt idx="4">
                  <c:v>Equipos de laboratorio</c:v>
                </c:pt>
                <c:pt idx="5">
                  <c:v>Otros</c:v>
                </c:pt>
              </c:strCache>
            </c:strRef>
          </c:cat>
          <c:val>
            <c:numRef>
              <c:f>'Balance Eléctrico'!$M$6:$M$11</c:f>
              <c:numCache>
                <c:formatCode>0.0%</c:formatCode>
                <c:ptCount val="6"/>
                <c:pt idx="0">
                  <c:v>7.7879982808854928E-2</c:v>
                </c:pt>
                <c:pt idx="1">
                  <c:v>0.15214951010399835</c:v>
                </c:pt>
                <c:pt idx="2">
                  <c:v>0.35048714282801341</c:v>
                </c:pt>
                <c:pt idx="3">
                  <c:v>0.11373368584923899</c:v>
                </c:pt>
                <c:pt idx="4">
                  <c:v>0.22417195415729649</c:v>
                </c:pt>
                <c:pt idx="5">
                  <c:v>8.157772425259778E-2</c:v>
                </c:pt>
              </c:numCache>
            </c:numRef>
          </c:val>
          <c:extLst>
            <c:ext xmlns:c16="http://schemas.microsoft.com/office/drawing/2014/chart" uri="{C3380CC4-5D6E-409C-BE32-E72D297353CC}">
              <c16:uniqueId val="{0000000C-6593-4347-9941-ED2F2A74368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CL"/>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s-ES"/>
              <a:t>Diagrama de Pareto Uso de Energía Actual</a:t>
            </a:r>
            <a:endParaRPr lang="es-CL"/>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s-CL"/>
        </a:p>
      </c:txPr>
    </c:title>
    <c:autoTitleDeleted val="0"/>
    <c:plotArea>
      <c:layout/>
      <c:barChart>
        <c:barDir val="col"/>
        <c:grouping val="clustered"/>
        <c:varyColors val="0"/>
        <c:ser>
          <c:idx val="0"/>
          <c:order val="0"/>
          <c:tx>
            <c:strRef>
              <c:f>'Análisis costos'!$C$188</c:f>
              <c:strCache>
                <c:ptCount val="1"/>
                <c:pt idx="0">
                  <c:v>Consumo de Energía Actual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'Análisis costos'!$B$214:$B$216</c:f>
              <c:strCache>
                <c:ptCount val="3"/>
                <c:pt idx="0">
                  <c:v>Aires acondicionados</c:v>
                </c:pt>
                <c:pt idx="1">
                  <c:v>Luminarias</c:v>
                </c:pt>
                <c:pt idx="2">
                  <c:v>Motores</c:v>
                </c:pt>
              </c:strCache>
            </c:strRef>
          </c:cat>
          <c:val>
            <c:numRef>
              <c:f>'Análisis costos'!$C$189:$C$191</c:f>
              <c:numCache>
                <c:formatCode>0.0\ "[kWh/año]"</c:formatCode>
                <c:ptCount val="3"/>
                <c:pt idx="0">
                  <c:v>40049.510400000006</c:v>
                </c:pt>
                <c:pt idx="1">
                  <c:v>12996.135600000001</c:v>
                </c:pt>
                <c:pt idx="2">
                  <c:v>9028.7999999999993</c:v>
                </c:pt>
              </c:numCache>
            </c:numRef>
          </c:val>
          <c:extLst>
            <c:ext xmlns:c16="http://schemas.microsoft.com/office/drawing/2014/chart" uri="{C3380CC4-5D6E-409C-BE32-E72D297353CC}">
              <c16:uniqueId val="{00000000-4ECF-4ABE-8F15-340CD8DBAB35}"/>
            </c:ext>
          </c:extLst>
        </c:ser>
        <c:ser>
          <c:idx val="1"/>
          <c:order val="1"/>
          <c:tx>
            <c:strRef>
              <c:f>'Análisis costos'!$D$188</c:f>
              <c:strCache>
                <c:ptCount val="1"/>
                <c:pt idx="0">
                  <c:v>%</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'Análisis costos'!$B$214:$B$216</c:f>
              <c:strCache>
                <c:ptCount val="3"/>
                <c:pt idx="0">
                  <c:v>Aires acondicionados</c:v>
                </c:pt>
                <c:pt idx="1">
                  <c:v>Luminarias</c:v>
                </c:pt>
                <c:pt idx="2">
                  <c:v>Motores</c:v>
                </c:pt>
              </c:strCache>
            </c:strRef>
          </c:cat>
          <c:val>
            <c:numRef>
              <c:f>'Análisis costos'!$D$189:$D$191</c:f>
              <c:numCache>
                <c:formatCode>0%</c:formatCode>
                <c:ptCount val="3"/>
                <c:pt idx="0">
                  <c:v>0.64518514430237528</c:v>
                </c:pt>
                <c:pt idx="1">
                  <c:v>0.2093636985499637</c:v>
                </c:pt>
                <c:pt idx="2">
                  <c:v>0.14545115714766102</c:v>
                </c:pt>
              </c:numCache>
            </c:numRef>
          </c:val>
          <c:extLst>
            <c:ext xmlns:c16="http://schemas.microsoft.com/office/drawing/2014/chart" uri="{C3380CC4-5D6E-409C-BE32-E72D297353CC}">
              <c16:uniqueId val="{00000001-4ECF-4ABE-8F15-340CD8DBAB35}"/>
            </c:ext>
          </c:extLst>
        </c:ser>
        <c:ser>
          <c:idx val="2"/>
          <c:order val="2"/>
          <c:tx>
            <c:strRef>
              <c:f>'Análisis costos'!$E$188</c:f>
              <c:strCache>
                <c:ptCount val="1"/>
                <c:pt idx="0">
                  <c:v>% acum</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'Análisis costos'!$B$214:$B$216</c:f>
              <c:strCache>
                <c:ptCount val="3"/>
                <c:pt idx="0">
                  <c:v>Aires acondicionados</c:v>
                </c:pt>
                <c:pt idx="1">
                  <c:v>Luminarias</c:v>
                </c:pt>
                <c:pt idx="2">
                  <c:v>Motores</c:v>
                </c:pt>
              </c:strCache>
            </c:strRef>
          </c:cat>
          <c:val>
            <c:numRef>
              <c:f>'Análisis costos'!$E$189:$E$191</c:f>
              <c:numCache>
                <c:formatCode>0%</c:formatCode>
                <c:ptCount val="3"/>
                <c:pt idx="0">
                  <c:v>0.64518514430237528</c:v>
                </c:pt>
                <c:pt idx="1">
                  <c:v>0.85454884285233901</c:v>
                </c:pt>
                <c:pt idx="2">
                  <c:v>1</c:v>
                </c:pt>
              </c:numCache>
            </c:numRef>
          </c:val>
          <c:extLst>
            <c:ext xmlns:c16="http://schemas.microsoft.com/office/drawing/2014/chart" uri="{C3380CC4-5D6E-409C-BE32-E72D297353CC}">
              <c16:uniqueId val="{00000002-4ECF-4ABE-8F15-340CD8DBAB35}"/>
            </c:ext>
          </c:extLst>
        </c:ser>
        <c:ser>
          <c:idx val="3"/>
          <c:order val="3"/>
          <c:tx>
            <c:strRef>
              <c:f>'Análisis costos'!$C$213</c:f>
              <c:strCache>
                <c:ptCount val="1"/>
                <c:pt idx="0">
                  <c:v>Consumo de Energía Propuesto</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'Análisis costos'!$B$214:$B$216</c:f>
              <c:strCache>
                <c:ptCount val="3"/>
                <c:pt idx="0">
                  <c:v>Aires acondicionados</c:v>
                </c:pt>
                <c:pt idx="1">
                  <c:v>Luminarias</c:v>
                </c:pt>
                <c:pt idx="2">
                  <c:v>Motores</c:v>
                </c:pt>
              </c:strCache>
            </c:strRef>
          </c:cat>
          <c:val>
            <c:numRef>
              <c:f>'Análisis costos'!$C$214:$C$216</c:f>
              <c:numCache>
                <c:formatCode>0.0\ "[kWh/año]"</c:formatCode>
                <c:ptCount val="3"/>
                <c:pt idx="0">
                  <c:v>29673.216000000008</c:v>
                </c:pt>
                <c:pt idx="1">
                  <c:v>7686.9044000000004</c:v>
                </c:pt>
                <c:pt idx="2">
                  <c:v>8012.7236129032244</c:v>
                </c:pt>
              </c:numCache>
            </c:numRef>
          </c:val>
          <c:extLst>
            <c:ext xmlns:c16="http://schemas.microsoft.com/office/drawing/2014/chart" uri="{C3380CC4-5D6E-409C-BE32-E72D297353CC}">
              <c16:uniqueId val="{00000003-4ECF-4ABE-8F15-340CD8DBAB35}"/>
            </c:ext>
          </c:extLst>
        </c:ser>
        <c:ser>
          <c:idx val="4"/>
          <c:order val="4"/>
          <c:tx>
            <c:strRef>
              <c:f>'Análisis costos'!$D$213</c:f>
              <c:strCache>
                <c:ptCount val="1"/>
                <c:pt idx="0">
                  <c:v>% Prop</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'Análisis costos'!$B$214:$B$216</c:f>
              <c:strCache>
                <c:ptCount val="3"/>
                <c:pt idx="0">
                  <c:v>Aires acondicionados</c:v>
                </c:pt>
                <c:pt idx="1">
                  <c:v>Luminarias</c:v>
                </c:pt>
                <c:pt idx="2">
                  <c:v>Motores</c:v>
                </c:pt>
              </c:strCache>
            </c:strRef>
          </c:cat>
          <c:val>
            <c:numRef>
              <c:f>'Análisis costos'!$D$214:$D$216</c:f>
              <c:numCache>
                <c:formatCode>0%</c:formatCode>
                <c:ptCount val="3"/>
                <c:pt idx="0">
                  <c:v>0.65398624762339064</c:v>
                </c:pt>
                <c:pt idx="1">
                  <c:v>0.16941641123077894</c:v>
                </c:pt>
                <c:pt idx="2">
                  <c:v>0.17659734114583048</c:v>
                </c:pt>
              </c:numCache>
            </c:numRef>
          </c:val>
          <c:extLst>
            <c:ext xmlns:c16="http://schemas.microsoft.com/office/drawing/2014/chart" uri="{C3380CC4-5D6E-409C-BE32-E72D297353CC}">
              <c16:uniqueId val="{00000004-4ECF-4ABE-8F15-340CD8DBAB35}"/>
            </c:ext>
          </c:extLst>
        </c:ser>
        <c:ser>
          <c:idx val="5"/>
          <c:order val="5"/>
          <c:tx>
            <c:strRef>
              <c:f>'Análisis costos'!$E$213</c:f>
              <c:strCache>
                <c:ptCount val="1"/>
                <c:pt idx="0">
                  <c:v>% acum Prop</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s-C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'Análisis costos'!$B$214:$B$216</c:f>
              <c:strCache>
                <c:ptCount val="3"/>
                <c:pt idx="0">
                  <c:v>Aires acondicionados</c:v>
                </c:pt>
                <c:pt idx="1">
                  <c:v>Luminarias</c:v>
                </c:pt>
                <c:pt idx="2">
                  <c:v>Motores</c:v>
                </c:pt>
              </c:strCache>
            </c:strRef>
          </c:cat>
          <c:val>
            <c:numRef>
              <c:f>'Análisis costos'!$E$214:$E$216</c:f>
              <c:numCache>
                <c:formatCode>0%</c:formatCode>
                <c:ptCount val="3"/>
                <c:pt idx="0">
                  <c:v>0.65398624762339064</c:v>
                </c:pt>
                <c:pt idx="1">
                  <c:v>0.82340265885416963</c:v>
                </c:pt>
                <c:pt idx="2">
                  <c:v>1</c:v>
                </c:pt>
              </c:numCache>
            </c:numRef>
          </c:val>
          <c:extLst>
            <c:ext xmlns:c16="http://schemas.microsoft.com/office/drawing/2014/chart" uri="{C3380CC4-5D6E-409C-BE32-E72D297353CC}">
              <c16:uniqueId val="{00000005-4ECF-4ABE-8F15-340CD8DBAB35}"/>
            </c:ext>
          </c:extLst>
        </c:ser>
        <c:dLbls>
          <c:dLblPos val="outEnd"/>
          <c:showLegendKey val="0"/>
          <c:showVal val="1"/>
          <c:showCatName val="0"/>
          <c:showSerName val="0"/>
          <c:showPercent val="0"/>
          <c:showBubbleSize val="0"/>
        </c:dLbls>
        <c:gapWidth val="444"/>
        <c:axId val="1830213439"/>
        <c:axId val="1830199519"/>
      </c:barChart>
      <c:catAx>
        <c:axId val="1830213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s-CL"/>
          </a:p>
        </c:txPr>
        <c:crossAx val="1830199519"/>
        <c:crosses val="autoZero"/>
        <c:auto val="1"/>
        <c:lblAlgn val="ctr"/>
        <c:lblOffset val="100"/>
        <c:noMultiLvlLbl val="0"/>
      </c:catAx>
      <c:valAx>
        <c:axId val="1830199519"/>
        <c:scaling>
          <c:orientation val="minMax"/>
        </c:scaling>
        <c:delete val="1"/>
        <c:axPos val="l"/>
        <c:numFmt formatCode="0.0\ &quot;[kWh/año]&quot;" sourceLinked="1"/>
        <c:majorTickMark val="none"/>
        <c:minorTickMark val="none"/>
        <c:tickLblPos val="nextTo"/>
        <c:crossAx val="1830213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data id="2">
      <cx:strDim type="cat">
        <cx:f>_xlchart.v1.0</cx:f>
      </cx:strDim>
      <cx:numDim type="val">
        <cx:f>_xlchart.v1.6</cx:f>
      </cx:numDim>
    </cx:data>
  </cx:chartData>
  <cx:chart>
    <cx:title pos="t" align="ctr" overlay="0">
      <cx:tx>
        <cx:rich>
          <a:bodyPr spcFirstLastPara="1" vertOverflow="ellipsis" horzOverflow="overflow" wrap="square" lIns="0" tIns="0" rIns="0" bIns="0" anchor="ctr" anchorCtr="1"/>
          <a:lstStyle/>
          <a:p>
            <a:pPr rtl="0"/>
            <a:r>
              <a:rPr lang="es-ES" sz="1800" b="0" i="0" baseline="0">
                <a:effectLst/>
              </a:rPr>
              <a:t>Diagrama de Pareto Uso de Energía Actual</a:t>
            </a:r>
            <a:endParaRPr lang="es-CL" sz="1400">
              <a:effectLst/>
            </a:endParaRPr>
          </a:p>
        </cx:rich>
      </cx:tx>
    </cx:title>
    <cx:plotArea>
      <cx:plotAreaRegion>
        <cx:series layoutId="clusteredColumn" uniqueId="{14F411E4-A2E4-40D4-A4D9-2D4755AF9813}" formatIdx="0">
          <cx:tx>
            <cx:txData>
              <cx:f>_xlchart.v1.1</cx:f>
              <cx:v>Consumo de Energía Actual</cx:v>
            </cx:txData>
          </cx:tx>
          <cx:spPr>
            <a:solidFill>
              <a:schemeClr val="accent1">
                <a:lumMod val="60000"/>
                <a:lumOff val="40000"/>
              </a:schemeClr>
            </a:solidFill>
          </cx:spPr>
          <cx:dataLabels pos="inEnd">
            <cx:visibility seriesName="0" categoryName="0" value="1"/>
          </cx:dataLabels>
          <cx:dataId val="0"/>
          <cx:layoutPr>
            <cx:aggregation/>
          </cx:layoutPr>
          <cx:axisId val="1"/>
        </cx:series>
        <cx:series layoutId="paretoLine" ownerIdx="0" uniqueId="{B032AA06-F9D7-4EBA-A6CA-E1041961C877}" formatIdx="1">
          <cx:spPr>
            <a:ln>
              <a:solidFill>
                <a:srgbClr val="0070C0"/>
              </a:solidFill>
            </a:ln>
          </cx:spPr>
          <cx:axisId val="2"/>
        </cx:series>
        <cx:series layoutId="clusteredColumn" hidden="1" uniqueId="{D70E8D7C-7D1C-49EB-A60C-317DB59E3542}" formatIdx="2">
          <cx:tx>
            <cx:txData>
              <cx:f>_xlchart.v1.3</cx:f>
              <cx:v>%</cx:v>
            </cx:txData>
          </cx:tx>
          <cx:dataLabels/>
          <cx:dataId val="1"/>
          <cx:layoutPr>
            <cx:aggregation/>
          </cx:layoutPr>
          <cx:axisId val="1"/>
        </cx:series>
        <cx:series layoutId="paretoLine" ownerIdx="2" uniqueId="{75573F82-FCAB-49DF-AEE8-9D2C9C5704BE}" formatIdx="3">
          <cx:axisId val="2"/>
        </cx:series>
        <cx:series layoutId="clusteredColumn" hidden="1" uniqueId="{6E110665-F9D8-410D-AB2C-D9BE0FA3B9F4}" formatIdx="4">
          <cx:tx>
            <cx:txData>
              <cx:f>_xlchart.v1.5</cx:f>
              <cx:v>% acum</cx:v>
            </cx:txData>
          </cx:tx>
          <cx:dataId val="2"/>
          <cx:layoutPr>
            <cx:aggregation/>
          </cx:layoutPr>
          <cx:axisId val="1"/>
        </cx:series>
        <cx:series layoutId="paretoLine" ownerIdx="4" uniqueId="{45A5C191-A2F7-4651-846B-5615125B53F3}" formatIdx="5">
          <cx:axisId val="2"/>
        </cx:series>
      </cx:plotAreaRegion>
      <cx:axis id="0">
        <cx:catScaling gapWidth="0"/>
        <cx:title>
          <cx:tx>
            <cx:txData>
              <cx:v>Usos de Energía</cx:v>
            </cx:txData>
          </cx:tx>
          <cx:txPr>
            <a:bodyPr spcFirstLastPara="1" vertOverflow="ellipsis" horzOverflow="overflow" wrap="square" lIns="0" tIns="0" rIns="0" bIns="0" anchor="ctr" anchorCtr="1"/>
            <a:lstStyle/>
            <a:p>
              <a:pPr algn="ctr" rtl="0">
                <a:defRPr/>
              </a:pPr>
              <a:r>
                <a:rPr lang="es-ES" sz="900" b="0" i="0" u="none" strike="noStrike" baseline="0">
                  <a:solidFill>
                    <a:sysClr val="windowText" lastClr="000000">
                      <a:lumMod val="65000"/>
                      <a:lumOff val="35000"/>
                    </a:sysClr>
                  </a:solidFill>
                  <a:latin typeface="Aptos Narrow" panose="02110004020202020204"/>
                </a:rPr>
                <a:t>Usos de Energía</a:t>
              </a:r>
            </a:p>
          </cx:txPr>
        </cx:title>
        <cx:tickLabels/>
      </cx:axis>
      <cx:axis id="1">
        <cx:valScaling/>
        <cx:title>
          <cx:tx>
            <cx:txData>
              <cx:v>Consumo de Energía en [kWh]</cx:v>
            </cx:txData>
          </cx:tx>
          <cx:txPr>
            <a:bodyPr spcFirstLastPara="1" vertOverflow="ellipsis" horzOverflow="overflow" wrap="square" lIns="0" tIns="0" rIns="0" bIns="0" anchor="ctr" anchorCtr="1"/>
            <a:lstStyle/>
            <a:p>
              <a:pPr algn="ctr" rtl="0">
                <a:defRPr/>
              </a:pPr>
              <a:r>
                <a:rPr lang="es-ES" sz="900" b="0" i="0" u="none" strike="noStrike" baseline="0">
                  <a:solidFill>
                    <a:sysClr val="windowText" lastClr="000000">
                      <a:lumMod val="65000"/>
                      <a:lumOff val="35000"/>
                    </a:sysClr>
                  </a:solidFill>
                  <a:latin typeface="Aptos Narrow" panose="02110004020202020204"/>
                </a:rPr>
                <a:t>Consumo de Energía en [kWh]</a:t>
              </a:r>
            </a:p>
          </cx:txPr>
        </cx:title>
        <cx:majorGridlines/>
        <cx:tickLabels/>
      </cx:axis>
      <cx:axis id="2">
        <cx:valScaling min="0"/>
        <cx:units unit="percentage"/>
        <cx:tickLabels/>
      </cx:axis>
    </cx:plotArea>
  </cx:chart>
  <cx:spPr>
    <a:ln>
      <a:solidFill>
        <a:schemeClr val="tx1"/>
      </a:solid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data id="1">
      <cx:strDim type="cat">
        <cx:f>_xlchart.v1.7</cx:f>
      </cx:strDim>
      <cx:numDim type="val">
        <cx:f>_xlchart.v1.11</cx:f>
      </cx:numDim>
    </cx:data>
    <cx:data id="2">
      <cx:strDim type="cat">
        <cx:f>_xlchart.v1.7</cx:f>
      </cx:strDim>
      <cx:numDim type="val">
        <cx:f>_xlchart.v1.13</cx:f>
      </cx:numDim>
    </cx:data>
  </cx:chartData>
  <cx:chart>
    <cx:title pos="t" align="ctr" overlay="0">
      <cx:tx>
        <cx:rich>
          <a:bodyPr spcFirstLastPara="1" vertOverflow="ellipsis" horzOverflow="overflow" wrap="square" lIns="0" tIns="0" rIns="0" bIns="0" anchor="ctr" anchorCtr="1"/>
          <a:lstStyle/>
          <a:p>
            <a:pPr rtl="0"/>
            <a:r>
              <a:rPr lang="es-ES" sz="1800" b="0" i="0" baseline="0">
                <a:effectLst/>
              </a:rPr>
              <a:t>Diagrama de Pareto Uso de Energía Propuesto</a:t>
            </a:r>
            <a:endParaRPr lang="es-CL" sz="1400">
              <a:effectLst/>
            </a:endParaRPr>
          </a:p>
        </cx:rich>
      </cx:tx>
    </cx:title>
    <cx:plotArea>
      <cx:plotAreaRegion>
        <cx:series layoutId="clusteredColumn" uniqueId="{14F411E4-A2E4-40D4-A4D9-2D4755AF9813}" formatIdx="0">
          <cx:tx>
            <cx:txData>
              <cx:f>_xlchart.v1.8</cx:f>
              <cx:v>Consumo de Energía Propuesto</cx:v>
            </cx:txData>
          </cx:tx>
          <cx:spPr>
            <a:solidFill>
              <a:schemeClr val="accent1">
                <a:lumMod val="60000"/>
                <a:lumOff val="40000"/>
              </a:schemeClr>
            </a:solidFill>
          </cx:spPr>
          <cx:dataLabels pos="inEnd">
            <cx:visibility seriesName="0" categoryName="0" value="1"/>
          </cx:dataLabels>
          <cx:dataId val="0"/>
          <cx:layoutPr>
            <cx:aggregation/>
          </cx:layoutPr>
          <cx:axisId val="1"/>
        </cx:series>
        <cx:series layoutId="paretoLine" ownerIdx="0" uniqueId="{B032AA06-F9D7-4EBA-A6CA-E1041961C877}" formatIdx="1">
          <cx:spPr>
            <a:ln>
              <a:solidFill>
                <a:srgbClr val="0070C0"/>
              </a:solidFill>
            </a:ln>
          </cx:spPr>
          <cx:axisId val="2"/>
        </cx:series>
        <cx:series layoutId="clusteredColumn" hidden="1" uniqueId="{D70E8D7C-7D1C-49EB-A60C-317DB59E3542}" formatIdx="2">
          <cx:tx>
            <cx:txData>
              <cx:f>_xlchart.v1.10</cx:f>
              <cx:v>% Prop</cx:v>
            </cx:txData>
          </cx:tx>
          <cx:dataLabels/>
          <cx:dataId val="1"/>
          <cx:layoutPr>
            <cx:aggregation/>
          </cx:layoutPr>
          <cx:axisId val="1"/>
        </cx:series>
        <cx:series layoutId="paretoLine" ownerIdx="2" uniqueId="{75573F82-FCAB-49DF-AEE8-9D2C9C5704BE}" formatIdx="3">
          <cx:axisId val="2"/>
        </cx:series>
        <cx:series layoutId="clusteredColumn" hidden="1" uniqueId="{6E110665-F9D8-410D-AB2C-D9BE0FA3B9F4}" formatIdx="4">
          <cx:tx>
            <cx:txData>
              <cx:f>_xlchart.v1.12</cx:f>
              <cx:v>% acum Prop</cx:v>
            </cx:txData>
          </cx:tx>
          <cx:dataId val="2"/>
          <cx:layoutPr>
            <cx:aggregation/>
          </cx:layoutPr>
          <cx:axisId val="1"/>
        </cx:series>
        <cx:series layoutId="paretoLine" ownerIdx="4" uniqueId="{45A5C191-A2F7-4651-846B-5615125B53F3}" formatIdx="5">
          <cx:axisId val="2"/>
        </cx:series>
      </cx:plotAreaRegion>
      <cx:axis id="0">
        <cx:catScaling gapWidth="0"/>
        <cx:title>
          <cx:tx>
            <cx:txData>
              <cx:v>Usos de Energía</cx:v>
            </cx:txData>
          </cx:tx>
          <cx:txPr>
            <a:bodyPr spcFirstLastPara="1" vertOverflow="ellipsis" horzOverflow="overflow" wrap="square" lIns="0" tIns="0" rIns="0" bIns="0" anchor="ctr" anchorCtr="1"/>
            <a:lstStyle/>
            <a:p>
              <a:pPr algn="ctr" rtl="0">
                <a:defRPr/>
              </a:pPr>
              <a:r>
                <a:rPr lang="es-ES" sz="900" b="0" i="0" u="none" strike="noStrike" baseline="0">
                  <a:solidFill>
                    <a:sysClr val="windowText" lastClr="000000">
                      <a:lumMod val="65000"/>
                      <a:lumOff val="35000"/>
                    </a:sysClr>
                  </a:solidFill>
                  <a:latin typeface="Aptos Narrow" panose="02110004020202020204"/>
                </a:rPr>
                <a:t>Usos de Energía</a:t>
              </a:r>
            </a:p>
          </cx:txPr>
        </cx:title>
        <cx:tickLabels/>
      </cx:axis>
      <cx:axis id="1">
        <cx:valScaling/>
        <cx:title>
          <cx:tx>
            <cx:txData>
              <cx:v>Consumo de Energía en [kWh]</cx:v>
            </cx:txData>
          </cx:tx>
          <cx:txPr>
            <a:bodyPr spcFirstLastPara="1" vertOverflow="ellipsis" horzOverflow="overflow" wrap="square" lIns="0" tIns="0" rIns="0" bIns="0" anchor="ctr" anchorCtr="1"/>
            <a:lstStyle/>
            <a:p>
              <a:pPr algn="ctr" rtl="0">
                <a:defRPr/>
              </a:pPr>
              <a:r>
                <a:rPr lang="es-ES" sz="900" b="0" i="0" u="none" strike="noStrike" baseline="0">
                  <a:solidFill>
                    <a:sysClr val="windowText" lastClr="000000">
                      <a:lumMod val="65000"/>
                      <a:lumOff val="35000"/>
                    </a:sysClr>
                  </a:solidFill>
                  <a:latin typeface="Aptos Narrow" panose="02110004020202020204"/>
                </a:rPr>
                <a:t>Consumo de Energía en [kWh]</a:t>
              </a:r>
            </a:p>
          </cx:txPr>
        </cx:title>
        <cx:majorGridlines/>
        <cx:tickLabels/>
      </cx:axis>
      <cx:axis id="2">
        <cx:valScaling min="0"/>
        <cx:units unit="percentage"/>
        <cx:tickLabels/>
      </cx:axis>
    </cx:plotArea>
  </cx:chart>
  <cx:spPr>
    <a:ln>
      <a:solidFill>
        <a:schemeClr val="tx1"/>
      </a:solid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data id="1">
      <cx:strDim type="cat">
        <cx:f>_xlchart.v1.14</cx:f>
      </cx:strDim>
      <cx:numDim type="val">
        <cx:f>_xlchart.v1.18</cx:f>
      </cx:numDim>
    </cx:data>
    <cx:data id="2">
      <cx:strDim type="cat">
        <cx:f>_xlchart.v1.14</cx:f>
      </cx:strDim>
      <cx:numDim type="val">
        <cx:f>_xlchart.v1.20</cx:f>
      </cx:numDim>
    </cx:data>
  </cx:chartData>
  <cx:chart>
    <cx:title pos="t" align="ctr" overlay="0">
      <cx:tx>
        <cx:rich>
          <a:bodyPr spcFirstLastPara="1" vertOverflow="ellipsis" horzOverflow="overflow" wrap="square" lIns="0" tIns="0" rIns="0" bIns="0" anchor="ctr" anchorCtr="1"/>
          <a:lstStyle/>
          <a:p>
            <a:pPr rtl="0"/>
            <a:r>
              <a:rPr lang="es-ES" sz="1800" b="0" i="0" baseline="0">
                <a:effectLst/>
              </a:rPr>
              <a:t>Diagrama de Pareto GEI Energía Térmica</a:t>
            </a:r>
            <a:endParaRPr lang="es-CL" sz="1400">
              <a:effectLst/>
            </a:endParaRPr>
          </a:p>
        </cx:rich>
      </cx:tx>
    </cx:title>
    <cx:plotArea>
      <cx:plotAreaRegion>
        <cx:series layoutId="clusteredColumn" uniqueId="{14F411E4-A2E4-40D4-A4D9-2D4755AF9813}" formatIdx="0">
          <cx:tx>
            <cx:txData>
              <cx:f>_xlchart.v1.15</cx:f>
              <cx:v>Reducción de GEI</cx:v>
            </cx:txData>
          </cx:tx>
          <cx:spPr>
            <a:solidFill>
              <a:schemeClr val="accent1">
                <a:lumMod val="60000"/>
                <a:lumOff val="40000"/>
              </a:schemeClr>
            </a:solidFill>
          </cx:spPr>
          <cx:dataLabels pos="inEnd">
            <cx:visibility seriesName="0" categoryName="0" value="1"/>
          </cx:dataLabels>
          <cx:dataId val="0"/>
          <cx:layoutPr>
            <cx:aggregation/>
          </cx:layoutPr>
          <cx:axisId val="1"/>
        </cx:series>
        <cx:series layoutId="paretoLine" ownerIdx="0" uniqueId="{B032AA06-F9D7-4EBA-A6CA-E1041961C877}" formatIdx="1">
          <cx:spPr>
            <a:ln>
              <a:solidFill>
                <a:srgbClr val="0070C0"/>
              </a:solidFill>
            </a:ln>
          </cx:spPr>
          <cx:axisId val="2"/>
        </cx:series>
        <cx:series layoutId="clusteredColumn" hidden="1" uniqueId="{D70E8D7C-7D1C-49EB-A60C-317DB59E3542}" formatIdx="2">
          <cx:tx>
            <cx:txData>
              <cx:f>_xlchart.v1.17</cx:f>
              <cx:v>%</cx:v>
            </cx:txData>
          </cx:tx>
          <cx:dataLabels/>
          <cx:dataId val="1"/>
          <cx:layoutPr>
            <cx:aggregation/>
          </cx:layoutPr>
          <cx:axisId val="1"/>
        </cx:series>
        <cx:series layoutId="paretoLine" ownerIdx="2" uniqueId="{75573F82-FCAB-49DF-AEE8-9D2C9C5704BE}" formatIdx="3">
          <cx:axisId val="2"/>
        </cx:series>
        <cx:series layoutId="clusteredColumn" hidden="1" uniqueId="{6E110665-F9D8-410D-AB2C-D9BE0FA3B9F4}" formatIdx="4">
          <cx:tx>
            <cx:txData>
              <cx:f>_xlchart.v1.19</cx:f>
              <cx:v>% acum</cx:v>
            </cx:txData>
          </cx:tx>
          <cx:dataId val="2"/>
          <cx:layoutPr>
            <cx:aggregation/>
          </cx:layoutPr>
          <cx:axisId val="1"/>
        </cx:series>
        <cx:series layoutId="paretoLine" ownerIdx="4" uniqueId="{45A5C191-A2F7-4651-846B-5615125B53F3}" formatIdx="5">
          <cx:axisId val="2"/>
        </cx:series>
      </cx:plotAreaRegion>
      <cx:axis id="0">
        <cx:catScaling gapWidth="0"/>
        <cx:title>
          <cx:tx>
            <cx:txData>
              <cx:v>Usos de Energía</cx:v>
            </cx:txData>
          </cx:tx>
          <cx:txPr>
            <a:bodyPr spcFirstLastPara="1" vertOverflow="ellipsis" horzOverflow="overflow" wrap="square" lIns="0" tIns="0" rIns="0" bIns="0" anchor="ctr" anchorCtr="1"/>
            <a:lstStyle/>
            <a:p>
              <a:pPr algn="ctr" rtl="0">
                <a:defRPr/>
              </a:pPr>
              <a:r>
                <a:rPr lang="es-ES" sz="900" b="0" i="0" u="none" strike="noStrike" baseline="0">
                  <a:solidFill>
                    <a:sysClr val="windowText" lastClr="000000">
                      <a:lumMod val="65000"/>
                      <a:lumOff val="35000"/>
                    </a:sysClr>
                  </a:solidFill>
                  <a:latin typeface="Aptos Narrow" panose="02110004020202020204"/>
                </a:rPr>
                <a:t>Usos de Energía</a:t>
              </a:r>
            </a:p>
          </cx:txPr>
        </cx:title>
        <cx:tickLabels/>
      </cx:axis>
      <cx:axis id="1">
        <cx:valScaling/>
        <cx:title>
          <cx:tx>
            <cx:txData>
              <cx:v>Reducción de GEI en  [Ton CO₂/año]</cx:v>
            </cx:txData>
          </cx:tx>
          <cx:txPr>
            <a:bodyPr spcFirstLastPara="1" vertOverflow="ellipsis" horzOverflow="overflow" wrap="square" lIns="0" tIns="0" rIns="0" bIns="0" anchor="ctr" anchorCtr="1"/>
            <a:lstStyle/>
            <a:p>
              <a:pPr algn="ctr" rtl="0">
                <a:defRPr/>
              </a:pPr>
              <a:r>
                <a:rPr lang="es-ES" sz="900" b="0" i="0" u="none" strike="noStrike" baseline="0">
                  <a:solidFill>
                    <a:sysClr val="windowText" lastClr="000000">
                      <a:lumMod val="65000"/>
                      <a:lumOff val="35000"/>
                    </a:sysClr>
                  </a:solidFill>
                  <a:latin typeface="Aptos Narrow" panose="02110004020202020204"/>
                </a:rPr>
                <a:t>Reducción de GEI en  [Ton CO₂/año]</a:t>
              </a:r>
            </a:p>
          </cx:txPr>
        </cx:title>
        <cx:majorGridlines/>
        <cx:tickLabels/>
      </cx:axis>
      <cx:axis id="2">
        <cx:valScaling min="0"/>
        <cx:units unit="percentage"/>
        <cx:tickLabels/>
      </cx:axis>
    </cx:plotArea>
  </cx:chart>
  <cx:spPr>
    <a:ln>
      <a:solidFill>
        <a:schemeClr val="tx1"/>
      </a:solid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8.xml"/><Relationship Id="rId21" Type="http://schemas.openxmlformats.org/officeDocument/2006/relationships/chart" Target="../charts/chart21.xml"/><Relationship Id="rId34" Type="http://schemas.openxmlformats.org/officeDocument/2006/relationships/chart" Target="../charts/chart33.xml"/><Relationship Id="rId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image" Target="../media/image1.tmp"/><Relationship Id="rId41" Type="http://schemas.openxmlformats.org/officeDocument/2006/relationships/chart" Target="../charts/chart4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1.xml"/><Relationship Id="rId37" Type="http://schemas.openxmlformats.org/officeDocument/2006/relationships/chart" Target="../charts/chart36.xml"/><Relationship Id="rId40" Type="http://schemas.openxmlformats.org/officeDocument/2006/relationships/chart" Target="../charts/chart39.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5.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29.xml"/><Relationship Id="rId35" Type="http://schemas.openxmlformats.org/officeDocument/2006/relationships/chart" Target="../charts/chart34.xml"/><Relationship Id="rId8" Type="http://schemas.openxmlformats.org/officeDocument/2006/relationships/chart" Target="../charts/chart8.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2.xml"/><Relationship Id="rId38" Type="http://schemas.openxmlformats.org/officeDocument/2006/relationships/chart" Target="../charts/chart3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s>
</file>

<file path=xl/drawings/_rels/drawing9.xml.rels><?xml version="1.0" encoding="UTF-8" standalone="yes"?>
<Relationships xmlns="http://schemas.openxmlformats.org/package/2006/relationships"><Relationship Id="rId8" Type="http://schemas.openxmlformats.org/officeDocument/2006/relationships/chart" Target="../charts/chart51.xml"/><Relationship Id="rId13" Type="http://schemas.openxmlformats.org/officeDocument/2006/relationships/chart" Target="../charts/chart56.xml"/><Relationship Id="rId3" Type="http://schemas.openxmlformats.org/officeDocument/2006/relationships/chart" Target="../charts/chart46.xml"/><Relationship Id="rId7" Type="http://schemas.openxmlformats.org/officeDocument/2006/relationships/chart" Target="../charts/chart50.xml"/><Relationship Id="rId12" Type="http://schemas.openxmlformats.org/officeDocument/2006/relationships/chart" Target="../charts/chart55.xml"/><Relationship Id="rId2" Type="http://schemas.openxmlformats.org/officeDocument/2006/relationships/chart" Target="../charts/chart45.xml"/><Relationship Id="rId16" Type="http://schemas.openxmlformats.org/officeDocument/2006/relationships/chart" Target="../charts/chart59.xml"/><Relationship Id="rId1" Type="http://schemas.openxmlformats.org/officeDocument/2006/relationships/chart" Target="../charts/chart44.xml"/><Relationship Id="rId6" Type="http://schemas.openxmlformats.org/officeDocument/2006/relationships/chart" Target="../charts/chart49.xml"/><Relationship Id="rId11" Type="http://schemas.openxmlformats.org/officeDocument/2006/relationships/chart" Target="../charts/chart54.xml"/><Relationship Id="rId5" Type="http://schemas.openxmlformats.org/officeDocument/2006/relationships/chart" Target="../charts/chart48.xml"/><Relationship Id="rId15" Type="http://schemas.openxmlformats.org/officeDocument/2006/relationships/chart" Target="../charts/chart58.xml"/><Relationship Id="rId10" Type="http://schemas.openxmlformats.org/officeDocument/2006/relationships/chart" Target="../charts/chart53.xml"/><Relationship Id="rId4" Type="http://schemas.openxmlformats.org/officeDocument/2006/relationships/chart" Target="../charts/chart47.xml"/><Relationship Id="rId9" Type="http://schemas.openxmlformats.org/officeDocument/2006/relationships/chart" Target="../charts/chart52.xml"/><Relationship Id="rId14" Type="http://schemas.openxmlformats.org/officeDocument/2006/relationships/chart" Target="../charts/chart57.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67.xml"/><Relationship Id="rId3" Type="http://schemas.openxmlformats.org/officeDocument/2006/relationships/chart" Target="../charts/chart62.xml"/><Relationship Id="rId7" Type="http://schemas.openxmlformats.org/officeDocument/2006/relationships/chart" Target="../charts/chart66.xml"/><Relationship Id="rId2" Type="http://schemas.openxmlformats.org/officeDocument/2006/relationships/chart" Target="../charts/chart61.xml"/><Relationship Id="rId1" Type="http://schemas.openxmlformats.org/officeDocument/2006/relationships/chart" Target="../charts/chart60.xml"/><Relationship Id="rId6" Type="http://schemas.openxmlformats.org/officeDocument/2006/relationships/chart" Target="../charts/chart65.xml"/><Relationship Id="rId5" Type="http://schemas.openxmlformats.org/officeDocument/2006/relationships/chart" Target="../charts/chart64.xml"/><Relationship Id="rId10" Type="http://schemas.openxmlformats.org/officeDocument/2006/relationships/chart" Target="../charts/chart69.xml"/><Relationship Id="rId4" Type="http://schemas.openxmlformats.org/officeDocument/2006/relationships/chart" Target="../charts/chart63.xml"/><Relationship Id="rId9" Type="http://schemas.openxmlformats.org/officeDocument/2006/relationships/chart" Target="../charts/chart68.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72.xml"/><Relationship Id="rId2" Type="http://schemas.openxmlformats.org/officeDocument/2006/relationships/chart" Target="../charts/chart71.xml"/><Relationship Id="rId1" Type="http://schemas.openxmlformats.org/officeDocument/2006/relationships/chart" Target="../charts/chart70.xml"/><Relationship Id="rId4" Type="http://schemas.openxmlformats.org/officeDocument/2006/relationships/chart" Target="../charts/chart73.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75.xml"/><Relationship Id="rId1" Type="http://schemas.openxmlformats.org/officeDocument/2006/relationships/chart" Target="../charts/chart7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5.tmp"/><Relationship Id="rId1" Type="http://schemas.openxmlformats.org/officeDocument/2006/relationships/image" Target="../media/image4.tmp"/></Relationships>
</file>

<file path=xl/drawings/_rels/drawing19.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chart" Target="../charts/chart76.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11</xdr:col>
      <xdr:colOff>195263</xdr:colOff>
      <xdr:row>4</xdr:row>
      <xdr:rowOff>126206</xdr:rowOff>
    </xdr:from>
    <xdr:to>
      <xdr:col>17</xdr:col>
      <xdr:colOff>190500</xdr:colOff>
      <xdr:row>19</xdr:row>
      <xdr:rowOff>11906</xdr:rowOff>
    </xdr:to>
    <xdr:graphicFrame macro="">
      <xdr:nvGraphicFramePr>
        <xdr:cNvPr id="4" name="Gráfico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195263</xdr:colOff>
      <xdr:row>19</xdr:row>
      <xdr:rowOff>185737</xdr:rowOff>
    </xdr:from>
    <xdr:to>
      <xdr:col>17</xdr:col>
      <xdr:colOff>190500</xdr:colOff>
      <xdr:row>34</xdr:row>
      <xdr:rowOff>71437</xdr:rowOff>
    </xdr:to>
    <xdr:graphicFrame macro="">
      <xdr:nvGraphicFramePr>
        <xdr:cNvPr id="6" name="Gráfico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559594</xdr:colOff>
      <xdr:row>4</xdr:row>
      <xdr:rowOff>130969</xdr:rowOff>
    </xdr:from>
    <xdr:to>
      <xdr:col>22</xdr:col>
      <xdr:colOff>554831</xdr:colOff>
      <xdr:row>19</xdr:row>
      <xdr:rowOff>16669</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571500</xdr:colOff>
      <xdr:row>20</xdr:row>
      <xdr:rowOff>0</xdr:rowOff>
    </xdr:from>
    <xdr:to>
      <xdr:col>22</xdr:col>
      <xdr:colOff>566737</xdr:colOff>
      <xdr:row>34</xdr:row>
      <xdr:rowOff>76200</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190500</xdr:colOff>
      <xdr:row>5</xdr:row>
      <xdr:rowOff>11907</xdr:rowOff>
    </xdr:from>
    <xdr:to>
      <xdr:col>29</xdr:col>
      <xdr:colOff>185737</xdr:colOff>
      <xdr:row>19</xdr:row>
      <xdr:rowOff>88107</xdr:rowOff>
    </xdr:to>
    <xdr:graphicFrame macro="">
      <xdr:nvGraphicFramePr>
        <xdr:cNvPr id="9" name="Gráfico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190500</xdr:colOff>
      <xdr:row>20</xdr:row>
      <xdr:rowOff>11906</xdr:rowOff>
    </xdr:from>
    <xdr:to>
      <xdr:col>29</xdr:col>
      <xdr:colOff>185737</xdr:colOff>
      <xdr:row>34</xdr:row>
      <xdr:rowOff>88106</xdr:rowOff>
    </xdr:to>
    <xdr:graphicFrame macro="">
      <xdr:nvGraphicFramePr>
        <xdr:cNvPr id="10" name="Gráfico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211184</xdr:colOff>
      <xdr:row>36</xdr:row>
      <xdr:rowOff>3993</xdr:rowOff>
    </xdr:from>
    <xdr:to>
      <xdr:col>21</xdr:col>
      <xdr:colOff>500061</xdr:colOff>
      <xdr:row>58</xdr:row>
      <xdr:rowOff>154781</xdr:rowOff>
    </xdr:to>
    <xdr:graphicFrame macro="">
      <xdr:nvGraphicFramePr>
        <xdr:cNvPr id="11" name="Gráfico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xdr:col>
      <xdr:colOff>678657</xdr:colOff>
      <xdr:row>104</xdr:row>
      <xdr:rowOff>83344</xdr:rowOff>
    </xdr:from>
    <xdr:ext cx="846322" cy="339708"/>
    <mc:AlternateContent xmlns:mc="http://schemas.openxmlformats.org/markup-compatibility/2006" xmlns:a14="http://schemas.microsoft.com/office/drawing/2010/main">
      <mc:Choice Requires="a14">
        <xdr:sp macro="" textlink="">
          <xdr:nvSpPr>
            <xdr:cNvPr id="14" name="CuadroTexto 13">
              <a:extLst>
                <a:ext uri="{FF2B5EF4-FFF2-40B4-BE49-F238E27FC236}">
                  <a16:creationId xmlns:a16="http://schemas.microsoft.com/office/drawing/2014/main" id="{00000000-0008-0000-0000-00000E000000}"/>
                </a:ext>
              </a:extLst>
            </xdr:cNvPr>
            <xdr:cNvSpPr txBox="1"/>
          </xdr:nvSpPr>
          <xdr:spPr>
            <a:xfrm>
              <a:off x="1714501" y="40659844"/>
              <a:ext cx="846322" cy="339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𝑛</m:t>
                        </m:r>
                      </m:e>
                      <m:sub>
                        <m:r>
                          <a:rPr lang="es-ES" sz="1100" b="0" i="1">
                            <a:latin typeface="Cambria Math" panose="02040503050406030204" pitchFamily="18" charset="0"/>
                          </a:rPr>
                          <m:t>𝑜</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𝑧</m:t>
                            </m:r>
                          </m:e>
                          <m:sup>
                            <m:r>
                              <a:rPr lang="es-ES" sz="1100" b="0" i="1">
                                <a:latin typeface="Cambria Math" panose="02040503050406030204" pitchFamily="18" charset="0"/>
                              </a:rPr>
                              <m:t>2</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r>
                              <a:rPr lang="es-ES" sz="1100" b="0" i="1">
                                <a:latin typeface="Cambria Math" panose="02040503050406030204" pitchFamily="18" charset="0"/>
                              </a:rPr>
                              <m:t>𝑐𝑣</m:t>
                            </m:r>
                          </m:e>
                          <m:sup>
                            <m:r>
                              <a:rPr lang="es-ES" sz="1100" b="0" i="1">
                                <a:latin typeface="Cambria Math" panose="02040503050406030204" pitchFamily="18" charset="0"/>
                              </a:rPr>
                              <m:t>2</m:t>
                            </m:r>
                          </m:sup>
                        </m:sSup>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𝑒</m:t>
                            </m:r>
                          </m:e>
                          <m:sup>
                            <m:r>
                              <a:rPr lang="es-ES" sz="1100" b="0" i="1">
                                <a:latin typeface="Cambria Math" panose="02040503050406030204" pitchFamily="18" charset="0"/>
                              </a:rPr>
                              <m:t>2</m:t>
                            </m:r>
                          </m:sup>
                        </m:sSup>
                      </m:den>
                    </m:f>
                  </m:oMath>
                </m:oMathPara>
              </a14:m>
              <a:endParaRPr lang="es-CL" sz="1100"/>
            </a:p>
          </xdr:txBody>
        </xdr:sp>
      </mc:Choice>
      <mc:Fallback xmlns="">
        <xdr:sp macro="" textlink="">
          <xdr:nvSpPr>
            <xdr:cNvPr id="14" name="CuadroTexto 13">
              <a:extLst>
                <a:ext uri="{FF2B5EF4-FFF2-40B4-BE49-F238E27FC236}">
                  <a16:creationId xmlns:a16="http://schemas.microsoft.com/office/drawing/2014/main" id="{00000000-0008-0000-0000-00000E000000}"/>
                </a:ext>
              </a:extLst>
            </xdr:cNvPr>
            <xdr:cNvSpPr txBox="1"/>
          </xdr:nvSpPr>
          <xdr:spPr>
            <a:xfrm>
              <a:off x="1714501" y="40659844"/>
              <a:ext cx="846322" cy="339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𝑛</a:t>
              </a:r>
              <a:r>
                <a:rPr lang="es-CL" sz="1100" b="0" i="0">
                  <a:latin typeface="Cambria Math" panose="02040503050406030204" pitchFamily="18" charset="0"/>
                </a:rPr>
                <a:t>_</a:t>
              </a:r>
              <a:r>
                <a:rPr lang="es-ES" sz="1100" b="0" i="0">
                  <a:latin typeface="Cambria Math" panose="02040503050406030204" pitchFamily="18" charset="0"/>
                </a:rPr>
                <a:t>𝑜=(𝑧^2∗〖𝑐𝑣〗^2)/𝑒^2 </a:t>
              </a:r>
              <a:endParaRPr lang="es-CL" sz="1100"/>
            </a:p>
          </xdr:txBody>
        </xdr:sp>
      </mc:Fallback>
    </mc:AlternateContent>
    <xdr:clientData/>
  </xdr:oneCellAnchor>
  <xdr:oneCellAnchor>
    <xdr:from>
      <xdr:col>2</xdr:col>
      <xdr:colOff>714375</xdr:colOff>
      <xdr:row>116</xdr:row>
      <xdr:rowOff>166687</xdr:rowOff>
    </xdr:from>
    <xdr:ext cx="714683" cy="345607"/>
    <mc:AlternateContent xmlns:mc="http://schemas.openxmlformats.org/markup-compatibility/2006" xmlns:a14="http://schemas.microsoft.com/office/drawing/2010/main">
      <mc:Choice Requires="a14">
        <xdr:sp macro="" textlink="">
          <xdr:nvSpPr>
            <xdr:cNvPr id="24" name="CuadroTexto 23">
              <a:extLst>
                <a:ext uri="{FF2B5EF4-FFF2-40B4-BE49-F238E27FC236}">
                  <a16:creationId xmlns:a16="http://schemas.microsoft.com/office/drawing/2014/main" id="{00000000-0008-0000-0000-000018000000}"/>
                </a:ext>
              </a:extLst>
            </xdr:cNvPr>
            <xdr:cNvSpPr txBox="1"/>
          </xdr:nvSpPr>
          <xdr:spPr>
            <a:xfrm>
              <a:off x="1750219" y="42457687"/>
              <a:ext cx="714683" cy="3456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𝑛</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𝑛</m:t>
                            </m:r>
                          </m:e>
                          <m:sub>
                            <m:r>
                              <a:rPr lang="es-ES" sz="1100" b="0" i="1">
                                <a:latin typeface="Cambria Math" panose="02040503050406030204" pitchFamily="18" charset="0"/>
                              </a:rPr>
                              <m:t>0</m:t>
                            </m:r>
                          </m:sub>
                        </m:sSub>
                        <m:r>
                          <a:rPr lang="es-ES" sz="1100" b="0" i="1">
                            <a:latin typeface="Cambria Math" panose="02040503050406030204" pitchFamily="18" charset="0"/>
                          </a:rPr>
                          <m:t>∗</m:t>
                        </m:r>
                        <m:r>
                          <a:rPr lang="es-ES" sz="1100" b="0" i="1">
                            <a:latin typeface="Cambria Math" panose="02040503050406030204" pitchFamily="18" charset="0"/>
                          </a:rPr>
                          <m:t>𝑁</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𝑛</m:t>
                            </m:r>
                          </m:e>
                          <m:sub>
                            <m:r>
                              <a:rPr lang="es-ES" sz="1100" b="0" i="1">
                                <a:latin typeface="Cambria Math" panose="02040503050406030204" pitchFamily="18" charset="0"/>
                              </a:rPr>
                              <m:t>0</m:t>
                            </m:r>
                          </m:sub>
                        </m:sSub>
                        <m:r>
                          <a:rPr lang="es-ES" sz="1100" b="0" i="1">
                            <a:latin typeface="Cambria Math" panose="02040503050406030204" pitchFamily="18" charset="0"/>
                          </a:rPr>
                          <m:t>+</m:t>
                        </m:r>
                        <m:r>
                          <a:rPr lang="es-ES" sz="1100" b="0" i="1">
                            <a:latin typeface="Cambria Math" panose="02040503050406030204" pitchFamily="18" charset="0"/>
                          </a:rPr>
                          <m:t>𝑁</m:t>
                        </m:r>
                      </m:den>
                    </m:f>
                  </m:oMath>
                </m:oMathPara>
              </a14:m>
              <a:endParaRPr lang="es-CL" sz="1100"/>
            </a:p>
          </xdr:txBody>
        </xdr:sp>
      </mc:Choice>
      <mc:Fallback xmlns="">
        <xdr:sp macro="" textlink="">
          <xdr:nvSpPr>
            <xdr:cNvPr id="24" name="CuadroTexto 23">
              <a:extLst>
                <a:ext uri="{FF2B5EF4-FFF2-40B4-BE49-F238E27FC236}">
                  <a16:creationId xmlns:a16="http://schemas.microsoft.com/office/drawing/2014/main" id="{00000000-0008-0000-0000-000018000000}"/>
                </a:ext>
              </a:extLst>
            </xdr:cNvPr>
            <xdr:cNvSpPr txBox="1"/>
          </xdr:nvSpPr>
          <xdr:spPr>
            <a:xfrm>
              <a:off x="1750219" y="42457687"/>
              <a:ext cx="714683" cy="3456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𝑛=(𝑛_0∗𝑁)/(𝑛_0+𝑁)</a:t>
              </a:r>
              <a:endParaRPr lang="es-CL" sz="1100"/>
            </a:p>
          </xdr:txBody>
        </xdr:sp>
      </mc:Fallback>
    </mc:AlternateContent>
    <xdr:clientData/>
  </xdr:oneCellAnchor>
  <xdr:twoCellAnchor>
    <xdr:from>
      <xdr:col>36</xdr:col>
      <xdr:colOff>470297</xdr:colOff>
      <xdr:row>72</xdr:row>
      <xdr:rowOff>359551</xdr:rowOff>
    </xdr:from>
    <xdr:to>
      <xdr:col>40</xdr:col>
      <xdr:colOff>565548</xdr:colOff>
      <xdr:row>87</xdr:row>
      <xdr:rowOff>19031</xdr:rowOff>
    </xdr:to>
    <xdr:graphicFrame macro="">
      <xdr:nvGraphicFramePr>
        <xdr:cNvPr id="27" name="Gráfico 26">
          <a:extLst>
            <a:ext uri="{FF2B5EF4-FFF2-40B4-BE49-F238E27FC236}">
              <a16:creationId xmlns:a16="http://schemas.microsoft.com/office/drawing/2014/main" id="{00000000-0008-0000-00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28</xdr:col>
      <xdr:colOff>925111</xdr:colOff>
      <xdr:row>71</xdr:row>
      <xdr:rowOff>1189</xdr:rowOff>
    </xdr:from>
    <xdr:ext cx="1001043" cy="173766"/>
    <mc:AlternateContent xmlns:mc="http://schemas.openxmlformats.org/markup-compatibility/2006" xmlns:a14="http://schemas.microsoft.com/office/drawing/2010/main">
      <mc:Choice Requires="a14">
        <xdr:sp macro="" textlink="">
          <xdr:nvSpPr>
            <xdr:cNvPr id="28" name="CuadroTexto 27">
              <a:extLst>
                <a:ext uri="{FF2B5EF4-FFF2-40B4-BE49-F238E27FC236}">
                  <a16:creationId xmlns:a16="http://schemas.microsoft.com/office/drawing/2014/main" id="{00000000-0008-0000-0000-00001C000000}"/>
                </a:ext>
              </a:extLst>
            </xdr:cNvPr>
            <xdr:cNvSpPr txBox="1"/>
          </xdr:nvSpPr>
          <xdr:spPr>
            <a:xfrm>
              <a:off x="26856924" y="37339189"/>
              <a:ext cx="100104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𝑡</m:t>
                        </m:r>
                      </m:sub>
                    </m:sSub>
                    <m:r>
                      <a:rPr lang="es-ES" sz="1100" b="0" i="1">
                        <a:latin typeface="Cambria Math" panose="02040503050406030204" pitchFamily="18" charset="0"/>
                      </a:rPr>
                      <m:t>=</m:t>
                    </m:r>
                    <m:r>
                      <a:rPr lang="es-ES" sz="1100" b="0" i="1">
                        <a:latin typeface="Cambria Math" panose="02040503050406030204" pitchFamily="18" charset="0"/>
                      </a:rPr>
                      <m:t>𝑚</m:t>
                    </m:r>
                    <m:r>
                      <a:rPr lang="es-ES" sz="1100" b="0" i="1">
                        <a:latin typeface="Cambria Math" panose="02040503050406030204" pitchFamily="18" charset="0"/>
                      </a:rPr>
                      <m:t>∗</m:t>
                    </m:r>
                    <m:r>
                      <a:rPr lang="es-ES" sz="1100" b="0" i="1">
                        <a:latin typeface="Cambria Math" panose="02040503050406030204" pitchFamily="18" charset="0"/>
                      </a:rPr>
                      <m:t>𝑃</m:t>
                    </m:r>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0</m:t>
                        </m:r>
                      </m:sub>
                    </m:sSub>
                  </m:oMath>
                </m:oMathPara>
              </a14:m>
              <a:endParaRPr lang="es-CL" sz="1100"/>
            </a:p>
          </xdr:txBody>
        </xdr:sp>
      </mc:Choice>
      <mc:Fallback xmlns="">
        <xdr:sp macro="" textlink="">
          <xdr:nvSpPr>
            <xdr:cNvPr id="28" name="CuadroTexto 27">
              <a:extLst>
                <a:ext uri="{FF2B5EF4-FFF2-40B4-BE49-F238E27FC236}">
                  <a16:creationId xmlns:a16="http://schemas.microsoft.com/office/drawing/2014/main" id="{00000000-0008-0000-0000-00001C000000}"/>
                </a:ext>
              </a:extLst>
            </xdr:cNvPr>
            <xdr:cNvSpPr txBox="1"/>
          </xdr:nvSpPr>
          <xdr:spPr>
            <a:xfrm>
              <a:off x="26856924" y="37339189"/>
              <a:ext cx="100104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𝐸_𝑡=𝑚∗𝑃+𝐸_0</a:t>
              </a:r>
              <a:endParaRPr lang="es-CL" sz="1100"/>
            </a:p>
          </xdr:txBody>
        </xdr:sp>
      </mc:Fallback>
    </mc:AlternateContent>
    <xdr:clientData/>
  </xdr:oneCellAnchor>
  <xdr:twoCellAnchor>
    <xdr:from>
      <xdr:col>32</xdr:col>
      <xdr:colOff>714374</xdr:colOff>
      <xdr:row>104</xdr:row>
      <xdr:rowOff>35718</xdr:rowOff>
    </xdr:from>
    <xdr:to>
      <xdr:col>36</xdr:col>
      <xdr:colOff>309563</xdr:colOff>
      <xdr:row>122</xdr:row>
      <xdr:rowOff>59531</xdr:rowOff>
    </xdr:to>
    <xdr:graphicFrame macro="">
      <xdr:nvGraphicFramePr>
        <xdr:cNvPr id="25" name="Gráfico 24">
          <a:extLst>
            <a:ext uri="{FF2B5EF4-FFF2-40B4-BE49-F238E27FC236}">
              <a16:creationId xmlns:a16="http://schemas.microsoft.com/office/drawing/2014/main" id="{00000000-0008-0000-00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13</xdr:col>
      <xdr:colOff>678657</xdr:colOff>
      <xdr:row>99</xdr:row>
      <xdr:rowOff>83344</xdr:rowOff>
    </xdr:from>
    <xdr:ext cx="846322" cy="339708"/>
    <mc:AlternateContent xmlns:mc="http://schemas.openxmlformats.org/markup-compatibility/2006" xmlns:a14="http://schemas.microsoft.com/office/drawing/2010/main">
      <mc:Choice Requires="a14">
        <xdr:sp macro="" textlink="">
          <xdr:nvSpPr>
            <xdr:cNvPr id="29" name="CuadroTexto 28">
              <a:extLst>
                <a:ext uri="{FF2B5EF4-FFF2-40B4-BE49-F238E27FC236}">
                  <a16:creationId xmlns:a16="http://schemas.microsoft.com/office/drawing/2014/main" id="{00000000-0008-0000-0000-00001D000000}"/>
                </a:ext>
              </a:extLst>
            </xdr:cNvPr>
            <xdr:cNvSpPr txBox="1"/>
          </xdr:nvSpPr>
          <xdr:spPr>
            <a:xfrm>
              <a:off x="1714501" y="40683657"/>
              <a:ext cx="846322" cy="339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𝑛</m:t>
                        </m:r>
                      </m:e>
                      <m:sub>
                        <m:r>
                          <a:rPr lang="es-ES" sz="1100" b="0" i="1">
                            <a:latin typeface="Cambria Math" panose="02040503050406030204" pitchFamily="18" charset="0"/>
                          </a:rPr>
                          <m:t>𝑜</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𝑧</m:t>
                            </m:r>
                          </m:e>
                          <m:sup>
                            <m:r>
                              <a:rPr lang="es-ES" sz="1100" b="0" i="1">
                                <a:latin typeface="Cambria Math" panose="02040503050406030204" pitchFamily="18" charset="0"/>
                              </a:rPr>
                              <m:t>2</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r>
                              <a:rPr lang="es-ES" sz="1100" b="0" i="1">
                                <a:latin typeface="Cambria Math" panose="02040503050406030204" pitchFamily="18" charset="0"/>
                              </a:rPr>
                              <m:t>𝑐𝑣</m:t>
                            </m:r>
                          </m:e>
                          <m:sup>
                            <m:r>
                              <a:rPr lang="es-ES" sz="1100" b="0" i="1">
                                <a:latin typeface="Cambria Math" panose="02040503050406030204" pitchFamily="18" charset="0"/>
                              </a:rPr>
                              <m:t>2</m:t>
                            </m:r>
                          </m:sup>
                        </m:sSup>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𝑒</m:t>
                            </m:r>
                          </m:e>
                          <m:sup>
                            <m:r>
                              <a:rPr lang="es-ES" sz="1100" b="0" i="1">
                                <a:latin typeface="Cambria Math" panose="02040503050406030204" pitchFamily="18" charset="0"/>
                              </a:rPr>
                              <m:t>2</m:t>
                            </m:r>
                          </m:sup>
                        </m:sSup>
                      </m:den>
                    </m:f>
                  </m:oMath>
                </m:oMathPara>
              </a14:m>
              <a:endParaRPr lang="es-CL" sz="1100"/>
            </a:p>
          </xdr:txBody>
        </xdr:sp>
      </mc:Choice>
      <mc:Fallback xmlns="">
        <xdr:sp macro="" textlink="">
          <xdr:nvSpPr>
            <xdr:cNvPr id="29" name="CuadroTexto 28">
              <a:extLst>
                <a:ext uri="{FF2B5EF4-FFF2-40B4-BE49-F238E27FC236}">
                  <a16:creationId xmlns:a16="http://schemas.microsoft.com/office/drawing/2014/main" id="{6BDBFB66-7B18-4204-BED8-F9D1E82F490E}"/>
                </a:ext>
              </a:extLst>
            </xdr:cNvPr>
            <xdr:cNvSpPr txBox="1"/>
          </xdr:nvSpPr>
          <xdr:spPr>
            <a:xfrm>
              <a:off x="1714501" y="40683657"/>
              <a:ext cx="846322" cy="339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𝑛</a:t>
              </a:r>
              <a:r>
                <a:rPr lang="es-CL" sz="1100" b="0" i="0">
                  <a:latin typeface="Cambria Math" panose="02040503050406030204" pitchFamily="18" charset="0"/>
                </a:rPr>
                <a:t>_</a:t>
              </a:r>
              <a:r>
                <a:rPr lang="es-ES" sz="1100" b="0" i="0">
                  <a:latin typeface="Cambria Math" panose="02040503050406030204" pitchFamily="18" charset="0"/>
                </a:rPr>
                <a:t>𝑜=(𝑧^2∗〖𝑐𝑣〗^2)/𝑒^2 </a:t>
              </a:r>
              <a:endParaRPr lang="es-CL" sz="1100"/>
            </a:p>
          </xdr:txBody>
        </xdr:sp>
      </mc:Fallback>
    </mc:AlternateContent>
    <xdr:clientData/>
  </xdr:oneCellAnchor>
  <xdr:oneCellAnchor>
    <xdr:from>
      <xdr:col>13</xdr:col>
      <xdr:colOff>714375</xdr:colOff>
      <xdr:row>108</xdr:row>
      <xdr:rowOff>166687</xdr:rowOff>
    </xdr:from>
    <xdr:ext cx="714683" cy="345607"/>
    <mc:AlternateContent xmlns:mc="http://schemas.openxmlformats.org/markup-compatibility/2006" xmlns:a14="http://schemas.microsoft.com/office/drawing/2010/main">
      <mc:Choice Requires="a14">
        <xdr:sp macro="" textlink="">
          <xdr:nvSpPr>
            <xdr:cNvPr id="30" name="CuadroTexto 29">
              <a:extLst>
                <a:ext uri="{FF2B5EF4-FFF2-40B4-BE49-F238E27FC236}">
                  <a16:creationId xmlns:a16="http://schemas.microsoft.com/office/drawing/2014/main" id="{00000000-0008-0000-0000-00001E000000}"/>
                </a:ext>
              </a:extLst>
            </xdr:cNvPr>
            <xdr:cNvSpPr txBox="1"/>
          </xdr:nvSpPr>
          <xdr:spPr>
            <a:xfrm>
              <a:off x="1750219" y="42493406"/>
              <a:ext cx="714683" cy="3456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𝑛</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𝑛</m:t>
                            </m:r>
                          </m:e>
                          <m:sub>
                            <m:r>
                              <a:rPr lang="es-ES" sz="1100" b="0" i="1">
                                <a:latin typeface="Cambria Math" panose="02040503050406030204" pitchFamily="18" charset="0"/>
                              </a:rPr>
                              <m:t>0</m:t>
                            </m:r>
                          </m:sub>
                        </m:sSub>
                        <m:r>
                          <a:rPr lang="es-ES" sz="1100" b="0" i="1">
                            <a:latin typeface="Cambria Math" panose="02040503050406030204" pitchFamily="18" charset="0"/>
                          </a:rPr>
                          <m:t>∗</m:t>
                        </m:r>
                        <m:r>
                          <a:rPr lang="es-ES" sz="1100" b="0" i="1">
                            <a:latin typeface="Cambria Math" panose="02040503050406030204" pitchFamily="18" charset="0"/>
                          </a:rPr>
                          <m:t>𝑁</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𝑛</m:t>
                            </m:r>
                          </m:e>
                          <m:sub>
                            <m:r>
                              <a:rPr lang="es-ES" sz="1100" b="0" i="1">
                                <a:latin typeface="Cambria Math" panose="02040503050406030204" pitchFamily="18" charset="0"/>
                              </a:rPr>
                              <m:t>0</m:t>
                            </m:r>
                          </m:sub>
                        </m:sSub>
                        <m:r>
                          <a:rPr lang="es-ES" sz="1100" b="0" i="1">
                            <a:latin typeface="Cambria Math" panose="02040503050406030204" pitchFamily="18" charset="0"/>
                          </a:rPr>
                          <m:t>+</m:t>
                        </m:r>
                        <m:r>
                          <a:rPr lang="es-ES" sz="1100" b="0" i="1">
                            <a:latin typeface="Cambria Math" panose="02040503050406030204" pitchFamily="18" charset="0"/>
                          </a:rPr>
                          <m:t>𝑁</m:t>
                        </m:r>
                      </m:den>
                    </m:f>
                  </m:oMath>
                </m:oMathPara>
              </a14:m>
              <a:endParaRPr lang="es-CL" sz="1100"/>
            </a:p>
          </xdr:txBody>
        </xdr:sp>
      </mc:Choice>
      <mc:Fallback xmlns="">
        <xdr:sp macro="" textlink="">
          <xdr:nvSpPr>
            <xdr:cNvPr id="30" name="CuadroTexto 29">
              <a:extLst>
                <a:ext uri="{FF2B5EF4-FFF2-40B4-BE49-F238E27FC236}">
                  <a16:creationId xmlns:a16="http://schemas.microsoft.com/office/drawing/2014/main" id="{B75EBF53-C26A-48A7-8BBA-F63A747F1D41}"/>
                </a:ext>
              </a:extLst>
            </xdr:cNvPr>
            <xdr:cNvSpPr txBox="1"/>
          </xdr:nvSpPr>
          <xdr:spPr>
            <a:xfrm>
              <a:off x="1750219" y="42493406"/>
              <a:ext cx="714683" cy="3456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𝑛=(𝑛_0∗𝑁)/(𝑛_0+𝑁)</a:t>
              </a:r>
              <a:endParaRPr lang="es-CL" sz="1100"/>
            </a:p>
          </xdr:txBody>
        </xdr:sp>
      </mc:Fallback>
    </mc:AlternateContent>
    <xdr:clientData/>
  </xdr:oneCellAnchor>
  <xdr:twoCellAnchor>
    <xdr:from>
      <xdr:col>25</xdr:col>
      <xdr:colOff>142875</xdr:colOff>
      <xdr:row>98</xdr:row>
      <xdr:rowOff>166687</xdr:rowOff>
    </xdr:from>
    <xdr:to>
      <xdr:col>26</xdr:col>
      <xdr:colOff>49841</xdr:colOff>
      <xdr:row>100</xdr:row>
      <xdr:rowOff>47625</xdr:rowOff>
    </xdr:to>
    <xdr:sp macro="" textlink="">
      <xdr:nvSpPr>
        <xdr:cNvPr id="33" name="Rectángulo: esquinas redondeadas 32">
          <a:extLst>
            <a:ext uri="{FF2B5EF4-FFF2-40B4-BE49-F238E27FC236}">
              <a16:creationId xmlns:a16="http://schemas.microsoft.com/office/drawing/2014/main" id="{00000000-0008-0000-0000-000021000000}"/>
            </a:ext>
          </a:extLst>
        </xdr:cNvPr>
        <xdr:cNvSpPr/>
      </xdr:nvSpPr>
      <xdr:spPr>
        <a:xfrm>
          <a:off x="22062281" y="42922031"/>
          <a:ext cx="1109498" cy="261938"/>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34</xdr:col>
      <xdr:colOff>315654</xdr:colOff>
      <xdr:row>86</xdr:row>
      <xdr:rowOff>1</xdr:rowOff>
    </xdr:from>
    <xdr:to>
      <xdr:col>35</xdr:col>
      <xdr:colOff>66453</xdr:colOff>
      <xdr:row>87</xdr:row>
      <xdr:rowOff>33228</xdr:rowOff>
    </xdr:to>
    <xdr:sp macro="" textlink="">
      <xdr:nvSpPr>
        <xdr:cNvPr id="34" name="Rectángulo: esquinas redondeadas 33">
          <a:extLst>
            <a:ext uri="{FF2B5EF4-FFF2-40B4-BE49-F238E27FC236}">
              <a16:creationId xmlns:a16="http://schemas.microsoft.com/office/drawing/2014/main" id="{00000000-0008-0000-0000-000022000000}"/>
            </a:ext>
          </a:extLst>
        </xdr:cNvPr>
        <xdr:cNvSpPr/>
      </xdr:nvSpPr>
      <xdr:spPr>
        <a:xfrm>
          <a:off x="31248672" y="39435824"/>
          <a:ext cx="947232" cy="219081"/>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34</xdr:col>
      <xdr:colOff>749346</xdr:colOff>
      <xdr:row>144</xdr:row>
      <xdr:rowOff>30654</xdr:rowOff>
    </xdr:from>
    <xdr:to>
      <xdr:col>35</xdr:col>
      <xdr:colOff>48829</xdr:colOff>
      <xdr:row>144</xdr:row>
      <xdr:rowOff>180175</xdr:rowOff>
    </xdr:to>
    <xdr:sp macro="" textlink="">
      <xdr:nvSpPr>
        <xdr:cNvPr id="36" name="Rectángulo: esquinas redondeadas 35">
          <a:extLst>
            <a:ext uri="{FF2B5EF4-FFF2-40B4-BE49-F238E27FC236}">
              <a16:creationId xmlns:a16="http://schemas.microsoft.com/office/drawing/2014/main" id="{00000000-0008-0000-0000-000024000000}"/>
            </a:ext>
          </a:extLst>
        </xdr:cNvPr>
        <xdr:cNvSpPr/>
      </xdr:nvSpPr>
      <xdr:spPr>
        <a:xfrm>
          <a:off x="36001837" y="28019500"/>
          <a:ext cx="498434" cy="149521"/>
        </a:xfrm>
        <a:prstGeom prst="roundRect">
          <a:avLst/>
        </a:prstGeom>
        <a:noFill/>
        <a:ln w="95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34</xdr:col>
      <xdr:colOff>746014</xdr:colOff>
      <xdr:row>146</xdr:row>
      <xdr:rowOff>25987</xdr:rowOff>
    </xdr:from>
    <xdr:to>
      <xdr:col>35</xdr:col>
      <xdr:colOff>55853</xdr:colOff>
      <xdr:row>146</xdr:row>
      <xdr:rowOff>175508</xdr:rowOff>
    </xdr:to>
    <xdr:sp macro="" textlink="">
      <xdr:nvSpPr>
        <xdr:cNvPr id="39" name="Rectángulo: esquinas redondeadas 38">
          <a:extLst>
            <a:ext uri="{FF2B5EF4-FFF2-40B4-BE49-F238E27FC236}">
              <a16:creationId xmlns:a16="http://schemas.microsoft.com/office/drawing/2014/main" id="{00000000-0008-0000-0000-000027000000}"/>
            </a:ext>
          </a:extLst>
        </xdr:cNvPr>
        <xdr:cNvSpPr/>
      </xdr:nvSpPr>
      <xdr:spPr>
        <a:xfrm>
          <a:off x="35998505" y="28394501"/>
          <a:ext cx="508790" cy="149521"/>
        </a:xfrm>
        <a:prstGeom prst="roundRect">
          <a:avLst/>
        </a:prstGeom>
        <a:noFill/>
        <a:ln w="95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34</xdr:col>
      <xdr:colOff>669415</xdr:colOff>
      <xdr:row>156</xdr:row>
      <xdr:rowOff>22158</xdr:rowOff>
    </xdr:from>
    <xdr:to>
      <xdr:col>35</xdr:col>
      <xdr:colOff>28638</xdr:colOff>
      <xdr:row>156</xdr:row>
      <xdr:rowOff>171679</xdr:rowOff>
    </xdr:to>
    <xdr:sp macro="" textlink="">
      <xdr:nvSpPr>
        <xdr:cNvPr id="40" name="Rectángulo: esquinas redondeadas 39">
          <a:extLst>
            <a:ext uri="{FF2B5EF4-FFF2-40B4-BE49-F238E27FC236}">
              <a16:creationId xmlns:a16="http://schemas.microsoft.com/office/drawing/2014/main" id="{00000000-0008-0000-0000-000028000000}"/>
            </a:ext>
          </a:extLst>
        </xdr:cNvPr>
        <xdr:cNvSpPr/>
      </xdr:nvSpPr>
      <xdr:spPr>
        <a:xfrm>
          <a:off x="35921906" y="30328976"/>
          <a:ext cx="558174" cy="149521"/>
        </a:xfrm>
        <a:prstGeom prst="roundRect">
          <a:avLst/>
        </a:prstGeom>
        <a:noFill/>
        <a:ln w="95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34</xdr:col>
      <xdr:colOff>669415</xdr:colOff>
      <xdr:row>157</xdr:row>
      <xdr:rowOff>19501</xdr:rowOff>
    </xdr:from>
    <xdr:to>
      <xdr:col>35</xdr:col>
      <xdr:colOff>25978</xdr:colOff>
      <xdr:row>157</xdr:row>
      <xdr:rowOff>169022</xdr:rowOff>
    </xdr:to>
    <xdr:sp macro="" textlink="">
      <xdr:nvSpPr>
        <xdr:cNvPr id="41" name="Rectángulo: esquinas redondeadas 40">
          <a:extLst>
            <a:ext uri="{FF2B5EF4-FFF2-40B4-BE49-F238E27FC236}">
              <a16:creationId xmlns:a16="http://schemas.microsoft.com/office/drawing/2014/main" id="{00000000-0008-0000-0000-000029000000}"/>
            </a:ext>
          </a:extLst>
        </xdr:cNvPr>
        <xdr:cNvSpPr/>
      </xdr:nvSpPr>
      <xdr:spPr>
        <a:xfrm>
          <a:off x="35921906" y="30516153"/>
          <a:ext cx="555514" cy="149521"/>
        </a:xfrm>
        <a:prstGeom prst="roundRect">
          <a:avLst/>
        </a:prstGeom>
        <a:noFill/>
        <a:ln w="95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37</xdr:col>
      <xdr:colOff>299737</xdr:colOff>
      <xdr:row>157</xdr:row>
      <xdr:rowOff>27688</xdr:rowOff>
    </xdr:from>
    <xdr:to>
      <xdr:col>38</xdr:col>
      <xdr:colOff>6661</xdr:colOff>
      <xdr:row>157</xdr:row>
      <xdr:rowOff>177209</xdr:rowOff>
    </xdr:to>
    <xdr:sp macro="" textlink="">
      <xdr:nvSpPr>
        <xdr:cNvPr id="42" name="Rectángulo: esquinas redondeadas 41">
          <a:extLst>
            <a:ext uri="{FF2B5EF4-FFF2-40B4-BE49-F238E27FC236}">
              <a16:creationId xmlns:a16="http://schemas.microsoft.com/office/drawing/2014/main" id="{00000000-0008-0000-0000-00002A000000}"/>
            </a:ext>
          </a:extLst>
        </xdr:cNvPr>
        <xdr:cNvSpPr/>
      </xdr:nvSpPr>
      <xdr:spPr>
        <a:xfrm>
          <a:off x="39868452" y="30524340"/>
          <a:ext cx="572833" cy="149521"/>
        </a:xfrm>
        <a:prstGeom prst="roundRect">
          <a:avLst/>
        </a:prstGeom>
        <a:noFill/>
        <a:ln w="952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25</xdr:col>
      <xdr:colOff>460375</xdr:colOff>
      <xdr:row>174</xdr:row>
      <xdr:rowOff>47625</xdr:rowOff>
    </xdr:from>
    <xdr:to>
      <xdr:col>25</xdr:col>
      <xdr:colOff>460887</xdr:colOff>
      <xdr:row>175</xdr:row>
      <xdr:rowOff>165920</xdr:rowOff>
    </xdr:to>
    <xdr:cxnSp macro="">
      <xdr:nvCxnSpPr>
        <xdr:cNvPr id="47" name="Conector recto de flecha 46">
          <a:extLst>
            <a:ext uri="{FF2B5EF4-FFF2-40B4-BE49-F238E27FC236}">
              <a16:creationId xmlns:a16="http://schemas.microsoft.com/office/drawing/2014/main" id="{00000000-0008-0000-0000-00002F000000}"/>
            </a:ext>
          </a:extLst>
        </xdr:cNvPr>
        <xdr:cNvCxnSpPr/>
      </xdr:nvCxnSpPr>
      <xdr:spPr>
        <a:xfrm>
          <a:off x="22036036" y="53897673"/>
          <a:ext cx="512" cy="308795"/>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26</xdr:col>
      <xdr:colOff>718984</xdr:colOff>
      <xdr:row>174</xdr:row>
      <xdr:rowOff>15363</xdr:rowOff>
    </xdr:from>
    <xdr:to>
      <xdr:col>28</xdr:col>
      <xdr:colOff>181282</xdr:colOff>
      <xdr:row>176</xdr:row>
      <xdr:rowOff>52234</xdr:rowOff>
    </xdr:to>
    <xdr:cxnSp macro="">
      <xdr:nvCxnSpPr>
        <xdr:cNvPr id="49" name="Conector recto de flecha 48">
          <a:extLst>
            <a:ext uri="{FF2B5EF4-FFF2-40B4-BE49-F238E27FC236}">
              <a16:creationId xmlns:a16="http://schemas.microsoft.com/office/drawing/2014/main" id="{00000000-0008-0000-0000-000031000000}"/>
            </a:ext>
          </a:extLst>
        </xdr:cNvPr>
        <xdr:cNvCxnSpPr/>
      </xdr:nvCxnSpPr>
      <xdr:spPr>
        <a:xfrm>
          <a:off x="23400774" y="53865411"/>
          <a:ext cx="1004734" cy="417871"/>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25</xdr:col>
      <xdr:colOff>368009</xdr:colOff>
      <xdr:row>173</xdr:row>
      <xdr:rowOff>8659</xdr:rowOff>
    </xdr:from>
    <xdr:to>
      <xdr:col>25</xdr:col>
      <xdr:colOff>1147328</xdr:colOff>
      <xdr:row>173</xdr:row>
      <xdr:rowOff>181841</xdr:rowOff>
    </xdr:to>
    <xdr:sp macro="" textlink="">
      <xdr:nvSpPr>
        <xdr:cNvPr id="52" name="Rectángulo: esquinas redondeadas 51">
          <a:extLst>
            <a:ext uri="{FF2B5EF4-FFF2-40B4-BE49-F238E27FC236}">
              <a16:creationId xmlns:a16="http://schemas.microsoft.com/office/drawing/2014/main" id="{00000000-0008-0000-0000-000034000000}"/>
            </a:ext>
          </a:extLst>
        </xdr:cNvPr>
        <xdr:cNvSpPr/>
      </xdr:nvSpPr>
      <xdr:spPr>
        <a:xfrm>
          <a:off x="22489822" y="53693940"/>
          <a:ext cx="779319" cy="17318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28</xdr:col>
      <xdr:colOff>35719</xdr:colOff>
      <xdr:row>191</xdr:row>
      <xdr:rowOff>23812</xdr:rowOff>
    </xdr:from>
    <xdr:to>
      <xdr:col>29</xdr:col>
      <xdr:colOff>35718</xdr:colOff>
      <xdr:row>192</xdr:row>
      <xdr:rowOff>11906</xdr:rowOff>
    </xdr:to>
    <xdr:sp macro="" textlink="">
      <xdr:nvSpPr>
        <xdr:cNvPr id="37" name="Rectángulo: esquinas redondeadas 36">
          <a:extLst>
            <a:ext uri="{FF2B5EF4-FFF2-40B4-BE49-F238E27FC236}">
              <a16:creationId xmlns:a16="http://schemas.microsoft.com/office/drawing/2014/main" id="{00000000-0008-0000-0000-000025000000}"/>
            </a:ext>
          </a:extLst>
        </xdr:cNvPr>
        <xdr:cNvSpPr/>
      </xdr:nvSpPr>
      <xdr:spPr>
        <a:xfrm>
          <a:off x="24276844" y="57150000"/>
          <a:ext cx="892968" cy="178594"/>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25</xdr:col>
      <xdr:colOff>1059656</xdr:colOff>
      <xdr:row>208</xdr:row>
      <xdr:rowOff>47625</xdr:rowOff>
    </xdr:from>
    <xdr:to>
      <xdr:col>28</xdr:col>
      <xdr:colOff>166687</xdr:colOff>
      <xdr:row>209</xdr:row>
      <xdr:rowOff>35719</xdr:rowOff>
    </xdr:to>
    <xdr:cxnSp macro="">
      <xdr:nvCxnSpPr>
        <xdr:cNvPr id="51" name="Conector recto de flecha 50">
          <a:extLst>
            <a:ext uri="{FF2B5EF4-FFF2-40B4-BE49-F238E27FC236}">
              <a16:creationId xmlns:a16="http://schemas.microsoft.com/office/drawing/2014/main" id="{00000000-0008-0000-0000-000033000000}"/>
            </a:ext>
          </a:extLst>
        </xdr:cNvPr>
        <xdr:cNvCxnSpPr/>
      </xdr:nvCxnSpPr>
      <xdr:spPr>
        <a:xfrm flipV="1">
          <a:off x="22645687" y="60448031"/>
          <a:ext cx="1881188" cy="178594"/>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oneCellAnchor>
    <xdr:from>
      <xdr:col>24</xdr:col>
      <xdr:colOff>259726</xdr:colOff>
      <xdr:row>133</xdr:row>
      <xdr:rowOff>48814</xdr:rowOff>
    </xdr:from>
    <xdr:ext cx="1860317" cy="500137"/>
    <mc:AlternateContent xmlns:mc="http://schemas.openxmlformats.org/markup-compatibility/2006" xmlns:a14="http://schemas.microsoft.com/office/drawing/2010/main">
      <mc:Choice Requires="a14">
        <xdr:sp macro="" textlink="">
          <xdr:nvSpPr>
            <xdr:cNvPr id="53" name="CuadroTexto 52">
              <a:extLst>
                <a:ext uri="{FF2B5EF4-FFF2-40B4-BE49-F238E27FC236}">
                  <a16:creationId xmlns:a16="http://schemas.microsoft.com/office/drawing/2014/main" id="{00000000-0008-0000-0000-000035000000}"/>
                </a:ext>
              </a:extLst>
            </xdr:cNvPr>
            <xdr:cNvSpPr txBox="1"/>
          </xdr:nvSpPr>
          <xdr:spPr>
            <a:xfrm>
              <a:off x="22191039" y="26040158"/>
              <a:ext cx="1860317"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𝑆</m:t>
                        </m:r>
                      </m:e>
                      <m:sub>
                        <m:r>
                          <a:rPr lang="es-ES" sz="1100" b="0" i="1">
                            <a:latin typeface="Cambria Math" panose="02040503050406030204" pitchFamily="18" charset="0"/>
                          </a:rPr>
                          <m:t>𝑥𝑦</m:t>
                        </m:r>
                      </m:sub>
                    </m:sSub>
                    <m:r>
                      <a:rPr lang="es-ES" sz="1100" b="0" i="1">
                        <a:latin typeface="Cambria Math" panose="02040503050406030204" pitchFamily="18" charset="0"/>
                      </a:rPr>
                      <m:t>=</m:t>
                    </m:r>
                    <m:rad>
                      <m:radPr>
                        <m:degHide m:val="on"/>
                        <m:ctrlPr>
                          <a:rPr lang="es-ES" sz="1100" b="0" i="1">
                            <a:latin typeface="Cambria Math" panose="02040503050406030204" pitchFamily="18" charset="0"/>
                          </a:rPr>
                        </m:ctrlPr>
                      </m:radPr>
                      <m:deg/>
                      <m:e>
                        <m:f>
                          <m:fPr>
                            <m:ctrlPr>
                              <a:rPr lang="es-ES" sz="1100" b="0" i="1">
                                <a:latin typeface="Cambria Math" panose="02040503050406030204" pitchFamily="18" charset="0"/>
                              </a:rPr>
                            </m:ctrlPr>
                          </m:fPr>
                          <m:num>
                            <m:nary>
                              <m:naryPr>
                                <m:chr m:val="∑"/>
                                <m:subHide m:val="on"/>
                                <m:supHide m:val="on"/>
                                <m:ctrlPr>
                                  <a:rPr lang="es-ES" sz="1100" b="0" i="1">
                                    <a:latin typeface="Cambria Math" panose="02040503050406030204" pitchFamily="18" charset="0"/>
                                  </a:rPr>
                                </m:ctrlPr>
                              </m:naryPr>
                              <m:sub/>
                              <m:sup/>
                              <m:e>
                                <m:sSup>
                                  <m:sSupPr>
                                    <m:ctrlPr>
                                      <a:rPr lang="es-ES" sz="1100" b="0" i="1">
                                        <a:latin typeface="Cambria Math" panose="02040503050406030204" pitchFamily="18" charset="0"/>
                                      </a:rPr>
                                    </m:ctrlPr>
                                  </m:sSupPr>
                                  <m:e>
                                    <m:r>
                                      <a:rPr lang="es-ES" sz="1100" b="0" i="1">
                                        <a:latin typeface="Cambria Math" panose="02040503050406030204" pitchFamily="18" charset="0"/>
                                      </a:rPr>
                                      <m:t>𝑌</m:t>
                                    </m:r>
                                  </m:e>
                                  <m:sup>
                                    <m:r>
                                      <a:rPr lang="es-ES" sz="1100" b="0" i="1">
                                        <a:latin typeface="Cambria Math" panose="02040503050406030204" pitchFamily="18" charset="0"/>
                                      </a:rPr>
                                      <m:t>2</m:t>
                                    </m:r>
                                  </m:sup>
                                </m:sSup>
                              </m:e>
                            </m:nary>
                            <m:r>
                              <a:rPr lang="es-ES" sz="1100" b="0" i="1">
                                <a:latin typeface="Cambria Math" panose="02040503050406030204" pitchFamily="18" charset="0"/>
                              </a:rPr>
                              <m:t>−</m:t>
                            </m:r>
                            <m:r>
                              <a:rPr lang="es-ES" sz="1100" b="0" i="1">
                                <a:latin typeface="Cambria Math" panose="02040503050406030204" pitchFamily="18" charset="0"/>
                              </a:rPr>
                              <m:t>𝑎</m:t>
                            </m:r>
                            <m:nary>
                              <m:naryPr>
                                <m:chr m:val="∑"/>
                                <m:subHide m:val="on"/>
                                <m:supHide m:val="on"/>
                                <m:ctrlPr>
                                  <a:rPr lang="es-ES" sz="1100" b="0" i="1">
                                    <a:latin typeface="Cambria Math" panose="02040503050406030204" pitchFamily="18" charset="0"/>
                                  </a:rPr>
                                </m:ctrlPr>
                              </m:naryPr>
                              <m:sub/>
                              <m:sup/>
                              <m:e>
                                <m:r>
                                  <a:rPr lang="es-ES" sz="1100" b="0" i="1">
                                    <a:latin typeface="Cambria Math" panose="02040503050406030204" pitchFamily="18" charset="0"/>
                                  </a:rPr>
                                  <m:t>𝑌</m:t>
                                </m:r>
                              </m:e>
                            </m:nary>
                            <m:r>
                              <a:rPr lang="es-ES" sz="1100" b="0" i="1">
                                <a:latin typeface="Cambria Math" panose="02040503050406030204" pitchFamily="18" charset="0"/>
                              </a:rPr>
                              <m:t>−</m:t>
                            </m:r>
                            <m:r>
                              <a:rPr lang="es-ES" sz="1100" b="0" i="1">
                                <a:latin typeface="Cambria Math" panose="02040503050406030204" pitchFamily="18" charset="0"/>
                              </a:rPr>
                              <m:t>𝑏</m:t>
                            </m:r>
                            <m:nary>
                              <m:naryPr>
                                <m:chr m:val="∑"/>
                                <m:subHide m:val="on"/>
                                <m:supHide m:val="on"/>
                                <m:ctrlPr>
                                  <a:rPr lang="es-ES" sz="1100" b="0" i="1">
                                    <a:latin typeface="Cambria Math" panose="02040503050406030204" pitchFamily="18" charset="0"/>
                                  </a:rPr>
                                </m:ctrlPr>
                              </m:naryPr>
                              <m:sub/>
                              <m:sup/>
                              <m:e>
                                <m:r>
                                  <a:rPr lang="es-ES" sz="1100" b="0" i="1">
                                    <a:latin typeface="Cambria Math" panose="02040503050406030204" pitchFamily="18" charset="0"/>
                                  </a:rPr>
                                  <m:t>𝑋𝑌</m:t>
                                </m:r>
                              </m:e>
                            </m:nary>
                          </m:num>
                          <m:den>
                            <m:r>
                              <a:rPr lang="es-ES" sz="1100" b="0" i="1">
                                <a:latin typeface="Cambria Math" panose="02040503050406030204" pitchFamily="18" charset="0"/>
                              </a:rPr>
                              <m:t>𝑛</m:t>
                            </m:r>
                            <m:r>
                              <a:rPr lang="es-ES" sz="1100" b="0" i="1">
                                <a:latin typeface="Cambria Math" panose="02040503050406030204" pitchFamily="18" charset="0"/>
                              </a:rPr>
                              <m:t>−2</m:t>
                            </m:r>
                          </m:den>
                        </m:f>
                      </m:e>
                    </m:rad>
                  </m:oMath>
                </m:oMathPara>
              </a14:m>
              <a:endParaRPr lang="es-CL" sz="1100"/>
            </a:p>
          </xdr:txBody>
        </xdr:sp>
      </mc:Choice>
      <mc:Fallback xmlns="">
        <xdr:sp macro="" textlink="">
          <xdr:nvSpPr>
            <xdr:cNvPr id="53" name="CuadroTexto 52">
              <a:extLst>
                <a:ext uri="{FF2B5EF4-FFF2-40B4-BE49-F238E27FC236}">
                  <a16:creationId xmlns:a16="http://schemas.microsoft.com/office/drawing/2014/main" id="{00000000-0008-0000-0000-000035000000}"/>
                </a:ext>
              </a:extLst>
            </xdr:cNvPr>
            <xdr:cNvSpPr txBox="1"/>
          </xdr:nvSpPr>
          <xdr:spPr>
            <a:xfrm>
              <a:off x="22191039" y="26040158"/>
              <a:ext cx="1860317"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𝑆</a:t>
              </a:r>
              <a:r>
                <a:rPr lang="es-CL" sz="1100" b="0" i="0">
                  <a:latin typeface="Cambria Math" panose="02040503050406030204" pitchFamily="18" charset="0"/>
                </a:rPr>
                <a:t>_</a:t>
              </a:r>
              <a:r>
                <a:rPr lang="es-ES" sz="1100" b="0" i="0">
                  <a:latin typeface="Cambria Math" panose="02040503050406030204" pitchFamily="18" charset="0"/>
                </a:rPr>
                <a:t>𝑥𝑦=√((∑▒𝑌^2 −𝑎∑▒𝑌−𝑏∑▒𝑋𝑌)/(𝑛−2))</a:t>
              </a:r>
              <a:endParaRPr lang="es-CL" sz="1100"/>
            </a:p>
          </xdr:txBody>
        </xdr:sp>
      </mc:Fallback>
    </mc:AlternateContent>
    <xdr:clientData/>
  </xdr:oneCellAnchor>
  <xdr:oneCellAnchor>
    <xdr:from>
      <xdr:col>26</xdr:col>
      <xdr:colOff>83342</xdr:colOff>
      <xdr:row>217</xdr:row>
      <xdr:rowOff>178593</xdr:rowOff>
    </xdr:from>
    <xdr:ext cx="1860317" cy="500137"/>
    <mc:AlternateContent xmlns:mc="http://schemas.openxmlformats.org/markup-compatibility/2006" xmlns:a14="http://schemas.microsoft.com/office/drawing/2010/main">
      <mc:Choice Requires="a14">
        <xdr:sp macro="" textlink="">
          <xdr:nvSpPr>
            <xdr:cNvPr id="54" name="CuadroTexto 53">
              <a:extLst>
                <a:ext uri="{FF2B5EF4-FFF2-40B4-BE49-F238E27FC236}">
                  <a16:creationId xmlns:a16="http://schemas.microsoft.com/office/drawing/2014/main" id="{00000000-0008-0000-0000-000036000000}"/>
                </a:ext>
              </a:extLst>
            </xdr:cNvPr>
            <xdr:cNvSpPr txBox="1"/>
          </xdr:nvSpPr>
          <xdr:spPr>
            <a:xfrm>
              <a:off x="22776655" y="63817499"/>
              <a:ext cx="1860317"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𝑆</m:t>
                        </m:r>
                      </m:e>
                      <m:sub>
                        <m:r>
                          <a:rPr lang="es-ES" sz="1100" b="0" i="1">
                            <a:latin typeface="Cambria Math" panose="02040503050406030204" pitchFamily="18" charset="0"/>
                          </a:rPr>
                          <m:t>𝑦𝑥</m:t>
                        </m:r>
                      </m:sub>
                    </m:sSub>
                    <m:r>
                      <a:rPr lang="es-ES" sz="1100" b="0" i="1">
                        <a:latin typeface="Cambria Math" panose="02040503050406030204" pitchFamily="18" charset="0"/>
                      </a:rPr>
                      <m:t>=</m:t>
                    </m:r>
                    <m:rad>
                      <m:radPr>
                        <m:degHide m:val="on"/>
                        <m:ctrlPr>
                          <a:rPr lang="es-ES" sz="1100" b="0" i="1">
                            <a:latin typeface="Cambria Math" panose="02040503050406030204" pitchFamily="18" charset="0"/>
                          </a:rPr>
                        </m:ctrlPr>
                      </m:radPr>
                      <m:deg/>
                      <m:e>
                        <m:f>
                          <m:fPr>
                            <m:ctrlPr>
                              <a:rPr lang="es-ES" sz="1100" b="0" i="1">
                                <a:latin typeface="Cambria Math" panose="02040503050406030204" pitchFamily="18" charset="0"/>
                              </a:rPr>
                            </m:ctrlPr>
                          </m:fPr>
                          <m:num>
                            <m:nary>
                              <m:naryPr>
                                <m:chr m:val="∑"/>
                                <m:subHide m:val="on"/>
                                <m:supHide m:val="on"/>
                                <m:ctrlPr>
                                  <a:rPr lang="es-ES" sz="1100" b="0" i="1">
                                    <a:latin typeface="Cambria Math" panose="02040503050406030204" pitchFamily="18" charset="0"/>
                                  </a:rPr>
                                </m:ctrlPr>
                              </m:naryPr>
                              <m:sub/>
                              <m:sup/>
                              <m:e>
                                <m:sSup>
                                  <m:sSupPr>
                                    <m:ctrlPr>
                                      <a:rPr lang="es-ES" sz="1100" b="0" i="1">
                                        <a:latin typeface="Cambria Math" panose="02040503050406030204" pitchFamily="18" charset="0"/>
                                      </a:rPr>
                                    </m:ctrlPr>
                                  </m:sSupPr>
                                  <m:e>
                                    <m:r>
                                      <a:rPr lang="es-ES" sz="1100" b="0" i="1">
                                        <a:latin typeface="Cambria Math" panose="02040503050406030204" pitchFamily="18" charset="0"/>
                                      </a:rPr>
                                      <m:t>𝑌</m:t>
                                    </m:r>
                                  </m:e>
                                  <m:sup>
                                    <m:r>
                                      <a:rPr lang="es-ES" sz="1100" b="0" i="1">
                                        <a:latin typeface="Cambria Math" panose="02040503050406030204" pitchFamily="18" charset="0"/>
                                      </a:rPr>
                                      <m:t>2</m:t>
                                    </m:r>
                                  </m:sup>
                                </m:sSup>
                              </m:e>
                            </m:nary>
                            <m:r>
                              <a:rPr lang="es-ES" sz="1100" b="0" i="1">
                                <a:latin typeface="Cambria Math" panose="02040503050406030204" pitchFamily="18" charset="0"/>
                              </a:rPr>
                              <m:t>−</m:t>
                            </m:r>
                            <m:r>
                              <a:rPr lang="es-ES" sz="1100" b="0" i="1">
                                <a:latin typeface="Cambria Math" panose="02040503050406030204" pitchFamily="18" charset="0"/>
                              </a:rPr>
                              <m:t>𝑎</m:t>
                            </m:r>
                            <m:nary>
                              <m:naryPr>
                                <m:chr m:val="∑"/>
                                <m:subHide m:val="on"/>
                                <m:supHide m:val="on"/>
                                <m:ctrlPr>
                                  <a:rPr lang="es-ES" sz="1100" b="0" i="1">
                                    <a:latin typeface="Cambria Math" panose="02040503050406030204" pitchFamily="18" charset="0"/>
                                  </a:rPr>
                                </m:ctrlPr>
                              </m:naryPr>
                              <m:sub/>
                              <m:sup/>
                              <m:e>
                                <m:r>
                                  <a:rPr lang="es-ES" sz="1100" b="0" i="1">
                                    <a:latin typeface="Cambria Math" panose="02040503050406030204" pitchFamily="18" charset="0"/>
                                  </a:rPr>
                                  <m:t>𝑌</m:t>
                                </m:r>
                              </m:e>
                            </m:nary>
                            <m:r>
                              <a:rPr lang="es-ES" sz="1100" b="0" i="1">
                                <a:latin typeface="Cambria Math" panose="02040503050406030204" pitchFamily="18" charset="0"/>
                              </a:rPr>
                              <m:t>−</m:t>
                            </m:r>
                            <m:r>
                              <a:rPr lang="es-ES" sz="1100" b="0" i="1">
                                <a:latin typeface="Cambria Math" panose="02040503050406030204" pitchFamily="18" charset="0"/>
                              </a:rPr>
                              <m:t>𝑏</m:t>
                            </m:r>
                            <m:nary>
                              <m:naryPr>
                                <m:chr m:val="∑"/>
                                <m:subHide m:val="on"/>
                                <m:supHide m:val="on"/>
                                <m:ctrlPr>
                                  <a:rPr lang="es-ES" sz="1100" b="0" i="1">
                                    <a:latin typeface="Cambria Math" panose="02040503050406030204" pitchFamily="18" charset="0"/>
                                  </a:rPr>
                                </m:ctrlPr>
                              </m:naryPr>
                              <m:sub/>
                              <m:sup/>
                              <m:e>
                                <m:r>
                                  <a:rPr lang="es-ES" sz="1100" b="0" i="1">
                                    <a:latin typeface="Cambria Math" panose="02040503050406030204" pitchFamily="18" charset="0"/>
                                  </a:rPr>
                                  <m:t>𝑋𝑌</m:t>
                                </m:r>
                              </m:e>
                            </m:nary>
                          </m:num>
                          <m:den>
                            <m:r>
                              <a:rPr lang="es-ES" sz="1100" b="0" i="1">
                                <a:latin typeface="Cambria Math" panose="02040503050406030204" pitchFamily="18" charset="0"/>
                              </a:rPr>
                              <m:t>𝑛</m:t>
                            </m:r>
                            <m:r>
                              <a:rPr lang="es-ES" sz="1100" b="0" i="1">
                                <a:latin typeface="Cambria Math" panose="02040503050406030204" pitchFamily="18" charset="0"/>
                              </a:rPr>
                              <m:t>−2</m:t>
                            </m:r>
                          </m:den>
                        </m:f>
                      </m:e>
                    </m:rad>
                  </m:oMath>
                </m:oMathPara>
              </a14:m>
              <a:endParaRPr lang="es-CL" sz="1100"/>
            </a:p>
          </xdr:txBody>
        </xdr:sp>
      </mc:Choice>
      <mc:Fallback xmlns="">
        <xdr:sp macro="" textlink="">
          <xdr:nvSpPr>
            <xdr:cNvPr id="54" name="CuadroTexto 53">
              <a:extLst>
                <a:ext uri="{FF2B5EF4-FFF2-40B4-BE49-F238E27FC236}">
                  <a16:creationId xmlns:a16="http://schemas.microsoft.com/office/drawing/2014/main" id="{98791BF4-F72F-4396-B028-B0DB344CB528}"/>
                </a:ext>
              </a:extLst>
            </xdr:cNvPr>
            <xdr:cNvSpPr txBox="1"/>
          </xdr:nvSpPr>
          <xdr:spPr>
            <a:xfrm>
              <a:off x="22776655" y="63817499"/>
              <a:ext cx="1860317"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𝑆</a:t>
              </a:r>
              <a:r>
                <a:rPr lang="es-CL" sz="1100" b="0" i="0">
                  <a:latin typeface="Cambria Math" panose="02040503050406030204" pitchFamily="18" charset="0"/>
                </a:rPr>
                <a:t>_</a:t>
              </a:r>
              <a:r>
                <a:rPr lang="es-ES" sz="1100" b="0" i="0">
                  <a:latin typeface="Cambria Math" panose="02040503050406030204" pitchFamily="18" charset="0"/>
                </a:rPr>
                <a:t>𝑦𝑥=√((∑▒𝑌^2 −𝑎∑▒𝑌−𝑏∑▒𝑋𝑌)/(𝑛−2))</a:t>
              </a:r>
              <a:endParaRPr lang="es-CL" sz="1100"/>
            </a:p>
          </xdr:txBody>
        </xdr:sp>
      </mc:Fallback>
    </mc:AlternateContent>
    <xdr:clientData/>
  </xdr:oneCellAnchor>
  <xdr:oneCellAnchor>
    <xdr:from>
      <xdr:col>23</xdr:col>
      <xdr:colOff>155971</xdr:colOff>
      <xdr:row>238</xdr:row>
      <xdr:rowOff>167877</xdr:rowOff>
    </xdr:from>
    <xdr:ext cx="2996077" cy="173766"/>
    <mc:AlternateContent xmlns:mc="http://schemas.openxmlformats.org/markup-compatibility/2006" xmlns:a14="http://schemas.microsoft.com/office/drawing/2010/main">
      <mc:Choice Requires="a14">
        <xdr:sp macro="" textlink="">
          <xdr:nvSpPr>
            <xdr:cNvPr id="55" name="CuadroTexto 54">
              <a:extLst>
                <a:ext uri="{FF2B5EF4-FFF2-40B4-BE49-F238E27FC236}">
                  <a16:creationId xmlns:a16="http://schemas.microsoft.com/office/drawing/2014/main" id="{00000000-0008-0000-0000-000037000000}"/>
                </a:ext>
              </a:extLst>
            </xdr:cNvPr>
            <xdr:cNvSpPr txBox="1"/>
          </xdr:nvSpPr>
          <xdr:spPr>
            <a:xfrm>
              <a:off x="20087034" y="67819190"/>
              <a:ext cx="299607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𝑌𝑚𝑒𝑑𝑖𝑜</m:t>
                    </m:r>
                    <m:r>
                      <a:rPr lang="es-ES" sz="1100" b="0" i="1">
                        <a:latin typeface="Cambria Math" panose="02040503050406030204" pitchFamily="18" charset="0"/>
                      </a:rPr>
                      <m:t>=</m:t>
                    </m:r>
                    <m:r>
                      <a:rPr lang="es-ES" sz="1100" b="0" i="1">
                        <a:latin typeface="Cambria Math" panose="02040503050406030204" pitchFamily="18" charset="0"/>
                      </a:rPr>
                      <m:t>𝑉𝑎𝑟𝑖𝑎𝑏𝑙𝑒𝑋</m:t>
                    </m:r>
                    <m:r>
                      <a:rPr lang="es-ES" sz="1100" b="0" i="1">
                        <a:latin typeface="Cambria Math" panose="02040503050406030204" pitchFamily="18" charset="0"/>
                      </a:rPr>
                      <m:t>1∗</m:t>
                    </m:r>
                    <m:r>
                      <a:rPr lang="es-ES" sz="1100" b="0" i="1">
                        <a:latin typeface="Cambria Math" panose="02040503050406030204" pitchFamily="18" charset="0"/>
                      </a:rPr>
                      <m:t>𝑋𝑚𝑒𝑑𝑖𝑜</m:t>
                    </m:r>
                    <m:r>
                      <a:rPr lang="es-ES" sz="1100" b="0" i="1">
                        <a:latin typeface="Cambria Math" panose="02040503050406030204" pitchFamily="18" charset="0"/>
                      </a:rPr>
                      <m:t>+</m:t>
                    </m:r>
                    <m:r>
                      <a:rPr lang="es-ES" sz="1100" b="0" i="1">
                        <a:latin typeface="Cambria Math" panose="02040503050406030204" pitchFamily="18" charset="0"/>
                      </a:rPr>
                      <m:t>𝐼𝑛𝑡𝑒𝑟𝑐𝑒𝑝𝑐𝑖</m:t>
                    </m:r>
                    <m:r>
                      <a:rPr lang="es-ES" sz="1100" b="0" i="1">
                        <a:latin typeface="Cambria Math" panose="02040503050406030204" pitchFamily="18" charset="0"/>
                      </a:rPr>
                      <m:t>ó</m:t>
                    </m:r>
                    <m:r>
                      <a:rPr lang="es-ES" sz="1100" b="0" i="1">
                        <a:latin typeface="Cambria Math" panose="02040503050406030204" pitchFamily="18" charset="0"/>
                      </a:rPr>
                      <m:t>𝑛</m:t>
                    </m:r>
                  </m:oMath>
                </m:oMathPara>
              </a14:m>
              <a:endParaRPr lang="es-CL" sz="1100"/>
            </a:p>
          </xdr:txBody>
        </xdr:sp>
      </mc:Choice>
      <mc:Fallback xmlns="">
        <xdr:sp macro="" textlink="">
          <xdr:nvSpPr>
            <xdr:cNvPr id="55" name="CuadroTexto 54">
              <a:extLst>
                <a:ext uri="{FF2B5EF4-FFF2-40B4-BE49-F238E27FC236}">
                  <a16:creationId xmlns:a16="http://schemas.microsoft.com/office/drawing/2014/main" id="{575B6744-5158-B9A9-7E24-D518A6339734}"/>
                </a:ext>
              </a:extLst>
            </xdr:cNvPr>
            <xdr:cNvSpPr txBox="1"/>
          </xdr:nvSpPr>
          <xdr:spPr>
            <a:xfrm>
              <a:off x="20087034" y="67819190"/>
              <a:ext cx="299607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𝑌𝑚𝑒𝑑𝑖𝑜=𝑉𝑎𝑟𝑖𝑎𝑏𝑙𝑒𝑋1∗𝑋𝑚𝑒𝑑𝑖𝑜+𝐼𝑛𝑡𝑒𝑟𝑐𝑒𝑝𝑐𝑖ó𝑛</a:t>
              </a:r>
              <a:endParaRPr lang="es-CL" sz="1100"/>
            </a:p>
          </xdr:txBody>
        </xdr:sp>
      </mc:Fallback>
    </mc:AlternateContent>
    <xdr:clientData/>
  </xdr:oneCellAnchor>
  <xdr:oneCellAnchor>
    <xdr:from>
      <xdr:col>31</xdr:col>
      <xdr:colOff>787002</xdr:colOff>
      <xdr:row>283</xdr:row>
      <xdr:rowOff>0</xdr:rowOff>
    </xdr:from>
    <xdr:ext cx="65" cy="172227"/>
    <xdr:sp macro="" textlink="">
      <xdr:nvSpPr>
        <xdr:cNvPr id="44" name="CuadroTexto 43">
          <a:extLst>
            <a:ext uri="{FF2B5EF4-FFF2-40B4-BE49-F238E27FC236}">
              <a16:creationId xmlns:a16="http://schemas.microsoft.com/office/drawing/2014/main" id="{00000000-0008-0000-0000-00002C000000}"/>
            </a:ext>
          </a:extLst>
        </xdr:cNvPr>
        <xdr:cNvSpPr txBox="1"/>
      </xdr:nvSpPr>
      <xdr:spPr>
        <a:xfrm>
          <a:off x="29873971" y="752367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L" sz="1100"/>
        </a:p>
      </xdr:txBody>
    </xdr:sp>
    <xdr:clientData/>
  </xdr:oneCellAnchor>
  <xdr:oneCellAnchor>
    <xdr:from>
      <xdr:col>26</xdr:col>
      <xdr:colOff>280137</xdr:colOff>
      <xdr:row>283</xdr:row>
      <xdr:rowOff>174681</xdr:rowOff>
    </xdr:from>
    <xdr:ext cx="736355" cy="173766"/>
    <mc:AlternateContent xmlns:mc="http://schemas.openxmlformats.org/markup-compatibility/2006" xmlns:a14="http://schemas.microsoft.com/office/drawing/2010/main">
      <mc:Choice Requires="a14">
        <xdr:sp macro="" textlink="">
          <xdr:nvSpPr>
            <xdr:cNvPr id="50" name="CuadroTexto 49">
              <a:extLst>
                <a:ext uri="{FF2B5EF4-FFF2-40B4-BE49-F238E27FC236}">
                  <a16:creationId xmlns:a16="http://schemas.microsoft.com/office/drawing/2014/main" id="{00000000-0008-0000-0000-000032000000}"/>
                </a:ext>
              </a:extLst>
            </xdr:cNvPr>
            <xdr:cNvSpPr txBox="1"/>
          </xdr:nvSpPr>
          <xdr:spPr>
            <a:xfrm>
              <a:off x="24487244" y="54889002"/>
              <a:ext cx="73635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𝑦</m:t>
                    </m:r>
                    <m:r>
                      <a:rPr lang="es-ES" sz="1100" b="0" i="1">
                        <a:latin typeface="Cambria Math" panose="02040503050406030204" pitchFamily="18" charset="0"/>
                      </a:rPr>
                      <m:t>=</m:t>
                    </m:r>
                    <m:r>
                      <a:rPr lang="es-ES" sz="1100" b="0" i="1">
                        <a:latin typeface="Cambria Math" panose="02040503050406030204" pitchFamily="18" charset="0"/>
                      </a:rPr>
                      <m:t>𝑚𝑥</m:t>
                    </m:r>
                    <m:r>
                      <a:rPr lang="es-ES" sz="1100" b="0" i="1">
                        <a:latin typeface="Cambria Math" panose="02040503050406030204" pitchFamily="18" charset="0"/>
                      </a:rPr>
                      <m:t>+</m:t>
                    </m:r>
                    <m:r>
                      <a:rPr lang="es-ES" sz="1100" b="0" i="1">
                        <a:latin typeface="Cambria Math" panose="02040503050406030204" pitchFamily="18" charset="0"/>
                      </a:rPr>
                      <m:t>𝑏</m:t>
                    </m:r>
                  </m:oMath>
                </m:oMathPara>
              </a14:m>
              <a:endParaRPr lang="es-CL" sz="1100"/>
            </a:p>
          </xdr:txBody>
        </xdr:sp>
      </mc:Choice>
      <mc:Fallback xmlns="">
        <xdr:sp macro="" textlink="">
          <xdr:nvSpPr>
            <xdr:cNvPr id="50" name="CuadroTexto 49">
              <a:extLst>
                <a:ext uri="{FF2B5EF4-FFF2-40B4-BE49-F238E27FC236}">
                  <a16:creationId xmlns:a16="http://schemas.microsoft.com/office/drawing/2014/main" id="{00000000-0008-0000-0000-000032000000}"/>
                </a:ext>
              </a:extLst>
            </xdr:cNvPr>
            <xdr:cNvSpPr txBox="1"/>
          </xdr:nvSpPr>
          <xdr:spPr>
            <a:xfrm>
              <a:off x="24487244" y="54889002"/>
              <a:ext cx="73635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𝑦=𝑚𝑥+𝑏</a:t>
              </a:r>
              <a:endParaRPr lang="es-CL" sz="1100"/>
            </a:p>
          </xdr:txBody>
        </xdr:sp>
      </mc:Fallback>
    </mc:AlternateContent>
    <xdr:clientData/>
  </xdr:oneCellAnchor>
  <xdr:twoCellAnchor>
    <xdr:from>
      <xdr:col>26</xdr:col>
      <xdr:colOff>381000</xdr:colOff>
      <xdr:row>318</xdr:row>
      <xdr:rowOff>154781</xdr:rowOff>
    </xdr:from>
    <xdr:to>
      <xdr:col>32</xdr:col>
      <xdr:colOff>250031</xdr:colOff>
      <xdr:row>321</xdr:row>
      <xdr:rowOff>107156</xdr:rowOff>
    </xdr:to>
    <xdr:cxnSp macro="">
      <xdr:nvCxnSpPr>
        <xdr:cNvPr id="57" name="Conector: curvado 56">
          <a:extLst>
            <a:ext uri="{FF2B5EF4-FFF2-40B4-BE49-F238E27FC236}">
              <a16:creationId xmlns:a16="http://schemas.microsoft.com/office/drawing/2014/main" id="{00000000-0008-0000-0000-000039000000}"/>
            </a:ext>
          </a:extLst>
        </xdr:cNvPr>
        <xdr:cNvCxnSpPr/>
      </xdr:nvCxnSpPr>
      <xdr:spPr>
        <a:xfrm>
          <a:off x="23705344" y="86094094"/>
          <a:ext cx="6893718" cy="726281"/>
        </a:xfrm>
        <a:prstGeom prst="curvedConnector3">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25</xdr:col>
      <xdr:colOff>460375</xdr:colOff>
      <xdr:row>351</xdr:row>
      <xdr:rowOff>47625</xdr:rowOff>
    </xdr:from>
    <xdr:to>
      <xdr:col>25</xdr:col>
      <xdr:colOff>460887</xdr:colOff>
      <xdr:row>352</xdr:row>
      <xdr:rowOff>165920</xdr:rowOff>
    </xdr:to>
    <xdr:cxnSp macro="">
      <xdr:nvCxnSpPr>
        <xdr:cNvPr id="71" name="Conector recto de flecha 70">
          <a:extLst>
            <a:ext uri="{FF2B5EF4-FFF2-40B4-BE49-F238E27FC236}">
              <a16:creationId xmlns:a16="http://schemas.microsoft.com/office/drawing/2014/main" id="{00000000-0008-0000-0000-000047000000}"/>
            </a:ext>
          </a:extLst>
        </xdr:cNvPr>
        <xdr:cNvCxnSpPr/>
      </xdr:nvCxnSpPr>
      <xdr:spPr>
        <a:xfrm>
          <a:off x="22582188" y="53935313"/>
          <a:ext cx="512" cy="308795"/>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26</xdr:col>
      <xdr:colOff>718984</xdr:colOff>
      <xdr:row>351</xdr:row>
      <xdr:rowOff>15363</xdr:rowOff>
    </xdr:from>
    <xdr:to>
      <xdr:col>28</xdr:col>
      <xdr:colOff>181282</xdr:colOff>
      <xdr:row>353</xdr:row>
      <xdr:rowOff>52234</xdr:rowOff>
    </xdr:to>
    <xdr:cxnSp macro="">
      <xdr:nvCxnSpPr>
        <xdr:cNvPr id="72" name="Conector recto de flecha 71">
          <a:extLst>
            <a:ext uri="{FF2B5EF4-FFF2-40B4-BE49-F238E27FC236}">
              <a16:creationId xmlns:a16="http://schemas.microsoft.com/office/drawing/2014/main" id="{00000000-0008-0000-0000-000048000000}"/>
            </a:ext>
          </a:extLst>
        </xdr:cNvPr>
        <xdr:cNvCxnSpPr/>
      </xdr:nvCxnSpPr>
      <xdr:spPr>
        <a:xfrm>
          <a:off x="24043328" y="53903051"/>
          <a:ext cx="2069767" cy="417871"/>
        </a:xfrm>
        <a:prstGeom prst="straightConnector1">
          <a:avLst/>
        </a:prstGeom>
        <a:ln>
          <a:tailEnd type="triangle"/>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25</xdr:col>
      <xdr:colOff>368009</xdr:colOff>
      <xdr:row>350</xdr:row>
      <xdr:rowOff>8659</xdr:rowOff>
    </xdr:from>
    <xdr:to>
      <xdr:col>25</xdr:col>
      <xdr:colOff>1147328</xdr:colOff>
      <xdr:row>350</xdr:row>
      <xdr:rowOff>181841</xdr:rowOff>
    </xdr:to>
    <xdr:sp macro="" textlink="">
      <xdr:nvSpPr>
        <xdr:cNvPr id="73" name="Rectángulo: esquinas redondeadas 72">
          <a:extLst>
            <a:ext uri="{FF2B5EF4-FFF2-40B4-BE49-F238E27FC236}">
              <a16:creationId xmlns:a16="http://schemas.microsoft.com/office/drawing/2014/main" id="{00000000-0008-0000-0000-000049000000}"/>
            </a:ext>
          </a:extLst>
        </xdr:cNvPr>
        <xdr:cNvSpPr/>
      </xdr:nvSpPr>
      <xdr:spPr>
        <a:xfrm>
          <a:off x="22489822" y="53693940"/>
          <a:ext cx="779319" cy="17318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28</xdr:col>
      <xdr:colOff>35719</xdr:colOff>
      <xdr:row>368</xdr:row>
      <xdr:rowOff>23812</xdr:rowOff>
    </xdr:from>
    <xdr:to>
      <xdr:col>29</xdr:col>
      <xdr:colOff>35718</xdr:colOff>
      <xdr:row>369</xdr:row>
      <xdr:rowOff>11906</xdr:rowOff>
    </xdr:to>
    <xdr:sp macro="" textlink="">
      <xdr:nvSpPr>
        <xdr:cNvPr id="76" name="Rectángulo: esquinas redondeadas 75">
          <a:extLst>
            <a:ext uri="{FF2B5EF4-FFF2-40B4-BE49-F238E27FC236}">
              <a16:creationId xmlns:a16="http://schemas.microsoft.com/office/drawing/2014/main" id="{00000000-0008-0000-0000-00004C000000}"/>
            </a:ext>
          </a:extLst>
        </xdr:cNvPr>
        <xdr:cNvSpPr/>
      </xdr:nvSpPr>
      <xdr:spPr>
        <a:xfrm>
          <a:off x="25967532" y="57173812"/>
          <a:ext cx="988217" cy="178594"/>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40</xdr:col>
      <xdr:colOff>212782</xdr:colOff>
      <xdr:row>372</xdr:row>
      <xdr:rowOff>24046</xdr:rowOff>
    </xdr:from>
    <xdr:to>
      <xdr:col>40</xdr:col>
      <xdr:colOff>736657</xdr:colOff>
      <xdr:row>372</xdr:row>
      <xdr:rowOff>172693</xdr:rowOff>
    </xdr:to>
    <xdr:sp macro="" textlink="">
      <xdr:nvSpPr>
        <xdr:cNvPr id="78" name="Rectángulo: esquinas redondeadas 77">
          <a:extLst>
            <a:ext uri="{FF2B5EF4-FFF2-40B4-BE49-F238E27FC236}">
              <a16:creationId xmlns:a16="http://schemas.microsoft.com/office/drawing/2014/main" id="{00000000-0008-0000-0000-00004E000000}"/>
            </a:ext>
          </a:extLst>
        </xdr:cNvPr>
        <xdr:cNvSpPr/>
      </xdr:nvSpPr>
      <xdr:spPr>
        <a:xfrm>
          <a:off x="43217915" y="72293170"/>
          <a:ext cx="523875" cy="148647"/>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39</xdr:col>
      <xdr:colOff>542390</xdr:colOff>
      <xdr:row>384</xdr:row>
      <xdr:rowOff>18615</xdr:rowOff>
    </xdr:from>
    <xdr:to>
      <xdr:col>39</xdr:col>
      <xdr:colOff>869489</xdr:colOff>
      <xdr:row>384</xdr:row>
      <xdr:rowOff>170429</xdr:rowOff>
    </xdr:to>
    <xdr:sp macro="" textlink="">
      <xdr:nvSpPr>
        <xdr:cNvPr id="79" name="Rectángulo: esquinas redondeadas 78">
          <a:extLst>
            <a:ext uri="{FF2B5EF4-FFF2-40B4-BE49-F238E27FC236}">
              <a16:creationId xmlns:a16="http://schemas.microsoft.com/office/drawing/2014/main" id="{00000000-0008-0000-0000-00004F000000}"/>
            </a:ext>
          </a:extLst>
        </xdr:cNvPr>
        <xdr:cNvSpPr/>
      </xdr:nvSpPr>
      <xdr:spPr>
        <a:xfrm>
          <a:off x="42167124" y="74579541"/>
          <a:ext cx="327099" cy="151814"/>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40</xdr:col>
      <xdr:colOff>210443</xdr:colOff>
      <xdr:row>384</xdr:row>
      <xdr:rowOff>18655</xdr:rowOff>
    </xdr:from>
    <xdr:to>
      <xdr:col>40</xdr:col>
      <xdr:colOff>734318</xdr:colOff>
      <xdr:row>384</xdr:row>
      <xdr:rowOff>170469</xdr:rowOff>
    </xdr:to>
    <xdr:sp macro="" textlink="">
      <xdr:nvSpPr>
        <xdr:cNvPr id="80" name="Rectángulo: esquinas redondeadas 79">
          <a:extLst>
            <a:ext uri="{FF2B5EF4-FFF2-40B4-BE49-F238E27FC236}">
              <a16:creationId xmlns:a16="http://schemas.microsoft.com/office/drawing/2014/main" id="{00000000-0008-0000-0000-000050000000}"/>
            </a:ext>
          </a:extLst>
        </xdr:cNvPr>
        <xdr:cNvSpPr/>
      </xdr:nvSpPr>
      <xdr:spPr>
        <a:xfrm>
          <a:off x="43215576" y="74579581"/>
          <a:ext cx="523875" cy="151814"/>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25</xdr:col>
      <xdr:colOff>1059656</xdr:colOff>
      <xdr:row>385</xdr:row>
      <xdr:rowOff>47625</xdr:rowOff>
    </xdr:from>
    <xdr:to>
      <xdr:col>28</xdr:col>
      <xdr:colOff>166687</xdr:colOff>
      <xdr:row>386</xdr:row>
      <xdr:rowOff>35719</xdr:rowOff>
    </xdr:to>
    <xdr:cxnSp macro="">
      <xdr:nvCxnSpPr>
        <xdr:cNvPr id="81" name="Conector recto de flecha 80">
          <a:extLst>
            <a:ext uri="{FF2B5EF4-FFF2-40B4-BE49-F238E27FC236}">
              <a16:creationId xmlns:a16="http://schemas.microsoft.com/office/drawing/2014/main" id="{00000000-0008-0000-0000-000051000000}"/>
            </a:ext>
          </a:extLst>
        </xdr:cNvPr>
        <xdr:cNvCxnSpPr/>
      </xdr:nvCxnSpPr>
      <xdr:spPr>
        <a:xfrm flipV="1">
          <a:off x="23181469" y="60448031"/>
          <a:ext cx="2917031" cy="178594"/>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oneCellAnchor>
    <xdr:from>
      <xdr:col>26</xdr:col>
      <xdr:colOff>83342</xdr:colOff>
      <xdr:row>402</xdr:row>
      <xdr:rowOff>178593</xdr:rowOff>
    </xdr:from>
    <xdr:ext cx="1860317" cy="500137"/>
    <mc:AlternateContent xmlns:mc="http://schemas.openxmlformats.org/markup-compatibility/2006" xmlns:a14="http://schemas.microsoft.com/office/drawing/2010/main">
      <mc:Choice Requires="a14">
        <xdr:sp macro="" textlink="">
          <xdr:nvSpPr>
            <xdr:cNvPr id="82" name="CuadroTexto 81">
              <a:extLst>
                <a:ext uri="{FF2B5EF4-FFF2-40B4-BE49-F238E27FC236}">
                  <a16:creationId xmlns:a16="http://schemas.microsoft.com/office/drawing/2014/main" id="{00000000-0008-0000-0000-000052000000}"/>
                </a:ext>
              </a:extLst>
            </xdr:cNvPr>
            <xdr:cNvSpPr txBox="1"/>
          </xdr:nvSpPr>
          <xdr:spPr>
            <a:xfrm>
              <a:off x="23407686" y="63817499"/>
              <a:ext cx="1860317"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𝑆</m:t>
                        </m:r>
                      </m:e>
                      <m:sub>
                        <m:r>
                          <a:rPr lang="es-ES" sz="1100" b="0" i="1">
                            <a:latin typeface="Cambria Math" panose="02040503050406030204" pitchFamily="18" charset="0"/>
                          </a:rPr>
                          <m:t>𝑦𝑥</m:t>
                        </m:r>
                      </m:sub>
                    </m:sSub>
                    <m:r>
                      <a:rPr lang="es-ES" sz="1100" b="0" i="1">
                        <a:latin typeface="Cambria Math" panose="02040503050406030204" pitchFamily="18" charset="0"/>
                      </a:rPr>
                      <m:t>=</m:t>
                    </m:r>
                    <m:rad>
                      <m:radPr>
                        <m:degHide m:val="on"/>
                        <m:ctrlPr>
                          <a:rPr lang="es-ES" sz="1100" b="0" i="1">
                            <a:latin typeface="Cambria Math" panose="02040503050406030204" pitchFamily="18" charset="0"/>
                          </a:rPr>
                        </m:ctrlPr>
                      </m:radPr>
                      <m:deg/>
                      <m:e>
                        <m:f>
                          <m:fPr>
                            <m:ctrlPr>
                              <a:rPr lang="es-ES" sz="1100" b="0" i="1">
                                <a:latin typeface="Cambria Math" panose="02040503050406030204" pitchFamily="18" charset="0"/>
                              </a:rPr>
                            </m:ctrlPr>
                          </m:fPr>
                          <m:num>
                            <m:nary>
                              <m:naryPr>
                                <m:chr m:val="∑"/>
                                <m:subHide m:val="on"/>
                                <m:supHide m:val="on"/>
                                <m:ctrlPr>
                                  <a:rPr lang="es-ES" sz="1100" b="0" i="1">
                                    <a:latin typeface="Cambria Math" panose="02040503050406030204" pitchFamily="18" charset="0"/>
                                  </a:rPr>
                                </m:ctrlPr>
                              </m:naryPr>
                              <m:sub/>
                              <m:sup/>
                              <m:e>
                                <m:sSup>
                                  <m:sSupPr>
                                    <m:ctrlPr>
                                      <a:rPr lang="es-ES" sz="1100" b="0" i="1">
                                        <a:latin typeface="Cambria Math" panose="02040503050406030204" pitchFamily="18" charset="0"/>
                                      </a:rPr>
                                    </m:ctrlPr>
                                  </m:sSupPr>
                                  <m:e>
                                    <m:r>
                                      <a:rPr lang="es-ES" sz="1100" b="0" i="1">
                                        <a:latin typeface="Cambria Math" panose="02040503050406030204" pitchFamily="18" charset="0"/>
                                      </a:rPr>
                                      <m:t>𝑌</m:t>
                                    </m:r>
                                  </m:e>
                                  <m:sup>
                                    <m:r>
                                      <a:rPr lang="es-ES" sz="1100" b="0" i="1">
                                        <a:latin typeface="Cambria Math" panose="02040503050406030204" pitchFamily="18" charset="0"/>
                                      </a:rPr>
                                      <m:t>2</m:t>
                                    </m:r>
                                  </m:sup>
                                </m:sSup>
                              </m:e>
                            </m:nary>
                            <m:r>
                              <a:rPr lang="es-ES" sz="1100" b="0" i="1">
                                <a:latin typeface="Cambria Math" panose="02040503050406030204" pitchFamily="18" charset="0"/>
                              </a:rPr>
                              <m:t>−</m:t>
                            </m:r>
                            <m:r>
                              <a:rPr lang="es-ES" sz="1100" b="0" i="1">
                                <a:latin typeface="Cambria Math" panose="02040503050406030204" pitchFamily="18" charset="0"/>
                              </a:rPr>
                              <m:t>𝑎</m:t>
                            </m:r>
                            <m:nary>
                              <m:naryPr>
                                <m:chr m:val="∑"/>
                                <m:subHide m:val="on"/>
                                <m:supHide m:val="on"/>
                                <m:ctrlPr>
                                  <a:rPr lang="es-ES" sz="1100" b="0" i="1">
                                    <a:latin typeface="Cambria Math" panose="02040503050406030204" pitchFamily="18" charset="0"/>
                                  </a:rPr>
                                </m:ctrlPr>
                              </m:naryPr>
                              <m:sub/>
                              <m:sup/>
                              <m:e>
                                <m:r>
                                  <a:rPr lang="es-ES" sz="1100" b="0" i="1">
                                    <a:latin typeface="Cambria Math" panose="02040503050406030204" pitchFamily="18" charset="0"/>
                                  </a:rPr>
                                  <m:t>𝑌</m:t>
                                </m:r>
                              </m:e>
                            </m:nary>
                            <m:r>
                              <a:rPr lang="es-ES" sz="1100" b="0" i="1">
                                <a:latin typeface="Cambria Math" panose="02040503050406030204" pitchFamily="18" charset="0"/>
                              </a:rPr>
                              <m:t>−</m:t>
                            </m:r>
                            <m:r>
                              <a:rPr lang="es-ES" sz="1100" b="0" i="1">
                                <a:latin typeface="Cambria Math" panose="02040503050406030204" pitchFamily="18" charset="0"/>
                              </a:rPr>
                              <m:t>𝑏</m:t>
                            </m:r>
                            <m:nary>
                              <m:naryPr>
                                <m:chr m:val="∑"/>
                                <m:subHide m:val="on"/>
                                <m:supHide m:val="on"/>
                                <m:ctrlPr>
                                  <a:rPr lang="es-ES" sz="1100" b="0" i="1">
                                    <a:latin typeface="Cambria Math" panose="02040503050406030204" pitchFamily="18" charset="0"/>
                                  </a:rPr>
                                </m:ctrlPr>
                              </m:naryPr>
                              <m:sub/>
                              <m:sup/>
                              <m:e>
                                <m:r>
                                  <a:rPr lang="es-ES" sz="1100" b="0" i="1">
                                    <a:latin typeface="Cambria Math" panose="02040503050406030204" pitchFamily="18" charset="0"/>
                                  </a:rPr>
                                  <m:t>𝑋𝑌</m:t>
                                </m:r>
                              </m:e>
                            </m:nary>
                          </m:num>
                          <m:den>
                            <m:r>
                              <a:rPr lang="es-ES" sz="1100" b="0" i="1">
                                <a:latin typeface="Cambria Math" panose="02040503050406030204" pitchFamily="18" charset="0"/>
                              </a:rPr>
                              <m:t>𝑛</m:t>
                            </m:r>
                            <m:r>
                              <a:rPr lang="es-ES" sz="1100" b="0" i="1">
                                <a:latin typeface="Cambria Math" panose="02040503050406030204" pitchFamily="18" charset="0"/>
                              </a:rPr>
                              <m:t>−2</m:t>
                            </m:r>
                          </m:den>
                        </m:f>
                      </m:e>
                    </m:rad>
                  </m:oMath>
                </m:oMathPara>
              </a14:m>
              <a:endParaRPr lang="es-CL" sz="1100"/>
            </a:p>
          </xdr:txBody>
        </xdr:sp>
      </mc:Choice>
      <mc:Fallback xmlns="">
        <xdr:sp macro="" textlink="">
          <xdr:nvSpPr>
            <xdr:cNvPr id="82" name="CuadroTexto 81">
              <a:extLst>
                <a:ext uri="{FF2B5EF4-FFF2-40B4-BE49-F238E27FC236}">
                  <a16:creationId xmlns:a16="http://schemas.microsoft.com/office/drawing/2014/main" id="{966D0F98-9DC5-4B45-BB98-87EDF44063D4}"/>
                </a:ext>
              </a:extLst>
            </xdr:cNvPr>
            <xdr:cNvSpPr txBox="1"/>
          </xdr:nvSpPr>
          <xdr:spPr>
            <a:xfrm>
              <a:off x="23407686" y="63817499"/>
              <a:ext cx="1860317"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𝑆</a:t>
              </a:r>
              <a:r>
                <a:rPr lang="es-CL" sz="1100" b="0" i="0">
                  <a:latin typeface="Cambria Math" panose="02040503050406030204" pitchFamily="18" charset="0"/>
                </a:rPr>
                <a:t>_</a:t>
              </a:r>
              <a:r>
                <a:rPr lang="es-ES" sz="1100" b="0" i="0">
                  <a:latin typeface="Cambria Math" panose="02040503050406030204" pitchFamily="18" charset="0"/>
                </a:rPr>
                <a:t>𝑦𝑥=√((∑▒𝑌^2 −𝑎∑▒𝑌−𝑏∑▒𝑋𝑌)/(𝑛−2))</a:t>
              </a:r>
              <a:endParaRPr lang="es-CL" sz="1100"/>
            </a:p>
          </xdr:txBody>
        </xdr:sp>
      </mc:Fallback>
    </mc:AlternateContent>
    <xdr:clientData/>
  </xdr:oneCellAnchor>
  <xdr:oneCellAnchor>
    <xdr:from>
      <xdr:col>23</xdr:col>
      <xdr:colOff>155971</xdr:colOff>
      <xdr:row>423</xdr:row>
      <xdr:rowOff>167877</xdr:rowOff>
    </xdr:from>
    <xdr:ext cx="2996077" cy="173766"/>
    <mc:AlternateContent xmlns:mc="http://schemas.openxmlformats.org/markup-compatibility/2006" xmlns:a14="http://schemas.microsoft.com/office/drawing/2010/main">
      <mc:Choice Requires="a14">
        <xdr:sp macro="" textlink="">
          <xdr:nvSpPr>
            <xdr:cNvPr id="83" name="CuadroTexto 82">
              <a:extLst>
                <a:ext uri="{FF2B5EF4-FFF2-40B4-BE49-F238E27FC236}">
                  <a16:creationId xmlns:a16="http://schemas.microsoft.com/office/drawing/2014/main" id="{00000000-0008-0000-0000-000053000000}"/>
                </a:ext>
              </a:extLst>
            </xdr:cNvPr>
            <xdr:cNvSpPr txBox="1"/>
          </xdr:nvSpPr>
          <xdr:spPr>
            <a:xfrm>
              <a:off x="20087034" y="67819190"/>
              <a:ext cx="299607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𝑌𝑚𝑒𝑑𝑖𝑜</m:t>
                    </m:r>
                    <m:r>
                      <a:rPr lang="es-ES" sz="1100" b="0" i="1">
                        <a:latin typeface="Cambria Math" panose="02040503050406030204" pitchFamily="18" charset="0"/>
                      </a:rPr>
                      <m:t>=</m:t>
                    </m:r>
                    <m:r>
                      <a:rPr lang="es-ES" sz="1100" b="0" i="1">
                        <a:latin typeface="Cambria Math" panose="02040503050406030204" pitchFamily="18" charset="0"/>
                      </a:rPr>
                      <m:t>𝑉𝑎𝑟𝑖𝑎𝑏𝑙𝑒𝑋</m:t>
                    </m:r>
                    <m:r>
                      <a:rPr lang="es-ES" sz="1100" b="0" i="1">
                        <a:latin typeface="Cambria Math" panose="02040503050406030204" pitchFamily="18" charset="0"/>
                      </a:rPr>
                      <m:t>1∗</m:t>
                    </m:r>
                    <m:r>
                      <a:rPr lang="es-ES" sz="1100" b="0" i="1">
                        <a:latin typeface="Cambria Math" panose="02040503050406030204" pitchFamily="18" charset="0"/>
                      </a:rPr>
                      <m:t>𝑋𝑚𝑒𝑑𝑖𝑜</m:t>
                    </m:r>
                    <m:r>
                      <a:rPr lang="es-ES" sz="1100" b="0" i="1">
                        <a:latin typeface="Cambria Math" panose="02040503050406030204" pitchFamily="18" charset="0"/>
                      </a:rPr>
                      <m:t>+</m:t>
                    </m:r>
                    <m:r>
                      <a:rPr lang="es-ES" sz="1100" b="0" i="1">
                        <a:latin typeface="Cambria Math" panose="02040503050406030204" pitchFamily="18" charset="0"/>
                      </a:rPr>
                      <m:t>𝐼𝑛𝑡𝑒𝑟𝑐𝑒𝑝𝑐𝑖</m:t>
                    </m:r>
                    <m:r>
                      <a:rPr lang="es-ES" sz="1100" b="0" i="1">
                        <a:latin typeface="Cambria Math" panose="02040503050406030204" pitchFamily="18" charset="0"/>
                      </a:rPr>
                      <m:t>ó</m:t>
                    </m:r>
                    <m:r>
                      <a:rPr lang="es-ES" sz="1100" b="0" i="1">
                        <a:latin typeface="Cambria Math" panose="02040503050406030204" pitchFamily="18" charset="0"/>
                      </a:rPr>
                      <m:t>𝑛</m:t>
                    </m:r>
                  </m:oMath>
                </m:oMathPara>
              </a14:m>
              <a:endParaRPr lang="es-CL" sz="1100"/>
            </a:p>
          </xdr:txBody>
        </xdr:sp>
      </mc:Choice>
      <mc:Fallback xmlns="">
        <xdr:sp macro="" textlink="">
          <xdr:nvSpPr>
            <xdr:cNvPr id="83" name="CuadroTexto 82">
              <a:extLst>
                <a:ext uri="{FF2B5EF4-FFF2-40B4-BE49-F238E27FC236}">
                  <a16:creationId xmlns:a16="http://schemas.microsoft.com/office/drawing/2014/main" id="{4FEB1612-4E99-4C0E-8C7B-4AF356F5793A}"/>
                </a:ext>
              </a:extLst>
            </xdr:cNvPr>
            <xdr:cNvSpPr txBox="1"/>
          </xdr:nvSpPr>
          <xdr:spPr>
            <a:xfrm>
              <a:off x="20087034" y="67819190"/>
              <a:ext cx="299607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𝑌𝑚𝑒𝑑𝑖𝑜=𝑉𝑎𝑟𝑖𝑎𝑏𝑙𝑒𝑋1∗𝑋𝑚𝑒𝑑𝑖𝑜+𝐼𝑛𝑡𝑒𝑟𝑐𝑒𝑝𝑐𝑖ó𝑛</a:t>
              </a:r>
              <a:endParaRPr lang="es-CL" sz="1100"/>
            </a:p>
          </xdr:txBody>
        </xdr:sp>
      </mc:Fallback>
    </mc:AlternateContent>
    <xdr:clientData/>
  </xdr:oneCellAnchor>
  <xdr:oneCellAnchor>
    <xdr:from>
      <xdr:col>26</xdr:col>
      <xdr:colOff>239315</xdr:colOff>
      <xdr:row>469</xdr:row>
      <xdr:rowOff>13094</xdr:rowOff>
    </xdr:from>
    <xdr:ext cx="736355" cy="173766"/>
    <mc:AlternateContent xmlns:mc="http://schemas.openxmlformats.org/markup-compatibility/2006" xmlns:a14="http://schemas.microsoft.com/office/drawing/2010/main">
      <mc:Choice Requires="a14">
        <xdr:sp macro="" textlink="">
          <xdr:nvSpPr>
            <xdr:cNvPr id="84" name="CuadroTexto 83">
              <a:extLst>
                <a:ext uri="{FF2B5EF4-FFF2-40B4-BE49-F238E27FC236}">
                  <a16:creationId xmlns:a16="http://schemas.microsoft.com/office/drawing/2014/main" id="{00000000-0008-0000-0000-000054000000}"/>
                </a:ext>
              </a:extLst>
            </xdr:cNvPr>
            <xdr:cNvSpPr txBox="1"/>
          </xdr:nvSpPr>
          <xdr:spPr>
            <a:xfrm>
              <a:off x="23563659" y="111419875"/>
              <a:ext cx="73635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𝑦</m:t>
                    </m:r>
                    <m:r>
                      <a:rPr lang="es-ES" sz="1100" b="0" i="1">
                        <a:latin typeface="Cambria Math" panose="02040503050406030204" pitchFamily="18" charset="0"/>
                      </a:rPr>
                      <m:t>=</m:t>
                    </m:r>
                    <m:r>
                      <a:rPr lang="es-ES" sz="1100" b="0" i="1">
                        <a:latin typeface="Cambria Math" panose="02040503050406030204" pitchFamily="18" charset="0"/>
                      </a:rPr>
                      <m:t>𝑚𝑥</m:t>
                    </m:r>
                    <m:r>
                      <a:rPr lang="es-ES" sz="1100" b="0" i="1">
                        <a:latin typeface="Cambria Math" panose="02040503050406030204" pitchFamily="18" charset="0"/>
                      </a:rPr>
                      <m:t>+</m:t>
                    </m:r>
                    <m:r>
                      <a:rPr lang="es-ES" sz="1100" b="0" i="1">
                        <a:latin typeface="Cambria Math" panose="02040503050406030204" pitchFamily="18" charset="0"/>
                      </a:rPr>
                      <m:t>𝑏</m:t>
                    </m:r>
                  </m:oMath>
                </m:oMathPara>
              </a14:m>
              <a:endParaRPr lang="es-CL" sz="1100"/>
            </a:p>
          </xdr:txBody>
        </xdr:sp>
      </mc:Choice>
      <mc:Fallback xmlns="">
        <xdr:sp macro="" textlink="">
          <xdr:nvSpPr>
            <xdr:cNvPr id="84" name="CuadroTexto 83">
              <a:extLst>
                <a:ext uri="{FF2B5EF4-FFF2-40B4-BE49-F238E27FC236}">
                  <a16:creationId xmlns:a16="http://schemas.microsoft.com/office/drawing/2014/main" id="{00000000-0008-0000-0000-000054000000}"/>
                </a:ext>
              </a:extLst>
            </xdr:cNvPr>
            <xdr:cNvSpPr txBox="1"/>
          </xdr:nvSpPr>
          <xdr:spPr>
            <a:xfrm>
              <a:off x="23563659" y="111419875"/>
              <a:ext cx="73635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𝑦=𝑚𝑥+𝑏</a:t>
              </a:r>
              <a:endParaRPr lang="es-CL" sz="1100"/>
            </a:p>
          </xdr:txBody>
        </xdr:sp>
      </mc:Fallback>
    </mc:AlternateContent>
    <xdr:clientData/>
  </xdr:oneCellAnchor>
  <xdr:oneCellAnchor>
    <xdr:from>
      <xdr:col>28</xdr:col>
      <xdr:colOff>130969</xdr:colOff>
      <xdr:row>469</xdr:row>
      <xdr:rowOff>11905</xdr:rowOff>
    </xdr:from>
    <xdr:ext cx="736355" cy="173766"/>
    <mc:AlternateContent xmlns:mc="http://schemas.openxmlformats.org/markup-compatibility/2006" xmlns:a14="http://schemas.microsoft.com/office/drawing/2010/main">
      <mc:Choice Requires="a14">
        <xdr:sp macro="" textlink="">
          <xdr:nvSpPr>
            <xdr:cNvPr id="85" name="CuadroTexto 84">
              <a:extLst>
                <a:ext uri="{FF2B5EF4-FFF2-40B4-BE49-F238E27FC236}">
                  <a16:creationId xmlns:a16="http://schemas.microsoft.com/office/drawing/2014/main" id="{00000000-0008-0000-0000-000055000000}"/>
                </a:ext>
              </a:extLst>
            </xdr:cNvPr>
            <xdr:cNvSpPr txBox="1"/>
          </xdr:nvSpPr>
          <xdr:spPr>
            <a:xfrm>
              <a:off x="26062782" y="111418686"/>
              <a:ext cx="73635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𝑦</m:t>
                    </m:r>
                    <m:r>
                      <a:rPr lang="es-ES" sz="1100" b="0" i="1">
                        <a:latin typeface="Cambria Math" panose="02040503050406030204" pitchFamily="18" charset="0"/>
                      </a:rPr>
                      <m:t>=</m:t>
                    </m:r>
                    <m:r>
                      <a:rPr lang="es-ES" sz="1100" b="0" i="1">
                        <a:latin typeface="Cambria Math" panose="02040503050406030204" pitchFamily="18" charset="0"/>
                      </a:rPr>
                      <m:t>𝑚𝑥</m:t>
                    </m:r>
                    <m:r>
                      <a:rPr lang="es-ES" sz="1100" b="0" i="1">
                        <a:latin typeface="Cambria Math" panose="02040503050406030204" pitchFamily="18" charset="0"/>
                      </a:rPr>
                      <m:t>+</m:t>
                    </m:r>
                    <m:r>
                      <a:rPr lang="es-ES" sz="1100" b="0" i="1">
                        <a:latin typeface="Cambria Math" panose="02040503050406030204" pitchFamily="18" charset="0"/>
                      </a:rPr>
                      <m:t>𝑏</m:t>
                    </m:r>
                  </m:oMath>
                </m:oMathPara>
              </a14:m>
              <a:endParaRPr lang="es-CL" sz="1100"/>
            </a:p>
          </xdr:txBody>
        </xdr:sp>
      </mc:Choice>
      <mc:Fallback xmlns="">
        <xdr:sp macro="" textlink="">
          <xdr:nvSpPr>
            <xdr:cNvPr id="85" name="CuadroTexto 84">
              <a:extLst>
                <a:ext uri="{FF2B5EF4-FFF2-40B4-BE49-F238E27FC236}">
                  <a16:creationId xmlns:a16="http://schemas.microsoft.com/office/drawing/2014/main" id="{00000000-0008-0000-0000-000055000000}"/>
                </a:ext>
              </a:extLst>
            </xdr:cNvPr>
            <xdr:cNvSpPr txBox="1"/>
          </xdr:nvSpPr>
          <xdr:spPr>
            <a:xfrm>
              <a:off x="26062782" y="111418686"/>
              <a:ext cx="73635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𝑦=𝑚𝑥+𝑏</a:t>
              </a:r>
              <a:endParaRPr lang="es-CL" sz="1100"/>
            </a:p>
          </xdr:txBody>
        </xdr:sp>
      </mc:Fallback>
    </mc:AlternateContent>
    <xdr:clientData/>
  </xdr:oneCellAnchor>
  <xdr:oneCellAnchor>
    <xdr:from>
      <xdr:col>31</xdr:col>
      <xdr:colOff>787002</xdr:colOff>
      <xdr:row>514</xdr:row>
      <xdr:rowOff>155971</xdr:rowOff>
    </xdr:from>
    <xdr:ext cx="65" cy="172227"/>
    <xdr:sp macro="" textlink="">
      <xdr:nvSpPr>
        <xdr:cNvPr id="86" name="CuadroTexto 85">
          <a:extLst>
            <a:ext uri="{FF2B5EF4-FFF2-40B4-BE49-F238E27FC236}">
              <a16:creationId xmlns:a16="http://schemas.microsoft.com/office/drawing/2014/main" id="{00000000-0008-0000-0000-000056000000}"/>
            </a:ext>
          </a:extLst>
        </xdr:cNvPr>
        <xdr:cNvSpPr txBox="1"/>
      </xdr:nvSpPr>
      <xdr:spPr>
        <a:xfrm>
          <a:off x="29873971" y="7523678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CL" sz="1100"/>
        </a:p>
      </xdr:txBody>
    </xdr:sp>
    <xdr:clientData/>
  </xdr:oneCellAnchor>
  <xdr:oneCellAnchor>
    <xdr:from>
      <xdr:col>26</xdr:col>
      <xdr:colOff>36910</xdr:colOff>
      <xdr:row>535</xdr:row>
      <xdr:rowOff>1192</xdr:rowOff>
    </xdr:from>
    <xdr:ext cx="1231811" cy="173766"/>
    <mc:AlternateContent xmlns:mc="http://schemas.openxmlformats.org/markup-compatibility/2006" xmlns:a14="http://schemas.microsoft.com/office/drawing/2010/main">
      <mc:Choice Requires="a14">
        <xdr:sp macro="" textlink="">
          <xdr:nvSpPr>
            <xdr:cNvPr id="87" name="CuadroTexto 86">
              <a:extLst>
                <a:ext uri="{FF2B5EF4-FFF2-40B4-BE49-F238E27FC236}">
                  <a16:creationId xmlns:a16="http://schemas.microsoft.com/office/drawing/2014/main" id="{00000000-0008-0000-0000-000057000000}"/>
                </a:ext>
              </a:extLst>
            </xdr:cNvPr>
            <xdr:cNvSpPr txBox="1"/>
          </xdr:nvSpPr>
          <xdr:spPr>
            <a:xfrm>
              <a:off x="23361254" y="116551473"/>
              <a:ext cx="12318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CL" sz="1100" b="0" i="1">
                            <a:latin typeface="Cambria Math" panose="02040503050406030204" pitchFamily="18" charset="0"/>
                          </a:rPr>
                          <m:t>𝑌</m:t>
                        </m:r>
                      </m:e>
                      <m:sub>
                        <m:r>
                          <a:rPr lang="es-CL" sz="1100" b="0" i="1">
                            <a:latin typeface="Cambria Math" panose="02040503050406030204" pitchFamily="18" charset="0"/>
                          </a:rPr>
                          <m:t>0</m:t>
                        </m:r>
                        <m:r>
                          <a:rPr lang="es-CL" sz="1100" b="0" i="1">
                            <a:latin typeface="Cambria Math" panose="02040503050406030204" pitchFamily="18" charset="0"/>
                          </a:rPr>
                          <m:t>𝑡𝑖</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𝑀</m:t>
                        </m:r>
                      </m:e>
                      <m:sub>
                        <m:r>
                          <a:rPr lang="es-CL" sz="1100" b="0" i="1">
                            <a:latin typeface="Cambria Math" panose="02040503050406030204" pitchFamily="18" charset="0"/>
                          </a:rPr>
                          <m:t>𝑜𝑡</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𝑋</m:t>
                        </m:r>
                      </m:e>
                      <m:sub>
                        <m:r>
                          <a:rPr lang="es-CL" sz="1100" b="0" i="1">
                            <a:latin typeface="Cambria Math" panose="02040503050406030204" pitchFamily="18" charset="0"/>
                          </a:rPr>
                          <m:t>𝑖</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𝐼</m:t>
                        </m:r>
                      </m:e>
                      <m:sub>
                        <m:r>
                          <a:rPr lang="es-CL" sz="1100" b="0" i="1">
                            <a:latin typeface="Cambria Math" panose="02040503050406030204" pitchFamily="18" charset="0"/>
                          </a:rPr>
                          <m:t>𝑜𝑡</m:t>
                        </m:r>
                      </m:sub>
                    </m:sSub>
                  </m:oMath>
                </m:oMathPara>
              </a14:m>
              <a:endParaRPr lang="es-CL" sz="1100"/>
            </a:p>
          </xdr:txBody>
        </xdr:sp>
      </mc:Choice>
      <mc:Fallback xmlns="">
        <xdr:sp macro="" textlink="">
          <xdr:nvSpPr>
            <xdr:cNvPr id="87" name="CuadroTexto 86">
              <a:extLst>
                <a:ext uri="{FF2B5EF4-FFF2-40B4-BE49-F238E27FC236}">
                  <a16:creationId xmlns:a16="http://schemas.microsoft.com/office/drawing/2014/main" id="{5B26ED58-0E32-5FC7-0785-131092D5AAA9}"/>
                </a:ext>
              </a:extLst>
            </xdr:cNvPr>
            <xdr:cNvSpPr txBox="1"/>
          </xdr:nvSpPr>
          <xdr:spPr>
            <a:xfrm>
              <a:off x="23361254" y="116551473"/>
              <a:ext cx="12318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𝑌_0𝑡𝑖=𝑀_𝑜𝑡∗𝑋_𝑖+𝐼_𝑜𝑡</a:t>
              </a:r>
              <a:endParaRPr lang="es-CL" sz="1100"/>
            </a:p>
          </xdr:txBody>
        </xdr:sp>
      </mc:Fallback>
    </mc:AlternateContent>
    <xdr:clientData/>
  </xdr:oneCellAnchor>
  <xdr:oneCellAnchor>
    <xdr:from>
      <xdr:col>26</xdr:col>
      <xdr:colOff>11907</xdr:colOff>
      <xdr:row>537</xdr:row>
      <xdr:rowOff>35719</xdr:rowOff>
    </xdr:from>
    <xdr:ext cx="1436483" cy="173766"/>
    <mc:AlternateContent xmlns:mc="http://schemas.openxmlformats.org/markup-compatibility/2006" xmlns:a14="http://schemas.microsoft.com/office/drawing/2010/main">
      <mc:Choice Requires="a14">
        <xdr:sp macro="" textlink="">
          <xdr:nvSpPr>
            <xdr:cNvPr id="88" name="CuadroTexto 87">
              <a:extLst>
                <a:ext uri="{FF2B5EF4-FFF2-40B4-BE49-F238E27FC236}">
                  <a16:creationId xmlns:a16="http://schemas.microsoft.com/office/drawing/2014/main" id="{00000000-0008-0000-0000-000058000000}"/>
                </a:ext>
              </a:extLst>
            </xdr:cNvPr>
            <xdr:cNvSpPr txBox="1"/>
          </xdr:nvSpPr>
          <xdr:spPr>
            <a:xfrm>
              <a:off x="23336251" y="116967000"/>
              <a:ext cx="143648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CL" sz="1100" b="0" i="1">
                            <a:latin typeface="Cambria Math" panose="02040503050406030204" pitchFamily="18" charset="0"/>
                          </a:rPr>
                          <m:t>𝑌</m:t>
                        </m:r>
                      </m:e>
                      <m:sub>
                        <m:r>
                          <a:rPr lang="es-CL" sz="1100" b="0" i="1">
                            <a:latin typeface="Cambria Math" panose="02040503050406030204" pitchFamily="18" charset="0"/>
                          </a:rPr>
                          <m:t>𝑚𝑜𝑖</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𝑀</m:t>
                        </m:r>
                      </m:e>
                      <m:sub>
                        <m:r>
                          <a:rPr lang="es-CL" sz="1100" b="0" i="1">
                            <a:latin typeface="Cambria Math" panose="02040503050406030204" pitchFamily="18" charset="0"/>
                          </a:rPr>
                          <m:t>𝑚𝑜</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𝑋</m:t>
                        </m:r>
                      </m:e>
                      <m:sub>
                        <m:r>
                          <a:rPr lang="es-CL" sz="1100" b="0" i="1">
                            <a:latin typeface="Cambria Math" panose="02040503050406030204" pitchFamily="18" charset="0"/>
                          </a:rPr>
                          <m:t>𝑖</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𝐼</m:t>
                        </m:r>
                      </m:e>
                      <m:sub>
                        <m:r>
                          <a:rPr lang="es-CL" sz="1100" b="0" i="1">
                            <a:latin typeface="Cambria Math" panose="02040503050406030204" pitchFamily="18" charset="0"/>
                          </a:rPr>
                          <m:t>𝑚𝑜</m:t>
                        </m:r>
                      </m:sub>
                    </m:sSub>
                  </m:oMath>
                </m:oMathPara>
              </a14:m>
              <a:endParaRPr lang="es-CL" sz="1100"/>
            </a:p>
          </xdr:txBody>
        </xdr:sp>
      </mc:Choice>
      <mc:Fallback xmlns="">
        <xdr:sp macro="" textlink="">
          <xdr:nvSpPr>
            <xdr:cNvPr id="88" name="CuadroTexto 87">
              <a:extLst>
                <a:ext uri="{FF2B5EF4-FFF2-40B4-BE49-F238E27FC236}">
                  <a16:creationId xmlns:a16="http://schemas.microsoft.com/office/drawing/2014/main" id="{0C1F492B-ABB9-4330-89A8-B9BEC7B7A078}"/>
                </a:ext>
              </a:extLst>
            </xdr:cNvPr>
            <xdr:cNvSpPr txBox="1"/>
          </xdr:nvSpPr>
          <xdr:spPr>
            <a:xfrm>
              <a:off x="23336251" y="116967000"/>
              <a:ext cx="143648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𝑌_𝑚𝑜𝑖=𝑀_𝑚𝑜∗𝑋_𝑖+𝐼_𝑚𝑜</a:t>
              </a:r>
              <a:endParaRPr lang="es-CL" sz="1100"/>
            </a:p>
          </xdr:txBody>
        </xdr:sp>
      </mc:Fallback>
    </mc:AlternateContent>
    <xdr:clientData/>
  </xdr:oneCellAnchor>
  <xdr:oneCellAnchor>
    <xdr:from>
      <xdr:col>25</xdr:col>
      <xdr:colOff>132158</xdr:colOff>
      <xdr:row>539</xdr:row>
      <xdr:rowOff>1192</xdr:rowOff>
    </xdr:from>
    <xdr:ext cx="1864228" cy="182294"/>
    <mc:AlternateContent xmlns:mc="http://schemas.openxmlformats.org/markup-compatibility/2006" xmlns:a14="http://schemas.microsoft.com/office/drawing/2010/main">
      <mc:Choice Requires="a14">
        <xdr:sp macro="" textlink="">
          <xdr:nvSpPr>
            <xdr:cNvPr id="89" name="CuadroTexto 88">
              <a:extLst>
                <a:ext uri="{FF2B5EF4-FFF2-40B4-BE49-F238E27FC236}">
                  <a16:creationId xmlns:a16="http://schemas.microsoft.com/office/drawing/2014/main" id="{00000000-0008-0000-0000-000059000000}"/>
                </a:ext>
              </a:extLst>
            </xdr:cNvPr>
            <xdr:cNvSpPr txBox="1"/>
          </xdr:nvSpPr>
          <xdr:spPr>
            <a:xfrm>
              <a:off x="22253971" y="117313473"/>
              <a:ext cx="1864228"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CL" sz="1100" b="0" i="1">
                            <a:latin typeface="Cambria Math" panose="02040503050406030204" pitchFamily="18" charset="0"/>
                          </a:rPr>
                          <m:t>𝐼</m:t>
                        </m:r>
                      </m:e>
                      <m:sub>
                        <m:r>
                          <a:rPr lang="es-CL" sz="1100" b="0" i="1">
                            <a:latin typeface="Cambria Math" panose="02040503050406030204" pitchFamily="18" charset="0"/>
                          </a:rPr>
                          <m:t>𝑜𝑡</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𝑌</m:t>
                        </m:r>
                      </m:e>
                      <m:sub>
                        <m:r>
                          <a:rPr lang="es-CL" sz="1100" b="0" i="1">
                            <a:latin typeface="Cambria Math" panose="02040503050406030204" pitchFamily="18" charset="0"/>
                          </a:rPr>
                          <m:t>𝑝𝑟𝑜𝑚𝑂𝑡</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𝑀</m:t>
                        </m:r>
                      </m:e>
                      <m:sub>
                        <m:r>
                          <a:rPr lang="es-CL" sz="1100" b="0" i="1">
                            <a:latin typeface="Cambria Math" panose="02040503050406030204" pitchFamily="18" charset="0"/>
                          </a:rPr>
                          <m:t>𝑜𝑡</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𝑋</m:t>
                        </m:r>
                      </m:e>
                      <m:sub>
                        <m:r>
                          <a:rPr lang="es-CL" sz="1100" b="0" i="1">
                            <a:latin typeface="Cambria Math" panose="02040503050406030204" pitchFamily="18" charset="0"/>
                          </a:rPr>
                          <m:t>𝑝𝑟𝑜𝑚𝑂𝑡</m:t>
                        </m:r>
                      </m:sub>
                    </m:sSub>
                  </m:oMath>
                </m:oMathPara>
              </a14:m>
              <a:endParaRPr lang="es-CL" sz="1100"/>
            </a:p>
          </xdr:txBody>
        </xdr:sp>
      </mc:Choice>
      <mc:Fallback xmlns="">
        <xdr:sp macro="" textlink="">
          <xdr:nvSpPr>
            <xdr:cNvPr id="89" name="CuadroTexto 88">
              <a:extLst>
                <a:ext uri="{FF2B5EF4-FFF2-40B4-BE49-F238E27FC236}">
                  <a16:creationId xmlns:a16="http://schemas.microsoft.com/office/drawing/2014/main" id="{5AE35A0A-04E9-6BF8-1E75-63E43433E152}"/>
                </a:ext>
              </a:extLst>
            </xdr:cNvPr>
            <xdr:cNvSpPr txBox="1"/>
          </xdr:nvSpPr>
          <xdr:spPr>
            <a:xfrm>
              <a:off x="22253971" y="117313473"/>
              <a:ext cx="1864228"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𝐼_𝑜𝑡=𝑌_𝑝𝑟𝑜𝑚𝑂𝑡−𝑀_𝑜𝑡∗𝑋_𝑝𝑟𝑜𝑚𝑂𝑡</a:t>
              </a:r>
              <a:endParaRPr lang="es-CL" sz="1100"/>
            </a:p>
          </xdr:txBody>
        </xdr:sp>
      </mc:Fallback>
    </mc:AlternateContent>
    <xdr:clientData/>
  </xdr:oneCellAnchor>
  <xdr:oneCellAnchor>
    <xdr:from>
      <xdr:col>25</xdr:col>
      <xdr:colOff>119062</xdr:colOff>
      <xdr:row>540</xdr:row>
      <xdr:rowOff>178594</xdr:rowOff>
    </xdr:from>
    <xdr:ext cx="2014013" cy="182294"/>
    <mc:AlternateContent xmlns:mc="http://schemas.openxmlformats.org/markup-compatibility/2006" xmlns:a14="http://schemas.microsoft.com/office/drawing/2010/main">
      <mc:Choice Requires="a14">
        <xdr:sp macro="" textlink="">
          <xdr:nvSpPr>
            <xdr:cNvPr id="90" name="CuadroTexto 89">
              <a:extLst>
                <a:ext uri="{FF2B5EF4-FFF2-40B4-BE49-F238E27FC236}">
                  <a16:creationId xmlns:a16="http://schemas.microsoft.com/office/drawing/2014/main" id="{00000000-0008-0000-0000-00005A000000}"/>
                </a:ext>
              </a:extLst>
            </xdr:cNvPr>
            <xdr:cNvSpPr txBox="1"/>
          </xdr:nvSpPr>
          <xdr:spPr>
            <a:xfrm>
              <a:off x="22224389" y="117563229"/>
              <a:ext cx="2014013"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CL" sz="1100" b="0" i="1">
                            <a:latin typeface="Cambria Math" panose="02040503050406030204" pitchFamily="18" charset="0"/>
                          </a:rPr>
                          <m:t>𝐼</m:t>
                        </m:r>
                      </m:e>
                      <m:sub>
                        <m:r>
                          <a:rPr lang="es-CL" sz="1100" b="0" i="1">
                            <a:latin typeface="Cambria Math" panose="02040503050406030204" pitchFamily="18" charset="0"/>
                          </a:rPr>
                          <m:t>𝑚𝑜</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𝑌</m:t>
                        </m:r>
                      </m:e>
                      <m:sub>
                        <m:r>
                          <a:rPr lang="es-CL" sz="1100" b="0" i="1">
                            <a:latin typeface="Cambria Math" panose="02040503050406030204" pitchFamily="18" charset="0"/>
                          </a:rPr>
                          <m:t>𝑝𝑟𝑜𝑚𝑀𝑜</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𝑀</m:t>
                        </m:r>
                      </m:e>
                      <m:sub>
                        <m:r>
                          <a:rPr lang="es-CL" sz="1100" b="0" i="1">
                            <a:latin typeface="Cambria Math" panose="02040503050406030204" pitchFamily="18" charset="0"/>
                          </a:rPr>
                          <m:t>𝑚𝑜</m:t>
                        </m:r>
                      </m:sub>
                    </m:sSub>
                    <m:r>
                      <a:rPr lang="es-CL" sz="1100" b="0" i="1">
                        <a:latin typeface="Cambria Math" panose="02040503050406030204" pitchFamily="18" charset="0"/>
                      </a:rPr>
                      <m:t>∗</m:t>
                    </m:r>
                    <m:sSub>
                      <m:sSubPr>
                        <m:ctrlPr>
                          <a:rPr lang="es-CL" sz="1100" b="0" i="1">
                            <a:latin typeface="Cambria Math" panose="02040503050406030204" pitchFamily="18" charset="0"/>
                          </a:rPr>
                        </m:ctrlPr>
                      </m:sSubPr>
                      <m:e>
                        <m:r>
                          <a:rPr lang="es-CL" sz="1100" b="0" i="1">
                            <a:latin typeface="Cambria Math" panose="02040503050406030204" pitchFamily="18" charset="0"/>
                          </a:rPr>
                          <m:t>𝑋</m:t>
                        </m:r>
                      </m:e>
                      <m:sub>
                        <m:r>
                          <a:rPr lang="es-CL" sz="1100" b="0" i="1">
                            <a:latin typeface="Cambria Math" panose="02040503050406030204" pitchFamily="18" charset="0"/>
                          </a:rPr>
                          <m:t>𝑝𝑟𝑜𝑚𝑀𝑜</m:t>
                        </m:r>
                      </m:sub>
                    </m:sSub>
                  </m:oMath>
                </m:oMathPara>
              </a14:m>
              <a:endParaRPr lang="es-CL" sz="1100"/>
            </a:p>
          </xdr:txBody>
        </xdr:sp>
      </mc:Choice>
      <mc:Fallback xmlns="">
        <xdr:sp macro="" textlink="">
          <xdr:nvSpPr>
            <xdr:cNvPr id="90" name="CuadroTexto 89">
              <a:extLst>
                <a:ext uri="{FF2B5EF4-FFF2-40B4-BE49-F238E27FC236}">
                  <a16:creationId xmlns:a16="http://schemas.microsoft.com/office/drawing/2014/main" id="{BF58566A-05E0-4181-8416-C4EB4F98FC5A}"/>
                </a:ext>
              </a:extLst>
            </xdr:cNvPr>
            <xdr:cNvSpPr txBox="1"/>
          </xdr:nvSpPr>
          <xdr:spPr>
            <a:xfrm>
              <a:off x="22224389" y="117563229"/>
              <a:ext cx="2014013"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latin typeface="Cambria Math" panose="02040503050406030204" pitchFamily="18" charset="0"/>
                </a:rPr>
                <a:t>𝐼_𝑚𝑜=𝑌_𝑝𝑟𝑜𝑚𝑀𝑜−𝑀_𝑚𝑜∗𝑋_𝑝𝑟𝑜𝑚𝑀𝑜</a:t>
              </a:r>
              <a:endParaRPr lang="es-CL" sz="1100"/>
            </a:p>
          </xdr:txBody>
        </xdr:sp>
      </mc:Fallback>
    </mc:AlternateContent>
    <xdr:clientData/>
  </xdr:oneCellAnchor>
  <xdr:oneCellAnchor>
    <xdr:from>
      <xdr:col>23</xdr:col>
      <xdr:colOff>271829</xdr:colOff>
      <xdr:row>545</xdr:row>
      <xdr:rowOff>0</xdr:rowOff>
    </xdr:from>
    <xdr:ext cx="5376536" cy="196529"/>
    <mc:AlternateContent xmlns:mc="http://schemas.openxmlformats.org/markup-compatibility/2006" xmlns:a14="http://schemas.microsoft.com/office/drawing/2010/main">
      <mc:Choice Requires="a14">
        <xdr:sp macro="" textlink="">
          <xdr:nvSpPr>
            <xdr:cNvPr id="91" name="CuadroTexto 90">
              <a:extLst>
                <a:ext uri="{FF2B5EF4-FFF2-40B4-BE49-F238E27FC236}">
                  <a16:creationId xmlns:a16="http://schemas.microsoft.com/office/drawing/2014/main" id="{00000000-0008-0000-0000-00005B000000}"/>
                </a:ext>
              </a:extLst>
            </xdr:cNvPr>
            <xdr:cNvSpPr txBox="1"/>
          </xdr:nvSpPr>
          <xdr:spPr>
            <a:xfrm>
              <a:off x="20186406" y="118524703"/>
              <a:ext cx="5376536" cy="196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0</m:t>
                        </m:r>
                        <m:r>
                          <a:rPr lang="es-CL" sz="1100" b="0" i="1">
                            <a:solidFill>
                              <a:schemeClr val="tx1"/>
                            </a:solidFill>
                            <a:effectLst/>
                            <a:latin typeface="Cambria Math" panose="02040503050406030204" pitchFamily="18" charset="0"/>
                            <a:ea typeface="+mn-ea"/>
                            <a:cs typeface="+mn-cs"/>
                          </a:rPr>
                          <m:t>𝑡𝑖</m:t>
                        </m:r>
                      </m:sub>
                    </m:sSub>
                    <m:r>
                      <a:rPr lang="es-CL" sz="1100" b="0" i="1">
                        <a:solidFill>
                          <a:schemeClr val="tx1"/>
                        </a:solidFill>
                        <a:effectLst/>
                        <a:latin typeface="Cambria Math" panose="02040503050406030204" pitchFamily="18" charset="0"/>
                        <a:ea typeface="+mn-ea"/>
                        <a:cs typeface="+mn-cs"/>
                      </a:rPr>
                      <m:t>−</m:t>
                    </m:r>
                    <m:sSub>
                      <m:sSubPr>
                        <m:ctrlPr>
                          <a:rPr lang="es-CL" sz="110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𝑚𝑜𝑖</m:t>
                        </m:r>
                      </m:sub>
                    </m:sSub>
                    <m:r>
                      <a:rPr lang="es-CL" sz="1100" b="0" i="1">
                        <a:solidFill>
                          <a:schemeClr val="tx1"/>
                        </a:solidFill>
                        <a:effectLst/>
                        <a:latin typeface="Cambria Math" panose="02040503050406030204" pitchFamily="18" charset="0"/>
                        <a:ea typeface="+mn-ea"/>
                        <a:cs typeface="+mn-cs"/>
                      </a:rPr>
                      <m:t>=</m:t>
                    </m:r>
                    <m:d>
                      <m:dPr>
                        <m:ctrlPr>
                          <a:rPr lang="es-CL" sz="1100" b="0" i="1">
                            <a:solidFill>
                              <a:schemeClr val="tx1"/>
                            </a:solidFill>
                            <a:effectLst/>
                            <a:latin typeface="Cambria Math" panose="02040503050406030204" pitchFamily="18" charset="0"/>
                            <a:ea typeface="+mn-ea"/>
                            <a:cs typeface="+mn-cs"/>
                          </a:rPr>
                        </m:ctrlPr>
                      </m:dPr>
                      <m:e>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𝑜𝑡</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𝑚𝑜</m:t>
                            </m:r>
                          </m:sub>
                        </m:sSub>
                      </m:e>
                    </m:d>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𝑋</m:t>
                        </m:r>
                      </m:e>
                      <m:sub>
                        <m:r>
                          <a:rPr lang="es-CL" sz="1100" b="0" i="1">
                            <a:solidFill>
                              <a:schemeClr val="tx1"/>
                            </a:solidFill>
                            <a:effectLst/>
                            <a:latin typeface="Cambria Math" panose="02040503050406030204" pitchFamily="18" charset="0"/>
                            <a:ea typeface="+mn-ea"/>
                            <a:cs typeface="+mn-cs"/>
                          </a:rPr>
                          <m:t>𝑖</m:t>
                        </m:r>
                      </m:sub>
                    </m:sSub>
                    <m:r>
                      <a:rPr lang="es-CL" sz="1100" b="0" i="1">
                        <a:solidFill>
                          <a:schemeClr val="tx1"/>
                        </a:solidFill>
                        <a:effectLst/>
                        <a:latin typeface="Cambria Math" panose="02040503050406030204" pitchFamily="18" charset="0"/>
                        <a:ea typeface="+mn-ea"/>
                        <a:cs typeface="+mn-cs"/>
                      </a:rPr>
                      <m:t>+</m:t>
                    </m:r>
                    <m:d>
                      <m:dPr>
                        <m:ctrlPr>
                          <a:rPr lang="es-CL" sz="1100" b="0" i="1">
                            <a:solidFill>
                              <a:schemeClr val="tx1"/>
                            </a:solidFill>
                            <a:effectLst/>
                            <a:latin typeface="Cambria Math" panose="02040503050406030204" pitchFamily="18" charset="0"/>
                            <a:ea typeface="+mn-ea"/>
                            <a:cs typeface="+mn-cs"/>
                          </a:rPr>
                        </m:ctrlPr>
                      </m:dPr>
                      <m:e>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𝑝𝑟𝑜𝑚𝑂𝑡</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𝑝𝑟𝑜𝑚𝑀𝑜</m:t>
                            </m:r>
                          </m:sub>
                        </m:sSub>
                      </m:e>
                    </m:d>
                    <m:r>
                      <a:rPr lang="es-CL" sz="1100" b="0" i="1">
                        <a:solidFill>
                          <a:schemeClr val="tx1"/>
                        </a:solidFill>
                        <a:effectLst/>
                        <a:latin typeface="Cambria Math" panose="02040503050406030204" pitchFamily="18" charset="0"/>
                        <a:ea typeface="+mn-ea"/>
                        <a:cs typeface="+mn-cs"/>
                      </a:rPr>
                      <m:t>+</m:t>
                    </m:r>
                    <m:d>
                      <m:dPr>
                        <m:ctrlPr>
                          <a:rPr lang="es-CL" sz="1100" b="0" i="1">
                            <a:solidFill>
                              <a:schemeClr val="tx1"/>
                            </a:solidFill>
                            <a:effectLst/>
                            <a:latin typeface="Cambria Math" panose="02040503050406030204" pitchFamily="18" charset="0"/>
                            <a:ea typeface="+mn-ea"/>
                            <a:cs typeface="+mn-cs"/>
                          </a:rPr>
                        </m:ctrlPr>
                      </m:dPr>
                      <m:e>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𝑚𝑜</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𝑋</m:t>
                            </m:r>
                          </m:e>
                          <m:sub>
                            <m:r>
                              <a:rPr lang="es-CL" sz="1100" b="0" i="1">
                                <a:solidFill>
                                  <a:schemeClr val="tx1"/>
                                </a:solidFill>
                                <a:effectLst/>
                                <a:latin typeface="Cambria Math" panose="02040503050406030204" pitchFamily="18" charset="0"/>
                                <a:ea typeface="+mn-ea"/>
                                <a:cs typeface="+mn-cs"/>
                              </a:rPr>
                              <m:t>𝑝𝑟𝑜𝑚𝑀𝑜</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𝑜𝑡</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𝑋</m:t>
                            </m:r>
                          </m:e>
                          <m:sub>
                            <m:r>
                              <a:rPr lang="es-CL" sz="1100" b="0" i="1">
                                <a:solidFill>
                                  <a:schemeClr val="tx1"/>
                                </a:solidFill>
                                <a:effectLst/>
                                <a:latin typeface="Cambria Math" panose="02040503050406030204" pitchFamily="18" charset="0"/>
                                <a:ea typeface="+mn-ea"/>
                                <a:cs typeface="+mn-cs"/>
                              </a:rPr>
                              <m:t>𝑝𝑟𝑜𝑚𝑂𝑡</m:t>
                            </m:r>
                          </m:sub>
                        </m:sSub>
                      </m:e>
                    </m:d>
                  </m:oMath>
                </m:oMathPara>
              </a14:m>
              <a:endParaRPr lang="es-CL" sz="1100"/>
            </a:p>
          </xdr:txBody>
        </xdr:sp>
      </mc:Choice>
      <mc:Fallback xmlns="">
        <xdr:sp macro="" textlink="">
          <xdr:nvSpPr>
            <xdr:cNvPr id="91" name="CuadroTexto 90">
              <a:extLst>
                <a:ext uri="{FF2B5EF4-FFF2-40B4-BE49-F238E27FC236}">
                  <a16:creationId xmlns:a16="http://schemas.microsoft.com/office/drawing/2014/main" id="{2CFEA36A-6F55-7E98-FB9C-4E097DCEFA3E}"/>
                </a:ext>
              </a:extLst>
            </xdr:cNvPr>
            <xdr:cNvSpPr txBox="1"/>
          </xdr:nvSpPr>
          <xdr:spPr>
            <a:xfrm>
              <a:off x="20186406" y="118524703"/>
              <a:ext cx="5376536" cy="196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solidFill>
                    <a:schemeClr val="tx1"/>
                  </a:solidFill>
                  <a:effectLst/>
                  <a:latin typeface="+mn-lt"/>
                  <a:ea typeface="+mn-ea"/>
                  <a:cs typeface="+mn-cs"/>
                </a:rPr>
                <a:t>𝑌_0𝑡𝑖</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𝑌_𝑚𝑜𝑖</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𝑀_𝑜𝑡</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𝑀_𝑚𝑜</a:t>
              </a:r>
              <a:r>
                <a:rPr lang="es-CL" sz="1100" b="0" i="0">
                  <a:solidFill>
                    <a:schemeClr val="tx1"/>
                  </a:solidFill>
                  <a:effectLst/>
                  <a:latin typeface="Cambria Math" panose="02040503050406030204" pitchFamily="18" charset="0"/>
                  <a:ea typeface="+mn-ea"/>
                  <a:cs typeface="+mn-cs"/>
                </a:rPr>
                <a:t> )∗</a:t>
              </a:r>
              <a:r>
                <a:rPr lang="es-CL" sz="1100" b="0" i="0">
                  <a:solidFill>
                    <a:schemeClr val="tx1"/>
                  </a:solidFill>
                  <a:effectLst/>
                  <a:latin typeface="+mn-lt"/>
                  <a:ea typeface="+mn-ea"/>
                  <a:cs typeface="+mn-cs"/>
                </a:rPr>
                <a:t>𝑋_𝑖</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𝑌_𝑝𝑟𝑜𝑚𝑂𝑡</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𝑌_𝑝𝑟𝑜𝑚𝑀𝑜</a:t>
              </a:r>
              <a:r>
                <a:rPr lang="es-CL" sz="1100" b="0" i="0">
                  <a:solidFill>
                    <a:schemeClr val="tx1"/>
                  </a:solidFill>
                  <a:effectLst/>
                  <a:latin typeface="Cambria Math" panose="02040503050406030204" pitchFamily="18" charset="0"/>
                  <a:ea typeface="+mn-ea"/>
                  <a:cs typeface="+mn-cs"/>
                </a:rPr>
                <a:t> )+(</a:t>
              </a:r>
              <a:r>
                <a:rPr lang="es-CL" sz="1100" b="0" i="0">
                  <a:solidFill>
                    <a:schemeClr val="tx1"/>
                  </a:solidFill>
                  <a:effectLst/>
                  <a:latin typeface="+mn-lt"/>
                  <a:ea typeface="+mn-ea"/>
                  <a:cs typeface="+mn-cs"/>
                </a:rPr>
                <a:t>𝑀_𝑚𝑜∗𝑋_𝑝𝑟𝑜𝑚𝑀𝑜</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𝑀_𝑜𝑡∗𝑋_𝑝𝑟𝑜𝑚𝑂𝑡</a:t>
              </a:r>
              <a:r>
                <a:rPr lang="es-CL" sz="1100" b="0" i="0">
                  <a:solidFill>
                    <a:schemeClr val="tx1"/>
                  </a:solidFill>
                  <a:effectLst/>
                  <a:latin typeface="Cambria Math" panose="02040503050406030204" pitchFamily="18" charset="0"/>
                  <a:ea typeface="+mn-ea"/>
                  <a:cs typeface="+mn-cs"/>
                </a:rPr>
                <a:t> )</a:t>
              </a:r>
              <a:endParaRPr lang="es-CL" sz="1100"/>
            </a:p>
          </xdr:txBody>
        </xdr:sp>
      </mc:Fallback>
    </mc:AlternateContent>
    <xdr:clientData/>
  </xdr:oneCellAnchor>
  <xdr:oneCellAnchor>
    <xdr:from>
      <xdr:col>27</xdr:col>
      <xdr:colOff>181840</xdr:colOff>
      <xdr:row>547</xdr:row>
      <xdr:rowOff>25977</xdr:rowOff>
    </xdr:from>
    <xdr:ext cx="1190134" cy="173766"/>
    <mc:AlternateContent xmlns:mc="http://schemas.openxmlformats.org/markup-compatibility/2006" xmlns:a14="http://schemas.microsoft.com/office/drawing/2010/main">
      <mc:Choice Requires="a14">
        <xdr:sp macro="" textlink="">
          <xdr:nvSpPr>
            <xdr:cNvPr id="92" name="CuadroTexto 91">
              <a:extLst>
                <a:ext uri="{FF2B5EF4-FFF2-40B4-BE49-F238E27FC236}">
                  <a16:creationId xmlns:a16="http://schemas.microsoft.com/office/drawing/2014/main" id="{00000000-0008-0000-0000-00005C000000}"/>
                </a:ext>
              </a:extLst>
            </xdr:cNvPr>
            <xdr:cNvSpPr txBox="1"/>
          </xdr:nvSpPr>
          <xdr:spPr>
            <a:xfrm>
              <a:off x="24713045" y="119149091"/>
              <a:ext cx="119013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s-CL" sz="1100" b="0" i="1">
                            <a:solidFill>
                              <a:schemeClr val="tx1"/>
                            </a:solidFill>
                            <a:effectLst/>
                            <a:latin typeface="Cambria Math" panose="02040503050406030204" pitchFamily="18" charset="0"/>
                            <a:ea typeface="+mn-ea"/>
                            <a:cs typeface="+mn-cs"/>
                          </a:rPr>
                        </m:ctrlPr>
                      </m:dPr>
                      <m:e>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𝑜𝑡</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𝑚𝑜</m:t>
                            </m:r>
                          </m:sub>
                        </m:sSub>
                      </m:e>
                    </m:d>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𝑋</m:t>
                        </m:r>
                      </m:e>
                      <m:sub>
                        <m:r>
                          <a:rPr lang="es-CL" sz="1100" b="0" i="1">
                            <a:solidFill>
                              <a:schemeClr val="tx1"/>
                            </a:solidFill>
                            <a:effectLst/>
                            <a:latin typeface="Cambria Math" panose="02040503050406030204" pitchFamily="18" charset="0"/>
                            <a:ea typeface="+mn-ea"/>
                            <a:cs typeface="+mn-cs"/>
                          </a:rPr>
                          <m:t>𝑖</m:t>
                        </m:r>
                      </m:sub>
                    </m:sSub>
                    <m:r>
                      <a:rPr lang="es-CL" sz="1100" b="0" i="1">
                        <a:solidFill>
                          <a:schemeClr val="tx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92" name="CuadroTexto 91">
              <a:extLst>
                <a:ext uri="{FF2B5EF4-FFF2-40B4-BE49-F238E27FC236}">
                  <a16:creationId xmlns:a16="http://schemas.microsoft.com/office/drawing/2014/main" id="{8E6CDE99-697E-4073-A8AD-F6E6699D0738}"/>
                </a:ext>
              </a:extLst>
            </xdr:cNvPr>
            <xdr:cNvSpPr txBox="1"/>
          </xdr:nvSpPr>
          <xdr:spPr>
            <a:xfrm>
              <a:off x="24713045" y="119149091"/>
              <a:ext cx="119013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𝑀_𝑜𝑡</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𝑀_𝑚𝑜</a:t>
              </a:r>
              <a:r>
                <a:rPr lang="es-CL" sz="1100" b="0" i="0">
                  <a:solidFill>
                    <a:schemeClr val="tx1"/>
                  </a:solidFill>
                  <a:effectLst/>
                  <a:latin typeface="Cambria Math" panose="02040503050406030204" pitchFamily="18" charset="0"/>
                  <a:ea typeface="+mn-ea"/>
                  <a:cs typeface="+mn-cs"/>
                </a:rPr>
                <a:t> )∗</a:t>
              </a:r>
              <a:r>
                <a:rPr lang="es-CL" sz="1100" b="0" i="0">
                  <a:solidFill>
                    <a:schemeClr val="tx1"/>
                  </a:solidFill>
                  <a:effectLst/>
                  <a:latin typeface="+mn-lt"/>
                  <a:ea typeface="+mn-ea"/>
                  <a:cs typeface="+mn-cs"/>
                </a:rPr>
                <a:t>𝑋_𝑖</a:t>
              </a:r>
              <a:r>
                <a:rPr lang="es-CL" sz="1100" b="0" i="0">
                  <a:solidFill>
                    <a:schemeClr val="tx1"/>
                  </a:solidFill>
                  <a:effectLst/>
                  <a:latin typeface="Cambria Math" panose="02040503050406030204" pitchFamily="18" charset="0"/>
                  <a:ea typeface="+mn-ea"/>
                  <a:cs typeface="+mn-cs"/>
                </a:rPr>
                <a:t>=</a:t>
              </a:r>
              <a:endParaRPr lang="es-CL" sz="1100"/>
            </a:p>
          </xdr:txBody>
        </xdr:sp>
      </mc:Fallback>
    </mc:AlternateContent>
    <xdr:clientData/>
  </xdr:oneCellAnchor>
  <xdr:oneCellAnchor>
    <xdr:from>
      <xdr:col>27</xdr:col>
      <xdr:colOff>6184</xdr:colOff>
      <xdr:row>551</xdr:row>
      <xdr:rowOff>12370</xdr:rowOff>
    </xdr:from>
    <xdr:ext cx="1354025" cy="196529"/>
    <mc:AlternateContent xmlns:mc="http://schemas.openxmlformats.org/markup-compatibility/2006" xmlns:a14="http://schemas.microsoft.com/office/drawing/2010/main">
      <mc:Choice Requires="a14">
        <xdr:sp macro="" textlink="">
          <xdr:nvSpPr>
            <xdr:cNvPr id="93" name="CuadroTexto 92">
              <a:extLst>
                <a:ext uri="{FF2B5EF4-FFF2-40B4-BE49-F238E27FC236}">
                  <a16:creationId xmlns:a16="http://schemas.microsoft.com/office/drawing/2014/main" id="{00000000-0008-0000-0000-00005D000000}"/>
                </a:ext>
              </a:extLst>
            </xdr:cNvPr>
            <xdr:cNvSpPr txBox="1"/>
          </xdr:nvSpPr>
          <xdr:spPr>
            <a:xfrm>
              <a:off x="25463911" y="104181234"/>
              <a:ext cx="1354025" cy="196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s-CL" sz="1100" b="0" i="1">
                            <a:solidFill>
                              <a:schemeClr val="tx1"/>
                            </a:solidFill>
                            <a:effectLst/>
                            <a:latin typeface="Cambria Math" panose="02040503050406030204" pitchFamily="18" charset="0"/>
                            <a:ea typeface="+mn-ea"/>
                            <a:cs typeface="+mn-cs"/>
                          </a:rPr>
                        </m:ctrlPr>
                      </m:dPr>
                      <m:e>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𝑝𝑟𝑜𝑚𝑂𝑡</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𝑝𝑟𝑜𝑚𝑀𝑜</m:t>
                            </m:r>
                          </m:sub>
                        </m:sSub>
                      </m:e>
                    </m:d>
                    <m:r>
                      <a:rPr lang="es-CL" sz="1100" b="0" i="1">
                        <a:solidFill>
                          <a:schemeClr val="tx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93" name="CuadroTexto 92">
              <a:extLst>
                <a:ext uri="{FF2B5EF4-FFF2-40B4-BE49-F238E27FC236}">
                  <a16:creationId xmlns:a16="http://schemas.microsoft.com/office/drawing/2014/main" id="{00000000-0008-0000-0000-00005D000000}"/>
                </a:ext>
              </a:extLst>
            </xdr:cNvPr>
            <xdr:cNvSpPr txBox="1"/>
          </xdr:nvSpPr>
          <xdr:spPr>
            <a:xfrm>
              <a:off x="25463911" y="104181234"/>
              <a:ext cx="1354025" cy="196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b="0" i="0">
                  <a:solidFill>
                    <a:schemeClr val="tx1"/>
                  </a:solidFill>
                  <a:effectLst/>
                  <a:latin typeface="Cambria Math" panose="02040503050406030204" pitchFamily="18" charset="0"/>
                  <a:ea typeface="+mn-ea"/>
                  <a:cs typeface="+mn-cs"/>
                </a:rPr>
                <a:t>(𝑌_𝑝𝑟𝑜𝑚𝑂𝑡−𝑌_𝑝𝑟𝑜𝑚𝑀𝑜 )=</a:t>
              </a:r>
              <a:endParaRPr lang="es-CL" sz="1100"/>
            </a:p>
          </xdr:txBody>
        </xdr:sp>
      </mc:Fallback>
    </mc:AlternateContent>
    <xdr:clientData/>
  </xdr:oneCellAnchor>
  <xdr:oneCellAnchor>
    <xdr:from>
      <xdr:col>26</xdr:col>
      <xdr:colOff>435429</xdr:colOff>
      <xdr:row>548</xdr:row>
      <xdr:rowOff>169471</xdr:rowOff>
    </xdr:from>
    <xdr:ext cx="2138086" cy="196529"/>
    <mc:AlternateContent xmlns:mc="http://schemas.openxmlformats.org/markup-compatibility/2006" xmlns:a14="http://schemas.microsoft.com/office/drawing/2010/main">
      <mc:Choice Requires="a14">
        <xdr:sp macro="" textlink="">
          <xdr:nvSpPr>
            <xdr:cNvPr id="94" name="CuadroTexto 93">
              <a:extLst>
                <a:ext uri="{FF2B5EF4-FFF2-40B4-BE49-F238E27FC236}">
                  <a16:creationId xmlns:a16="http://schemas.microsoft.com/office/drawing/2014/main" id="{00000000-0008-0000-0000-00005E000000}"/>
                </a:ext>
              </a:extLst>
            </xdr:cNvPr>
            <xdr:cNvSpPr txBox="1"/>
          </xdr:nvSpPr>
          <xdr:spPr>
            <a:xfrm>
              <a:off x="24680884" y="103781679"/>
              <a:ext cx="2138086" cy="196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s-CL" sz="1100" b="0" i="1">
                            <a:solidFill>
                              <a:schemeClr val="tx1"/>
                            </a:solidFill>
                            <a:effectLst/>
                            <a:latin typeface="Cambria Math" panose="02040503050406030204" pitchFamily="18" charset="0"/>
                            <a:ea typeface="+mn-ea"/>
                            <a:cs typeface="+mn-cs"/>
                          </a:rPr>
                        </m:ctrlPr>
                      </m:dPr>
                      <m:e>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𝑚𝑜</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𝑋</m:t>
                            </m:r>
                          </m:e>
                          <m:sub>
                            <m:r>
                              <a:rPr lang="es-CL" sz="1100" b="0" i="1">
                                <a:solidFill>
                                  <a:schemeClr val="tx1"/>
                                </a:solidFill>
                                <a:effectLst/>
                                <a:latin typeface="Cambria Math" panose="02040503050406030204" pitchFamily="18" charset="0"/>
                                <a:ea typeface="+mn-ea"/>
                                <a:cs typeface="+mn-cs"/>
                              </a:rPr>
                              <m:t>𝑝𝑟𝑜𝑚𝑀𝑜</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𝑀</m:t>
                            </m:r>
                          </m:e>
                          <m:sub>
                            <m:r>
                              <a:rPr lang="es-CL" sz="1100" b="0" i="1">
                                <a:solidFill>
                                  <a:schemeClr val="tx1"/>
                                </a:solidFill>
                                <a:effectLst/>
                                <a:latin typeface="Cambria Math" panose="02040503050406030204" pitchFamily="18" charset="0"/>
                                <a:ea typeface="+mn-ea"/>
                                <a:cs typeface="+mn-cs"/>
                              </a:rPr>
                              <m:t>𝑜𝑡</m:t>
                            </m:r>
                          </m:sub>
                        </m:sSub>
                        <m:r>
                          <a:rPr lang="es-CL" sz="1100" b="0" i="1">
                            <a:solidFill>
                              <a:schemeClr val="tx1"/>
                            </a:solidFill>
                            <a:effectLst/>
                            <a:latin typeface="Cambria Math" panose="02040503050406030204" pitchFamily="18" charset="0"/>
                            <a:ea typeface="+mn-ea"/>
                            <a:cs typeface="+mn-cs"/>
                          </a:rPr>
                          <m:t>∗</m:t>
                        </m:r>
                        <m:sSub>
                          <m:sSubPr>
                            <m:ctrlPr>
                              <a:rPr lang="es-CL" sz="1100" b="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𝑋</m:t>
                            </m:r>
                          </m:e>
                          <m:sub>
                            <m:r>
                              <a:rPr lang="es-CL" sz="1100" b="0" i="1">
                                <a:solidFill>
                                  <a:schemeClr val="tx1"/>
                                </a:solidFill>
                                <a:effectLst/>
                                <a:latin typeface="Cambria Math" panose="02040503050406030204" pitchFamily="18" charset="0"/>
                                <a:ea typeface="+mn-ea"/>
                                <a:cs typeface="+mn-cs"/>
                              </a:rPr>
                              <m:t>𝑝𝑟𝑜𝑚𝑂𝑡</m:t>
                            </m:r>
                          </m:sub>
                        </m:sSub>
                      </m:e>
                    </m:d>
                    <m:r>
                      <a:rPr lang="es-CL" sz="1100" b="0" i="1">
                        <a:solidFill>
                          <a:schemeClr val="tx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94" name="CuadroTexto 93">
              <a:extLst>
                <a:ext uri="{FF2B5EF4-FFF2-40B4-BE49-F238E27FC236}">
                  <a16:creationId xmlns:a16="http://schemas.microsoft.com/office/drawing/2014/main" id="{00000000-0008-0000-0000-00005E000000}"/>
                </a:ext>
              </a:extLst>
            </xdr:cNvPr>
            <xdr:cNvSpPr txBox="1"/>
          </xdr:nvSpPr>
          <xdr:spPr>
            <a:xfrm>
              <a:off x="24680884" y="103781679"/>
              <a:ext cx="2138086" cy="196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b="0" i="0">
                  <a:solidFill>
                    <a:schemeClr val="tx1"/>
                  </a:solidFill>
                  <a:effectLst/>
                  <a:latin typeface="Cambria Math" panose="02040503050406030204" pitchFamily="18" charset="0"/>
                  <a:ea typeface="+mn-ea"/>
                  <a:cs typeface="+mn-cs"/>
                </a:rPr>
                <a:t>(𝑀_𝑚𝑜∗𝑋_𝑝𝑟𝑜𝑚𝑀𝑜−𝑀_𝑜𝑡∗𝑋_𝑝𝑟𝑜𝑚𝑂𝑡 )=</a:t>
              </a:r>
              <a:endParaRPr lang="es-CL" sz="1100"/>
            </a:p>
          </xdr:txBody>
        </xdr:sp>
      </mc:Fallback>
    </mc:AlternateContent>
    <xdr:clientData/>
  </xdr:oneCellAnchor>
  <xdr:oneCellAnchor>
    <xdr:from>
      <xdr:col>27</xdr:col>
      <xdr:colOff>588817</xdr:colOff>
      <xdr:row>553</xdr:row>
      <xdr:rowOff>17318</xdr:rowOff>
    </xdr:from>
    <xdr:ext cx="785151" cy="173766"/>
    <mc:AlternateContent xmlns:mc="http://schemas.openxmlformats.org/markup-compatibility/2006" xmlns:a14="http://schemas.microsoft.com/office/drawing/2010/main">
      <mc:Choice Requires="a14">
        <xdr:sp macro="" textlink="">
          <xdr:nvSpPr>
            <xdr:cNvPr id="95" name="CuadroTexto 94">
              <a:extLst>
                <a:ext uri="{FF2B5EF4-FFF2-40B4-BE49-F238E27FC236}">
                  <a16:creationId xmlns:a16="http://schemas.microsoft.com/office/drawing/2014/main" id="{00000000-0008-0000-0000-00005F000000}"/>
                </a:ext>
              </a:extLst>
            </xdr:cNvPr>
            <xdr:cNvSpPr txBox="1"/>
          </xdr:nvSpPr>
          <xdr:spPr>
            <a:xfrm>
              <a:off x="25120022" y="120283432"/>
              <a:ext cx="78515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0</m:t>
                        </m:r>
                        <m:r>
                          <a:rPr lang="es-CL" sz="1100" b="0" i="1">
                            <a:solidFill>
                              <a:schemeClr val="tx1"/>
                            </a:solidFill>
                            <a:effectLst/>
                            <a:latin typeface="Cambria Math" panose="02040503050406030204" pitchFamily="18" charset="0"/>
                            <a:ea typeface="+mn-ea"/>
                            <a:cs typeface="+mn-cs"/>
                          </a:rPr>
                          <m:t>𝑡𝑖</m:t>
                        </m:r>
                      </m:sub>
                    </m:sSub>
                    <m:r>
                      <a:rPr lang="es-CL" sz="1100" b="0" i="1">
                        <a:solidFill>
                          <a:schemeClr val="tx1"/>
                        </a:solidFill>
                        <a:effectLst/>
                        <a:latin typeface="Cambria Math" panose="02040503050406030204" pitchFamily="18" charset="0"/>
                        <a:ea typeface="+mn-ea"/>
                        <a:cs typeface="+mn-cs"/>
                      </a:rPr>
                      <m:t>−</m:t>
                    </m:r>
                    <m:sSub>
                      <m:sSubPr>
                        <m:ctrlPr>
                          <a:rPr lang="es-CL" sz="1100" i="1">
                            <a:solidFill>
                              <a:schemeClr val="tx1"/>
                            </a:solidFill>
                            <a:effectLst/>
                            <a:latin typeface="Cambria Math" panose="02040503050406030204" pitchFamily="18" charset="0"/>
                            <a:ea typeface="+mn-ea"/>
                            <a:cs typeface="+mn-cs"/>
                          </a:rPr>
                        </m:ctrlPr>
                      </m:sSubPr>
                      <m:e>
                        <m:r>
                          <a:rPr lang="es-CL" sz="1100" b="0" i="1">
                            <a:solidFill>
                              <a:schemeClr val="tx1"/>
                            </a:solidFill>
                            <a:effectLst/>
                            <a:latin typeface="Cambria Math" panose="02040503050406030204" pitchFamily="18" charset="0"/>
                            <a:ea typeface="+mn-ea"/>
                            <a:cs typeface="+mn-cs"/>
                          </a:rPr>
                          <m:t>𝑌</m:t>
                        </m:r>
                      </m:e>
                      <m:sub>
                        <m:r>
                          <a:rPr lang="es-CL" sz="1100" b="0" i="1">
                            <a:solidFill>
                              <a:schemeClr val="tx1"/>
                            </a:solidFill>
                            <a:effectLst/>
                            <a:latin typeface="Cambria Math" panose="02040503050406030204" pitchFamily="18" charset="0"/>
                            <a:ea typeface="+mn-ea"/>
                            <a:cs typeface="+mn-cs"/>
                          </a:rPr>
                          <m:t>𝑚𝑜𝑖</m:t>
                        </m:r>
                      </m:sub>
                    </m:sSub>
                    <m:r>
                      <a:rPr lang="es-CL" sz="1100" b="0" i="1">
                        <a:solidFill>
                          <a:schemeClr val="tx1"/>
                        </a:solidFill>
                        <a:effectLst/>
                        <a:latin typeface="Cambria Math" panose="02040503050406030204" pitchFamily="18" charset="0"/>
                        <a:ea typeface="+mn-ea"/>
                        <a:cs typeface="+mn-cs"/>
                      </a:rPr>
                      <m:t>=</m:t>
                    </m:r>
                  </m:oMath>
                </m:oMathPara>
              </a14:m>
              <a:endParaRPr lang="es-CL" sz="1100"/>
            </a:p>
          </xdr:txBody>
        </xdr:sp>
      </mc:Choice>
      <mc:Fallback xmlns="">
        <xdr:sp macro="" textlink="">
          <xdr:nvSpPr>
            <xdr:cNvPr id="95" name="CuadroTexto 94">
              <a:extLst>
                <a:ext uri="{FF2B5EF4-FFF2-40B4-BE49-F238E27FC236}">
                  <a16:creationId xmlns:a16="http://schemas.microsoft.com/office/drawing/2014/main" id="{7BE86426-5977-43D2-8BD2-6A48FA983A31}"/>
                </a:ext>
              </a:extLst>
            </xdr:cNvPr>
            <xdr:cNvSpPr txBox="1"/>
          </xdr:nvSpPr>
          <xdr:spPr>
            <a:xfrm>
              <a:off x="25120022" y="120283432"/>
              <a:ext cx="78515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b="0" i="0">
                  <a:solidFill>
                    <a:schemeClr val="tx1"/>
                  </a:solidFill>
                  <a:effectLst/>
                  <a:latin typeface="+mn-lt"/>
                  <a:ea typeface="+mn-ea"/>
                  <a:cs typeface="+mn-cs"/>
                </a:rPr>
                <a:t>𝑌_0𝑡𝑖</a:t>
              </a:r>
              <a:r>
                <a:rPr lang="es-CL" sz="1100" b="0" i="0">
                  <a:solidFill>
                    <a:schemeClr val="tx1"/>
                  </a:solidFill>
                  <a:effectLst/>
                  <a:latin typeface="Cambria Math" panose="02040503050406030204" pitchFamily="18" charset="0"/>
                  <a:ea typeface="+mn-ea"/>
                  <a:cs typeface="+mn-cs"/>
                </a:rPr>
                <a:t>−</a:t>
              </a:r>
              <a:r>
                <a:rPr lang="es-CL" sz="1100" b="0" i="0">
                  <a:solidFill>
                    <a:schemeClr val="tx1"/>
                  </a:solidFill>
                  <a:effectLst/>
                  <a:latin typeface="+mn-lt"/>
                  <a:ea typeface="+mn-ea"/>
                  <a:cs typeface="+mn-cs"/>
                </a:rPr>
                <a:t>𝑌_𝑚𝑜𝑖</a:t>
              </a:r>
              <a:r>
                <a:rPr lang="es-CL" sz="1100" b="0" i="0">
                  <a:solidFill>
                    <a:schemeClr val="tx1"/>
                  </a:solidFill>
                  <a:effectLst/>
                  <a:latin typeface="Cambria Math" panose="02040503050406030204" pitchFamily="18" charset="0"/>
                  <a:ea typeface="+mn-ea"/>
                  <a:cs typeface="+mn-cs"/>
                </a:rPr>
                <a:t>=</a:t>
              </a:r>
              <a:endParaRPr lang="es-CL" sz="1100"/>
            </a:p>
          </xdr:txBody>
        </xdr:sp>
      </mc:Fallback>
    </mc:AlternateContent>
    <xdr:clientData/>
  </xdr:oneCellAnchor>
  <xdr:twoCellAnchor>
    <xdr:from>
      <xdr:col>26</xdr:col>
      <xdr:colOff>261937</xdr:colOff>
      <xdr:row>448</xdr:row>
      <xdr:rowOff>11906</xdr:rowOff>
    </xdr:from>
    <xdr:to>
      <xdr:col>30</xdr:col>
      <xdr:colOff>309563</xdr:colOff>
      <xdr:row>461</xdr:row>
      <xdr:rowOff>76199</xdr:rowOff>
    </xdr:to>
    <xdr:graphicFrame macro="">
      <xdr:nvGraphicFramePr>
        <xdr:cNvPr id="107" name="Gráfico 106">
          <a:extLst>
            <a:ext uri="{FF2B5EF4-FFF2-40B4-BE49-F238E27FC236}">
              <a16:creationId xmlns:a16="http://schemas.microsoft.com/office/drawing/2014/main" id="{00000000-0008-0000-0000-00006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309562</xdr:colOff>
      <xdr:row>431</xdr:row>
      <xdr:rowOff>23812</xdr:rowOff>
    </xdr:from>
    <xdr:to>
      <xdr:col>32</xdr:col>
      <xdr:colOff>583407</xdr:colOff>
      <xdr:row>445</xdr:row>
      <xdr:rowOff>88105</xdr:rowOff>
    </xdr:to>
    <xdr:graphicFrame macro="">
      <xdr:nvGraphicFramePr>
        <xdr:cNvPr id="108" name="Gráfico 107">
          <a:extLst>
            <a:ext uri="{FF2B5EF4-FFF2-40B4-BE49-F238E27FC236}">
              <a16:creationId xmlns:a16="http://schemas.microsoft.com/office/drawing/2014/main" id="{00000000-0008-0000-0000-00006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30</xdr:col>
      <xdr:colOff>1119187</xdr:colOff>
      <xdr:row>448</xdr:row>
      <xdr:rowOff>0</xdr:rowOff>
    </xdr:from>
    <xdr:to>
      <xdr:col>34</xdr:col>
      <xdr:colOff>738187</xdr:colOff>
      <xdr:row>465</xdr:row>
      <xdr:rowOff>107156</xdr:rowOff>
    </xdr:to>
    <xdr:graphicFrame macro="">
      <xdr:nvGraphicFramePr>
        <xdr:cNvPr id="110" name="Gráfico 109">
          <a:extLst>
            <a:ext uri="{FF2B5EF4-FFF2-40B4-BE49-F238E27FC236}">
              <a16:creationId xmlns:a16="http://schemas.microsoft.com/office/drawing/2014/main" id="{00000000-0008-0000-0000-00006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1020803</xdr:colOff>
      <xdr:row>547</xdr:row>
      <xdr:rowOff>8773</xdr:rowOff>
    </xdr:from>
    <xdr:to>
      <xdr:col>26</xdr:col>
      <xdr:colOff>1200803</xdr:colOff>
      <xdr:row>547</xdr:row>
      <xdr:rowOff>188773</xdr:rowOff>
    </xdr:to>
    <xdr:sp macro="" textlink="">
      <xdr:nvSpPr>
        <xdr:cNvPr id="26" name="Elipse 25">
          <a:extLst>
            <a:ext uri="{FF2B5EF4-FFF2-40B4-BE49-F238E27FC236}">
              <a16:creationId xmlns:a16="http://schemas.microsoft.com/office/drawing/2014/main" id="{00000000-0008-0000-0000-00001A000000}"/>
            </a:ext>
          </a:extLst>
        </xdr:cNvPr>
        <xdr:cNvSpPr/>
      </xdr:nvSpPr>
      <xdr:spPr>
        <a:xfrm>
          <a:off x="24326974" y="126601036"/>
          <a:ext cx="180000" cy="18000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1</a:t>
          </a:r>
        </a:p>
      </xdr:txBody>
    </xdr:sp>
    <xdr:clientData/>
  </xdr:twoCellAnchor>
  <xdr:twoCellAnchor>
    <xdr:from>
      <xdr:col>26</xdr:col>
      <xdr:colOff>935565</xdr:colOff>
      <xdr:row>551</xdr:row>
      <xdr:rowOff>18135</xdr:rowOff>
    </xdr:from>
    <xdr:to>
      <xdr:col>26</xdr:col>
      <xdr:colOff>1115565</xdr:colOff>
      <xdr:row>552</xdr:row>
      <xdr:rowOff>12583</xdr:rowOff>
    </xdr:to>
    <xdr:sp macro="" textlink="">
      <xdr:nvSpPr>
        <xdr:cNvPr id="31" name="Elipse 30">
          <a:extLst>
            <a:ext uri="{FF2B5EF4-FFF2-40B4-BE49-F238E27FC236}">
              <a16:creationId xmlns:a16="http://schemas.microsoft.com/office/drawing/2014/main" id="{00000000-0008-0000-0000-00001F000000}"/>
            </a:ext>
          </a:extLst>
        </xdr:cNvPr>
        <xdr:cNvSpPr/>
      </xdr:nvSpPr>
      <xdr:spPr>
        <a:xfrm>
          <a:off x="25181020" y="104186999"/>
          <a:ext cx="180000" cy="18000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3</a:t>
          </a:r>
        </a:p>
      </xdr:txBody>
    </xdr:sp>
    <xdr:clientData/>
  </xdr:twoCellAnchor>
  <xdr:twoCellAnchor>
    <xdr:from>
      <xdr:col>26</xdr:col>
      <xdr:colOff>166085</xdr:colOff>
      <xdr:row>548</xdr:row>
      <xdr:rowOff>183208</xdr:rowOff>
    </xdr:from>
    <xdr:to>
      <xdr:col>26</xdr:col>
      <xdr:colOff>346085</xdr:colOff>
      <xdr:row>549</xdr:row>
      <xdr:rowOff>177656</xdr:rowOff>
    </xdr:to>
    <xdr:sp macro="" textlink="">
      <xdr:nvSpPr>
        <xdr:cNvPr id="45" name="Elipse 44">
          <a:extLst>
            <a:ext uri="{FF2B5EF4-FFF2-40B4-BE49-F238E27FC236}">
              <a16:creationId xmlns:a16="http://schemas.microsoft.com/office/drawing/2014/main" id="{00000000-0008-0000-0000-00002D000000}"/>
            </a:ext>
          </a:extLst>
        </xdr:cNvPr>
        <xdr:cNvSpPr/>
      </xdr:nvSpPr>
      <xdr:spPr>
        <a:xfrm>
          <a:off x="24411540" y="103795416"/>
          <a:ext cx="180000" cy="18000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2</a:t>
          </a:r>
        </a:p>
      </xdr:txBody>
    </xdr:sp>
    <xdr:clientData/>
  </xdr:twoCellAnchor>
  <xdr:twoCellAnchor>
    <xdr:from>
      <xdr:col>27</xdr:col>
      <xdr:colOff>107155</xdr:colOff>
      <xdr:row>556</xdr:row>
      <xdr:rowOff>11907</xdr:rowOff>
    </xdr:from>
    <xdr:to>
      <xdr:col>27</xdr:col>
      <xdr:colOff>287155</xdr:colOff>
      <xdr:row>557</xdr:row>
      <xdr:rowOff>1407</xdr:rowOff>
    </xdr:to>
    <xdr:sp macro="" textlink="">
      <xdr:nvSpPr>
        <xdr:cNvPr id="56" name="Elipse 55">
          <a:extLst>
            <a:ext uri="{FF2B5EF4-FFF2-40B4-BE49-F238E27FC236}">
              <a16:creationId xmlns:a16="http://schemas.microsoft.com/office/drawing/2014/main" id="{00000000-0008-0000-0000-000038000000}"/>
            </a:ext>
          </a:extLst>
        </xdr:cNvPr>
        <xdr:cNvSpPr/>
      </xdr:nvSpPr>
      <xdr:spPr>
        <a:xfrm>
          <a:off x="24645936" y="128373188"/>
          <a:ext cx="180000" cy="18000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1</a:t>
          </a:r>
        </a:p>
      </xdr:txBody>
    </xdr:sp>
    <xdr:clientData/>
  </xdr:twoCellAnchor>
  <xdr:twoCellAnchor>
    <xdr:from>
      <xdr:col>27</xdr:col>
      <xdr:colOff>1000125</xdr:colOff>
      <xdr:row>556</xdr:row>
      <xdr:rowOff>0</xdr:rowOff>
    </xdr:from>
    <xdr:to>
      <xdr:col>27</xdr:col>
      <xdr:colOff>1180125</xdr:colOff>
      <xdr:row>556</xdr:row>
      <xdr:rowOff>180000</xdr:rowOff>
    </xdr:to>
    <xdr:sp macro="" textlink="">
      <xdr:nvSpPr>
        <xdr:cNvPr id="58" name="Elipse 57">
          <a:extLst>
            <a:ext uri="{FF2B5EF4-FFF2-40B4-BE49-F238E27FC236}">
              <a16:creationId xmlns:a16="http://schemas.microsoft.com/office/drawing/2014/main" id="{00000000-0008-0000-0000-00003A000000}"/>
            </a:ext>
          </a:extLst>
        </xdr:cNvPr>
        <xdr:cNvSpPr/>
      </xdr:nvSpPr>
      <xdr:spPr>
        <a:xfrm>
          <a:off x="25538906" y="128361281"/>
          <a:ext cx="180000" cy="18000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2</a:t>
          </a:r>
        </a:p>
      </xdr:txBody>
    </xdr:sp>
    <xdr:clientData/>
  </xdr:twoCellAnchor>
  <xdr:twoCellAnchor>
    <xdr:from>
      <xdr:col>27</xdr:col>
      <xdr:colOff>154781</xdr:colOff>
      <xdr:row>560</xdr:row>
      <xdr:rowOff>23813</xdr:rowOff>
    </xdr:from>
    <xdr:to>
      <xdr:col>27</xdr:col>
      <xdr:colOff>334781</xdr:colOff>
      <xdr:row>561</xdr:row>
      <xdr:rowOff>13313</xdr:rowOff>
    </xdr:to>
    <xdr:sp macro="" textlink="">
      <xdr:nvSpPr>
        <xdr:cNvPr id="59" name="Elipse 58">
          <a:extLst>
            <a:ext uri="{FF2B5EF4-FFF2-40B4-BE49-F238E27FC236}">
              <a16:creationId xmlns:a16="http://schemas.microsoft.com/office/drawing/2014/main" id="{00000000-0008-0000-0000-00003B000000}"/>
            </a:ext>
          </a:extLst>
        </xdr:cNvPr>
        <xdr:cNvSpPr/>
      </xdr:nvSpPr>
      <xdr:spPr>
        <a:xfrm>
          <a:off x="24693562" y="129147094"/>
          <a:ext cx="180000" cy="18000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2</a:t>
          </a:r>
        </a:p>
      </xdr:txBody>
    </xdr:sp>
    <xdr:clientData/>
  </xdr:twoCellAnchor>
  <xdr:twoCellAnchor>
    <xdr:from>
      <xdr:col>27</xdr:col>
      <xdr:colOff>1090362</xdr:colOff>
      <xdr:row>560</xdr:row>
      <xdr:rowOff>26946</xdr:rowOff>
    </xdr:from>
    <xdr:to>
      <xdr:col>27</xdr:col>
      <xdr:colOff>1270362</xdr:colOff>
      <xdr:row>561</xdr:row>
      <xdr:rowOff>16446</xdr:rowOff>
    </xdr:to>
    <xdr:sp macro="" textlink="">
      <xdr:nvSpPr>
        <xdr:cNvPr id="60" name="Elipse 59">
          <a:extLst>
            <a:ext uri="{FF2B5EF4-FFF2-40B4-BE49-F238E27FC236}">
              <a16:creationId xmlns:a16="http://schemas.microsoft.com/office/drawing/2014/main" id="{00000000-0008-0000-0000-00003C000000}"/>
            </a:ext>
          </a:extLst>
        </xdr:cNvPr>
        <xdr:cNvSpPr/>
      </xdr:nvSpPr>
      <xdr:spPr>
        <a:xfrm>
          <a:off x="25629143" y="129150227"/>
          <a:ext cx="180000" cy="18000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3</a:t>
          </a:r>
        </a:p>
      </xdr:txBody>
    </xdr:sp>
    <xdr:clientData/>
  </xdr:twoCellAnchor>
  <xdr:oneCellAnchor>
    <xdr:from>
      <xdr:col>23</xdr:col>
      <xdr:colOff>120252</xdr:colOff>
      <xdr:row>584</xdr:row>
      <xdr:rowOff>36909</xdr:rowOff>
    </xdr:from>
    <xdr:ext cx="1149610" cy="315792"/>
    <mc:AlternateContent xmlns:mc="http://schemas.openxmlformats.org/markup-compatibility/2006" xmlns:a14="http://schemas.microsoft.com/office/drawing/2010/main">
      <mc:Choice Requires="a14">
        <xdr:sp macro="" textlink="">
          <xdr:nvSpPr>
            <xdr:cNvPr id="61" name="CuadroTexto 60">
              <a:extLst>
                <a:ext uri="{FF2B5EF4-FFF2-40B4-BE49-F238E27FC236}">
                  <a16:creationId xmlns:a16="http://schemas.microsoft.com/office/drawing/2014/main" id="{00000000-0008-0000-0000-00003D000000}"/>
                </a:ext>
              </a:extLst>
            </xdr:cNvPr>
            <xdr:cNvSpPr txBox="1"/>
          </xdr:nvSpPr>
          <xdr:spPr>
            <a:xfrm>
              <a:off x="20051315" y="133732190"/>
              <a:ext cx="114961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𝐼𝐶</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𝑡</m:t>
                            </m:r>
                          </m:sub>
                        </m:sSub>
                      </m:num>
                      <m:den>
                        <m:r>
                          <a:rPr lang="es-ES" sz="1100" b="0" i="1">
                            <a:latin typeface="Cambria Math" panose="02040503050406030204" pitchFamily="18" charset="0"/>
                          </a:rPr>
                          <m:t>𝑃</m:t>
                        </m:r>
                      </m:den>
                    </m:f>
                    <m:r>
                      <a:rPr lang="es-ES" sz="1100" b="0" i="1">
                        <a:latin typeface="Cambria Math" panose="02040503050406030204" pitchFamily="18" charset="0"/>
                      </a:rPr>
                      <m:t>=</m:t>
                    </m:r>
                    <m:r>
                      <a:rPr lang="es-ES" sz="1100" b="0" i="1">
                        <a:latin typeface="Cambria Math" panose="02040503050406030204" pitchFamily="18" charset="0"/>
                      </a:rPr>
                      <m:t>𝑚</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0</m:t>
                            </m:r>
                          </m:sub>
                        </m:sSub>
                      </m:num>
                      <m:den>
                        <m:r>
                          <a:rPr lang="es-ES" sz="1100" b="0" i="1">
                            <a:latin typeface="Cambria Math" panose="02040503050406030204" pitchFamily="18" charset="0"/>
                          </a:rPr>
                          <m:t>𝑃</m:t>
                        </m:r>
                      </m:den>
                    </m:f>
                  </m:oMath>
                </m:oMathPara>
              </a14:m>
              <a:endParaRPr lang="es-CL" sz="1100"/>
            </a:p>
          </xdr:txBody>
        </xdr:sp>
      </mc:Choice>
      <mc:Fallback xmlns="">
        <xdr:sp macro="" textlink="">
          <xdr:nvSpPr>
            <xdr:cNvPr id="61" name="CuadroTexto 60">
              <a:extLst>
                <a:ext uri="{FF2B5EF4-FFF2-40B4-BE49-F238E27FC236}">
                  <a16:creationId xmlns:a16="http://schemas.microsoft.com/office/drawing/2014/main" id="{7B48CC15-7C76-88FA-0F47-4256714F7A66}"/>
                </a:ext>
              </a:extLst>
            </xdr:cNvPr>
            <xdr:cNvSpPr txBox="1"/>
          </xdr:nvSpPr>
          <xdr:spPr>
            <a:xfrm>
              <a:off x="20051315" y="133732190"/>
              <a:ext cx="114961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𝐼𝐶=𝐸_𝑡/𝑃=𝑚+𝐸_0/𝑃</a:t>
              </a:r>
              <a:endParaRPr lang="es-CL" sz="1100"/>
            </a:p>
          </xdr:txBody>
        </xdr:sp>
      </mc:Fallback>
    </mc:AlternateContent>
    <xdr:clientData/>
  </xdr:oneCellAnchor>
  <xdr:oneCellAnchor>
    <xdr:from>
      <xdr:col>28</xdr:col>
      <xdr:colOff>48815</xdr:colOff>
      <xdr:row>602</xdr:row>
      <xdr:rowOff>13096</xdr:rowOff>
    </xdr:from>
    <xdr:ext cx="896527" cy="173766"/>
    <mc:AlternateContent xmlns:mc="http://schemas.openxmlformats.org/markup-compatibility/2006" xmlns:a14="http://schemas.microsoft.com/office/drawing/2010/main">
      <mc:Choice Requires="a14">
        <xdr:sp macro="" textlink="">
          <xdr:nvSpPr>
            <xdr:cNvPr id="64" name="CuadroTexto 63">
              <a:extLst>
                <a:ext uri="{FF2B5EF4-FFF2-40B4-BE49-F238E27FC236}">
                  <a16:creationId xmlns:a16="http://schemas.microsoft.com/office/drawing/2014/main" id="{00000000-0008-0000-0000-000040000000}"/>
                </a:ext>
              </a:extLst>
            </xdr:cNvPr>
            <xdr:cNvSpPr txBox="1"/>
          </xdr:nvSpPr>
          <xdr:spPr>
            <a:xfrm>
              <a:off x="25980628" y="135232377"/>
              <a:ext cx="8965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𝐼𝐶</m:t>
                    </m:r>
                    <m:r>
                      <a:rPr lang="es-ES" sz="1100" b="0" i="1">
                        <a:latin typeface="Cambria Math" panose="02040503050406030204" pitchFamily="18" charset="0"/>
                      </a:rPr>
                      <m:t>=</m:t>
                    </m:r>
                    <m:r>
                      <a:rPr lang="es-ES" sz="1100" b="0" i="1">
                        <a:latin typeface="Cambria Math" panose="02040503050406030204" pitchFamily="18" charset="0"/>
                      </a:rPr>
                      <m:t>𝑚</m:t>
                    </m:r>
                    <m:r>
                      <a:rPr lang="es-ES" sz="1100" b="0" i="1">
                        <a:latin typeface="Cambria Math" panose="02040503050406030204" pitchFamily="18" charset="0"/>
                      </a:rPr>
                      <m:t>+</m:t>
                    </m:r>
                    <m:r>
                      <a:rPr lang="es-ES" sz="1100" b="0" i="1">
                        <a:latin typeface="Cambria Math" panose="02040503050406030204" pitchFamily="18" charset="0"/>
                      </a:rPr>
                      <m:t>𝐸</m:t>
                    </m:r>
                    <m:r>
                      <a:rPr lang="es-ES" sz="1100" b="0" i="1">
                        <a:latin typeface="Cambria Math" panose="02040503050406030204" pitchFamily="18" charset="0"/>
                      </a:rPr>
                      <m:t>/</m:t>
                    </m:r>
                    <m:r>
                      <a:rPr lang="es-ES" sz="1100" b="0" i="1">
                        <a:latin typeface="Cambria Math" panose="02040503050406030204" pitchFamily="18" charset="0"/>
                      </a:rPr>
                      <m:t>𝑃</m:t>
                    </m:r>
                  </m:oMath>
                </m:oMathPara>
              </a14:m>
              <a:endParaRPr lang="es-CL" sz="1100"/>
            </a:p>
          </xdr:txBody>
        </xdr:sp>
      </mc:Choice>
      <mc:Fallback xmlns="">
        <xdr:sp macro="" textlink="">
          <xdr:nvSpPr>
            <xdr:cNvPr id="64" name="CuadroTexto 63">
              <a:extLst>
                <a:ext uri="{FF2B5EF4-FFF2-40B4-BE49-F238E27FC236}">
                  <a16:creationId xmlns:a16="http://schemas.microsoft.com/office/drawing/2014/main" id="{7E53E601-E98E-D96D-653B-BAA748899E86}"/>
                </a:ext>
              </a:extLst>
            </xdr:cNvPr>
            <xdr:cNvSpPr txBox="1"/>
          </xdr:nvSpPr>
          <xdr:spPr>
            <a:xfrm>
              <a:off x="25980628" y="135232377"/>
              <a:ext cx="8965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𝐼𝐶=𝑚+𝐸/𝑃</a:t>
              </a:r>
              <a:endParaRPr lang="es-CL" sz="1100"/>
            </a:p>
          </xdr:txBody>
        </xdr:sp>
      </mc:Fallback>
    </mc:AlternateContent>
    <xdr:clientData/>
  </xdr:oneCellAnchor>
  <xdr:oneCellAnchor>
    <xdr:from>
      <xdr:col>23</xdr:col>
      <xdr:colOff>155971</xdr:colOff>
      <xdr:row>594</xdr:row>
      <xdr:rowOff>25003</xdr:rowOff>
    </xdr:from>
    <xdr:ext cx="1099725" cy="344582"/>
    <mc:AlternateContent xmlns:mc="http://schemas.openxmlformats.org/markup-compatibility/2006" xmlns:a14="http://schemas.microsoft.com/office/drawing/2010/main">
      <mc:Choice Requires="a14">
        <xdr:sp macro="" textlink="">
          <xdr:nvSpPr>
            <xdr:cNvPr id="62" name="CuadroTexto 61">
              <a:extLst>
                <a:ext uri="{FF2B5EF4-FFF2-40B4-BE49-F238E27FC236}">
                  <a16:creationId xmlns:a16="http://schemas.microsoft.com/office/drawing/2014/main" id="{00000000-0008-0000-0000-00003E000000}"/>
                </a:ext>
              </a:extLst>
            </xdr:cNvPr>
            <xdr:cNvSpPr txBox="1"/>
          </xdr:nvSpPr>
          <xdr:spPr>
            <a:xfrm>
              <a:off x="20087034" y="135625284"/>
              <a:ext cx="1099725"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𝐼𝐵</m:t>
                    </m:r>
                    <m:r>
                      <a:rPr lang="es-ES" sz="1100" b="0" i="1">
                        <a:latin typeface="Cambria Math" panose="02040503050406030204" pitchFamily="18" charset="0"/>
                      </a:rPr>
                      <m:t>100=</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𝑡</m:t>
                            </m:r>
                          </m:sub>
                        </m:sSub>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𝑟</m:t>
                            </m:r>
                          </m:sub>
                        </m:sSub>
                      </m:den>
                    </m:f>
                    <m:r>
                      <a:rPr lang="es-ES" sz="1100" b="0" i="1">
                        <a:latin typeface="Cambria Math" panose="02040503050406030204" pitchFamily="18" charset="0"/>
                      </a:rPr>
                      <m:t>∗100</m:t>
                    </m:r>
                  </m:oMath>
                </m:oMathPara>
              </a14:m>
              <a:endParaRPr lang="es-CL" sz="1100"/>
            </a:p>
          </xdr:txBody>
        </xdr:sp>
      </mc:Choice>
      <mc:Fallback xmlns="">
        <xdr:sp macro="" textlink="">
          <xdr:nvSpPr>
            <xdr:cNvPr id="62" name="CuadroTexto 61">
              <a:extLst>
                <a:ext uri="{FF2B5EF4-FFF2-40B4-BE49-F238E27FC236}">
                  <a16:creationId xmlns:a16="http://schemas.microsoft.com/office/drawing/2014/main" id="{CF806139-8A96-8F47-9685-9B44EA5B377B}"/>
                </a:ext>
              </a:extLst>
            </xdr:cNvPr>
            <xdr:cNvSpPr txBox="1"/>
          </xdr:nvSpPr>
          <xdr:spPr>
            <a:xfrm>
              <a:off x="20087034" y="135625284"/>
              <a:ext cx="1099725"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𝐼𝐵100=𝐸_𝑡/𝐸_𝑟 ∗100</a:t>
              </a:r>
              <a:endParaRPr lang="es-CL" sz="1100"/>
            </a:p>
          </xdr:txBody>
        </xdr:sp>
      </mc:Fallback>
    </mc:AlternateContent>
    <xdr:clientData/>
  </xdr:oneCellAnchor>
  <xdr:oneCellAnchor>
    <xdr:from>
      <xdr:col>25</xdr:col>
      <xdr:colOff>72627</xdr:colOff>
      <xdr:row>595</xdr:row>
      <xdr:rowOff>36909</xdr:rowOff>
    </xdr:from>
    <xdr:ext cx="4220194" cy="173766"/>
    <mc:AlternateContent xmlns:mc="http://schemas.openxmlformats.org/markup-compatibility/2006" xmlns:a14="http://schemas.microsoft.com/office/drawing/2010/main">
      <mc:Choice Requires="a14">
        <xdr:sp macro="" textlink="">
          <xdr:nvSpPr>
            <xdr:cNvPr id="65" name="CuadroTexto 64">
              <a:extLst>
                <a:ext uri="{FF2B5EF4-FFF2-40B4-BE49-F238E27FC236}">
                  <a16:creationId xmlns:a16="http://schemas.microsoft.com/office/drawing/2014/main" id="{00000000-0008-0000-0000-000041000000}"/>
                </a:ext>
              </a:extLst>
            </xdr:cNvPr>
            <xdr:cNvSpPr txBox="1"/>
          </xdr:nvSpPr>
          <xdr:spPr>
            <a:xfrm>
              <a:off x="22194440" y="135827690"/>
              <a:ext cx="42201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𝑆𝑖</m:t>
                    </m:r>
                    <m:r>
                      <a:rPr lang="es-ES" sz="1100" b="0" i="1">
                        <a:latin typeface="Cambria Math" panose="02040503050406030204" pitchFamily="18" charset="0"/>
                      </a:rPr>
                      <m:t> </m:t>
                    </m:r>
                    <m:r>
                      <a:rPr lang="es-ES" sz="1100" b="0" i="1">
                        <a:latin typeface="Cambria Math" panose="02040503050406030204" pitchFamily="18" charset="0"/>
                      </a:rPr>
                      <m:t>𝐼𝐵</m:t>
                    </m:r>
                    <m:r>
                      <a:rPr lang="es-ES" sz="1100" b="0" i="1">
                        <a:latin typeface="Cambria Math" panose="02040503050406030204" pitchFamily="18" charset="0"/>
                      </a:rPr>
                      <m:t>100&gt;100, </m:t>
                    </m:r>
                    <m:r>
                      <a:rPr lang="es-ES" sz="1100" b="0" i="1">
                        <a:latin typeface="Cambria Math" panose="02040503050406030204" pitchFamily="18" charset="0"/>
                      </a:rPr>
                      <m:t>𝑒𝑠</m:t>
                    </m:r>
                    <m:r>
                      <a:rPr lang="es-ES" sz="1100" b="0" i="1">
                        <a:latin typeface="Cambria Math" panose="02040503050406030204" pitchFamily="18" charset="0"/>
                      </a:rPr>
                      <m:t> </m:t>
                    </m:r>
                    <m:r>
                      <a:rPr lang="es-ES" sz="1100" b="0" i="1">
                        <a:latin typeface="Cambria Math" panose="02040503050406030204" pitchFamily="18" charset="0"/>
                      </a:rPr>
                      <m:t>𝑑𝑒𝑐𝑖𝑟</m:t>
                    </m:r>
                    <m:r>
                      <a:rPr lang="es-ES" sz="1100" b="0" i="1">
                        <a:latin typeface="Cambria Math" panose="02040503050406030204" pitchFamily="18" charset="0"/>
                      </a:rPr>
                      <m:t>, </m:t>
                    </m:r>
                    <m:r>
                      <a:rPr lang="es-ES" sz="1100" b="0" i="1">
                        <a:latin typeface="Cambria Math" panose="02040503050406030204" pitchFamily="18" charset="0"/>
                      </a:rPr>
                      <m:t>𝐸𝐿𝐵𝐸</m:t>
                    </m:r>
                    <m:d>
                      <m:dPr>
                        <m:ctrlPr>
                          <a:rPr lang="es-ES" sz="1100" b="0" i="1">
                            <a:latin typeface="Cambria Math" panose="02040503050406030204" pitchFamily="18" charset="0"/>
                          </a:rPr>
                        </m:ctrlPr>
                      </m:dPr>
                      <m:e>
                        <m:r>
                          <a:rPr lang="es-ES" sz="1100" b="0" i="1">
                            <a:latin typeface="Cambria Math" panose="02040503050406030204" pitchFamily="18" charset="0"/>
                          </a:rPr>
                          <m:t>𝑝</m:t>
                        </m:r>
                      </m:e>
                    </m:d>
                    <m:r>
                      <a:rPr lang="es-ES" sz="1100" b="0" i="1">
                        <a:latin typeface="Cambria Math" panose="02040503050406030204" pitchFamily="18" charset="0"/>
                      </a:rPr>
                      <m:t>&gt;</m:t>
                    </m:r>
                    <m:r>
                      <a:rPr lang="es-ES" sz="1100" b="0" i="1">
                        <a:latin typeface="Cambria Math" panose="02040503050406030204" pitchFamily="18" charset="0"/>
                      </a:rPr>
                      <m:t>𝐸𝑟𝑒𝑎𝑙</m:t>
                    </m:r>
                    <m:d>
                      <m:dPr>
                        <m:ctrlPr>
                          <a:rPr lang="es-ES" sz="1100" b="0" i="1">
                            <a:latin typeface="Cambria Math" panose="02040503050406030204" pitchFamily="18" charset="0"/>
                          </a:rPr>
                        </m:ctrlPr>
                      </m:dPr>
                      <m:e>
                        <m:r>
                          <a:rPr lang="es-ES" sz="1100" b="0" i="1">
                            <a:latin typeface="Cambria Math" panose="02040503050406030204" pitchFamily="18" charset="0"/>
                          </a:rPr>
                          <m:t>𝑃</m:t>
                        </m:r>
                      </m:e>
                    </m:d>
                    <m:r>
                      <a:rPr lang="es-ES" sz="1100" b="0" i="1">
                        <a:latin typeface="Cambria Math" panose="02040503050406030204" pitchFamily="18" charset="0"/>
                      </a:rPr>
                      <m:t>, </m:t>
                    </m:r>
                    <m:r>
                      <a:rPr lang="es-ES" sz="1100" b="0" i="1">
                        <a:latin typeface="Cambria Math" panose="02040503050406030204" pitchFamily="18" charset="0"/>
                      </a:rPr>
                      <m:t>𝑀𝑒𝑗𝑜𝑟</m:t>
                    </m:r>
                    <m:r>
                      <a:rPr lang="es-ES" sz="1100" b="0" i="1">
                        <a:latin typeface="Cambria Math" panose="02040503050406030204" pitchFamily="18" charset="0"/>
                      </a:rPr>
                      <m:t>ó </m:t>
                    </m:r>
                    <m:r>
                      <a:rPr lang="es-ES" sz="1100" b="0" i="1">
                        <a:latin typeface="Cambria Math" panose="02040503050406030204" pitchFamily="18" charset="0"/>
                      </a:rPr>
                      <m:t>𝑙𝑎</m:t>
                    </m:r>
                    <m:r>
                      <a:rPr lang="es-ES" sz="1100" b="0" i="1">
                        <a:latin typeface="Cambria Math" panose="02040503050406030204" pitchFamily="18" charset="0"/>
                      </a:rPr>
                      <m:t> </m:t>
                    </m:r>
                    <m:r>
                      <a:rPr lang="es-ES" sz="1100" b="0" i="1">
                        <a:latin typeface="Cambria Math" panose="02040503050406030204" pitchFamily="18" charset="0"/>
                      </a:rPr>
                      <m:t>𝑒𝑓𝑖𝑐𝑖𝑒𝑛𝑐𝑖𝑎</m:t>
                    </m:r>
                    <m:r>
                      <a:rPr lang="es-ES" sz="1100" b="0" i="1">
                        <a:latin typeface="Cambria Math" panose="02040503050406030204" pitchFamily="18" charset="0"/>
                      </a:rPr>
                      <m:t>.</m:t>
                    </m:r>
                  </m:oMath>
                </m:oMathPara>
              </a14:m>
              <a:endParaRPr lang="es-CL" sz="1100"/>
            </a:p>
          </xdr:txBody>
        </xdr:sp>
      </mc:Choice>
      <mc:Fallback xmlns="">
        <xdr:sp macro="" textlink="">
          <xdr:nvSpPr>
            <xdr:cNvPr id="65" name="CuadroTexto 64">
              <a:extLst>
                <a:ext uri="{FF2B5EF4-FFF2-40B4-BE49-F238E27FC236}">
                  <a16:creationId xmlns:a16="http://schemas.microsoft.com/office/drawing/2014/main" id="{566EE085-B939-2C42-8E1E-6E30EFDD7D59}"/>
                </a:ext>
              </a:extLst>
            </xdr:cNvPr>
            <xdr:cNvSpPr txBox="1"/>
          </xdr:nvSpPr>
          <xdr:spPr>
            <a:xfrm>
              <a:off x="22194440" y="135827690"/>
              <a:ext cx="42201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𝑆𝑖 𝐼𝐵100&gt;100, 𝑒𝑠 𝑑𝑒𝑐𝑖𝑟, 𝐸𝐿𝐵𝐸(𝑝)&gt;𝐸𝑟𝑒𝑎𝑙(𝑃), 𝑀𝑒𝑗𝑜𝑟ó 𝑙𝑎 𝑒𝑓𝑖𝑐𝑖𝑒𝑛𝑐𝑖𝑎.</a:t>
              </a:r>
              <a:endParaRPr lang="es-CL" sz="1100"/>
            </a:p>
          </xdr:txBody>
        </xdr:sp>
      </mc:Fallback>
    </mc:AlternateContent>
    <xdr:clientData/>
  </xdr:oneCellAnchor>
  <xdr:oneCellAnchor>
    <xdr:from>
      <xdr:col>25</xdr:col>
      <xdr:colOff>71438</xdr:colOff>
      <xdr:row>596</xdr:row>
      <xdr:rowOff>35719</xdr:rowOff>
    </xdr:from>
    <xdr:ext cx="4363374" cy="173766"/>
    <mc:AlternateContent xmlns:mc="http://schemas.openxmlformats.org/markup-compatibility/2006" xmlns:a14="http://schemas.microsoft.com/office/drawing/2010/main">
      <mc:Choice Requires="a14">
        <xdr:sp macro="" textlink="">
          <xdr:nvSpPr>
            <xdr:cNvPr id="66" name="CuadroTexto 65">
              <a:extLst>
                <a:ext uri="{FF2B5EF4-FFF2-40B4-BE49-F238E27FC236}">
                  <a16:creationId xmlns:a16="http://schemas.microsoft.com/office/drawing/2014/main" id="{00000000-0008-0000-0000-000042000000}"/>
                </a:ext>
              </a:extLst>
            </xdr:cNvPr>
            <xdr:cNvSpPr txBox="1"/>
          </xdr:nvSpPr>
          <xdr:spPr>
            <a:xfrm>
              <a:off x="22193251" y="136017000"/>
              <a:ext cx="436337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𝑆𝑖</m:t>
                    </m:r>
                    <m:r>
                      <a:rPr lang="es-ES" sz="1100" b="0" i="1">
                        <a:latin typeface="Cambria Math" panose="02040503050406030204" pitchFamily="18" charset="0"/>
                      </a:rPr>
                      <m:t> </m:t>
                    </m:r>
                    <m:r>
                      <a:rPr lang="es-ES" sz="1100" b="0" i="1">
                        <a:latin typeface="Cambria Math" panose="02040503050406030204" pitchFamily="18" charset="0"/>
                      </a:rPr>
                      <m:t>𝐼𝐵</m:t>
                    </m:r>
                    <m:r>
                      <a:rPr lang="es-ES" sz="1100" b="0" i="1">
                        <a:latin typeface="Cambria Math" panose="02040503050406030204" pitchFamily="18" charset="0"/>
                      </a:rPr>
                      <m:t>100&lt;100, </m:t>
                    </m:r>
                    <m:r>
                      <a:rPr lang="es-ES" sz="1100" b="0" i="1">
                        <a:latin typeface="Cambria Math" panose="02040503050406030204" pitchFamily="18" charset="0"/>
                      </a:rPr>
                      <m:t>𝑒𝑠</m:t>
                    </m:r>
                    <m:r>
                      <a:rPr lang="es-ES" sz="1100" b="0" i="1">
                        <a:latin typeface="Cambria Math" panose="02040503050406030204" pitchFamily="18" charset="0"/>
                      </a:rPr>
                      <m:t> </m:t>
                    </m:r>
                    <m:r>
                      <a:rPr lang="es-ES" sz="1100" b="0" i="1">
                        <a:latin typeface="Cambria Math" panose="02040503050406030204" pitchFamily="18" charset="0"/>
                      </a:rPr>
                      <m:t>𝑑𝑒𝑐𝑖𝑟</m:t>
                    </m:r>
                    <m:r>
                      <a:rPr lang="es-ES" sz="1100" b="0" i="1">
                        <a:latin typeface="Cambria Math" panose="02040503050406030204" pitchFamily="18" charset="0"/>
                      </a:rPr>
                      <m:t>, </m:t>
                    </m:r>
                    <m:r>
                      <a:rPr lang="es-ES" sz="1100" b="0" i="1">
                        <a:latin typeface="Cambria Math" panose="02040503050406030204" pitchFamily="18" charset="0"/>
                      </a:rPr>
                      <m:t>𝐸𝐿𝐵𝐸</m:t>
                    </m:r>
                    <m:d>
                      <m:dPr>
                        <m:ctrlPr>
                          <a:rPr lang="es-ES" sz="1100" b="0" i="1">
                            <a:latin typeface="Cambria Math" panose="02040503050406030204" pitchFamily="18" charset="0"/>
                          </a:rPr>
                        </m:ctrlPr>
                      </m:dPr>
                      <m:e>
                        <m:r>
                          <a:rPr lang="es-ES" sz="1100" b="0" i="1">
                            <a:latin typeface="Cambria Math" panose="02040503050406030204" pitchFamily="18" charset="0"/>
                          </a:rPr>
                          <m:t>𝑝</m:t>
                        </m:r>
                      </m:e>
                    </m:d>
                    <m:r>
                      <a:rPr lang="es-ES" sz="1100" b="0" i="1">
                        <a:latin typeface="Cambria Math" panose="02040503050406030204" pitchFamily="18" charset="0"/>
                      </a:rPr>
                      <m:t>&lt;</m:t>
                    </m:r>
                    <m:r>
                      <a:rPr lang="es-ES" sz="1100" b="0" i="1">
                        <a:latin typeface="Cambria Math" panose="02040503050406030204" pitchFamily="18" charset="0"/>
                      </a:rPr>
                      <m:t>𝐸𝑟𝑒𝑎𝑙</m:t>
                    </m:r>
                    <m:d>
                      <m:dPr>
                        <m:ctrlPr>
                          <a:rPr lang="es-ES" sz="1100" b="0" i="1">
                            <a:latin typeface="Cambria Math" panose="02040503050406030204" pitchFamily="18" charset="0"/>
                          </a:rPr>
                        </m:ctrlPr>
                      </m:dPr>
                      <m:e>
                        <m:r>
                          <a:rPr lang="es-ES" sz="1100" b="0" i="1">
                            <a:latin typeface="Cambria Math" panose="02040503050406030204" pitchFamily="18" charset="0"/>
                          </a:rPr>
                          <m:t>𝑃</m:t>
                        </m:r>
                      </m:e>
                    </m:d>
                    <m:r>
                      <a:rPr lang="es-ES" sz="1100" b="0" i="1">
                        <a:latin typeface="Cambria Math" panose="02040503050406030204" pitchFamily="18" charset="0"/>
                      </a:rPr>
                      <m:t>,</m:t>
                    </m:r>
                    <m:r>
                      <a:rPr lang="es-ES" sz="1100" b="0" i="1">
                        <a:latin typeface="Cambria Math" panose="02040503050406030204" pitchFamily="18" charset="0"/>
                      </a:rPr>
                      <m:t>𝐸𝑚𝑝𝑒𝑜𝑟</m:t>
                    </m:r>
                    <m:r>
                      <a:rPr lang="es-ES" sz="1100" b="0" i="1">
                        <a:latin typeface="Cambria Math" panose="02040503050406030204" pitchFamily="18" charset="0"/>
                      </a:rPr>
                      <m:t>ó </m:t>
                    </m:r>
                    <m:r>
                      <a:rPr lang="es-ES" sz="1100" b="0" i="1">
                        <a:latin typeface="Cambria Math" panose="02040503050406030204" pitchFamily="18" charset="0"/>
                      </a:rPr>
                      <m:t>𝑙𝑎</m:t>
                    </m:r>
                    <m:r>
                      <a:rPr lang="es-ES" sz="1100" b="0" i="1">
                        <a:latin typeface="Cambria Math" panose="02040503050406030204" pitchFamily="18" charset="0"/>
                      </a:rPr>
                      <m:t> </m:t>
                    </m:r>
                    <m:r>
                      <a:rPr lang="es-ES" sz="1100" b="0" i="1">
                        <a:latin typeface="Cambria Math" panose="02040503050406030204" pitchFamily="18" charset="0"/>
                      </a:rPr>
                      <m:t>𝑒𝑓𝑖𝑐𝑖𝑒𝑛𝑐𝑖𝑎</m:t>
                    </m:r>
                    <m:r>
                      <a:rPr lang="es-ES" sz="1100" b="0" i="1">
                        <a:latin typeface="Cambria Math" panose="02040503050406030204" pitchFamily="18" charset="0"/>
                      </a:rPr>
                      <m:t>.</m:t>
                    </m:r>
                  </m:oMath>
                </m:oMathPara>
              </a14:m>
              <a:endParaRPr lang="es-CL" sz="1100"/>
            </a:p>
          </xdr:txBody>
        </xdr:sp>
      </mc:Choice>
      <mc:Fallback xmlns="">
        <xdr:sp macro="" textlink="">
          <xdr:nvSpPr>
            <xdr:cNvPr id="66" name="CuadroTexto 65">
              <a:extLst>
                <a:ext uri="{FF2B5EF4-FFF2-40B4-BE49-F238E27FC236}">
                  <a16:creationId xmlns:a16="http://schemas.microsoft.com/office/drawing/2014/main" id="{1138615B-3272-4307-8AD9-37C881A93219}"/>
                </a:ext>
              </a:extLst>
            </xdr:cNvPr>
            <xdr:cNvSpPr txBox="1"/>
          </xdr:nvSpPr>
          <xdr:spPr>
            <a:xfrm>
              <a:off x="22193251" y="136017000"/>
              <a:ext cx="436337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𝑆𝑖 𝐼𝐵100&lt;100, 𝑒𝑠 𝑑𝑒𝑐𝑖𝑟, 𝐸𝐿𝐵𝐸(𝑝)&lt;𝐸𝑟𝑒𝑎𝑙(𝑃),𝐸𝑚𝑝𝑒𝑜𝑟ó 𝑙𝑎 𝑒𝑓𝑖𝑐𝑖𝑒𝑛𝑐𝑖𝑎.</a:t>
              </a:r>
              <a:endParaRPr lang="es-CL" sz="1100"/>
            </a:p>
          </xdr:txBody>
        </xdr:sp>
      </mc:Fallback>
    </mc:AlternateContent>
    <xdr:clientData/>
  </xdr:oneCellAnchor>
  <xdr:twoCellAnchor>
    <xdr:from>
      <xdr:col>30</xdr:col>
      <xdr:colOff>1118118</xdr:colOff>
      <xdr:row>615</xdr:row>
      <xdr:rowOff>175757</xdr:rowOff>
    </xdr:from>
    <xdr:to>
      <xdr:col>33</xdr:col>
      <xdr:colOff>1946263</xdr:colOff>
      <xdr:row>630</xdr:row>
      <xdr:rowOff>166687</xdr:rowOff>
    </xdr:to>
    <xdr:graphicFrame macro="">
      <xdr:nvGraphicFramePr>
        <xdr:cNvPr id="67" name="Gráfico 66">
          <a:extLst>
            <a:ext uri="{FF2B5EF4-FFF2-40B4-BE49-F238E27FC236}">
              <a16:creationId xmlns:a16="http://schemas.microsoft.com/office/drawing/2014/main" id="{00000000-0008-0000-0000-00004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31</xdr:col>
      <xdr:colOff>17387</xdr:colOff>
      <xdr:row>602</xdr:row>
      <xdr:rowOff>6018</xdr:rowOff>
    </xdr:from>
    <xdr:to>
      <xdr:col>33</xdr:col>
      <xdr:colOff>1947538</xdr:colOff>
      <xdr:row>615</xdr:row>
      <xdr:rowOff>85429</xdr:rowOff>
    </xdr:to>
    <xdr:graphicFrame macro="">
      <xdr:nvGraphicFramePr>
        <xdr:cNvPr id="69" name="Gráfico 68">
          <a:extLst>
            <a:ext uri="{FF2B5EF4-FFF2-40B4-BE49-F238E27FC236}">
              <a16:creationId xmlns:a16="http://schemas.microsoft.com/office/drawing/2014/main" id="{00000000-0008-0000-00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29</xdr:col>
      <xdr:colOff>202407</xdr:colOff>
      <xdr:row>601</xdr:row>
      <xdr:rowOff>35718</xdr:rowOff>
    </xdr:from>
    <xdr:ext cx="488467" cy="315792"/>
    <mc:AlternateContent xmlns:mc="http://schemas.openxmlformats.org/markup-compatibility/2006" xmlns:a14="http://schemas.microsoft.com/office/drawing/2010/main">
      <mc:Choice Requires="a14">
        <xdr:sp macro="" textlink="">
          <xdr:nvSpPr>
            <xdr:cNvPr id="99" name="CuadroTexto 98">
              <a:extLst>
                <a:ext uri="{FF2B5EF4-FFF2-40B4-BE49-F238E27FC236}">
                  <a16:creationId xmlns:a16="http://schemas.microsoft.com/office/drawing/2014/main" id="{00000000-0008-0000-0000-000063000000}"/>
                </a:ext>
              </a:extLst>
            </xdr:cNvPr>
            <xdr:cNvSpPr txBox="1"/>
          </xdr:nvSpPr>
          <xdr:spPr>
            <a:xfrm>
              <a:off x="27122438" y="136969499"/>
              <a:ext cx="488467"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𝐼𝐶</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𝑡</m:t>
                            </m:r>
                          </m:sub>
                        </m:sSub>
                      </m:num>
                      <m:den>
                        <m:r>
                          <a:rPr lang="es-ES" sz="1100" b="0" i="1">
                            <a:latin typeface="Cambria Math" panose="02040503050406030204" pitchFamily="18" charset="0"/>
                          </a:rPr>
                          <m:t>𝑃</m:t>
                        </m:r>
                      </m:den>
                    </m:f>
                  </m:oMath>
                </m:oMathPara>
              </a14:m>
              <a:endParaRPr lang="es-CL" sz="1100"/>
            </a:p>
          </xdr:txBody>
        </xdr:sp>
      </mc:Choice>
      <mc:Fallback xmlns="">
        <xdr:sp macro="" textlink="">
          <xdr:nvSpPr>
            <xdr:cNvPr id="99" name="CuadroTexto 98">
              <a:extLst>
                <a:ext uri="{FF2B5EF4-FFF2-40B4-BE49-F238E27FC236}">
                  <a16:creationId xmlns:a16="http://schemas.microsoft.com/office/drawing/2014/main" id="{BA5E83E4-B55E-4ACD-AD89-2976A22AA5AB}"/>
                </a:ext>
              </a:extLst>
            </xdr:cNvPr>
            <xdr:cNvSpPr txBox="1"/>
          </xdr:nvSpPr>
          <xdr:spPr>
            <a:xfrm>
              <a:off x="27122438" y="136969499"/>
              <a:ext cx="488467"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𝐼𝐶=𝐸_𝑡/𝑃</a:t>
              </a:r>
              <a:endParaRPr lang="es-CL" sz="1100"/>
            </a:p>
          </xdr:txBody>
        </xdr:sp>
      </mc:Fallback>
    </mc:AlternateContent>
    <xdr:clientData/>
  </xdr:oneCellAnchor>
  <xdr:twoCellAnchor>
    <xdr:from>
      <xdr:col>34</xdr:col>
      <xdr:colOff>47625</xdr:colOff>
      <xdr:row>602</xdr:row>
      <xdr:rowOff>11906</xdr:rowOff>
    </xdr:from>
    <xdr:to>
      <xdr:col>37</xdr:col>
      <xdr:colOff>382338</xdr:colOff>
      <xdr:row>615</xdr:row>
      <xdr:rowOff>91317</xdr:rowOff>
    </xdr:to>
    <xdr:graphicFrame macro="">
      <xdr:nvGraphicFramePr>
        <xdr:cNvPr id="100" name="Gráfico 99">
          <a:extLst>
            <a:ext uri="{FF2B5EF4-FFF2-40B4-BE49-F238E27FC236}">
              <a16:creationId xmlns:a16="http://schemas.microsoft.com/office/drawing/2014/main" id="{00000000-0008-0000-0000-00006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32</xdr:col>
      <xdr:colOff>380999</xdr:colOff>
      <xdr:row>636</xdr:row>
      <xdr:rowOff>380999</xdr:rowOff>
    </xdr:from>
    <xdr:to>
      <xdr:col>35</xdr:col>
      <xdr:colOff>825499</xdr:colOff>
      <xdr:row>652</xdr:row>
      <xdr:rowOff>155840</xdr:rowOff>
    </xdr:to>
    <xdr:graphicFrame macro="">
      <xdr:nvGraphicFramePr>
        <xdr:cNvPr id="96" name="Gráfico 95">
          <a:extLst>
            <a:ext uri="{FF2B5EF4-FFF2-40B4-BE49-F238E27FC236}">
              <a16:creationId xmlns:a16="http://schemas.microsoft.com/office/drawing/2014/main" id="{00000000-0008-0000-0000-00006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23</xdr:col>
      <xdr:colOff>144065</xdr:colOff>
      <xdr:row>687</xdr:row>
      <xdr:rowOff>84534</xdr:rowOff>
    </xdr:from>
    <xdr:ext cx="1609671" cy="462114"/>
    <mc:AlternateContent xmlns:mc="http://schemas.openxmlformats.org/markup-compatibility/2006" xmlns:a14="http://schemas.microsoft.com/office/drawing/2010/main">
      <mc:Choice Requires="a14">
        <xdr:sp macro="" textlink="">
          <xdr:nvSpPr>
            <xdr:cNvPr id="102" name="CuadroTexto 101">
              <a:extLst>
                <a:ext uri="{FF2B5EF4-FFF2-40B4-BE49-F238E27FC236}">
                  <a16:creationId xmlns:a16="http://schemas.microsoft.com/office/drawing/2014/main" id="{00000000-0008-0000-0000-000066000000}"/>
                </a:ext>
              </a:extLst>
            </xdr:cNvPr>
            <xdr:cNvSpPr txBox="1"/>
          </xdr:nvSpPr>
          <xdr:spPr>
            <a:xfrm>
              <a:off x="20075128" y="156639815"/>
              <a:ext cx="1609671" cy="462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𝐶𝑈𝑆𝑈𝑀</m:t>
                    </m:r>
                    <m:r>
                      <a:rPr lang="es-ES" sz="1100" b="0" i="1">
                        <a:latin typeface="Cambria Math" panose="02040503050406030204" pitchFamily="18" charset="0"/>
                      </a:rPr>
                      <m:t>=</m:t>
                    </m:r>
                    <m:nary>
                      <m:naryPr>
                        <m:chr m:val="∑"/>
                        <m:ctrlPr>
                          <a:rPr lang="es-ES" sz="1100" b="0" i="1">
                            <a:latin typeface="Cambria Math" panose="02040503050406030204" pitchFamily="18" charset="0"/>
                          </a:rPr>
                        </m:ctrlPr>
                      </m:naryPr>
                      <m:sub>
                        <m:r>
                          <m:rPr>
                            <m:brk m:alnAt="23"/>
                          </m:rPr>
                          <a:rPr lang="es-ES" sz="1100" b="0" i="1">
                            <a:latin typeface="Cambria Math" panose="02040503050406030204" pitchFamily="18" charset="0"/>
                          </a:rPr>
                          <m:t>𝑖</m:t>
                        </m:r>
                        <m:r>
                          <a:rPr lang="es-ES" sz="1100" b="0" i="1">
                            <a:latin typeface="Cambria Math" panose="02040503050406030204" pitchFamily="18" charset="0"/>
                          </a:rPr>
                          <m:t>=1</m:t>
                        </m:r>
                      </m:sub>
                      <m:sup>
                        <m:r>
                          <a:rPr lang="es-ES" sz="1100" b="0" i="1">
                            <a:latin typeface="Cambria Math" panose="02040503050406030204" pitchFamily="18" charset="0"/>
                          </a:rPr>
                          <m:t>𝑛</m:t>
                        </m:r>
                      </m:sup>
                      <m:e>
                        <m:d>
                          <m:dPr>
                            <m:begChr m:val="["/>
                            <m:endChr m:val="]"/>
                            <m:ctrlPr>
                              <a:rPr lang="es-ES" sz="1100" b="0" i="1">
                                <a:latin typeface="Cambria Math" panose="02040503050406030204" pitchFamily="18" charset="0"/>
                              </a:rPr>
                            </m:ctrlPr>
                          </m:dPr>
                          <m:e>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𝑟𝑖</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𝑡𝑖</m:t>
                                    </m:r>
                                  </m:sub>
                                </m:sSub>
                              </m:e>
                            </m:d>
                          </m:e>
                        </m:d>
                      </m:e>
                    </m:nary>
                  </m:oMath>
                </m:oMathPara>
              </a14:m>
              <a:endParaRPr lang="es-CL" sz="1100"/>
            </a:p>
          </xdr:txBody>
        </xdr:sp>
      </mc:Choice>
      <mc:Fallback xmlns="">
        <xdr:sp macro="" textlink="">
          <xdr:nvSpPr>
            <xdr:cNvPr id="102" name="CuadroTexto 101">
              <a:extLst>
                <a:ext uri="{FF2B5EF4-FFF2-40B4-BE49-F238E27FC236}">
                  <a16:creationId xmlns:a16="http://schemas.microsoft.com/office/drawing/2014/main" id="{DD4E9D30-40E0-6291-9E9F-2D3D2974F50F}"/>
                </a:ext>
              </a:extLst>
            </xdr:cNvPr>
            <xdr:cNvSpPr txBox="1"/>
          </xdr:nvSpPr>
          <xdr:spPr>
            <a:xfrm>
              <a:off x="20075128" y="156639815"/>
              <a:ext cx="1609671" cy="462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𝐶𝑈𝑆𝑈𝑀=∑24_(𝑖=1)^𝑛▒[(𝐸_𝑟𝑖−𝐸_𝑡𝑖 )] </a:t>
              </a:r>
              <a:endParaRPr lang="es-CL" sz="1100"/>
            </a:p>
          </xdr:txBody>
        </xdr:sp>
      </mc:Fallback>
    </mc:AlternateContent>
    <xdr:clientData/>
  </xdr:oneCellAnchor>
  <xdr:twoCellAnchor>
    <xdr:from>
      <xdr:col>29</xdr:col>
      <xdr:colOff>535781</xdr:colOff>
      <xdr:row>697</xdr:row>
      <xdr:rowOff>154781</xdr:rowOff>
    </xdr:from>
    <xdr:to>
      <xdr:col>33</xdr:col>
      <xdr:colOff>1575288</xdr:colOff>
      <xdr:row>717</xdr:row>
      <xdr:rowOff>134327</xdr:rowOff>
    </xdr:to>
    <xdr:graphicFrame macro="">
      <xdr:nvGraphicFramePr>
        <xdr:cNvPr id="109" name="Gráfico 108">
          <a:extLst>
            <a:ext uri="{FF2B5EF4-FFF2-40B4-BE49-F238E27FC236}">
              <a16:creationId xmlns:a16="http://schemas.microsoft.com/office/drawing/2014/main" id="{00000000-0008-0000-0000-00006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24</xdr:col>
      <xdr:colOff>310753</xdr:colOff>
      <xdr:row>727</xdr:row>
      <xdr:rowOff>36909</xdr:rowOff>
    </xdr:from>
    <xdr:ext cx="594522" cy="315792"/>
    <mc:AlternateContent xmlns:mc="http://schemas.openxmlformats.org/markup-compatibility/2006" xmlns:a14="http://schemas.microsoft.com/office/drawing/2010/main">
      <mc:Choice Requires="a14">
        <xdr:sp macro="" textlink="">
          <xdr:nvSpPr>
            <xdr:cNvPr id="97" name="CuadroTexto 96">
              <a:extLst>
                <a:ext uri="{FF2B5EF4-FFF2-40B4-BE49-F238E27FC236}">
                  <a16:creationId xmlns:a16="http://schemas.microsoft.com/office/drawing/2014/main" id="{00000000-0008-0000-0000-000061000000}"/>
                </a:ext>
              </a:extLst>
            </xdr:cNvPr>
            <xdr:cNvSpPr txBox="1"/>
          </xdr:nvSpPr>
          <xdr:spPr>
            <a:xfrm>
              <a:off x="21325284" y="164402690"/>
              <a:ext cx="594522"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𝐼𝐸</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 </m:t>
                        </m:r>
                        <m:r>
                          <a:rPr lang="es-ES" sz="1100" b="0" i="1">
                            <a:latin typeface="Cambria Math" panose="02040503050406030204" pitchFamily="18" charset="0"/>
                          </a:rPr>
                          <m:t>𝐸</m:t>
                        </m:r>
                      </m:num>
                      <m:den>
                        <m:r>
                          <a:rPr lang="es-ES" sz="1100" b="0" i="1">
                            <a:latin typeface="Cambria Math" panose="02040503050406030204" pitchFamily="18" charset="0"/>
                          </a:rPr>
                          <m:t>𝑃𝐼𝐵</m:t>
                        </m:r>
                      </m:den>
                    </m:f>
                  </m:oMath>
                </m:oMathPara>
              </a14:m>
              <a:endParaRPr lang="es-CL" sz="1100"/>
            </a:p>
          </xdr:txBody>
        </xdr:sp>
      </mc:Choice>
      <mc:Fallback xmlns="">
        <xdr:sp macro="" textlink="">
          <xdr:nvSpPr>
            <xdr:cNvPr id="97" name="CuadroTexto 96">
              <a:extLst>
                <a:ext uri="{FF2B5EF4-FFF2-40B4-BE49-F238E27FC236}">
                  <a16:creationId xmlns:a16="http://schemas.microsoft.com/office/drawing/2014/main" id="{B8A7D765-388C-82A6-CF21-816458641042}"/>
                </a:ext>
              </a:extLst>
            </xdr:cNvPr>
            <xdr:cNvSpPr txBox="1"/>
          </xdr:nvSpPr>
          <xdr:spPr>
            <a:xfrm>
              <a:off x="21325284" y="164402690"/>
              <a:ext cx="594522"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𝐼𝐸=( 𝐸)/𝑃𝐼𝐵</a:t>
              </a:r>
              <a:endParaRPr lang="es-CL" sz="1100"/>
            </a:p>
          </xdr:txBody>
        </xdr:sp>
      </mc:Fallback>
    </mc:AlternateContent>
    <xdr:clientData/>
  </xdr:oneCellAnchor>
  <xdr:oneCellAnchor>
    <xdr:from>
      <xdr:col>24</xdr:col>
      <xdr:colOff>167878</xdr:colOff>
      <xdr:row>737</xdr:row>
      <xdr:rowOff>36909</xdr:rowOff>
    </xdr:from>
    <xdr:ext cx="1026691" cy="462114"/>
    <mc:AlternateContent xmlns:mc="http://schemas.openxmlformats.org/markup-compatibility/2006" xmlns:a14="http://schemas.microsoft.com/office/drawing/2010/main">
      <mc:Choice Requires="a14">
        <xdr:sp macro="" textlink="">
          <xdr:nvSpPr>
            <xdr:cNvPr id="103" name="CuadroTexto 102">
              <a:extLst>
                <a:ext uri="{FF2B5EF4-FFF2-40B4-BE49-F238E27FC236}">
                  <a16:creationId xmlns:a16="http://schemas.microsoft.com/office/drawing/2014/main" id="{00000000-0008-0000-0000-000067000000}"/>
                </a:ext>
              </a:extLst>
            </xdr:cNvPr>
            <xdr:cNvSpPr txBox="1"/>
          </xdr:nvSpPr>
          <xdr:spPr>
            <a:xfrm>
              <a:off x="21182409" y="165926690"/>
              <a:ext cx="1026691" cy="462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𝐶𝐸𝐴𝑇</m:t>
                        </m:r>
                      </m:e>
                      <m:sub>
                        <m:r>
                          <a:rPr lang="es-ES" sz="1100" b="0" i="1">
                            <a:latin typeface="Cambria Math" panose="02040503050406030204" pitchFamily="18" charset="0"/>
                          </a:rPr>
                          <m:t>𝑖</m:t>
                        </m:r>
                      </m:sub>
                    </m:sSub>
                    <m:r>
                      <a:rPr lang="es-ES" sz="1100" b="0" i="1">
                        <a:latin typeface="Cambria Math" panose="02040503050406030204" pitchFamily="18" charset="0"/>
                      </a:rPr>
                      <m:t>=</m:t>
                    </m:r>
                    <m:nary>
                      <m:naryPr>
                        <m:chr m:val="∑"/>
                        <m:ctrlPr>
                          <a:rPr lang="es-ES" sz="1100" b="0" i="1">
                            <a:latin typeface="Cambria Math" panose="02040503050406030204" pitchFamily="18" charset="0"/>
                          </a:rPr>
                        </m:ctrlPr>
                      </m:naryPr>
                      <m:sub>
                        <m:r>
                          <m:rPr>
                            <m:brk m:alnAt="23"/>
                          </m:rPr>
                          <a:rPr lang="es-ES" sz="1100" b="0" i="1">
                            <a:latin typeface="Cambria Math" panose="02040503050406030204" pitchFamily="18" charset="0"/>
                          </a:rPr>
                          <m:t>𝑖</m:t>
                        </m:r>
                      </m:sub>
                      <m:sup>
                        <m:r>
                          <a:rPr lang="es-ES" sz="1100" b="0" i="1">
                            <a:latin typeface="Cambria Math" panose="02040503050406030204" pitchFamily="18" charset="0"/>
                          </a:rPr>
                          <m:t>𝑛</m:t>
                        </m:r>
                      </m:sup>
                      <m:e>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𝐶𝐸</m:t>
                                </m:r>
                              </m:e>
                              <m:sub>
                                <m:r>
                                  <a:rPr lang="es-ES" sz="1100" b="0" i="1">
                                    <a:latin typeface="Cambria Math" panose="02040503050406030204" pitchFamily="18" charset="0"/>
                                  </a:rPr>
                                  <m:t>𝑖</m:t>
                                </m:r>
                              </m:sub>
                            </m:sSub>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𝑖</m:t>
                                </m:r>
                              </m:sub>
                            </m:sSub>
                          </m:den>
                        </m:f>
                      </m:e>
                    </m:nary>
                  </m:oMath>
                </m:oMathPara>
              </a14:m>
              <a:endParaRPr lang="es-CL" sz="1100"/>
            </a:p>
          </xdr:txBody>
        </xdr:sp>
      </mc:Choice>
      <mc:Fallback xmlns="">
        <xdr:sp macro="" textlink="">
          <xdr:nvSpPr>
            <xdr:cNvPr id="103" name="CuadroTexto 102">
              <a:extLst>
                <a:ext uri="{FF2B5EF4-FFF2-40B4-BE49-F238E27FC236}">
                  <a16:creationId xmlns:a16="http://schemas.microsoft.com/office/drawing/2014/main" id="{77B77175-1A5B-AA26-0434-4355195227E8}"/>
                </a:ext>
              </a:extLst>
            </xdr:cNvPr>
            <xdr:cNvSpPr txBox="1"/>
          </xdr:nvSpPr>
          <xdr:spPr>
            <a:xfrm>
              <a:off x="21182409" y="165926690"/>
              <a:ext cx="1026691" cy="462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i="0">
                  <a:latin typeface="Cambria Math" panose="02040503050406030204" pitchFamily="18" charset="0"/>
                </a:rPr>
                <a:t>〖</a:t>
              </a:r>
              <a:r>
                <a:rPr lang="es-ES" sz="1100" b="0" i="0">
                  <a:latin typeface="Cambria Math" panose="02040503050406030204" pitchFamily="18" charset="0"/>
                </a:rPr>
                <a:t>𝐶𝐸𝐴𝑇</a:t>
              </a:r>
              <a:r>
                <a:rPr lang="es-CL" sz="1100" b="0" i="0">
                  <a:latin typeface="Cambria Math" panose="02040503050406030204" pitchFamily="18" charset="0"/>
                </a:rPr>
                <a:t>〗_</a:t>
              </a:r>
              <a:r>
                <a:rPr lang="es-ES" sz="1100" b="0" i="0">
                  <a:latin typeface="Cambria Math" panose="02040503050406030204" pitchFamily="18" charset="0"/>
                </a:rPr>
                <a:t>𝑖=∑24_𝑖^𝑛▒〖𝐶𝐸〗_𝑖/𝑇_𝑖 </a:t>
              </a:r>
              <a:endParaRPr lang="es-CL" sz="1100"/>
            </a:p>
          </xdr:txBody>
        </xdr:sp>
      </mc:Fallback>
    </mc:AlternateContent>
    <xdr:clientData/>
  </xdr:oneCellAnchor>
  <xdr:oneCellAnchor>
    <xdr:from>
      <xdr:col>30</xdr:col>
      <xdr:colOff>275034</xdr:colOff>
      <xdr:row>633</xdr:row>
      <xdr:rowOff>1191</xdr:rowOff>
    </xdr:from>
    <xdr:ext cx="616772" cy="355867"/>
    <mc:AlternateContent xmlns:mc="http://schemas.openxmlformats.org/markup-compatibility/2006" xmlns:a14="http://schemas.microsoft.com/office/drawing/2010/main">
      <mc:Choice Requires="a14">
        <xdr:sp macro="" textlink="">
          <xdr:nvSpPr>
            <xdr:cNvPr id="112" name="CuadroTexto 111">
              <a:extLst>
                <a:ext uri="{FF2B5EF4-FFF2-40B4-BE49-F238E27FC236}">
                  <a16:creationId xmlns:a16="http://schemas.microsoft.com/office/drawing/2014/main" id="{00000000-0008-0000-0000-000070000000}"/>
                </a:ext>
              </a:extLst>
            </xdr:cNvPr>
            <xdr:cNvSpPr txBox="1"/>
          </xdr:nvSpPr>
          <xdr:spPr>
            <a:xfrm>
              <a:off x="28242815" y="143221472"/>
              <a:ext cx="616772" cy="3558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s-CL" sz="1100" i="1">
                            <a:latin typeface="Cambria Math" panose="02040503050406030204" pitchFamily="18" charset="0"/>
                          </a:rPr>
                        </m:ctrlPr>
                      </m:fPr>
                      <m:num>
                        <m:sSub>
                          <m:sSubPr>
                            <m:ctrlPr>
                              <a:rPr lang="es-CL" sz="110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𝑦</m:t>
                            </m:r>
                          </m:sub>
                        </m:sSub>
                      </m:num>
                      <m:den>
                        <m:sSub>
                          <m:sSubPr>
                            <m:ctrlPr>
                              <a:rPr lang="es-CL" sz="110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𝑥</m:t>
                            </m:r>
                          </m:sub>
                        </m:sSub>
                      </m:den>
                    </m:f>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m:t>
                            </m:r>
                            <m:r>
                              <a:rPr lang="es-ES" sz="1100" b="0" i="1">
                                <a:latin typeface="Cambria Math" panose="02040503050406030204" pitchFamily="18" charset="0"/>
                              </a:rPr>
                              <m:t>𝐸</m:t>
                            </m:r>
                          </m:e>
                          <m:sub>
                            <m:r>
                              <a:rPr lang="es-ES" sz="1100" b="0" i="1">
                                <a:latin typeface="Cambria Math" panose="02040503050406030204" pitchFamily="18" charset="0"/>
                              </a:rPr>
                              <m:t>0</m:t>
                            </m:r>
                          </m:sub>
                        </m:sSub>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𝑃</m:t>
                            </m:r>
                          </m:e>
                          <m:sup>
                            <m:r>
                              <a:rPr lang="es-ES" sz="1100" b="0" i="1">
                                <a:latin typeface="Cambria Math" panose="02040503050406030204" pitchFamily="18" charset="0"/>
                              </a:rPr>
                              <m:t>2</m:t>
                            </m:r>
                          </m:sup>
                        </m:sSup>
                      </m:den>
                    </m:f>
                  </m:oMath>
                </m:oMathPara>
              </a14:m>
              <a:endParaRPr lang="es-CL" sz="1100"/>
            </a:p>
          </xdr:txBody>
        </xdr:sp>
      </mc:Choice>
      <mc:Fallback xmlns="">
        <xdr:sp macro="" textlink="">
          <xdr:nvSpPr>
            <xdr:cNvPr id="112" name="CuadroTexto 111">
              <a:extLst>
                <a:ext uri="{FF2B5EF4-FFF2-40B4-BE49-F238E27FC236}">
                  <a16:creationId xmlns:a16="http://schemas.microsoft.com/office/drawing/2014/main" id="{30D9F9B8-8491-7DA4-5550-AC5D48C3DCB9}"/>
                </a:ext>
              </a:extLst>
            </xdr:cNvPr>
            <xdr:cNvSpPr txBox="1"/>
          </xdr:nvSpPr>
          <xdr:spPr>
            <a:xfrm>
              <a:off x="28242815" y="143221472"/>
              <a:ext cx="616772" cy="3558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𝑦</a:t>
              </a:r>
              <a:r>
                <a:rPr lang="es-CL" sz="1100" b="0" i="0">
                  <a:latin typeface="Cambria Math" panose="02040503050406030204" pitchFamily="18" charset="0"/>
                </a:rPr>
                <a:t>/</a:t>
              </a:r>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𝑥</a:t>
              </a:r>
              <a:r>
                <a:rPr lang="es-CL" sz="1100" b="0" i="0">
                  <a:latin typeface="Cambria Math" panose="02040503050406030204" pitchFamily="18" charset="0"/>
                </a:rPr>
                <a:t> </a:t>
              </a:r>
              <a:r>
                <a:rPr lang="es-ES" sz="1100" b="0" i="0">
                  <a:latin typeface="Cambria Math" panose="02040503050406030204" pitchFamily="18" charset="0"/>
                </a:rPr>
                <a:t>=〖−𝐸〗_0/𝑃^2 </a:t>
              </a:r>
              <a:endParaRPr lang="es-CL" sz="1100"/>
            </a:p>
          </xdr:txBody>
        </xdr:sp>
      </mc:Fallback>
    </mc:AlternateContent>
    <xdr:clientData/>
  </xdr:oneCellAnchor>
  <xdr:twoCellAnchor>
    <xdr:from>
      <xdr:col>33</xdr:col>
      <xdr:colOff>843895</xdr:colOff>
      <xdr:row>661</xdr:row>
      <xdr:rowOff>139192</xdr:rowOff>
    </xdr:from>
    <xdr:to>
      <xdr:col>39</xdr:col>
      <xdr:colOff>1265547</xdr:colOff>
      <xdr:row>687</xdr:row>
      <xdr:rowOff>13493</xdr:rowOff>
    </xdr:to>
    <xdr:graphicFrame macro="">
      <xdr:nvGraphicFramePr>
        <xdr:cNvPr id="123" name="Gráfico 122">
          <a:extLst>
            <a:ext uri="{FF2B5EF4-FFF2-40B4-BE49-F238E27FC236}">
              <a16:creationId xmlns:a16="http://schemas.microsoft.com/office/drawing/2014/main" id="{00000000-0008-0000-0000-00007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31</xdr:col>
      <xdr:colOff>549388</xdr:colOff>
      <xdr:row>576</xdr:row>
      <xdr:rowOff>170089</xdr:rowOff>
    </xdr:from>
    <xdr:to>
      <xdr:col>34</xdr:col>
      <xdr:colOff>559593</xdr:colOff>
      <xdr:row>591</xdr:row>
      <xdr:rowOff>55789</xdr:rowOff>
    </xdr:to>
    <xdr:graphicFrame macro="">
      <xdr:nvGraphicFramePr>
        <xdr:cNvPr id="101" name="Gráfico 100">
          <a:extLst>
            <a:ext uri="{FF2B5EF4-FFF2-40B4-BE49-F238E27FC236}">
              <a16:creationId xmlns:a16="http://schemas.microsoft.com/office/drawing/2014/main" id="{00000000-0008-0000-0000-00006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25</xdr:col>
      <xdr:colOff>130969</xdr:colOff>
      <xdr:row>673</xdr:row>
      <xdr:rowOff>11906</xdr:rowOff>
    </xdr:from>
    <xdr:ext cx="2981650" cy="194412"/>
    <mc:AlternateContent xmlns:mc="http://schemas.openxmlformats.org/markup-compatibility/2006" xmlns:a14="http://schemas.microsoft.com/office/drawing/2010/main">
      <mc:Choice Requires="a14">
        <xdr:sp macro="" textlink="">
          <xdr:nvSpPr>
            <xdr:cNvPr id="106" name="CuadroTexto 105">
              <a:extLst>
                <a:ext uri="{FF2B5EF4-FFF2-40B4-BE49-F238E27FC236}">
                  <a16:creationId xmlns:a16="http://schemas.microsoft.com/office/drawing/2014/main" id="{00000000-0008-0000-0000-00006A000000}"/>
                </a:ext>
              </a:extLst>
            </xdr:cNvPr>
            <xdr:cNvSpPr txBox="1"/>
          </xdr:nvSpPr>
          <xdr:spPr>
            <a:xfrm>
              <a:off x="24669750" y="149518687"/>
              <a:ext cx="2981650"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m:t>
                    </m:r>
                    <m:r>
                      <a:rPr lang="es-ES" sz="1100" b="0" i="1">
                        <a:latin typeface="Cambria Math" panose="02040503050406030204" pitchFamily="18" charset="0"/>
                      </a:rPr>
                      <m:t> </m:t>
                    </m:r>
                    <m:r>
                      <a:rPr lang="es-ES" sz="1100" b="0" i="1">
                        <a:latin typeface="Cambria Math" panose="02040503050406030204" pitchFamily="18" charset="0"/>
                      </a:rPr>
                      <m:t>𝑝𝑜𝑡𝑒𝑛𝑐𝑖𝑎𝑙</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𝑃</m:t>
                        </m:r>
                      </m:e>
                      <m:sub>
                        <m:r>
                          <a:rPr lang="es-ES" sz="1100" b="0" i="1">
                            <a:latin typeface="Cambria Math" panose="02040503050406030204" pitchFamily="18" charset="0"/>
                          </a:rPr>
                          <m:t>𝑝𝑟𝑜𝑚</m:t>
                        </m:r>
                      </m:sub>
                    </m:sSub>
                    <m:r>
                      <a:rPr lang="es-ES" sz="1100" b="0" i="1">
                        <a:latin typeface="Cambria Math" panose="02040503050406030204" pitchFamily="18" charset="0"/>
                      </a:rPr>
                      <m:t>∗</m:t>
                    </m:r>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𝐼𝐶</m:t>
                            </m:r>
                          </m:e>
                          <m:sub>
                            <m:r>
                              <a:rPr lang="es-ES" sz="1100" b="0" i="1">
                                <a:latin typeface="Cambria Math" panose="02040503050406030204" pitchFamily="18" charset="0"/>
                              </a:rPr>
                              <m:t>𝑝𝑟𝑜𝑚</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𝐼𝐶</m:t>
                            </m:r>
                          </m:e>
                          <m:sub>
                            <m:r>
                              <a:rPr lang="es-ES" sz="1100" b="0" i="1">
                                <a:latin typeface="Cambria Math" panose="02040503050406030204" pitchFamily="18" charset="0"/>
                              </a:rPr>
                              <m:t>𝑐𝑟𝑖𝑡𝑖𝑐𝑜</m:t>
                            </m:r>
                          </m:sub>
                        </m:sSub>
                      </m:e>
                    </m:d>
                  </m:oMath>
                </m:oMathPara>
              </a14:m>
              <a:endParaRPr lang="es-CL" sz="1100"/>
            </a:p>
          </xdr:txBody>
        </xdr:sp>
      </mc:Choice>
      <mc:Fallback xmlns="">
        <xdr:sp macro="" textlink="">
          <xdr:nvSpPr>
            <xdr:cNvPr id="106" name="CuadroTexto 105">
              <a:extLst>
                <a:ext uri="{FF2B5EF4-FFF2-40B4-BE49-F238E27FC236}">
                  <a16:creationId xmlns:a16="http://schemas.microsoft.com/office/drawing/2014/main" id="{00000000-0008-0000-0000-00006A000000}"/>
                </a:ext>
              </a:extLst>
            </xdr:cNvPr>
            <xdr:cNvSpPr txBox="1"/>
          </xdr:nvSpPr>
          <xdr:spPr>
            <a:xfrm>
              <a:off x="24669750" y="149518687"/>
              <a:ext cx="2981650"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𝑝𝑜𝑡𝑒𝑛𝑐𝑖𝑎𝑙= 𝑃_𝑝𝑟𝑜𝑚∗(〖𝐼𝐶〗_𝑝𝑟𝑜𝑚−〖𝐼𝐶〗_𝑐𝑟𝑖𝑡𝑖𝑐𝑜 )</a:t>
              </a:r>
              <a:endParaRPr lang="es-CL" sz="1100"/>
            </a:p>
          </xdr:txBody>
        </xdr:sp>
      </mc:Fallback>
    </mc:AlternateContent>
    <xdr:clientData/>
  </xdr:oneCellAnchor>
  <xdr:oneCellAnchor>
    <xdr:from>
      <xdr:col>36</xdr:col>
      <xdr:colOff>202406</xdr:colOff>
      <xdr:row>617</xdr:row>
      <xdr:rowOff>35719</xdr:rowOff>
    </xdr:from>
    <xdr:ext cx="1149610" cy="315792"/>
    <mc:AlternateContent xmlns:mc="http://schemas.openxmlformats.org/markup-compatibility/2006" xmlns:a14="http://schemas.microsoft.com/office/drawing/2010/main">
      <mc:Choice Requires="a14">
        <xdr:sp macro="" textlink="">
          <xdr:nvSpPr>
            <xdr:cNvPr id="113" name="CuadroTexto 112">
              <a:extLst>
                <a:ext uri="{FF2B5EF4-FFF2-40B4-BE49-F238E27FC236}">
                  <a16:creationId xmlns:a16="http://schemas.microsoft.com/office/drawing/2014/main" id="{00000000-0008-0000-0000-000071000000}"/>
                </a:ext>
              </a:extLst>
            </xdr:cNvPr>
            <xdr:cNvSpPr txBox="1"/>
          </xdr:nvSpPr>
          <xdr:spPr>
            <a:xfrm>
              <a:off x="36778406" y="140208000"/>
              <a:ext cx="114961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𝐼𝐶</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𝑡</m:t>
                            </m:r>
                          </m:sub>
                        </m:sSub>
                      </m:num>
                      <m:den>
                        <m:r>
                          <a:rPr lang="es-ES" sz="1100" b="0" i="1">
                            <a:latin typeface="Cambria Math" panose="02040503050406030204" pitchFamily="18" charset="0"/>
                          </a:rPr>
                          <m:t>𝑃</m:t>
                        </m:r>
                      </m:den>
                    </m:f>
                    <m:r>
                      <a:rPr lang="es-ES" sz="1100" b="0" i="1">
                        <a:latin typeface="Cambria Math" panose="02040503050406030204" pitchFamily="18" charset="0"/>
                      </a:rPr>
                      <m:t>=</m:t>
                    </m:r>
                    <m:r>
                      <a:rPr lang="es-ES" sz="1100" b="0" i="1">
                        <a:latin typeface="Cambria Math" panose="02040503050406030204" pitchFamily="18" charset="0"/>
                      </a:rPr>
                      <m:t>𝑚</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0</m:t>
                            </m:r>
                          </m:sub>
                        </m:sSub>
                      </m:num>
                      <m:den>
                        <m:r>
                          <a:rPr lang="es-ES" sz="1100" b="0" i="1">
                            <a:latin typeface="Cambria Math" panose="02040503050406030204" pitchFamily="18" charset="0"/>
                          </a:rPr>
                          <m:t>𝑃</m:t>
                        </m:r>
                      </m:den>
                    </m:f>
                  </m:oMath>
                </m:oMathPara>
              </a14:m>
              <a:endParaRPr lang="es-CL" sz="1100"/>
            </a:p>
          </xdr:txBody>
        </xdr:sp>
      </mc:Choice>
      <mc:Fallback xmlns="">
        <xdr:sp macro="" textlink="">
          <xdr:nvSpPr>
            <xdr:cNvPr id="113" name="CuadroTexto 112">
              <a:extLst>
                <a:ext uri="{FF2B5EF4-FFF2-40B4-BE49-F238E27FC236}">
                  <a16:creationId xmlns:a16="http://schemas.microsoft.com/office/drawing/2014/main" id="{53F68387-7A09-4233-98AB-AF76B905218E}"/>
                </a:ext>
              </a:extLst>
            </xdr:cNvPr>
            <xdr:cNvSpPr txBox="1"/>
          </xdr:nvSpPr>
          <xdr:spPr>
            <a:xfrm>
              <a:off x="36778406" y="140208000"/>
              <a:ext cx="114961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𝐼𝐶=𝐸_𝑡/𝑃=𝑚+𝐸_0/𝑃</a:t>
              </a:r>
              <a:endParaRPr lang="es-CL" sz="1100"/>
            </a:p>
          </xdr:txBody>
        </xdr:sp>
      </mc:Fallback>
    </mc:AlternateContent>
    <xdr:clientData/>
  </xdr:oneCellAnchor>
  <xdr:oneCellAnchor>
    <xdr:from>
      <xdr:col>35</xdr:col>
      <xdr:colOff>58952</xdr:colOff>
      <xdr:row>619</xdr:row>
      <xdr:rowOff>101154</xdr:rowOff>
    </xdr:from>
    <xdr:ext cx="1178912" cy="320472"/>
    <mc:AlternateContent xmlns:mc="http://schemas.openxmlformats.org/markup-compatibility/2006" xmlns:a14="http://schemas.microsoft.com/office/drawing/2010/main">
      <mc:Choice Requires="a14">
        <xdr:sp macro="" textlink="">
          <xdr:nvSpPr>
            <xdr:cNvPr id="115" name="CuadroTexto 114">
              <a:extLst>
                <a:ext uri="{FF2B5EF4-FFF2-40B4-BE49-F238E27FC236}">
                  <a16:creationId xmlns:a16="http://schemas.microsoft.com/office/drawing/2014/main" id="{00000000-0008-0000-0000-000073000000}"/>
                </a:ext>
              </a:extLst>
            </xdr:cNvPr>
            <xdr:cNvSpPr txBox="1"/>
          </xdr:nvSpPr>
          <xdr:spPr>
            <a:xfrm>
              <a:off x="35339175" y="139232169"/>
              <a:ext cx="1178912" cy="320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unc>
                      <m:funcPr>
                        <m:ctrlPr>
                          <a:rPr lang="es-CL" sz="1100" i="1">
                            <a:latin typeface="Cambria Math" panose="02040503050406030204" pitchFamily="18" charset="0"/>
                          </a:rPr>
                        </m:ctrlPr>
                      </m:funcPr>
                      <m:fName>
                        <m:limLow>
                          <m:limLowPr>
                            <m:ctrlPr>
                              <a:rPr lang="es-CL" sz="1100" i="1">
                                <a:latin typeface="Cambria Math" panose="02040503050406030204" pitchFamily="18" charset="0"/>
                              </a:rPr>
                            </m:ctrlPr>
                          </m:limLowPr>
                          <m:e>
                            <m:r>
                              <m:rPr>
                                <m:sty m:val="p"/>
                              </m:rPr>
                              <a:rPr lang="es-CL" sz="1100" i="0">
                                <a:latin typeface="Cambria Math" panose="02040503050406030204" pitchFamily="18" charset="0"/>
                              </a:rPr>
                              <m:t>lim</m:t>
                            </m:r>
                          </m:e>
                          <m:lim>
                            <m:r>
                              <a:rPr lang="es-ES" sz="1100" b="0" i="1">
                                <a:latin typeface="Cambria Math" panose="02040503050406030204" pitchFamily="18" charset="0"/>
                              </a:rPr>
                              <m:t>𝑃</m:t>
                            </m:r>
                            <m:r>
                              <a:rPr lang="es-CL" sz="1100" i="1">
                                <a:latin typeface="Cambria Math" panose="02040503050406030204" pitchFamily="18" charset="0"/>
                              </a:rPr>
                              <m:t>→∞</m:t>
                            </m:r>
                          </m:lim>
                        </m:limLow>
                      </m:fName>
                      <m:e>
                        <m:d>
                          <m:dPr>
                            <m:ctrlPr>
                              <a:rPr lang="es-CL" sz="1100" i="1">
                                <a:latin typeface="Cambria Math" panose="02040503050406030204" pitchFamily="18" charset="0"/>
                              </a:rPr>
                            </m:ctrlPr>
                          </m:dPr>
                          <m:e>
                            <m:r>
                              <a:rPr lang="es-ES" sz="1100" b="0" i="1">
                                <a:latin typeface="Cambria Math" panose="02040503050406030204" pitchFamily="18" charset="0"/>
                              </a:rPr>
                              <m:t>𝑚</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0</m:t>
                                    </m:r>
                                  </m:sub>
                                </m:sSub>
                              </m:num>
                              <m:den>
                                <m:r>
                                  <a:rPr lang="es-ES" sz="1100" b="0" i="1">
                                    <a:latin typeface="Cambria Math" panose="02040503050406030204" pitchFamily="18" charset="0"/>
                                  </a:rPr>
                                  <m:t>𝑃</m:t>
                                </m:r>
                              </m:den>
                            </m:f>
                          </m:e>
                        </m:d>
                        <m:r>
                          <a:rPr lang="es-ES" sz="1100" b="0" i="1">
                            <a:latin typeface="Cambria Math" panose="02040503050406030204" pitchFamily="18" charset="0"/>
                          </a:rPr>
                          <m:t>=</m:t>
                        </m:r>
                        <m:r>
                          <a:rPr lang="es-ES" sz="1100" b="0" i="1">
                            <a:latin typeface="Cambria Math" panose="02040503050406030204" pitchFamily="18" charset="0"/>
                          </a:rPr>
                          <m:t>𝑚</m:t>
                        </m:r>
                      </m:e>
                    </m:func>
                  </m:oMath>
                </m:oMathPara>
              </a14:m>
              <a:endParaRPr lang="es-CL" sz="1100"/>
            </a:p>
          </xdr:txBody>
        </xdr:sp>
      </mc:Choice>
      <mc:Fallback xmlns="">
        <xdr:sp macro="" textlink="">
          <xdr:nvSpPr>
            <xdr:cNvPr id="115" name="CuadroTexto 114">
              <a:extLst>
                <a:ext uri="{FF2B5EF4-FFF2-40B4-BE49-F238E27FC236}">
                  <a16:creationId xmlns:a16="http://schemas.microsoft.com/office/drawing/2014/main" id="{E07DCF04-628A-B6B6-2F82-2DD6F4B0014E}"/>
                </a:ext>
              </a:extLst>
            </xdr:cNvPr>
            <xdr:cNvSpPr txBox="1"/>
          </xdr:nvSpPr>
          <xdr:spPr>
            <a:xfrm>
              <a:off x="35339175" y="139232169"/>
              <a:ext cx="1178912" cy="320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i="0">
                  <a:latin typeface="Cambria Math" panose="02040503050406030204" pitchFamily="18" charset="0"/>
                </a:rPr>
                <a:t>lim_(</a:t>
              </a:r>
              <a:r>
                <a:rPr lang="es-ES" sz="1100" b="0" i="0">
                  <a:latin typeface="Cambria Math" panose="02040503050406030204" pitchFamily="18" charset="0"/>
                </a:rPr>
                <a:t>𝑃</a:t>
              </a:r>
              <a:r>
                <a:rPr lang="es-CL" sz="1100" i="0">
                  <a:latin typeface="Cambria Math" panose="02040503050406030204" pitchFamily="18" charset="0"/>
                </a:rPr>
                <a:t>→∞)⁡〖(</a:t>
              </a:r>
              <a:r>
                <a:rPr lang="es-ES" sz="1100" b="0" i="0">
                  <a:latin typeface="Cambria Math" panose="02040503050406030204" pitchFamily="18" charset="0"/>
                </a:rPr>
                <a:t>𝑚+𝐸_0/𝑃</a:t>
              </a:r>
              <a:r>
                <a:rPr lang="es-CL" sz="1100" b="0" i="0">
                  <a:latin typeface="Cambria Math" panose="02040503050406030204" pitchFamily="18" charset="0"/>
                </a:rPr>
                <a:t>)</a:t>
              </a:r>
              <a:r>
                <a:rPr lang="es-ES" sz="1100" b="0" i="0">
                  <a:latin typeface="Cambria Math" panose="02040503050406030204" pitchFamily="18" charset="0"/>
                </a:rPr>
                <a:t>=𝑚</a:t>
              </a:r>
              <a:r>
                <a:rPr lang="es-CL" sz="1100" b="0" i="0">
                  <a:latin typeface="Cambria Math" panose="02040503050406030204" pitchFamily="18" charset="0"/>
                </a:rPr>
                <a:t>〗</a:t>
              </a:r>
              <a:endParaRPr lang="es-CL" sz="1100"/>
            </a:p>
          </xdr:txBody>
        </xdr:sp>
      </mc:Fallback>
    </mc:AlternateContent>
    <xdr:clientData/>
  </xdr:oneCellAnchor>
  <xdr:oneCellAnchor>
    <xdr:from>
      <xdr:col>35</xdr:col>
      <xdr:colOff>78002</xdr:colOff>
      <xdr:row>622</xdr:row>
      <xdr:rowOff>48766</xdr:rowOff>
    </xdr:from>
    <xdr:ext cx="1142620" cy="320472"/>
    <mc:AlternateContent xmlns:mc="http://schemas.openxmlformats.org/markup-compatibility/2006" xmlns:a14="http://schemas.microsoft.com/office/drawing/2010/main">
      <mc:Choice Requires="a14">
        <xdr:sp macro="" textlink="">
          <xdr:nvSpPr>
            <xdr:cNvPr id="116" name="CuadroTexto 115">
              <a:extLst>
                <a:ext uri="{FF2B5EF4-FFF2-40B4-BE49-F238E27FC236}">
                  <a16:creationId xmlns:a16="http://schemas.microsoft.com/office/drawing/2014/main" id="{00000000-0008-0000-0000-000074000000}"/>
                </a:ext>
              </a:extLst>
            </xdr:cNvPr>
            <xdr:cNvSpPr txBox="1"/>
          </xdr:nvSpPr>
          <xdr:spPr>
            <a:xfrm>
              <a:off x="35339552" y="141104491"/>
              <a:ext cx="1142620" cy="320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unc>
                      <m:funcPr>
                        <m:ctrlPr>
                          <a:rPr lang="es-CL" sz="1100" i="1">
                            <a:latin typeface="Cambria Math" panose="02040503050406030204" pitchFamily="18" charset="0"/>
                          </a:rPr>
                        </m:ctrlPr>
                      </m:funcPr>
                      <m:fName>
                        <m:limLow>
                          <m:limLowPr>
                            <m:ctrlPr>
                              <a:rPr lang="es-CL" sz="1100" i="1">
                                <a:latin typeface="Cambria Math" panose="02040503050406030204" pitchFamily="18" charset="0"/>
                              </a:rPr>
                            </m:ctrlPr>
                          </m:limLowPr>
                          <m:e>
                            <m:r>
                              <m:rPr>
                                <m:sty m:val="p"/>
                              </m:rPr>
                              <a:rPr lang="es-CL" sz="1100" i="0">
                                <a:latin typeface="Cambria Math" panose="02040503050406030204" pitchFamily="18" charset="0"/>
                              </a:rPr>
                              <m:t>lim</m:t>
                            </m:r>
                          </m:e>
                          <m:lim>
                            <m:r>
                              <a:rPr lang="es-ES" sz="1100" b="0" i="1">
                                <a:latin typeface="Cambria Math" panose="02040503050406030204" pitchFamily="18" charset="0"/>
                              </a:rPr>
                              <m:t>𝑃</m:t>
                            </m:r>
                            <m:r>
                              <a:rPr lang="es-CL" sz="1100" i="1">
                                <a:latin typeface="Cambria Math" panose="02040503050406030204" pitchFamily="18" charset="0"/>
                              </a:rPr>
                              <m:t>→</m:t>
                            </m:r>
                            <m:r>
                              <a:rPr lang="es-ES" sz="1100" b="0" i="1">
                                <a:latin typeface="Cambria Math" panose="02040503050406030204" pitchFamily="18" charset="0"/>
                              </a:rPr>
                              <m:t>0</m:t>
                            </m:r>
                          </m:lim>
                        </m:limLow>
                      </m:fName>
                      <m:e>
                        <m:d>
                          <m:dPr>
                            <m:ctrlPr>
                              <a:rPr lang="es-CL" sz="1100" i="1">
                                <a:latin typeface="Cambria Math" panose="02040503050406030204" pitchFamily="18" charset="0"/>
                              </a:rPr>
                            </m:ctrlPr>
                          </m:dPr>
                          <m:e>
                            <m:r>
                              <a:rPr lang="es-ES" sz="1100" b="0" i="1">
                                <a:latin typeface="Cambria Math" panose="02040503050406030204" pitchFamily="18" charset="0"/>
                              </a:rPr>
                              <m:t>𝑚</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0</m:t>
                                    </m:r>
                                  </m:sub>
                                </m:sSub>
                              </m:num>
                              <m:den>
                                <m:r>
                                  <a:rPr lang="es-ES" sz="1100" b="0" i="1">
                                    <a:latin typeface="Cambria Math" panose="02040503050406030204" pitchFamily="18" charset="0"/>
                                  </a:rPr>
                                  <m:t>𝑃</m:t>
                                </m:r>
                              </m:den>
                            </m:f>
                          </m:e>
                        </m:d>
                        <m:r>
                          <a:rPr lang="es-ES" sz="1100" b="0" i="1">
                            <a:latin typeface="Cambria Math" panose="02040503050406030204" pitchFamily="18" charset="0"/>
                          </a:rPr>
                          <m:t>=</m:t>
                        </m:r>
                        <m:r>
                          <a:rPr lang="es-CL" sz="1100" i="1">
                            <a:solidFill>
                              <a:schemeClr val="tx1"/>
                            </a:solidFill>
                            <a:effectLst/>
                            <a:latin typeface="Cambria Math" panose="02040503050406030204" pitchFamily="18" charset="0"/>
                            <a:ea typeface="+mn-ea"/>
                            <a:cs typeface="+mn-cs"/>
                          </a:rPr>
                          <m:t>∞</m:t>
                        </m:r>
                      </m:e>
                    </m:func>
                  </m:oMath>
                </m:oMathPara>
              </a14:m>
              <a:endParaRPr lang="es-CL" sz="1100"/>
            </a:p>
          </xdr:txBody>
        </xdr:sp>
      </mc:Choice>
      <mc:Fallback xmlns="">
        <xdr:sp macro="" textlink="">
          <xdr:nvSpPr>
            <xdr:cNvPr id="116" name="CuadroTexto 115">
              <a:extLst>
                <a:ext uri="{FF2B5EF4-FFF2-40B4-BE49-F238E27FC236}">
                  <a16:creationId xmlns:a16="http://schemas.microsoft.com/office/drawing/2014/main" id="{CCEEF67D-3AF7-4A9D-805C-51DF1E7D1C3A}"/>
                </a:ext>
              </a:extLst>
            </xdr:cNvPr>
            <xdr:cNvSpPr txBox="1"/>
          </xdr:nvSpPr>
          <xdr:spPr>
            <a:xfrm>
              <a:off x="35339552" y="141104491"/>
              <a:ext cx="1142620" cy="3204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i="0">
                  <a:latin typeface="Cambria Math" panose="02040503050406030204" pitchFamily="18" charset="0"/>
                </a:rPr>
                <a:t>lim_(</a:t>
              </a:r>
              <a:r>
                <a:rPr lang="es-ES" sz="1100" b="0" i="0">
                  <a:latin typeface="Cambria Math" panose="02040503050406030204" pitchFamily="18" charset="0"/>
                </a:rPr>
                <a:t>𝑃</a:t>
              </a:r>
              <a:r>
                <a:rPr lang="es-CL" sz="1100" i="0">
                  <a:latin typeface="Cambria Math" panose="02040503050406030204" pitchFamily="18" charset="0"/>
                </a:rPr>
                <a:t>→</a:t>
              </a:r>
              <a:r>
                <a:rPr lang="es-ES" sz="1100" b="0" i="0">
                  <a:latin typeface="Cambria Math" panose="02040503050406030204" pitchFamily="18" charset="0"/>
                </a:rPr>
                <a:t>0</a:t>
              </a:r>
              <a:r>
                <a:rPr lang="es-CL" sz="1100" b="0" i="0">
                  <a:latin typeface="Cambria Math" panose="02040503050406030204" pitchFamily="18" charset="0"/>
                </a:rPr>
                <a:t>)⁡〖(</a:t>
              </a:r>
              <a:r>
                <a:rPr lang="es-ES" sz="1100" b="0" i="0">
                  <a:latin typeface="Cambria Math" panose="02040503050406030204" pitchFamily="18" charset="0"/>
                </a:rPr>
                <a:t>𝑚+𝐸_0/𝑃</a:t>
              </a:r>
              <a:r>
                <a:rPr lang="es-CL" sz="1100" b="0" i="0">
                  <a:latin typeface="Cambria Math" panose="02040503050406030204" pitchFamily="18" charset="0"/>
                </a:rPr>
                <a:t>)</a:t>
              </a:r>
              <a:r>
                <a:rPr lang="es-ES" sz="1100" b="0" i="0">
                  <a:latin typeface="Cambria Math" panose="02040503050406030204" pitchFamily="18" charset="0"/>
                </a:rPr>
                <a:t>=</a:t>
              </a:r>
              <a:r>
                <a:rPr lang="es-CL" sz="1100" i="0">
                  <a:solidFill>
                    <a:schemeClr val="tx1"/>
                  </a:solidFill>
                  <a:effectLst/>
                  <a:latin typeface="+mn-lt"/>
                  <a:ea typeface="+mn-ea"/>
                  <a:cs typeface="+mn-cs"/>
                </a:rPr>
                <a:t>∞</a:t>
              </a:r>
              <a:r>
                <a:rPr lang="es-CL" sz="1100" i="0">
                  <a:solidFill>
                    <a:schemeClr val="tx1"/>
                  </a:solidFill>
                  <a:effectLst/>
                  <a:latin typeface="Cambria Math" panose="02040503050406030204" pitchFamily="18" charset="0"/>
                  <a:ea typeface="+mn-ea"/>
                  <a:cs typeface="+mn-cs"/>
                </a:rPr>
                <a:t>〗</a:t>
              </a:r>
              <a:endParaRPr lang="es-CL" sz="1100"/>
            </a:p>
          </xdr:txBody>
        </xdr:sp>
      </mc:Fallback>
    </mc:AlternateContent>
    <xdr:clientData/>
  </xdr:oneCellAnchor>
  <xdr:oneCellAnchor>
    <xdr:from>
      <xdr:col>36</xdr:col>
      <xdr:colOff>730685</xdr:colOff>
      <xdr:row>639</xdr:row>
      <xdr:rowOff>39144</xdr:rowOff>
    </xdr:from>
    <xdr:ext cx="788741" cy="315792"/>
    <mc:AlternateContent xmlns:mc="http://schemas.openxmlformats.org/markup-compatibility/2006" xmlns:a14="http://schemas.microsoft.com/office/drawing/2010/main">
      <mc:Choice Requires="a14">
        <xdr:sp macro="" textlink="">
          <xdr:nvSpPr>
            <xdr:cNvPr id="117" name="CuadroTexto 116">
              <a:extLst>
                <a:ext uri="{FF2B5EF4-FFF2-40B4-BE49-F238E27FC236}">
                  <a16:creationId xmlns:a16="http://schemas.microsoft.com/office/drawing/2014/main" id="{00000000-0008-0000-0000-000075000000}"/>
                </a:ext>
              </a:extLst>
            </xdr:cNvPr>
            <xdr:cNvSpPr txBox="1"/>
          </xdr:nvSpPr>
          <xdr:spPr>
            <a:xfrm>
              <a:off x="37238836" y="148120274"/>
              <a:ext cx="788741"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𝐼𝐶</m:t>
                    </m:r>
                    <m:r>
                      <a:rPr lang="es-ES" sz="1100" b="0" i="1">
                        <a:latin typeface="Cambria Math" panose="02040503050406030204" pitchFamily="18" charset="0"/>
                      </a:rPr>
                      <m:t>=</m:t>
                    </m:r>
                    <m:r>
                      <a:rPr lang="es-ES" sz="1100" b="0" i="1">
                        <a:latin typeface="Cambria Math" panose="02040503050406030204" pitchFamily="18" charset="0"/>
                      </a:rPr>
                      <m:t>𝑚</m:t>
                    </m:r>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𝐸</m:t>
                            </m:r>
                          </m:e>
                          <m:sub>
                            <m:r>
                              <a:rPr lang="es-ES" sz="1100" b="0" i="1">
                                <a:latin typeface="Cambria Math" panose="02040503050406030204" pitchFamily="18" charset="0"/>
                              </a:rPr>
                              <m:t>0</m:t>
                            </m:r>
                          </m:sub>
                        </m:sSub>
                      </m:num>
                      <m:den>
                        <m:r>
                          <a:rPr lang="es-ES" sz="1100" b="0" i="1">
                            <a:latin typeface="Cambria Math" panose="02040503050406030204" pitchFamily="18" charset="0"/>
                          </a:rPr>
                          <m:t>𝑃</m:t>
                        </m:r>
                      </m:den>
                    </m:f>
                  </m:oMath>
                </m:oMathPara>
              </a14:m>
              <a:endParaRPr lang="es-CL" sz="1100"/>
            </a:p>
          </xdr:txBody>
        </xdr:sp>
      </mc:Choice>
      <mc:Fallback xmlns="">
        <xdr:sp macro="" textlink="">
          <xdr:nvSpPr>
            <xdr:cNvPr id="117" name="CuadroTexto 116">
              <a:extLst>
                <a:ext uri="{FF2B5EF4-FFF2-40B4-BE49-F238E27FC236}">
                  <a16:creationId xmlns:a16="http://schemas.microsoft.com/office/drawing/2014/main" id="{BAA3F74F-1BA0-485C-98F7-35108612495C}"/>
                </a:ext>
              </a:extLst>
            </xdr:cNvPr>
            <xdr:cNvSpPr txBox="1"/>
          </xdr:nvSpPr>
          <xdr:spPr>
            <a:xfrm>
              <a:off x="37238836" y="148120274"/>
              <a:ext cx="788741"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𝐼𝐶=𝑚+𝐸_0/𝑃</a:t>
              </a:r>
              <a:endParaRPr lang="es-CL" sz="1100"/>
            </a:p>
          </xdr:txBody>
        </xdr:sp>
      </mc:Fallback>
    </mc:AlternateContent>
    <xdr:clientData/>
  </xdr:oneCellAnchor>
  <xdr:oneCellAnchor>
    <xdr:from>
      <xdr:col>38</xdr:col>
      <xdr:colOff>85725</xdr:colOff>
      <xdr:row>650</xdr:row>
      <xdr:rowOff>14287</xdr:rowOff>
    </xdr:from>
    <xdr:ext cx="627928" cy="321370"/>
    <mc:AlternateContent xmlns:mc="http://schemas.openxmlformats.org/markup-compatibility/2006" xmlns:a14="http://schemas.microsoft.com/office/drawing/2010/main">
      <mc:Choice Requires="a14">
        <xdr:sp macro="" textlink="">
          <xdr:nvSpPr>
            <xdr:cNvPr id="118" name="CuadroTexto 117">
              <a:extLst>
                <a:ext uri="{FF2B5EF4-FFF2-40B4-BE49-F238E27FC236}">
                  <a16:creationId xmlns:a16="http://schemas.microsoft.com/office/drawing/2014/main" id="{00000000-0008-0000-0000-000076000000}"/>
                </a:ext>
              </a:extLst>
            </xdr:cNvPr>
            <xdr:cNvSpPr txBox="1"/>
          </xdr:nvSpPr>
          <xdr:spPr>
            <a:xfrm>
              <a:off x="39233475" y="146594512"/>
              <a:ext cx="627928"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s-CL" sz="1100" i="1">
                            <a:latin typeface="Cambria Math" panose="02040503050406030204" pitchFamily="18" charset="0"/>
                          </a:rPr>
                        </m:ctrlPr>
                      </m:fPr>
                      <m:num>
                        <m:r>
                          <a:rPr lang="es-CL" sz="1100" i="1">
                            <a:latin typeface="Cambria Math" panose="02040503050406030204" pitchFamily="18" charset="0"/>
                          </a:rPr>
                          <m:t>𝑑𝑦</m:t>
                        </m:r>
                      </m:num>
                      <m:den>
                        <m:r>
                          <a:rPr lang="es-CL" sz="1100" i="1">
                            <a:latin typeface="Cambria Math" panose="02040503050406030204" pitchFamily="18" charset="0"/>
                          </a:rPr>
                          <m:t>𝑑𝑥</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m:t>
                            </m:r>
                            <m:r>
                              <a:rPr lang="es-ES" sz="1100" b="0" i="1">
                                <a:latin typeface="Cambria Math" panose="02040503050406030204" pitchFamily="18" charset="0"/>
                              </a:rPr>
                              <m:t>𝐸</m:t>
                            </m:r>
                          </m:e>
                          <m:sub>
                            <m:r>
                              <a:rPr lang="es-ES" sz="1100" b="0" i="1">
                                <a:latin typeface="Cambria Math" panose="02040503050406030204" pitchFamily="18" charset="0"/>
                              </a:rPr>
                              <m:t>𝑜</m:t>
                            </m:r>
                          </m:sub>
                        </m:sSub>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𝑃</m:t>
                            </m:r>
                          </m:e>
                          <m:sup>
                            <m:r>
                              <a:rPr lang="es-ES" sz="1100" b="0" i="1">
                                <a:latin typeface="Cambria Math" panose="02040503050406030204" pitchFamily="18" charset="0"/>
                              </a:rPr>
                              <m:t>2</m:t>
                            </m:r>
                          </m:sup>
                        </m:sSup>
                      </m:den>
                    </m:f>
                  </m:oMath>
                </m:oMathPara>
              </a14:m>
              <a:endParaRPr lang="es-CL" sz="1100"/>
            </a:p>
          </xdr:txBody>
        </xdr:sp>
      </mc:Choice>
      <mc:Fallback xmlns="">
        <xdr:sp macro="" textlink="">
          <xdr:nvSpPr>
            <xdr:cNvPr id="118" name="CuadroTexto 117">
              <a:extLst>
                <a:ext uri="{FF2B5EF4-FFF2-40B4-BE49-F238E27FC236}">
                  <a16:creationId xmlns:a16="http://schemas.microsoft.com/office/drawing/2014/main" id="{54FBEFDC-BFE5-1453-79A0-4F6B5A92356A}"/>
                </a:ext>
              </a:extLst>
            </xdr:cNvPr>
            <xdr:cNvSpPr txBox="1"/>
          </xdr:nvSpPr>
          <xdr:spPr>
            <a:xfrm>
              <a:off x="39233475" y="146594512"/>
              <a:ext cx="627928"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L" sz="1100" i="0">
                  <a:latin typeface="Cambria Math" panose="02040503050406030204" pitchFamily="18" charset="0"/>
                </a:rPr>
                <a:t>𝑑𝑦/𝑑𝑥</a:t>
              </a:r>
              <a:r>
                <a:rPr lang="es-ES" sz="1100" b="0" i="0">
                  <a:latin typeface="Cambria Math" panose="02040503050406030204" pitchFamily="18" charset="0"/>
                </a:rPr>
                <a:t>=〖−𝐸〗_𝑜/𝑃^2 </a:t>
              </a:r>
              <a:endParaRPr lang="es-CL" sz="1100"/>
            </a:p>
          </xdr:txBody>
        </xdr:sp>
      </mc:Fallback>
    </mc:AlternateContent>
    <xdr:clientData/>
  </xdr:oneCellAnchor>
  <xdr:twoCellAnchor>
    <xdr:from>
      <xdr:col>47</xdr:col>
      <xdr:colOff>99140</xdr:colOff>
      <xdr:row>72</xdr:row>
      <xdr:rowOff>324567</xdr:rowOff>
    </xdr:from>
    <xdr:to>
      <xdr:col>56</xdr:col>
      <xdr:colOff>677297</xdr:colOff>
      <xdr:row>94</xdr:row>
      <xdr:rowOff>60325</xdr:rowOff>
    </xdr:to>
    <xdr:graphicFrame macro="">
      <xdr:nvGraphicFramePr>
        <xdr:cNvPr id="68" name="Gráfico 67">
          <a:extLst>
            <a:ext uri="{FF2B5EF4-FFF2-40B4-BE49-F238E27FC236}">
              <a16:creationId xmlns:a16="http://schemas.microsoft.com/office/drawing/2014/main" id="{00000000-0008-0000-0000-00004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30</xdr:col>
      <xdr:colOff>582202</xdr:colOff>
      <xdr:row>288</xdr:row>
      <xdr:rowOff>35746</xdr:rowOff>
    </xdr:from>
    <xdr:to>
      <xdr:col>33</xdr:col>
      <xdr:colOff>1269286</xdr:colOff>
      <xdr:row>302</xdr:row>
      <xdr:rowOff>81979</xdr:rowOff>
    </xdr:to>
    <xdr:graphicFrame macro="">
      <xdr:nvGraphicFramePr>
        <xdr:cNvPr id="63" name="Gráfico 62">
          <a:extLst>
            <a:ext uri="{FF2B5EF4-FFF2-40B4-BE49-F238E27FC236}">
              <a16:creationId xmlns:a16="http://schemas.microsoft.com/office/drawing/2014/main" id="{00000000-0008-0000-0000-00003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0</xdr:colOff>
      <xdr:row>743</xdr:row>
      <xdr:rowOff>0</xdr:rowOff>
    </xdr:from>
    <xdr:to>
      <xdr:col>22</xdr:col>
      <xdr:colOff>428625</xdr:colOff>
      <xdr:row>756</xdr:row>
      <xdr:rowOff>76200</xdr:rowOff>
    </xdr:to>
    <xdr:graphicFrame macro="">
      <xdr:nvGraphicFramePr>
        <xdr:cNvPr id="105" name="Gráfico 104">
          <a:extLst>
            <a:ext uri="{FF2B5EF4-FFF2-40B4-BE49-F238E27FC236}">
              <a16:creationId xmlns:a16="http://schemas.microsoft.com/office/drawing/2014/main" id="{00000000-0008-0000-0000-00006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33</xdr:col>
      <xdr:colOff>0</xdr:colOff>
      <xdr:row>743</xdr:row>
      <xdr:rowOff>0</xdr:rowOff>
    </xdr:from>
    <xdr:to>
      <xdr:col>36</xdr:col>
      <xdr:colOff>1047750</xdr:colOff>
      <xdr:row>759</xdr:row>
      <xdr:rowOff>163926</xdr:rowOff>
    </xdr:to>
    <xdr:graphicFrame macro="">
      <xdr:nvGraphicFramePr>
        <xdr:cNvPr id="111" name="Gráfico 110">
          <a:extLst>
            <a:ext uri="{FF2B5EF4-FFF2-40B4-BE49-F238E27FC236}">
              <a16:creationId xmlns:a16="http://schemas.microsoft.com/office/drawing/2014/main" id="{00000000-0008-0000-0000-00006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oneCellAnchor>
    <xdr:from>
      <xdr:col>24</xdr:col>
      <xdr:colOff>167878</xdr:colOff>
      <xdr:row>780</xdr:row>
      <xdr:rowOff>36909</xdr:rowOff>
    </xdr:from>
    <xdr:ext cx="1301958" cy="481222"/>
    <mc:AlternateContent xmlns:mc="http://schemas.openxmlformats.org/markup-compatibility/2006" xmlns:a14="http://schemas.microsoft.com/office/drawing/2010/main">
      <mc:Choice Requires="a14">
        <xdr:sp macro="" textlink="">
          <xdr:nvSpPr>
            <xdr:cNvPr id="119" name="CuadroTexto 118">
              <a:extLst>
                <a:ext uri="{FF2B5EF4-FFF2-40B4-BE49-F238E27FC236}">
                  <a16:creationId xmlns:a16="http://schemas.microsoft.com/office/drawing/2014/main" id="{00000000-0008-0000-0000-000077000000}"/>
                </a:ext>
              </a:extLst>
            </xdr:cNvPr>
            <xdr:cNvSpPr txBox="1"/>
          </xdr:nvSpPr>
          <xdr:spPr>
            <a:xfrm>
              <a:off x="22099191" y="151258190"/>
              <a:ext cx="1301958" cy="481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𝐶𝐸𝐴𝐸𝐹𝐸𝑇</m:t>
                        </m:r>
                      </m:e>
                      <m:sub>
                        <m:r>
                          <a:rPr lang="es-ES" sz="1100" b="0" i="1">
                            <a:latin typeface="Cambria Math" panose="02040503050406030204" pitchFamily="18" charset="0"/>
                          </a:rPr>
                          <m:t>𝑓</m:t>
                        </m:r>
                      </m:sub>
                    </m:sSub>
                    <m:r>
                      <a:rPr lang="es-ES" sz="1100" b="0" i="1">
                        <a:latin typeface="Cambria Math" panose="02040503050406030204" pitchFamily="18" charset="0"/>
                      </a:rPr>
                      <m:t>=</m:t>
                    </m:r>
                    <m:nary>
                      <m:naryPr>
                        <m:chr m:val="∑"/>
                        <m:ctrlPr>
                          <a:rPr lang="es-ES" sz="1100" b="0" i="1">
                            <a:latin typeface="Cambria Math" panose="02040503050406030204" pitchFamily="18" charset="0"/>
                          </a:rPr>
                        </m:ctrlPr>
                      </m:naryPr>
                      <m:sub>
                        <m:r>
                          <a:rPr lang="es-ES" sz="1100" b="0" i="1">
                            <a:latin typeface="Cambria Math" panose="02040503050406030204" pitchFamily="18" charset="0"/>
                          </a:rPr>
                          <m:t>𝑓</m:t>
                        </m:r>
                      </m:sub>
                      <m:sup>
                        <m:r>
                          <a:rPr lang="es-ES" sz="1100" b="0" i="1">
                            <a:latin typeface="Cambria Math" panose="02040503050406030204" pitchFamily="18" charset="0"/>
                          </a:rPr>
                          <m:t>𝑛</m:t>
                        </m:r>
                      </m:sup>
                      <m:e>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𝐶𝐸</m:t>
                                </m:r>
                              </m:e>
                              <m:sub>
                                <m:r>
                                  <a:rPr lang="es-ES" sz="1100" b="0" i="1">
                                    <a:latin typeface="Cambria Math" panose="02040503050406030204" pitchFamily="18" charset="0"/>
                                  </a:rPr>
                                  <m:t>𝑓</m:t>
                                </m:r>
                              </m:sub>
                            </m:sSub>
                          </m:num>
                          <m:den>
                            <m:r>
                              <a:rPr lang="es-ES" sz="1100" b="0" i="1">
                                <a:latin typeface="Cambria Math" panose="02040503050406030204" pitchFamily="18" charset="0"/>
                              </a:rPr>
                              <m:t>𝑇</m:t>
                            </m:r>
                          </m:den>
                        </m:f>
                      </m:e>
                    </m:nary>
                  </m:oMath>
                </m:oMathPara>
              </a14:m>
              <a:endParaRPr lang="es-CL" sz="1100"/>
            </a:p>
          </xdr:txBody>
        </xdr:sp>
      </mc:Choice>
      <mc:Fallback xmlns="">
        <xdr:sp macro="" textlink="">
          <xdr:nvSpPr>
            <xdr:cNvPr id="119" name="CuadroTexto 118">
              <a:extLst>
                <a:ext uri="{FF2B5EF4-FFF2-40B4-BE49-F238E27FC236}">
                  <a16:creationId xmlns:a16="http://schemas.microsoft.com/office/drawing/2014/main" id="{00000000-0008-0000-0000-000077000000}"/>
                </a:ext>
              </a:extLst>
            </xdr:cNvPr>
            <xdr:cNvSpPr txBox="1"/>
          </xdr:nvSpPr>
          <xdr:spPr>
            <a:xfrm>
              <a:off x="22099191" y="151258190"/>
              <a:ext cx="1301958" cy="481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𝐶𝐸𝐴𝐸𝐹𝐸𝑇</a:t>
              </a:r>
              <a:r>
                <a:rPr lang="es-CL" sz="1100" b="0" i="0">
                  <a:latin typeface="Cambria Math" panose="02040503050406030204" pitchFamily="18" charset="0"/>
                </a:rPr>
                <a:t>〗_</a:t>
              </a:r>
              <a:r>
                <a:rPr lang="es-ES" sz="1100" b="0" i="0">
                  <a:latin typeface="Cambria Math" panose="02040503050406030204" pitchFamily="18" charset="0"/>
                </a:rPr>
                <a:t>𝑓=∑_𝑓^𝑛▒〖𝐶𝐸〗_𝑓/𝑇</a:t>
              </a:r>
              <a:endParaRPr lang="es-CL" sz="1100"/>
            </a:p>
          </xdr:txBody>
        </xdr:sp>
      </mc:Fallback>
    </mc:AlternateContent>
    <xdr:clientData/>
  </xdr:oneCellAnchor>
  <xdr:twoCellAnchor>
    <xdr:from>
      <xdr:col>33</xdr:col>
      <xdr:colOff>0</xdr:colOff>
      <xdr:row>786</xdr:row>
      <xdr:rowOff>0</xdr:rowOff>
    </xdr:from>
    <xdr:to>
      <xdr:col>36</xdr:col>
      <xdr:colOff>1047750</xdr:colOff>
      <xdr:row>802</xdr:row>
      <xdr:rowOff>166688</xdr:rowOff>
    </xdr:to>
    <xdr:graphicFrame macro="">
      <xdr:nvGraphicFramePr>
        <xdr:cNvPr id="120" name="Gráfico 119">
          <a:extLst>
            <a:ext uri="{FF2B5EF4-FFF2-40B4-BE49-F238E27FC236}">
              <a16:creationId xmlns:a16="http://schemas.microsoft.com/office/drawing/2014/main" id="{00000000-0008-0000-0000-00007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18</xdr:col>
      <xdr:colOff>0</xdr:colOff>
      <xdr:row>788</xdr:row>
      <xdr:rowOff>0</xdr:rowOff>
    </xdr:from>
    <xdr:to>
      <xdr:col>22</xdr:col>
      <xdr:colOff>428625</xdr:colOff>
      <xdr:row>802</xdr:row>
      <xdr:rowOff>76200</xdr:rowOff>
    </xdr:to>
    <xdr:graphicFrame macro="">
      <xdr:nvGraphicFramePr>
        <xdr:cNvPr id="124" name="Gráfico 123">
          <a:extLst>
            <a:ext uri="{FF2B5EF4-FFF2-40B4-BE49-F238E27FC236}">
              <a16:creationId xmlns:a16="http://schemas.microsoft.com/office/drawing/2014/main" id="{00000000-0008-0000-0000-00007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oneCellAnchor>
    <xdr:from>
      <xdr:col>24</xdr:col>
      <xdr:colOff>127000</xdr:colOff>
      <xdr:row>823</xdr:row>
      <xdr:rowOff>179917</xdr:rowOff>
    </xdr:from>
    <xdr:ext cx="1114408" cy="410753"/>
    <mc:AlternateContent xmlns:mc="http://schemas.openxmlformats.org/markup-compatibility/2006" xmlns:a14="http://schemas.microsoft.com/office/drawing/2010/main">
      <mc:Choice Requires="a14">
        <xdr:sp macro="" textlink="">
          <xdr:nvSpPr>
            <xdr:cNvPr id="126" name="CuadroTexto 125">
              <a:extLst>
                <a:ext uri="{FF2B5EF4-FFF2-40B4-BE49-F238E27FC236}">
                  <a16:creationId xmlns:a16="http://schemas.microsoft.com/office/drawing/2014/main" id="{00000000-0008-0000-0000-00007E000000}"/>
                </a:ext>
              </a:extLst>
            </xdr:cNvPr>
            <xdr:cNvSpPr txBox="1"/>
          </xdr:nvSpPr>
          <xdr:spPr>
            <a:xfrm>
              <a:off x="21396325" y="180288142"/>
              <a:ext cx="1114408"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𝐶𝐸𝐴𝑆</m:t>
                        </m:r>
                      </m:e>
                      <m:sub>
                        <m:r>
                          <a:rPr lang="es-ES" sz="1100" b="0" i="1">
                            <a:latin typeface="Cambria Math" panose="02040503050406030204" pitchFamily="18" charset="0"/>
                          </a:rPr>
                          <m:t>𝑢</m:t>
                        </m:r>
                      </m:sub>
                    </m:sSub>
                    <m:r>
                      <a:rPr lang="es-ES" sz="1100" b="0" i="1">
                        <a:latin typeface="Cambria Math" panose="02040503050406030204" pitchFamily="18" charset="0"/>
                      </a:rPr>
                      <m:t>=</m:t>
                    </m:r>
                    <m:nary>
                      <m:naryPr>
                        <m:chr m:val="∑"/>
                        <m:supHide m:val="on"/>
                        <m:ctrlPr>
                          <a:rPr lang="es-ES" sz="1100" b="0" i="1">
                            <a:latin typeface="Cambria Math" panose="02040503050406030204" pitchFamily="18" charset="0"/>
                          </a:rPr>
                        </m:ctrlPr>
                      </m:naryPr>
                      <m:sub>
                        <m:r>
                          <m:rPr>
                            <m:brk m:alnAt="7"/>
                          </m:rPr>
                          <a:rPr lang="es-ES" sz="1100" b="0" i="1">
                            <a:latin typeface="Cambria Math" panose="02040503050406030204" pitchFamily="18" charset="0"/>
                          </a:rPr>
                          <m:t>𝑖</m:t>
                        </m:r>
                      </m:sub>
                      <m:sup/>
                      <m:e>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𝐶𝐸</m:t>
                                </m:r>
                              </m:e>
                              <m:sub>
                                <m:r>
                                  <a:rPr lang="es-ES" sz="1100" b="0" i="1">
                                    <a:solidFill>
                                      <a:schemeClr val="tx1"/>
                                    </a:solidFill>
                                    <a:effectLst/>
                                    <a:latin typeface="Cambria Math" panose="02040503050406030204" pitchFamily="18" charset="0"/>
                                    <a:ea typeface="+mn-ea"/>
                                    <a:cs typeface="+mn-cs"/>
                                  </a:rPr>
                                  <m:t>𝑖</m:t>
                                </m:r>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𝑢</m:t>
                                </m:r>
                              </m:sub>
                            </m:sSub>
                          </m:num>
                          <m:den>
                            <m:r>
                              <a:rPr lang="es-ES" sz="1100" b="0" i="1">
                                <a:solidFill>
                                  <a:schemeClr val="tx1"/>
                                </a:solidFill>
                                <a:effectLst/>
                                <a:latin typeface="Cambria Math" panose="02040503050406030204" pitchFamily="18" charset="0"/>
                                <a:ea typeface="+mn-ea"/>
                                <a:cs typeface="+mn-cs"/>
                              </a:rPr>
                              <m:t>𝐴</m:t>
                            </m:r>
                          </m:den>
                        </m:f>
                      </m:e>
                    </m:nary>
                  </m:oMath>
                </m:oMathPara>
              </a14:m>
              <a:endParaRPr lang="es-CL" sz="1100"/>
            </a:p>
          </xdr:txBody>
        </xdr:sp>
      </mc:Choice>
      <mc:Fallback xmlns="">
        <xdr:sp macro="" textlink="">
          <xdr:nvSpPr>
            <xdr:cNvPr id="126" name="CuadroTexto 125">
              <a:extLst>
                <a:ext uri="{FF2B5EF4-FFF2-40B4-BE49-F238E27FC236}">
                  <a16:creationId xmlns:a16="http://schemas.microsoft.com/office/drawing/2014/main" id="{D3546E60-323B-463A-B494-681CE70D23A1}"/>
                </a:ext>
              </a:extLst>
            </xdr:cNvPr>
            <xdr:cNvSpPr txBox="1"/>
          </xdr:nvSpPr>
          <xdr:spPr>
            <a:xfrm>
              <a:off x="21396325" y="180288142"/>
              <a:ext cx="1114408"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𝐶𝐸𝐴𝑆</a:t>
              </a:r>
              <a:r>
                <a:rPr lang="es-CL" sz="1100" b="0" i="0">
                  <a:latin typeface="Cambria Math" panose="02040503050406030204" pitchFamily="18" charset="0"/>
                </a:rPr>
                <a:t>〗_</a:t>
              </a:r>
              <a:r>
                <a:rPr lang="es-ES" sz="1100" b="0" i="0">
                  <a:latin typeface="Cambria Math" panose="02040503050406030204" pitchFamily="18" charset="0"/>
                </a:rPr>
                <a:t>𝑢=∑8_𝑖▒</a:t>
              </a:r>
              <a:r>
                <a:rPr lang="es-ES" sz="1100" b="0" i="0">
                  <a:solidFill>
                    <a:schemeClr val="tx1"/>
                  </a:solidFill>
                  <a:effectLst/>
                  <a:latin typeface="+mn-lt"/>
                  <a:ea typeface="+mn-ea"/>
                  <a:cs typeface="+mn-cs"/>
                </a:rPr>
                <a:t>〖𝐶𝐸〗_(𝑖,𝑢)/𝐴</a:t>
              </a:r>
              <a:endParaRPr lang="es-CL" sz="1100"/>
            </a:p>
          </xdr:txBody>
        </xdr:sp>
      </mc:Fallback>
    </mc:AlternateContent>
    <xdr:clientData/>
  </xdr:oneCellAnchor>
  <xdr:twoCellAnchor>
    <xdr:from>
      <xdr:col>33</xdr:col>
      <xdr:colOff>0</xdr:colOff>
      <xdr:row>836</xdr:row>
      <xdr:rowOff>0</xdr:rowOff>
    </xdr:from>
    <xdr:to>
      <xdr:col>36</xdr:col>
      <xdr:colOff>1047750</xdr:colOff>
      <xdr:row>852</xdr:row>
      <xdr:rowOff>166688</xdr:rowOff>
    </xdr:to>
    <xdr:graphicFrame macro="">
      <xdr:nvGraphicFramePr>
        <xdr:cNvPr id="128" name="Gráfico 127">
          <a:extLst>
            <a:ext uri="{FF2B5EF4-FFF2-40B4-BE49-F238E27FC236}">
              <a16:creationId xmlns:a16="http://schemas.microsoft.com/office/drawing/2014/main" id="{00000000-0008-0000-0000-00008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33</xdr:col>
      <xdr:colOff>0</xdr:colOff>
      <xdr:row>854</xdr:row>
      <xdr:rowOff>0</xdr:rowOff>
    </xdr:from>
    <xdr:to>
      <xdr:col>36</xdr:col>
      <xdr:colOff>1047750</xdr:colOff>
      <xdr:row>871</xdr:row>
      <xdr:rowOff>166688</xdr:rowOff>
    </xdr:to>
    <xdr:graphicFrame macro="">
      <xdr:nvGraphicFramePr>
        <xdr:cNvPr id="129" name="Gráfico 128">
          <a:extLst>
            <a:ext uri="{FF2B5EF4-FFF2-40B4-BE49-F238E27FC236}">
              <a16:creationId xmlns:a16="http://schemas.microsoft.com/office/drawing/2014/main" id="{00000000-0008-0000-0000-00008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oneCellAnchor>
    <xdr:from>
      <xdr:col>24</xdr:col>
      <xdr:colOff>167878</xdr:colOff>
      <xdr:row>873</xdr:row>
      <xdr:rowOff>120253</xdr:rowOff>
    </xdr:from>
    <xdr:ext cx="1854354" cy="368755"/>
    <mc:AlternateContent xmlns:mc="http://schemas.openxmlformats.org/markup-compatibility/2006" xmlns:a14="http://schemas.microsoft.com/office/drawing/2010/main">
      <mc:Choice Requires="a14">
        <xdr:sp macro="" textlink="">
          <xdr:nvSpPr>
            <xdr:cNvPr id="130" name="CuadroTexto 129">
              <a:extLst>
                <a:ext uri="{FF2B5EF4-FFF2-40B4-BE49-F238E27FC236}">
                  <a16:creationId xmlns:a16="http://schemas.microsoft.com/office/drawing/2014/main" id="{00000000-0008-0000-0000-000082000000}"/>
                </a:ext>
              </a:extLst>
            </xdr:cNvPr>
            <xdr:cNvSpPr txBox="1"/>
          </xdr:nvSpPr>
          <xdr:spPr>
            <a:xfrm>
              <a:off x="21437203" y="189943978"/>
              <a:ext cx="1854354" cy="368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𝑃𝐶𝐸𝐴𝑈𝐸</m:t>
                    </m:r>
                    <m:r>
                      <a:rPr lang="es-ES" sz="1100" b="0" i="1">
                        <a:latin typeface="Cambria Math" panose="02040503050406030204" pitchFamily="18" charset="0"/>
                      </a:rPr>
                      <m:t>=</m:t>
                    </m:r>
                    <m:f>
                      <m:fPr>
                        <m:ctrlPr>
                          <a:rPr lang="es-ES" sz="1100" b="0" i="1">
                            <a:latin typeface="Cambria Math" panose="02040503050406030204" pitchFamily="18" charset="0"/>
                          </a:rPr>
                        </m:ctrlPr>
                      </m:fPr>
                      <m:num>
                        <m:nary>
                          <m:naryPr>
                            <m:chr m:val="∑"/>
                            <m:supHide m:val="on"/>
                            <m:ctrlPr>
                              <a:rPr lang="es-ES" sz="1100" b="0" i="1">
                                <a:latin typeface="Cambria Math" panose="02040503050406030204" pitchFamily="18" charset="0"/>
                              </a:rPr>
                            </m:ctrlPr>
                          </m:naryPr>
                          <m:sub>
                            <m:r>
                              <m:rPr>
                                <m:brk m:alnAt="7"/>
                              </m:rPr>
                              <a:rPr lang="es-ES" sz="1100" b="0" i="1">
                                <a:latin typeface="Cambria Math" panose="02040503050406030204" pitchFamily="18" charset="0"/>
                              </a:rPr>
                              <m:t>𝑒</m:t>
                            </m:r>
                          </m:sub>
                          <m:sup/>
                          <m:e>
                            <m:sSub>
                              <m:sSubPr>
                                <m:ctrlPr>
                                  <a:rPr lang="es-ES" sz="1100" b="0" i="1">
                                    <a:latin typeface="Cambria Math" panose="02040503050406030204" pitchFamily="18" charset="0"/>
                                  </a:rPr>
                                </m:ctrlPr>
                              </m:sSubPr>
                              <m:e>
                                <m:r>
                                  <a:rPr lang="es-ES" sz="1100" b="0" i="1">
                                    <a:latin typeface="Cambria Math" panose="02040503050406030204" pitchFamily="18" charset="0"/>
                                  </a:rPr>
                                  <m:t>𝑋</m:t>
                                </m:r>
                              </m:e>
                              <m:sub>
                                <m:r>
                                  <a:rPr lang="es-ES" sz="1100" b="0" i="1">
                                    <a:latin typeface="Cambria Math" panose="02040503050406030204" pitchFamily="18" charset="0"/>
                                  </a:rPr>
                                  <m:t>𝑒</m:t>
                                </m:r>
                                <m:r>
                                  <a:rPr lang="es-ES" sz="1100" b="0" i="1">
                                    <a:latin typeface="Cambria Math" panose="02040503050406030204" pitchFamily="18" charset="0"/>
                                  </a:rPr>
                                  <m:t>,</m:t>
                                </m:r>
                                <m:r>
                                  <a:rPr lang="es-ES" sz="1100" b="0" i="1">
                                    <a:latin typeface="Cambria Math" panose="02040503050406030204" pitchFamily="18" charset="0"/>
                                  </a:rPr>
                                  <m:t>𝑢</m:t>
                                </m:r>
                              </m:sub>
                            </m:sSub>
                          </m:e>
                        </m:nary>
                      </m:num>
                      <m:den>
                        <m:nary>
                          <m:naryPr>
                            <m:chr m:val="∑"/>
                            <m:supHide m:val="on"/>
                            <m:ctrlPr>
                              <a:rPr lang="es-ES" sz="1100" b="0" i="1">
                                <a:latin typeface="Cambria Math" panose="02040503050406030204" pitchFamily="18" charset="0"/>
                              </a:rPr>
                            </m:ctrlPr>
                          </m:naryPr>
                          <m:sub>
                            <m:r>
                              <m:rPr>
                                <m:brk m:alnAt="7"/>
                              </m:rPr>
                              <a:rPr lang="es-ES" sz="1100" b="0" i="1">
                                <a:latin typeface="Cambria Math" panose="02040503050406030204" pitchFamily="18" charset="0"/>
                              </a:rPr>
                              <m:t>𝑢</m:t>
                            </m:r>
                          </m:sub>
                          <m:sup/>
                          <m:e>
                            <m:nary>
                              <m:naryPr>
                                <m:chr m:val="∑"/>
                                <m:supHide m:val="on"/>
                                <m:ctrlPr>
                                  <a:rPr lang="es-ES" sz="1100" b="0" i="1">
                                    <a:latin typeface="Cambria Math" panose="02040503050406030204" pitchFamily="18" charset="0"/>
                                  </a:rPr>
                                </m:ctrlPr>
                              </m:naryPr>
                              <m:sub>
                                <m:r>
                                  <m:rPr>
                                    <m:brk m:alnAt="7"/>
                                  </m:rPr>
                                  <a:rPr lang="es-ES" sz="1100" b="0" i="1">
                                    <a:latin typeface="Cambria Math" panose="02040503050406030204" pitchFamily="18" charset="0"/>
                                  </a:rPr>
                                  <m:t>𝑒</m:t>
                                </m:r>
                              </m:sub>
                              <m:sup/>
                              <m:e>
                                <m:sSub>
                                  <m:sSubPr>
                                    <m:ctrlPr>
                                      <a:rPr lang="es-ES" sz="1100" b="0" i="1">
                                        <a:latin typeface="Cambria Math" panose="02040503050406030204" pitchFamily="18" charset="0"/>
                                      </a:rPr>
                                    </m:ctrlPr>
                                  </m:sSubPr>
                                  <m:e>
                                    <m:r>
                                      <a:rPr lang="es-ES" sz="1100" b="0" i="1">
                                        <a:latin typeface="Cambria Math" panose="02040503050406030204" pitchFamily="18" charset="0"/>
                                      </a:rPr>
                                      <m:t>𝑋</m:t>
                                    </m:r>
                                  </m:e>
                                  <m:sub>
                                    <m:r>
                                      <a:rPr lang="es-ES" sz="1100" b="0" i="1">
                                        <a:latin typeface="Cambria Math" panose="02040503050406030204" pitchFamily="18" charset="0"/>
                                      </a:rPr>
                                      <m:t>𝑒</m:t>
                                    </m:r>
                                    <m:r>
                                      <a:rPr lang="es-ES" sz="1100" b="0" i="1">
                                        <a:latin typeface="Cambria Math" panose="02040503050406030204" pitchFamily="18" charset="0"/>
                                      </a:rPr>
                                      <m:t>,</m:t>
                                    </m:r>
                                    <m:r>
                                      <a:rPr lang="es-ES" sz="1100" b="0" i="1">
                                        <a:latin typeface="Cambria Math" panose="02040503050406030204" pitchFamily="18" charset="0"/>
                                      </a:rPr>
                                      <m:t>𝑢</m:t>
                                    </m:r>
                                  </m:sub>
                                </m:sSub>
                              </m:e>
                            </m:nary>
                          </m:e>
                        </m:nary>
                      </m:den>
                    </m:f>
                    <m:r>
                      <a:rPr lang="es-ES" sz="1100" b="0" i="1">
                        <a:latin typeface="Cambria Math" panose="02040503050406030204" pitchFamily="18" charset="0"/>
                      </a:rPr>
                      <m:t>∗100%</m:t>
                    </m:r>
                  </m:oMath>
                </m:oMathPara>
              </a14:m>
              <a:endParaRPr lang="es-CL" sz="1100"/>
            </a:p>
          </xdr:txBody>
        </xdr:sp>
      </mc:Choice>
      <mc:Fallback xmlns="">
        <xdr:sp macro="" textlink="">
          <xdr:nvSpPr>
            <xdr:cNvPr id="130" name="CuadroTexto 129">
              <a:extLst>
                <a:ext uri="{FF2B5EF4-FFF2-40B4-BE49-F238E27FC236}">
                  <a16:creationId xmlns:a16="http://schemas.microsoft.com/office/drawing/2014/main" id="{69B6DC19-DEA6-4FCA-B9FE-46F711CB2DD9}"/>
                </a:ext>
              </a:extLst>
            </xdr:cNvPr>
            <xdr:cNvSpPr txBox="1"/>
          </xdr:nvSpPr>
          <xdr:spPr>
            <a:xfrm>
              <a:off x="21437203" y="189943978"/>
              <a:ext cx="1854354" cy="368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𝑃𝐶𝐸𝐴𝑈𝐸=(∑8_𝑒▒𝑋_(𝑒,𝑢) )/(∑8_𝑢▒∑8_𝑒▒𝑋_(𝑒,𝑢) )∗100%</a:t>
              </a:r>
              <a:endParaRPr lang="es-CL" sz="1100"/>
            </a:p>
          </xdr:txBody>
        </xdr:sp>
      </mc:Fallback>
    </mc:AlternateContent>
    <xdr:clientData/>
  </xdr:oneCellAnchor>
  <xdr:oneCellAnchor>
    <xdr:from>
      <xdr:col>24</xdr:col>
      <xdr:colOff>393700</xdr:colOff>
      <xdr:row>891</xdr:row>
      <xdr:rowOff>101600</xdr:rowOff>
    </xdr:from>
    <xdr:ext cx="1853328" cy="358431"/>
    <mc:AlternateContent xmlns:mc="http://schemas.openxmlformats.org/markup-compatibility/2006" xmlns:a14="http://schemas.microsoft.com/office/drawing/2010/main">
      <mc:Choice Requires="a14">
        <xdr:sp macro="" textlink="">
          <xdr:nvSpPr>
            <xdr:cNvPr id="132" name="CuadroTexto 131">
              <a:extLst>
                <a:ext uri="{FF2B5EF4-FFF2-40B4-BE49-F238E27FC236}">
                  <a16:creationId xmlns:a16="http://schemas.microsoft.com/office/drawing/2014/main" id="{00000000-0008-0000-0000-000084000000}"/>
                </a:ext>
              </a:extLst>
            </xdr:cNvPr>
            <xdr:cNvSpPr txBox="1"/>
          </xdr:nvSpPr>
          <xdr:spPr>
            <a:xfrm>
              <a:off x="21663025" y="193354325"/>
              <a:ext cx="1853328"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𝑃𝐶𝐸𝐴𝐴</m:t>
                        </m:r>
                      </m:e>
                      <m:sub>
                        <m:r>
                          <a:rPr lang="es-ES" sz="1100" b="0" i="1">
                            <a:latin typeface="Cambria Math" panose="02040503050406030204" pitchFamily="18" charset="0"/>
                          </a:rPr>
                          <m:t>𝑎</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𝑋</m:t>
                            </m:r>
                          </m:e>
                          <m:sub>
                            <m:r>
                              <a:rPr lang="es-ES" sz="1100" b="0" i="1">
                                <a:latin typeface="Cambria Math" panose="02040503050406030204" pitchFamily="18" charset="0"/>
                              </a:rPr>
                              <m:t>𝑎</m:t>
                            </m:r>
                          </m:sub>
                        </m:sSub>
                      </m:num>
                      <m:den>
                        <m:nary>
                          <m:naryPr>
                            <m:chr m:val="∑"/>
                            <m:supHide m:val="on"/>
                            <m:ctrlPr>
                              <a:rPr lang="es-ES" sz="1100" b="0" i="1">
                                <a:latin typeface="Cambria Math" panose="02040503050406030204" pitchFamily="18" charset="0"/>
                              </a:rPr>
                            </m:ctrlPr>
                          </m:naryPr>
                          <m:sub>
                            <m:r>
                              <m:rPr>
                                <m:brk m:alnAt="7"/>
                              </m:rPr>
                              <a:rPr lang="es-ES" sz="1100" b="0" i="1">
                                <a:latin typeface="Cambria Math" panose="02040503050406030204" pitchFamily="18" charset="0"/>
                              </a:rPr>
                              <m:t>𝑢</m:t>
                            </m:r>
                          </m:sub>
                          <m:sup/>
                          <m:e>
                            <m:nary>
                              <m:naryPr>
                                <m:chr m:val="∑"/>
                                <m:supHide m:val="on"/>
                                <m:ctrlPr>
                                  <a:rPr lang="es-ES" sz="1100" b="0" i="1">
                                    <a:latin typeface="Cambria Math" panose="02040503050406030204" pitchFamily="18" charset="0"/>
                                  </a:rPr>
                                </m:ctrlPr>
                              </m:naryPr>
                              <m:sub>
                                <m:r>
                                  <m:rPr>
                                    <m:brk m:alnAt="7"/>
                                  </m:rPr>
                                  <a:rPr lang="es-ES" sz="1100" b="0" i="1">
                                    <a:latin typeface="Cambria Math" panose="02040503050406030204" pitchFamily="18" charset="0"/>
                                  </a:rPr>
                                  <m:t>𝑒</m:t>
                                </m:r>
                              </m:sub>
                              <m:sup/>
                              <m:e>
                                <m:sSub>
                                  <m:sSubPr>
                                    <m:ctrlPr>
                                      <a:rPr lang="es-ES" sz="1100" b="0" i="1">
                                        <a:latin typeface="Cambria Math" panose="02040503050406030204" pitchFamily="18" charset="0"/>
                                      </a:rPr>
                                    </m:ctrlPr>
                                  </m:sSubPr>
                                  <m:e>
                                    <m:r>
                                      <a:rPr lang="es-ES" sz="1100" b="0" i="1">
                                        <a:latin typeface="Cambria Math" panose="02040503050406030204" pitchFamily="18" charset="0"/>
                                      </a:rPr>
                                      <m:t>𝑋</m:t>
                                    </m:r>
                                  </m:e>
                                  <m:sub>
                                    <m:r>
                                      <a:rPr lang="es-ES" sz="1100" b="0" i="1">
                                        <a:latin typeface="Cambria Math" panose="02040503050406030204" pitchFamily="18" charset="0"/>
                                      </a:rPr>
                                      <m:t>𝑒</m:t>
                                    </m:r>
                                    <m:r>
                                      <a:rPr lang="es-ES" sz="1100" b="0" i="1">
                                        <a:latin typeface="Cambria Math" panose="02040503050406030204" pitchFamily="18" charset="0"/>
                                      </a:rPr>
                                      <m:t>,</m:t>
                                    </m:r>
                                    <m:r>
                                      <a:rPr lang="es-ES" sz="1100" b="0" i="1">
                                        <a:latin typeface="Cambria Math" panose="02040503050406030204" pitchFamily="18" charset="0"/>
                                      </a:rPr>
                                      <m:t>𝑢</m:t>
                                    </m:r>
                                  </m:sub>
                                </m:sSub>
                              </m:e>
                            </m:nary>
                          </m:e>
                        </m:nary>
                      </m:den>
                    </m:f>
                    <m:r>
                      <a:rPr lang="es-ES" sz="1100" b="0" i="1">
                        <a:latin typeface="Cambria Math" panose="02040503050406030204" pitchFamily="18" charset="0"/>
                      </a:rPr>
                      <m:t>∗100%</m:t>
                    </m:r>
                  </m:oMath>
                </m:oMathPara>
              </a14:m>
              <a:endParaRPr lang="es-CL" sz="1100"/>
            </a:p>
          </xdr:txBody>
        </xdr:sp>
      </mc:Choice>
      <mc:Fallback xmlns="">
        <xdr:sp macro="" textlink="">
          <xdr:nvSpPr>
            <xdr:cNvPr id="132" name="CuadroTexto 131">
              <a:extLst>
                <a:ext uri="{FF2B5EF4-FFF2-40B4-BE49-F238E27FC236}">
                  <a16:creationId xmlns:a16="http://schemas.microsoft.com/office/drawing/2014/main" id="{028B2202-B8A7-4771-8F58-BCDECFB1B6FD}"/>
                </a:ext>
              </a:extLst>
            </xdr:cNvPr>
            <xdr:cNvSpPr txBox="1"/>
          </xdr:nvSpPr>
          <xdr:spPr>
            <a:xfrm>
              <a:off x="21663025" y="193354325"/>
              <a:ext cx="1853328"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〖𝑃𝐶𝐸𝐴𝐴〗_𝑎=𝑋_𝑎/(∑8_𝑢▒∑8_𝑒▒𝑋_(𝑒,𝑢) )∗100%</a:t>
              </a:r>
              <a:endParaRPr lang="es-CL" sz="1100"/>
            </a:p>
          </xdr:txBody>
        </xdr:sp>
      </mc:Fallback>
    </mc:AlternateContent>
    <xdr:clientData/>
  </xdr:oneCellAnchor>
  <xdr:twoCellAnchor>
    <xdr:from>
      <xdr:col>18</xdr:col>
      <xdr:colOff>0</xdr:colOff>
      <xdr:row>836</xdr:row>
      <xdr:rowOff>0</xdr:rowOff>
    </xdr:from>
    <xdr:to>
      <xdr:col>22</xdr:col>
      <xdr:colOff>428625</xdr:colOff>
      <xdr:row>849</xdr:row>
      <xdr:rowOff>76200</xdr:rowOff>
    </xdr:to>
    <xdr:graphicFrame macro="">
      <xdr:nvGraphicFramePr>
        <xdr:cNvPr id="133" name="Gráfico 132">
          <a:extLst>
            <a:ext uri="{FF2B5EF4-FFF2-40B4-BE49-F238E27FC236}">
              <a16:creationId xmlns:a16="http://schemas.microsoft.com/office/drawing/2014/main" id="{00000000-0008-0000-0000-00008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4</xdr:col>
      <xdr:colOff>0</xdr:colOff>
      <xdr:row>865</xdr:row>
      <xdr:rowOff>0</xdr:rowOff>
    </xdr:from>
    <xdr:to>
      <xdr:col>21</xdr:col>
      <xdr:colOff>182506</xdr:colOff>
      <xdr:row>900</xdr:row>
      <xdr:rowOff>143826</xdr:rowOff>
    </xdr:to>
    <xdr:pic>
      <xdr:nvPicPr>
        <xdr:cNvPr id="135" name="Imagen 134">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2667000" y="188452125"/>
          <a:ext cx="16661550" cy="6811326"/>
        </a:xfrm>
        <a:prstGeom prst="rect">
          <a:avLst/>
        </a:prstGeom>
      </xdr:spPr>
    </xdr:pic>
    <xdr:clientData/>
  </xdr:twoCellAnchor>
  <xdr:oneCellAnchor>
    <xdr:from>
      <xdr:col>24</xdr:col>
      <xdr:colOff>297656</xdr:colOff>
      <xdr:row>914</xdr:row>
      <xdr:rowOff>107156</xdr:rowOff>
    </xdr:from>
    <xdr:ext cx="986617" cy="326115"/>
    <mc:AlternateContent xmlns:mc="http://schemas.openxmlformats.org/markup-compatibility/2006" xmlns:a14="http://schemas.microsoft.com/office/drawing/2010/main">
      <mc:Choice Requires="a14">
        <xdr:sp macro="" textlink="">
          <xdr:nvSpPr>
            <xdr:cNvPr id="137" name="CuadroTexto 136">
              <a:extLst>
                <a:ext uri="{FF2B5EF4-FFF2-40B4-BE49-F238E27FC236}">
                  <a16:creationId xmlns:a16="http://schemas.microsoft.com/office/drawing/2014/main" id="{00000000-0008-0000-0000-000089000000}"/>
                </a:ext>
              </a:extLst>
            </xdr:cNvPr>
            <xdr:cNvSpPr txBox="1"/>
          </xdr:nvSpPr>
          <xdr:spPr>
            <a:xfrm>
              <a:off x="21566981" y="197741381"/>
              <a:ext cx="986617" cy="3261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𝐶𝐸𝐴𝐼𝑇</m:t>
                        </m:r>
                      </m:e>
                      <m:sub>
                        <m:r>
                          <a:rPr lang="es-ES" sz="1100" b="0" i="1">
                            <a:latin typeface="Cambria Math" panose="02040503050406030204" pitchFamily="18" charset="0"/>
                          </a:rPr>
                          <m:t>𝑢</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nary>
                          <m:naryPr>
                            <m:chr m:val="∑"/>
                            <m:supHide m:val="on"/>
                            <m:ctrlPr>
                              <a:rPr lang="es-ES" sz="1100" b="0" i="1">
                                <a:latin typeface="Cambria Math" panose="02040503050406030204" pitchFamily="18" charset="0"/>
                              </a:rPr>
                            </m:ctrlPr>
                          </m:naryPr>
                          <m:sub>
                            <m:r>
                              <m:rPr>
                                <m:brk m:alnAt="7"/>
                              </m:rPr>
                              <a:rPr lang="es-ES" sz="1100" b="0" i="1">
                                <a:latin typeface="Cambria Math" panose="02040503050406030204" pitchFamily="18" charset="0"/>
                              </a:rPr>
                              <m:t>𝑖</m:t>
                            </m:r>
                          </m:sub>
                          <m:sup/>
                          <m:e>
                            <m:sSub>
                              <m:sSubPr>
                                <m:ctrlPr>
                                  <a:rPr lang="es-ES" sz="1100" b="0" i="1">
                                    <a:latin typeface="Cambria Math" panose="02040503050406030204" pitchFamily="18" charset="0"/>
                                  </a:rPr>
                                </m:ctrlPr>
                              </m:sSubPr>
                              <m:e>
                                <m:r>
                                  <a:rPr lang="es-ES" sz="1100" b="0" i="1">
                                    <a:latin typeface="Cambria Math" panose="02040503050406030204" pitchFamily="18" charset="0"/>
                                  </a:rPr>
                                  <m:t>𝑋</m:t>
                                </m:r>
                              </m:e>
                              <m:sub>
                                <m:r>
                                  <a:rPr lang="es-ES" sz="1100" b="0" i="1">
                                    <a:latin typeface="Cambria Math" panose="02040503050406030204" pitchFamily="18" charset="0"/>
                                  </a:rPr>
                                  <m:t>𝑢</m:t>
                                </m:r>
                              </m:sub>
                            </m:sSub>
                          </m:e>
                        </m:nary>
                      </m:num>
                      <m:den>
                        <m:r>
                          <a:rPr lang="es-ES" sz="1100" b="0" i="1">
                            <a:latin typeface="Cambria Math" panose="02040503050406030204" pitchFamily="18" charset="0"/>
                          </a:rPr>
                          <m:t>𝑇</m:t>
                        </m:r>
                      </m:den>
                    </m:f>
                  </m:oMath>
                </m:oMathPara>
              </a14:m>
              <a:endParaRPr lang="es-CL" sz="1100"/>
            </a:p>
          </xdr:txBody>
        </xdr:sp>
      </mc:Choice>
      <mc:Fallback xmlns="">
        <xdr:sp macro="" textlink="">
          <xdr:nvSpPr>
            <xdr:cNvPr id="137" name="CuadroTexto 136">
              <a:extLst>
                <a:ext uri="{FF2B5EF4-FFF2-40B4-BE49-F238E27FC236}">
                  <a16:creationId xmlns:a16="http://schemas.microsoft.com/office/drawing/2014/main" id="{FDB4725D-AAD0-4655-8847-9AD05B0F2F24}"/>
                </a:ext>
              </a:extLst>
            </xdr:cNvPr>
            <xdr:cNvSpPr txBox="1"/>
          </xdr:nvSpPr>
          <xdr:spPr>
            <a:xfrm>
              <a:off x="21566981" y="197741381"/>
              <a:ext cx="986617" cy="3261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𝐶𝐸𝐴𝐼𝑇</a:t>
              </a:r>
              <a:r>
                <a:rPr lang="es-CL" sz="1100" b="0" i="0">
                  <a:latin typeface="Cambria Math" panose="02040503050406030204" pitchFamily="18" charset="0"/>
                </a:rPr>
                <a:t>〗_</a:t>
              </a:r>
              <a:r>
                <a:rPr lang="es-ES" sz="1100" b="0" i="0">
                  <a:latin typeface="Cambria Math" panose="02040503050406030204" pitchFamily="18" charset="0"/>
                </a:rPr>
                <a:t>𝑢=(∑8_𝑖▒𝑋_𝑢 )/𝑇</a:t>
              </a:r>
              <a:endParaRPr lang="es-CL" sz="1100"/>
            </a:p>
          </xdr:txBody>
        </xdr:sp>
      </mc:Fallback>
    </mc:AlternateContent>
    <xdr:clientData/>
  </xdr:oneCellAnchor>
  <xdr:twoCellAnchor>
    <xdr:from>
      <xdr:col>32</xdr:col>
      <xdr:colOff>1357313</xdr:colOff>
      <xdr:row>919</xdr:row>
      <xdr:rowOff>0</xdr:rowOff>
    </xdr:from>
    <xdr:to>
      <xdr:col>36</xdr:col>
      <xdr:colOff>1035844</xdr:colOff>
      <xdr:row>935</xdr:row>
      <xdr:rowOff>166688</xdr:rowOff>
    </xdr:to>
    <xdr:graphicFrame macro="">
      <xdr:nvGraphicFramePr>
        <xdr:cNvPr id="139" name="Gráfico 138">
          <a:extLst>
            <a:ext uri="{FF2B5EF4-FFF2-40B4-BE49-F238E27FC236}">
              <a16:creationId xmlns:a16="http://schemas.microsoft.com/office/drawing/2014/main" id="{00000000-0008-0000-0000-00008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33</xdr:col>
      <xdr:colOff>0</xdr:colOff>
      <xdr:row>937</xdr:row>
      <xdr:rowOff>0</xdr:rowOff>
    </xdr:from>
    <xdr:to>
      <xdr:col>36</xdr:col>
      <xdr:colOff>1047750</xdr:colOff>
      <xdr:row>954</xdr:row>
      <xdr:rowOff>166688</xdr:rowOff>
    </xdr:to>
    <xdr:graphicFrame macro="">
      <xdr:nvGraphicFramePr>
        <xdr:cNvPr id="140" name="Gráfico 139">
          <a:extLst>
            <a:ext uri="{FF2B5EF4-FFF2-40B4-BE49-F238E27FC236}">
              <a16:creationId xmlns:a16="http://schemas.microsoft.com/office/drawing/2014/main" id="{00000000-0008-0000-0000-00008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18</xdr:col>
      <xdr:colOff>0</xdr:colOff>
      <xdr:row>921</xdr:row>
      <xdr:rowOff>0</xdr:rowOff>
    </xdr:from>
    <xdr:to>
      <xdr:col>22</xdr:col>
      <xdr:colOff>428625</xdr:colOff>
      <xdr:row>934</xdr:row>
      <xdr:rowOff>76200</xdr:rowOff>
    </xdr:to>
    <xdr:graphicFrame macro="">
      <xdr:nvGraphicFramePr>
        <xdr:cNvPr id="141" name="Gráfico 140">
          <a:extLst>
            <a:ext uri="{FF2B5EF4-FFF2-40B4-BE49-F238E27FC236}">
              <a16:creationId xmlns:a16="http://schemas.microsoft.com/office/drawing/2014/main" id="{00000000-0008-0000-0000-00008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36</xdr:col>
      <xdr:colOff>673101</xdr:colOff>
      <xdr:row>98</xdr:row>
      <xdr:rowOff>165101</xdr:rowOff>
    </xdr:from>
    <xdr:to>
      <xdr:col>41</xdr:col>
      <xdr:colOff>965200</xdr:colOff>
      <xdr:row>118</xdr:row>
      <xdr:rowOff>127001</xdr:rowOff>
    </xdr:to>
    <xdr:graphicFrame macro="">
      <xdr:nvGraphicFramePr>
        <xdr:cNvPr id="7" name="Gráfico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39</xdr:col>
      <xdr:colOff>106066</xdr:colOff>
      <xdr:row>172</xdr:row>
      <xdr:rowOff>19189</xdr:rowOff>
    </xdr:from>
    <xdr:to>
      <xdr:col>40</xdr:col>
      <xdr:colOff>734392</xdr:colOff>
      <xdr:row>172</xdr:row>
      <xdr:rowOff>178855</xdr:rowOff>
    </xdr:to>
    <xdr:sp macro="" textlink="">
      <xdr:nvSpPr>
        <xdr:cNvPr id="12" name="Rectángulo: esquinas redondeadas 11">
          <a:extLst>
            <a:ext uri="{FF2B5EF4-FFF2-40B4-BE49-F238E27FC236}">
              <a16:creationId xmlns:a16="http://schemas.microsoft.com/office/drawing/2014/main" id="{00000000-0008-0000-0000-00000C000000}"/>
            </a:ext>
          </a:extLst>
        </xdr:cNvPr>
        <xdr:cNvSpPr/>
      </xdr:nvSpPr>
      <xdr:spPr>
        <a:xfrm>
          <a:off x="40514047" y="34382458"/>
          <a:ext cx="1715153" cy="159666"/>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43</xdr:col>
      <xdr:colOff>0</xdr:colOff>
      <xdr:row>99</xdr:row>
      <xdr:rowOff>0</xdr:rowOff>
    </xdr:from>
    <xdr:to>
      <xdr:col>49</xdr:col>
      <xdr:colOff>280193</xdr:colOff>
      <xdr:row>118</xdr:row>
      <xdr:rowOff>152400</xdr:rowOff>
    </xdr:to>
    <xdr:graphicFrame macro="">
      <xdr:nvGraphicFramePr>
        <xdr:cNvPr id="5" name="Gráfico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34</xdr:col>
      <xdr:colOff>505501</xdr:colOff>
      <xdr:row>355</xdr:row>
      <xdr:rowOff>19189</xdr:rowOff>
    </xdr:from>
    <xdr:to>
      <xdr:col>35</xdr:col>
      <xdr:colOff>841933</xdr:colOff>
      <xdr:row>355</xdr:row>
      <xdr:rowOff>178855</xdr:rowOff>
    </xdr:to>
    <xdr:sp macro="" textlink="">
      <xdr:nvSpPr>
        <xdr:cNvPr id="8" name="Rectángulo: esquinas redondeadas 7">
          <a:extLst>
            <a:ext uri="{FF2B5EF4-FFF2-40B4-BE49-F238E27FC236}">
              <a16:creationId xmlns:a16="http://schemas.microsoft.com/office/drawing/2014/main" id="{00000000-0008-0000-0000-000008000000}"/>
            </a:ext>
          </a:extLst>
        </xdr:cNvPr>
        <xdr:cNvSpPr/>
      </xdr:nvSpPr>
      <xdr:spPr>
        <a:xfrm>
          <a:off x="35763364" y="66817092"/>
          <a:ext cx="1534738" cy="159666"/>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17</xdr:col>
      <xdr:colOff>199043</xdr:colOff>
      <xdr:row>640</xdr:row>
      <xdr:rowOff>100894</xdr:rowOff>
    </xdr:from>
    <xdr:to>
      <xdr:col>21</xdr:col>
      <xdr:colOff>409565</xdr:colOff>
      <xdr:row>654</xdr:row>
      <xdr:rowOff>176348</xdr:rowOff>
    </xdr:to>
    <xdr:graphicFrame macro="">
      <xdr:nvGraphicFramePr>
        <xdr:cNvPr id="13" name="Gráfico 12">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38</xdr:col>
      <xdr:colOff>231320</xdr:colOff>
      <xdr:row>698</xdr:row>
      <xdr:rowOff>81642</xdr:rowOff>
    </xdr:from>
    <xdr:to>
      <xdr:col>43</xdr:col>
      <xdr:colOff>917042</xdr:colOff>
      <xdr:row>718</xdr:row>
      <xdr:rowOff>61188</xdr:rowOff>
    </xdr:to>
    <xdr:graphicFrame macro="">
      <xdr:nvGraphicFramePr>
        <xdr:cNvPr id="15" name="Gráfico 14">
          <a:extLst>
            <a:ext uri="{FF2B5EF4-FFF2-40B4-BE49-F238E27FC236}">
              <a16:creationId xmlns:a16="http://schemas.microsoft.com/office/drawing/2014/main" id="{00000000-0008-0000-00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37</xdr:col>
      <xdr:colOff>488157</xdr:colOff>
      <xdr:row>602</xdr:row>
      <xdr:rowOff>0</xdr:rowOff>
    </xdr:from>
    <xdr:to>
      <xdr:col>41</xdr:col>
      <xdr:colOff>989557</xdr:colOff>
      <xdr:row>615</xdr:row>
      <xdr:rowOff>79411</xdr:rowOff>
    </xdr:to>
    <xdr:graphicFrame macro="">
      <xdr:nvGraphicFramePr>
        <xdr:cNvPr id="23" name="Gráfico 22">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44</xdr:col>
      <xdr:colOff>408214</xdr:colOff>
      <xdr:row>601</xdr:row>
      <xdr:rowOff>86590</xdr:rowOff>
    </xdr:from>
    <xdr:to>
      <xdr:col>56</xdr:col>
      <xdr:colOff>210292</xdr:colOff>
      <xdr:row>632</xdr:row>
      <xdr:rowOff>37109</xdr:rowOff>
    </xdr:to>
    <xdr:graphicFrame macro="">
      <xdr:nvGraphicFramePr>
        <xdr:cNvPr id="32" name="Gráfico 31">
          <a:extLst>
            <a:ext uri="{FF2B5EF4-FFF2-40B4-BE49-F238E27FC236}">
              <a16:creationId xmlns:a16="http://schemas.microsoft.com/office/drawing/2014/main" id="{00000000-0008-0000-00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8</xdr:col>
      <xdr:colOff>106066</xdr:colOff>
      <xdr:row>150</xdr:row>
      <xdr:rowOff>19189</xdr:rowOff>
    </xdr:from>
    <xdr:to>
      <xdr:col>9</xdr:col>
      <xdr:colOff>734392</xdr:colOff>
      <xdr:row>150</xdr:row>
      <xdr:rowOff>178855</xdr:rowOff>
    </xdr:to>
    <xdr:sp macro="" textlink="">
      <xdr:nvSpPr>
        <xdr:cNvPr id="38" name="Rectángulo: esquinas redondeadas 37">
          <a:extLst>
            <a:ext uri="{FF2B5EF4-FFF2-40B4-BE49-F238E27FC236}">
              <a16:creationId xmlns:a16="http://schemas.microsoft.com/office/drawing/2014/main" id="{00000000-0008-0000-0000-000026000000}"/>
            </a:ext>
          </a:extLst>
        </xdr:cNvPr>
        <xdr:cNvSpPr/>
      </xdr:nvSpPr>
      <xdr:spPr>
        <a:xfrm>
          <a:off x="42065547" y="32701072"/>
          <a:ext cx="2013780" cy="159666"/>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49</xdr:col>
      <xdr:colOff>638023</xdr:colOff>
      <xdr:row>99</xdr:row>
      <xdr:rowOff>7560</xdr:rowOff>
    </xdr:from>
    <xdr:to>
      <xdr:col>58</xdr:col>
      <xdr:colOff>91016</xdr:colOff>
      <xdr:row>118</xdr:row>
      <xdr:rowOff>166007</xdr:rowOff>
    </xdr:to>
    <xdr:graphicFrame macro="">
      <xdr:nvGraphicFramePr>
        <xdr:cNvPr id="16" name="Gráfico 15">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49</xdr:col>
      <xdr:colOff>624417</xdr:colOff>
      <xdr:row>119</xdr:row>
      <xdr:rowOff>158749</xdr:rowOff>
    </xdr:from>
    <xdr:to>
      <xdr:col>58</xdr:col>
      <xdr:colOff>42333</xdr:colOff>
      <xdr:row>141</xdr:row>
      <xdr:rowOff>95249</xdr:rowOff>
    </xdr:to>
    <xdr:graphicFrame macro="">
      <xdr:nvGraphicFramePr>
        <xdr:cNvPr id="17" name="Gráfico 16">
          <a:extLst>
            <a:ext uri="{FF2B5EF4-FFF2-40B4-BE49-F238E27FC236}">
              <a16:creationId xmlns:a16="http://schemas.microsoft.com/office/drawing/2014/main" id="{00000000-0008-0000-00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36</xdr:col>
      <xdr:colOff>0</xdr:colOff>
      <xdr:row>448</xdr:row>
      <xdr:rowOff>0</xdr:rowOff>
    </xdr:from>
    <xdr:to>
      <xdr:col>40</xdr:col>
      <xdr:colOff>719667</xdr:colOff>
      <xdr:row>465</xdr:row>
      <xdr:rowOff>107156</xdr:rowOff>
    </xdr:to>
    <xdr:graphicFrame macro="">
      <xdr:nvGraphicFramePr>
        <xdr:cNvPr id="18" name="Gráfico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0.13591</cdr:x>
      <cdr:y>0.10852</cdr:y>
    </cdr:from>
    <cdr:to>
      <cdr:x>0.96925</cdr:x>
      <cdr:y>0.39131</cdr:y>
    </cdr:to>
    <cdr:sp macro="" textlink="">
      <cdr:nvSpPr>
        <cdr:cNvPr id="2" name="Rectángulo: esquinas redondeadas 1">
          <a:extLst xmlns:a="http://schemas.openxmlformats.org/drawingml/2006/main">
            <a:ext uri="{FF2B5EF4-FFF2-40B4-BE49-F238E27FC236}">
              <a16:creationId xmlns:a16="http://schemas.microsoft.com/office/drawing/2014/main" id="{8CF87BB2-7EDD-34E9-E603-77112FDEA26D}"/>
            </a:ext>
          </a:extLst>
        </cdr:cNvPr>
        <cdr:cNvSpPr/>
      </cdr:nvSpPr>
      <cdr:spPr>
        <a:xfrm xmlns:a="http://schemas.openxmlformats.org/drawingml/2006/main">
          <a:off x="642547" y="306040"/>
          <a:ext cx="3939811" cy="797507"/>
        </a:xfrm>
        <a:prstGeom xmlns:a="http://schemas.openxmlformats.org/drawingml/2006/main" prst="roundRect">
          <a:avLst/>
        </a:prstGeom>
        <a:solidFill xmlns:a="http://schemas.openxmlformats.org/drawingml/2006/main">
          <a:schemeClr val="accent6">
            <a:lumMod val="40000"/>
            <a:lumOff val="60000"/>
            <a:alpha val="30000"/>
          </a:schemeClr>
        </a:solidFill>
        <a:ln xmlns:a="http://schemas.openxmlformats.org/drawingml/2006/main">
          <a:solidFill>
            <a:schemeClr val="accent6">
              <a:lumMod val="40000"/>
              <a:lumOff val="60000"/>
              <a:alpha val="3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s-CL" sz="1100"/>
        </a:p>
      </cdr:txBody>
    </cdr:sp>
  </cdr:relSizeAnchor>
  <cdr:relSizeAnchor xmlns:cdr="http://schemas.openxmlformats.org/drawingml/2006/chartDrawing">
    <cdr:from>
      <cdr:x>0.1353</cdr:x>
      <cdr:y>0.39792</cdr:y>
    </cdr:from>
    <cdr:to>
      <cdr:x>0.96864</cdr:x>
      <cdr:y>0.75182</cdr:y>
    </cdr:to>
    <cdr:sp macro="" textlink="">
      <cdr:nvSpPr>
        <cdr:cNvPr id="4" name="Rectángulo: esquinas redondeadas 3">
          <a:extLst xmlns:a="http://schemas.openxmlformats.org/drawingml/2006/main">
            <a:ext uri="{FF2B5EF4-FFF2-40B4-BE49-F238E27FC236}">
              <a16:creationId xmlns:a16="http://schemas.microsoft.com/office/drawing/2014/main" id="{4F8CD74D-3FFC-FDFB-4BB2-73E03C4B21C8}"/>
            </a:ext>
          </a:extLst>
        </cdr:cNvPr>
        <cdr:cNvSpPr/>
      </cdr:nvSpPr>
      <cdr:spPr>
        <a:xfrm xmlns:a="http://schemas.openxmlformats.org/drawingml/2006/main">
          <a:off x="639648" y="1122196"/>
          <a:ext cx="3939811" cy="998046"/>
        </a:xfrm>
        <a:prstGeom xmlns:a="http://schemas.openxmlformats.org/drawingml/2006/main" prst="roundRect">
          <a:avLst/>
        </a:prstGeom>
        <a:solidFill xmlns:a="http://schemas.openxmlformats.org/drawingml/2006/main">
          <a:schemeClr val="accent2">
            <a:lumMod val="40000"/>
            <a:lumOff val="60000"/>
            <a:alpha val="30000"/>
          </a:schemeClr>
        </a:solidFill>
        <a:ln xmlns:a="http://schemas.openxmlformats.org/drawingml/2006/main">
          <a:solidFill>
            <a:schemeClr val="accent2">
              <a:lumMod val="40000"/>
              <a:lumOff val="60000"/>
              <a:alpha val="3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s-CL" sz="1100"/>
        </a:p>
      </cdr:txBody>
    </cdr:sp>
  </cdr:relSizeAnchor>
</c:userShapes>
</file>

<file path=xl/drawings/drawing3.xml><?xml version="1.0" encoding="utf-8"?>
<c:userShapes xmlns:c="http://schemas.openxmlformats.org/drawingml/2006/chart">
  <cdr:relSizeAnchor xmlns:cdr="http://schemas.openxmlformats.org/drawingml/2006/chartDrawing">
    <cdr:from>
      <cdr:x>0.49683</cdr:x>
      <cdr:y>0.38848</cdr:y>
    </cdr:from>
    <cdr:to>
      <cdr:x>0.76997</cdr:x>
      <cdr:y>0.47339</cdr:y>
    </cdr:to>
    <cdr:sp macro="" textlink="">
      <cdr:nvSpPr>
        <cdr:cNvPr id="2" name="CuadroTexto 113">
          <a:extLst xmlns:a="http://schemas.openxmlformats.org/drawingml/2006/main">
            <a:ext uri="{FF2B5EF4-FFF2-40B4-BE49-F238E27FC236}">
              <a16:creationId xmlns:a16="http://schemas.microsoft.com/office/drawing/2014/main" id="{1006656A-87C9-3FAE-DDC1-C9742C426020}"/>
            </a:ext>
          </a:extLst>
        </cdr:cNvPr>
        <cdr:cNvSpPr txBox="1"/>
      </cdr:nvSpPr>
      <cdr:spPr>
        <a:xfrm xmlns:a="http://schemas.openxmlformats.org/drawingml/2006/main">
          <a:off x="2372677" y="1044809"/>
          <a:ext cx="1304405" cy="22836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00B050"/>
              </a:solidFill>
            </a:rPr>
            <a:t>Productividad Eficiente</a:t>
          </a:r>
        </a:p>
      </cdr:txBody>
    </cdr:sp>
  </cdr:relSizeAnchor>
  <cdr:relSizeAnchor xmlns:cdr="http://schemas.openxmlformats.org/drawingml/2006/chartDrawing">
    <cdr:from>
      <cdr:x>0.1496</cdr:x>
      <cdr:y>0.68478</cdr:y>
    </cdr:from>
    <cdr:to>
      <cdr:x>0.45289</cdr:x>
      <cdr:y>0.76969</cdr:y>
    </cdr:to>
    <cdr:sp macro="" textlink="">
      <cdr:nvSpPr>
        <cdr:cNvPr id="3" name="CuadroTexto 113">
          <a:extLst xmlns:a="http://schemas.openxmlformats.org/drawingml/2006/main">
            <a:ext uri="{FF2B5EF4-FFF2-40B4-BE49-F238E27FC236}">
              <a16:creationId xmlns:a16="http://schemas.microsoft.com/office/drawing/2014/main" id="{13567C67-CDAA-9C50-F1AD-7CE310E7234A}"/>
            </a:ext>
          </a:extLst>
        </cdr:cNvPr>
        <cdr:cNvSpPr txBox="1"/>
      </cdr:nvSpPr>
      <cdr:spPr>
        <a:xfrm xmlns:a="http://schemas.openxmlformats.org/drawingml/2006/main">
          <a:off x="714568" y="1895125"/>
          <a:ext cx="1448712" cy="23498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FF0000"/>
              </a:solidFill>
            </a:rPr>
            <a:t>Productividad  Ineficiente</a:t>
          </a:r>
        </a:p>
      </cdr:txBody>
    </cdr:sp>
  </cdr:relSizeAnchor>
  <cdr:relSizeAnchor xmlns:cdr="http://schemas.openxmlformats.org/drawingml/2006/chartDrawing">
    <cdr:from>
      <cdr:x>0.29508</cdr:x>
      <cdr:y>0.20286</cdr:y>
    </cdr:from>
    <cdr:to>
      <cdr:x>0.43696</cdr:x>
      <cdr:y>0.28777</cdr:y>
    </cdr:to>
    <cdr:sp macro="" textlink="">
      <cdr:nvSpPr>
        <cdr:cNvPr id="4" name="CuadroTexto 113">
          <a:extLst xmlns:a="http://schemas.openxmlformats.org/drawingml/2006/main">
            <a:ext uri="{FF2B5EF4-FFF2-40B4-BE49-F238E27FC236}">
              <a16:creationId xmlns:a16="http://schemas.microsoft.com/office/drawing/2014/main" id="{13567C67-CDAA-9C50-F1AD-7CE310E7234A}"/>
            </a:ext>
          </a:extLst>
        </cdr:cNvPr>
        <cdr:cNvSpPr txBox="1"/>
      </cdr:nvSpPr>
      <cdr:spPr>
        <a:xfrm xmlns:a="http://schemas.openxmlformats.org/drawingml/2006/main">
          <a:off x="1409504" y="561406"/>
          <a:ext cx="677712" cy="23498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chemeClr val="tx1"/>
              </a:solidFill>
            </a:rPr>
            <a:t>IC Téórico</a:t>
          </a:r>
        </a:p>
      </cdr:txBody>
    </cdr:sp>
  </cdr:relSizeAnchor>
  <cdr:relSizeAnchor xmlns:cdr="http://schemas.openxmlformats.org/drawingml/2006/chartDrawing">
    <cdr:from>
      <cdr:x>0.27323</cdr:x>
      <cdr:y>0.29189</cdr:y>
    </cdr:from>
    <cdr:to>
      <cdr:x>0.31253</cdr:x>
      <cdr:y>0.33326</cdr:y>
    </cdr:to>
    <cdr:cxnSp macro="">
      <cdr:nvCxnSpPr>
        <cdr:cNvPr id="5" name="Conector recto de flecha 4">
          <a:extLst xmlns:a="http://schemas.openxmlformats.org/drawingml/2006/main">
            <a:ext uri="{FF2B5EF4-FFF2-40B4-BE49-F238E27FC236}">
              <a16:creationId xmlns:a16="http://schemas.microsoft.com/office/drawing/2014/main" id="{13A0A769-D8FF-54F7-7C43-5ADD04454EEB}"/>
            </a:ext>
          </a:extLst>
        </cdr:cNvPr>
        <cdr:cNvCxnSpPr/>
      </cdr:nvCxnSpPr>
      <cdr:spPr>
        <a:xfrm xmlns:a="http://schemas.openxmlformats.org/drawingml/2006/main" flipH="1">
          <a:off x="1305108" y="807794"/>
          <a:ext cx="187752" cy="114483"/>
        </a:xfrm>
        <a:prstGeom xmlns:a="http://schemas.openxmlformats.org/drawingml/2006/main" prst="straightConnector1">
          <a:avLst/>
        </a:prstGeom>
        <a:ln xmlns:a="http://schemas.openxmlformats.org/drawingml/2006/main" w="9525">
          <a:solidFill>
            <a:schemeClr val="tx1"/>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0.36637</cdr:x>
      <cdr:y>0.1995</cdr:y>
    </cdr:from>
    <cdr:to>
      <cdr:x>0.36707</cdr:x>
      <cdr:y>0.95642</cdr:y>
    </cdr:to>
    <cdr:cxnSp macro="">
      <cdr:nvCxnSpPr>
        <cdr:cNvPr id="6" name="Conector recto 5">
          <a:extLst xmlns:a="http://schemas.openxmlformats.org/drawingml/2006/main">
            <a:ext uri="{FF2B5EF4-FFF2-40B4-BE49-F238E27FC236}">
              <a16:creationId xmlns:a16="http://schemas.microsoft.com/office/drawing/2014/main" id="{7CE63942-C678-46C2-9B20-FE292F1C797A}"/>
            </a:ext>
          </a:extLst>
        </cdr:cNvPr>
        <cdr:cNvCxnSpPr/>
      </cdr:nvCxnSpPr>
      <cdr:spPr>
        <a:xfrm xmlns:a="http://schemas.openxmlformats.org/drawingml/2006/main">
          <a:off x="1939922" y="604673"/>
          <a:ext cx="3707" cy="2294181"/>
        </a:xfrm>
        <a:prstGeom xmlns:a="http://schemas.openxmlformats.org/drawingml/2006/main" prst="line">
          <a:avLst/>
        </a:prstGeom>
        <a:ln xmlns:a="http://schemas.openxmlformats.org/drawingml/2006/main" w="9525">
          <a:solidFill>
            <a:srgbClr val="FF0000"/>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0.48305</cdr:x>
      <cdr:y>0.53429</cdr:y>
    </cdr:from>
    <cdr:to>
      <cdr:x>0.66652</cdr:x>
      <cdr:y>0.61168</cdr:y>
    </cdr:to>
    <cdr:sp macro="" textlink="">
      <cdr:nvSpPr>
        <cdr:cNvPr id="10" name="CuadroTexto 113">
          <a:extLst xmlns:a="http://schemas.openxmlformats.org/drawingml/2006/main">
            <a:ext uri="{FF2B5EF4-FFF2-40B4-BE49-F238E27FC236}">
              <a16:creationId xmlns:a16="http://schemas.microsoft.com/office/drawing/2014/main" id="{ECCB1B64-258D-56B2-3820-AEC9CCC4CF05}"/>
            </a:ext>
          </a:extLst>
        </cdr:cNvPr>
        <cdr:cNvSpPr txBox="1"/>
      </cdr:nvSpPr>
      <cdr:spPr>
        <a:xfrm xmlns:a="http://schemas.openxmlformats.org/drawingml/2006/main">
          <a:off x="2613038" y="1609996"/>
          <a:ext cx="992464" cy="23320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chemeClr val="tx1"/>
              </a:solidFill>
            </a:rPr>
            <a:t>Zona de IC</a:t>
          </a:r>
          <a:r>
            <a:rPr lang="es-CL" sz="900" baseline="0">
              <a:solidFill>
                <a:schemeClr val="tx1"/>
              </a:solidFill>
            </a:rPr>
            <a:t> Bajos</a:t>
          </a:r>
          <a:endParaRPr lang="es-CL" sz="900">
            <a:solidFill>
              <a:schemeClr val="tx1"/>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0.4033</cdr:x>
      <cdr:y>0.22066</cdr:y>
    </cdr:from>
    <cdr:to>
      <cdr:x>0.40401</cdr:x>
      <cdr:y>0.89074</cdr:y>
    </cdr:to>
    <cdr:cxnSp macro="">
      <cdr:nvCxnSpPr>
        <cdr:cNvPr id="2" name="Conector recto 1">
          <a:extLst xmlns:a="http://schemas.openxmlformats.org/drawingml/2006/main">
            <a:ext uri="{FF2B5EF4-FFF2-40B4-BE49-F238E27FC236}">
              <a16:creationId xmlns:a16="http://schemas.microsoft.com/office/drawing/2014/main" id="{FF60BA17-14F5-D60C-1EF1-BCDD344C559C}"/>
            </a:ext>
          </a:extLst>
        </cdr:cNvPr>
        <cdr:cNvCxnSpPr/>
      </cdr:nvCxnSpPr>
      <cdr:spPr>
        <a:xfrm xmlns:a="http://schemas.openxmlformats.org/drawingml/2006/main">
          <a:off x="3666140" y="1075686"/>
          <a:ext cx="6454" cy="3266590"/>
        </a:xfrm>
        <a:prstGeom xmlns:a="http://schemas.openxmlformats.org/drawingml/2006/main" prst="line">
          <a:avLst/>
        </a:prstGeom>
        <a:ln xmlns:a="http://schemas.openxmlformats.org/drawingml/2006/main" w="9525">
          <a:solidFill>
            <a:srgbClr val="00B050"/>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0.08403</cdr:x>
      <cdr:y>0.64674</cdr:y>
    </cdr:from>
    <cdr:to>
      <cdr:x>0.70087</cdr:x>
      <cdr:y>0.64674</cdr:y>
    </cdr:to>
    <cdr:cxnSp macro="">
      <cdr:nvCxnSpPr>
        <cdr:cNvPr id="3" name="Conector recto 2">
          <a:extLst xmlns:a="http://schemas.openxmlformats.org/drawingml/2006/main">
            <a:ext uri="{FF2B5EF4-FFF2-40B4-BE49-F238E27FC236}">
              <a16:creationId xmlns:a16="http://schemas.microsoft.com/office/drawing/2014/main" id="{36CD6463-D3D0-C9DB-D368-196BA62A1E13}"/>
            </a:ext>
          </a:extLst>
        </cdr:cNvPr>
        <cdr:cNvCxnSpPr/>
      </cdr:nvCxnSpPr>
      <cdr:spPr>
        <a:xfrm xmlns:a="http://schemas.openxmlformats.org/drawingml/2006/main" flipH="1">
          <a:off x="753122" y="3136978"/>
          <a:ext cx="5528651" cy="0"/>
        </a:xfrm>
        <a:prstGeom xmlns:a="http://schemas.openxmlformats.org/drawingml/2006/main" prst="line">
          <a:avLst/>
        </a:prstGeom>
        <a:ln xmlns:a="http://schemas.openxmlformats.org/drawingml/2006/main" w="9525">
          <a:solidFill>
            <a:srgbClr val="FF0000"/>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0.08443</cdr:x>
      <cdr:y>0.6353</cdr:y>
    </cdr:from>
    <cdr:to>
      <cdr:x>0.70127</cdr:x>
      <cdr:y>0.6353</cdr:y>
    </cdr:to>
    <cdr:cxnSp macro="">
      <cdr:nvCxnSpPr>
        <cdr:cNvPr id="8" name="Conector recto 7">
          <a:extLst xmlns:a="http://schemas.openxmlformats.org/drawingml/2006/main">
            <a:ext uri="{FF2B5EF4-FFF2-40B4-BE49-F238E27FC236}">
              <a16:creationId xmlns:a16="http://schemas.microsoft.com/office/drawing/2014/main" id="{9190570F-488D-965C-929C-CB26E347EBC7}"/>
            </a:ext>
          </a:extLst>
        </cdr:cNvPr>
        <cdr:cNvCxnSpPr/>
      </cdr:nvCxnSpPr>
      <cdr:spPr>
        <a:xfrm xmlns:a="http://schemas.openxmlformats.org/drawingml/2006/main" flipH="1">
          <a:off x="756707" y="3081472"/>
          <a:ext cx="5528651" cy="0"/>
        </a:xfrm>
        <a:prstGeom xmlns:a="http://schemas.openxmlformats.org/drawingml/2006/main" prst="line">
          <a:avLst/>
        </a:prstGeom>
        <a:ln xmlns:a="http://schemas.openxmlformats.org/drawingml/2006/main" w="9525">
          <a:solidFill>
            <a:srgbClr val="0070C0"/>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0.04517</cdr:x>
      <cdr:y>0.60257</cdr:y>
    </cdr:from>
    <cdr:to>
      <cdr:x>0.09522</cdr:x>
      <cdr:y>0.65065</cdr:y>
    </cdr:to>
    <cdr:sp macro="" textlink="">
      <cdr:nvSpPr>
        <cdr:cNvPr id="9" name="CuadroTexto 113">
          <a:extLst xmlns:a="http://schemas.openxmlformats.org/drawingml/2006/main">
            <a:ext uri="{FF2B5EF4-FFF2-40B4-BE49-F238E27FC236}">
              <a16:creationId xmlns:a16="http://schemas.microsoft.com/office/drawing/2014/main" id="{39553876-A177-48BC-9808-0435CABF09DB}"/>
            </a:ext>
          </a:extLst>
        </cdr:cNvPr>
        <cdr:cNvSpPr txBox="1"/>
      </cdr:nvSpPr>
      <cdr:spPr>
        <a:xfrm xmlns:a="http://schemas.openxmlformats.org/drawingml/2006/main">
          <a:off x="404852" y="2922733"/>
          <a:ext cx="448584" cy="23320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0070C0"/>
              </a:solidFill>
            </a:rPr>
            <a:t>78,08</a:t>
          </a:r>
        </a:p>
      </cdr:txBody>
    </cdr:sp>
  </cdr:relSizeAnchor>
  <cdr:relSizeAnchor xmlns:cdr="http://schemas.openxmlformats.org/drawingml/2006/chartDrawing">
    <cdr:from>
      <cdr:x>0.04476</cdr:x>
      <cdr:y>0.62549</cdr:y>
    </cdr:from>
    <cdr:to>
      <cdr:x>0.09481</cdr:x>
      <cdr:y>0.67357</cdr:y>
    </cdr:to>
    <cdr:sp macro="" textlink="">
      <cdr:nvSpPr>
        <cdr:cNvPr id="10" name="CuadroTexto 113">
          <a:extLst xmlns:a="http://schemas.openxmlformats.org/drawingml/2006/main">
            <a:ext uri="{FF2B5EF4-FFF2-40B4-BE49-F238E27FC236}">
              <a16:creationId xmlns:a16="http://schemas.microsoft.com/office/drawing/2014/main" id="{DE52578F-E672-460F-A6AA-A5D25BA251AB}"/>
            </a:ext>
          </a:extLst>
        </cdr:cNvPr>
        <cdr:cNvSpPr txBox="1"/>
      </cdr:nvSpPr>
      <cdr:spPr>
        <a:xfrm xmlns:a="http://schemas.openxmlformats.org/drawingml/2006/main">
          <a:off x="401208" y="3033909"/>
          <a:ext cx="448584" cy="23320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FF0000"/>
              </a:solidFill>
            </a:rPr>
            <a:t>77,29</a:t>
          </a:r>
        </a:p>
      </cdr:txBody>
    </cdr:sp>
  </cdr:relSizeAnchor>
  <cdr:relSizeAnchor xmlns:cdr="http://schemas.openxmlformats.org/drawingml/2006/chartDrawing">
    <cdr:from>
      <cdr:x>0.25594</cdr:x>
      <cdr:y>0.37686</cdr:y>
    </cdr:from>
    <cdr:to>
      <cdr:x>0.36179</cdr:x>
      <cdr:y>0.42516</cdr:y>
    </cdr:to>
    <cdr:sp macro="" textlink="">
      <cdr:nvSpPr>
        <cdr:cNvPr id="11" name="CuadroTexto 113">
          <a:extLst xmlns:a="http://schemas.openxmlformats.org/drawingml/2006/main">
            <a:ext uri="{FF2B5EF4-FFF2-40B4-BE49-F238E27FC236}">
              <a16:creationId xmlns:a16="http://schemas.microsoft.com/office/drawing/2014/main" id="{DE52578F-E672-460F-A6AA-A5D25BA251AB}"/>
            </a:ext>
          </a:extLst>
        </cdr:cNvPr>
        <cdr:cNvSpPr txBox="1"/>
      </cdr:nvSpPr>
      <cdr:spPr>
        <a:xfrm xmlns:a="http://schemas.openxmlformats.org/drawingml/2006/main">
          <a:off x="2326297" y="1819209"/>
          <a:ext cx="962113" cy="233159"/>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chemeClr val="tx1"/>
              </a:solidFill>
            </a:rPr>
            <a:t>Zona de IC</a:t>
          </a:r>
          <a:r>
            <a:rPr lang="es-CL" sz="900" baseline="0">
              <a:solidFill>
                <a:schemeClr val="tx1"/>
              </a:solidFill>
            </a:rPr>
            <a:t> Altos</a:t>
          </a:r>
          <a:endParaRPr lang="es-CL" sz="900">
            <a:solidFill>
              <a:schemeClr val="tx1"/>
            </a:solidFill>
          </a:endParaRPr>
        </a:p>
      </cdr:txBody>
    </cdr:sp>
  </cdr:relSizeAnchor>
  <cdr:relSizeAnchor xmlns:cdr="http://schemas.openxmlformats.org/drawingml/2006/chartDrawing">
    <cdr:from>
      <cdr:x>0.40673</cdr:x>
      <cdr:y>0.49924</cdr:y>
    </cdr:from>
    <cdr:to>
      <cdr:x>0.51509</cdr:x>
      <cdr:y>0.54754</cdr:y>
    </cdr:to>
    <cdr:sp macro="" textlink="">
      <cdr:nvSpPr>
        <cdr:cNvPr id="12" name="CuadroTexto 113">
          <a:extLst xmlns:a="http://schemas.openxmlformats.org/drawingml/2006/main">
            <a:ext uri="{FF2B5EF4-FFF2-40B4-BE49-F238E27FC236}">
              <a16:creationId xmlns:a16="http://schemas.microsoft.com/office/drawing/2014/main" id="{9020738F-B17B-071F-8950-D532ADF79F64}"/>
            </a:ext>
          </a:extLst>
        </cdr:cNvPr>
        <cdr:cNvSpPr txBox="1"/>
      </cdr:nvSpPr>
      <cdr:spPr>
        <a:xfrm xmlns:a="http://schemas.openxmlformats.org/drawingml/2006/main">
          <a:off x="3697305" y="2433758"/>
          <a:ext cx="985027" cy="235459"/>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chemeClr val="tx1"/>
              </a:solidFill>
            </a:rPr>
            <a:t>Zona de IC</a:t>
          </a:r>
          <a:r>
            <a:rPr lang="es-CL" sz="900" baseline="0">
              <a:solidFill>
                <a:schemeClr val="tx1"/>
              </a:solidFill>
            </a:rPr>
            <a:t> Bajos</a:t>
          </a:r>
          <a:endParaRPr lang="es-CL" sz="900">
            <a:solidFill>
              <a:schemeClr val="tx1"/>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0.49683</cdr:x>
      <cdr:y>0.38848</cdr:y>
    </cdr:from>
    <cdr:to>
      <cdr:x>0.76997</cdr:x>
      <cdr:y>0.47339</cdr:y>
    </cdr:to>
    <cdr:sp macro="" textlink="">
      <cdr:nvSpPr>
        <cdr:cNvPr id="2" name="CuadroTexto 113">
          <a:extLst xmlns:a="http://schemas.openxmlformats.org/drawingml/2006/main">
            <a:ext uri="{FF2B5EF4-FFF2-40B4-BE49-F238E27FC236}">
              <a16:creationId xmlns:a16="http://schemas.microsoft.com/office/drawing/2014/main" id="{1006656A-87C9-3FAE-DDC1-C9742C426020}"/>
            </a:ext>
          </a:extLst>
        </cdr:cNvPr>
        <cdr:cNvSpPr txBox="1"/>
      </cdr:nvSpPr>
      <cdr:spPr>
        <a:xfrm xmlns:a="http://schemas.openxmlformats.org/drawingml/2006/main">
          <a:off x="2372677" y="1044809"/>
          <a:ext cx="1304405" cy="22836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00B050"/>
              </a:solidFill>
            </a:rPr>
            <a:t>Productividad Eficiente</a:t>
          </a:r>
        </a:p>
      </cdr:txBody>
    </cdr:sp>
  </cdr:relSizeAnchor>
  <cdr:relSizeAnchor xmlns:cdr="http://schemas.openxmlformats.org/drawingml/2006/chartDrawing">
    <cdr:from>
      <cdr:x>0.1496</cdr:x>
      <cdr:y>0.68478</cdr:y>
    </cdr:from>
    <cdr:to>
      <cdr:x>0.45289</cdr:x>
      <cdr:y>0.76969</cdr:y>
    </cdr:to>
    <cdr:sp macro="" textlink="">
      <cdr:nvSpPr>
        <cdr:cNvPr id="3" name="CuadroTexto 113">
          <a:extLst xmlns:a="http://schemas.openxmlformats.org/drawingml/2006/main">
            <a:ext uri="{FF2B5EF4-FFF2-40B4-BE49-F238E27FC236}">
              <a16:creationId xmlns:a16="http://schemas.microsoft.com/office/drawing/2014/main" id="{13567C67-CDAA-9C50-F1AD-7CE310E7234A}"/>
            </a:ext>
          </a:extLst>
        </cdr:cNvPr>
        <cdr:cNvSpPr txBox="1"/>
      </cdr:nvSpPr>
      <cdr:spPr>
        <a:xfrm xmlns:a="http://schemas.openxmlformats.org/drawingml/2006/main">
          <a:off x="714568" y="1895125"/>
          <a:ext cx="1448712" cy="23498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FF0000"/>
              </a:solidFill>
            </a:rPr>
            <a:t>Productividad  Ineficiente</a:t>
          </a:r>
        </a:p>
      </cdr:txBody>
    </cdr:sp>
  </cdr:relSizeAnchor>
  <cdr:relSizeAnchor xmlns:cdr="http://schemas.openxmlformats.org/drawingml/2006/chartDrawing">
    <cdr:from>
      <cdr:x>0.29508</cdr:x>
      <cdr:y>0.20286</cdr:y>
    </cdr:from>
    <cdr:to>
      <cdr:x>0.43696</cdr:x>
      <cdr:y>0.28777</cdr:y>
    </cdr:to>
    <cdr:sp macro="" textlink="">
      <cdr:nvSpPr>
        <cdr:cNvPr id="4" name="CuadroTexto 113">
          <a:extLst xmlns:a="http://schemas.openxmlformats.org/drawingml/2006/main">
            <a:ext uri="{FF2B5EF4-FFF2-40B4-BE49-F238E27FC236}">
              <a16:creationId xmlns:a16="http://schemas.microsoft.com/office/drawing/2014/main" id="{13567C67-CDAA-9C50-F1AD-7CE310E7234A}"/>
            </a:ext>
          </a:extLst>
        </cdr:cNvPr>
        <cdr:cNvSpPr txBox="1"/>
      </cdr:nvSpPr>
      <cdr:spPr>
        <a:xfrm xmlns:a="http://schemas.openxmlformats.org/drawingml/2006/main">
          <a:off x="1409504" y="561406"/>
          <a:ext cx="677712" cy="23498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chemeClr val="tx1"/>
              </a:solidFill>
            </a:rPr>
            <a:t>IC Téórico</a:t>
          </a:r>
        </a:p>
      </cdr:txBody>
    </cdr:sp>
  </cdr:relSizeAnchor>
  <cdr:relSizeAnchor xmlns:cdr="http://schemas.openxmlformats.org/drawingml/2006/chartDrawing">
    <cdr:from>
      <cdr:x>0.27323</cdr:x>
      <cdr:y>0.29189</cdr:y>
    </cdr:from>
    <cdr:to>
      <cdr:x>0.31253</cdr:x>
      <cdr:y>0.33326</cdr:y>
    </cdr:to>
    <cdr:cxnSp macro="">
      <cdr:nvCxnSpPr>
        <cdr:cNvPr id="5" name="Conector recto de flecha 4">
          <a:extLst xmlns:a="http://schemas.openxmlformats.org/drawingml/2006/main">
            <a:ext uri="{FF2B5EF4-FFF2-40B4-BE49-F238E27FC236}">
              <a16:creationId xmlns:a16="http://schemas.microsoft.com/office/drawing/2014/main" id="{13A0A769-D8FF-54F7-7C43-5ADD04454EEB}"/>
            </a:ext>
          </a:extLst>
        </cdr:cNvPr>
        <cdr:cNvCxnSpPr/>
      </cdr:nvCxnSpPr>
      <cdr:spPr>
        <a:xfrm xmlns:a="http://schemas.openxmlformats.org/drawingml/2006/main" flipH="1">
          <a:off x="1305108" y="807794"/>
          <a:ext cx="187752" cy="114483"/>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7.xml><?xml version="1.0" encoding="utf-8"?>
<c:userShapes xmlns:c="http://schemas.openxmlformats.org/drawingml/2006/chart">
  <cdr:relSizeAnchor xmlns:cdr="http://schemas.openxmlformats.org/drawingml/2006/chartDrawing">
    <cdr:from>
      <cdr:x>0.49683</cdr:x>
      <cdr:y>0.38848</cdr:y>
    </cdr:from>
    <cdr:to>
      <cdr:x>0.76997</cdr:x>
      <cdr:y>0.47339</cdr:y>
    </cdr:to>
    <cdr:sp macro="" textlink="">
      <cdr:nvSpPr>
        <cdr:cNvPr id="2" name="CuadroTexto 113">
          <a:extLst xmlns:a="http://schemas.openxmlformats.org/drawingml/2006/main">
            <a:ext uri="{FF2B5EF4-FFF2-40B4-BE49-F238E27FC236}">
              <a16:creationId xmlns:a16="http://schemas.microsoft.com/office/drawing/2014/main" id="{1006656A-87C9-3FAE-DDC1-C9742C426020}"/>
            </a:ext>
          </a:extLst>
        </cdr:cNvPr>
        <cdr:cNvSpPr txBox="1"/>
      </cdr:nvSpPr>
      <cdr:spPr>
        <a:xfrm xmlns:a="http://schemas.openxmlformats.org/drawingml/2006/main">
          <a:off x="2372677" y="1044809"/>
          <a:ext cx="1304405" cy="228366"/>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00B050"/>
              </a:solidFill>
            </a:rPr>
            <a:t>Productividad Eficiente</a:t>
          </a:r>
        </a:p>
      </cdr:txBody>
    </cdr:sp>
  </cdr:relSizeAnchor>
  <cdr:relSizeAnchor xmlns:cdr="http://schemas.openxmlformats.org/drawingml/2006/chartDrawing">
    <cdr:from>
      <cdr:x>0.1496</cdr:x>
      <cdr:y>0.68478</cdr:y>
    </cdr:from>
    <cdr:to>
      <cdr:x>0.45289</cdr:x>
      <cdr:y>0.76969</cdr:y>
    </cdr:to>
    <cdr:sp macro="" textlink="">
      <cdr:nvSpPr>
        <cdr:cNvPr id="3" name="CuadroTexto 113">
          <a:extLst xmlns:a="http://schemas.openxmlformats.org/drawingml/2006/main">
            <a:ext uri="{FF2B5EF4-FFF2-40B4-BE49-F238E27FC236}">
              <a16:creationId xmlns:a16="http://schemas.microsoft.com/office/drawing/2014/main" id="{13567C67-CDAA-9C50-F1AD-7CE310E7234A}"/>
            </a:ext>
          </a:extLst>
        </cdr:cNvPr>
        <cdr:cNvSpPr txBox="1"/>
      </cdr:nvSpPr>
      <cdr:spPr>
        <a:xfrm xmlns:a="http://schemas.openxmlformats.org/drawingml/2006/main">
          <a:off x="714568" y="1895125"/>
          <a:ext cx="1448712" cy="23498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FF0000"/>
              </a:solidFill>
            </a:rPr>
            <a:t>Productividad  Ineficiente</a:t>
          </a:r>
        </a:p>
      </cdr:txBody>
    </cdr:sp>
  </cdr:relSizeAnchor>
  <cdr:relSizeAnchor xmlns:cdr="http://schemas.openxmlformats.org/drawingml/2006/chartDrawing">
    <cdr:from>
      <cdr:x>0.29508</cdr:x>
      <cdr:y>0.20286</cdr:y>
    </cdr:from>
    <cdr:to>
      <cdr:x>0.43696</cdr:x>
      <cdr:y>0.28777</cdr:y>
    </cdr:to>
    <cdr:sp macro="" textlink="">
      <cdr:nvSpPr>
        <cdr:cNvPr id="4" name="CuadroTexto 113">
          <a:extLst xmlns:a="http://schemas.openxmlformats.org/drawingml/2006/main">
            <a:ext uri="{FF2B5EF4-FFF2-40B4-BE49-F238E27FC236}">
              <a16:creationId xmlns:a16="http://schemas.microsoft.com/office/drawing/2014/main" id="{13567C67-CDAA-9C50-F1AD-7CE310E7234A}"/>
            </a:ext>
          </a:extLst>
        </cdr:cNvPr>
        <cdr:cNvSpPr txBox="1"/>
      </cdr:nvSpPr>
      <cdr:spPr>
        <a:xfrm xmlns:a="http://schemas.openxmlformats.org/drawingml/2006/main">
          <a:off x="1409504" y="561406"/>
          <a:ext cx="677712" cy="234987"/>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chemeClr val="tx1"/>
              </a:solidFill>
            </a:rPr>
            <a:t>IC Téórico</a:t>
          </a:r>
        </a:p>
      </cdr:txBody>
    </cdr:sp>
  </cdr:relSizeAnchor>
  <cdr:relSizeAnchor xmlns:cdr="http://schemas.openxmlformats.org/drawingml/2006/chartDrawing">
    <cdr:from>
      <cdr:x>0.27323</cdr:x>
      <cdr:y>0.29189</cdr:y>
    </cdr:from>
    <cdr:to>
      <cdr:x>0.31253</cdr:x>
      <cdr:y>0.33326</cdr:y>
    </cdr:to>
    <cdr:cxnSp macro="">
      <cdr:nvCxnSpPr>
        <cdr:cNvPr id="5" name="Conector recto de flecha 4">
          <a:extLst xmlns:a="http://schemas.openxmlformats.org/drawingml/2006/main">
            <a:ext uri="{FF2B5EF4-FFF2-40B4-BE49-F238E27FC236}">
              <a16:creationId xmlns:a16="http://schemas.microsoft.com/office/drawing/2014/main" id="{13A0A769-D8FF-54F7-7C43-5ADD04454EEB}"/>
            </a:ext>
          </a:extLst>
        </cdr:cNvPr>
        <cdr:cNvCxnSpPr/>
      </cdr:nvCxnSpPr>
      <cdr:spPr>
        <a:xfrm xmlns:a="http://schemas.openxmlformats.org/drawingml/2006/main" flipH="1">
          <a:off x="1305108" y="807794"/>
          <a:ext cx="187752" cy="114483"/>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8.xml><?xml version="1.0" encoding="utf-8"?>
<xdr:wsDr xmlns:xdr="http://schemas.openxmlformats.org/drawingml/2006/spreadsheetDrawing" xmlns:a="http://schemas.openxmlformats.org/drawingml/2006/main">
  <xdr:twoCellAnchor>
    <xdr:from>
      <xdr:col>12</xdr:col>
      <xdr:colOff>450048</xdr:colOff>
      <xdr:row>23</xdr:row>
      <xdr:rowOff>185737</xdr:rowOff>
    </xdr:from>
    <xdr:to>
      <xdr:col>17</xdr:col>
      <xdr:colOff>671505</xdr:colOff>
      <xdr:row>38</xdr:row>
      <xdr:rowOff>71437</xdr:rowOff>
    </xdr:to>
    <xdr:graphicFrame macro="">
      <xdr:nvGraphicFramePr>
        <xdr:cNvPr id="2" name="Gráfico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457191</xdr:colOff>
      <xdr:row>54</xdr:row>
      <xdr:rowOff>185738</xdr:rowOff>
    </xdr:from>
    <xdr:to>
      <xdr:col>17</xdr:col>
      <xdr:colOff>678648</xdr:colOff>
      <xdr:row>69</xdr:row>
      <xdr:rowOff>71438</xdr:rowOff>
    </xdr:to>
    <xdr:graphicFrame macro="">
      <xdr:nvGraphicFramePr>
        <xdr:cNvPr id="4" name="Gráfico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119062</xdr:colOff>
      <xdr:row>69</xdr:row>
      <xdr:rowOff>130969</xdr:rowOff>
    </xdr:from>
    <xdr:to>
      <xdr:col>12</xdr:col>
      <xdr:colOff>98377</xdr:colOff>
      <xdr:row>92</xdr:row>
      <xdr:rowOff>91257</xdr:rowOff>
    </xdr:to>
    <xdr:graphicFrame macro="">
      <xdr:nvGraphicFramePr>
        <xdr:cNvPr id="6" name="Gráfico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49</xdr:row>
      <xdr:rowOff>14287</xdr:rowOff>
    </xdr:from>
    <xdr:to>
      <xdr:col>6</xdr:col>
      <xdr:colOff>685800</xdr:colOff>
      <xdr:row>63</xdr:row>
      <xdr:rowOff>90487</xdr:rowOff>
    </xdr:to>
    <xdr:graphicFrame macro="">
      <xdr:nvGraphicFramePr>
        <xdr:cNvPr id="14" name="Gráfico 13">
          <a:extLst>
            <a:ext uri="{FF2B5EF4-FFF2-40B4-BE49-F238E27FC236}">
              <a16:creationId xmlns:a16="http://schemas.microsoft.com/office/drawing/2014/main" i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67</xdr:row>
      <xdr:rowOff>9525</xdr:rowOff>
    </xdr:from>
    <xdr:to>
      <xdr:col>6</xdr:col>
      <xdr:colOff>685800</xdr:colOff>
      <xdr:row>81</xdr:row>
      <xdr:rowOff>85725</xdr:rowOff>
    </xdr:to>
    <xdr:graphicFrame macro="">
      <xdr:nvGraphicFramePr>
        <xdr:cNvPr id="15" name="Gráfico 14">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85</xdr:row>
      <xdr:rowOff>9525</xdr:rowOff>
    </xdr:from>
    <xdr:to>
      <xdr:col>6</xdr:col>
      <xdr:colOff>685800</xdr:colOff>
      <xdr:row>99</xdr:row>
      <xdr:rowOff>85725</xdr:rowOff>
    </xdr:to>
    <xdr:graphicFrame macro="">
      <xdr:nvGraphicFramePr>
        <xdr:cNvPr id="16" name="Gráfico 15">
          <a:extLst>
            <a:ext uri="{FF2B5EF4-FFF2-40B4-BE49-F238E27FC236}">
              <a16:creationId xmlns:a16="http://schemas.microsoft.com/office/drawing/2014/main" id="{00000000-0008-0000-0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104</xdr:row>
      <xdr:rowOff>0</xdr:rowOff>
    </xdr:from>
    <xdr:to>
      <xdr:col>6</xdr:col>
      <xdr:colOff>685800</xdr:colOff>
      <xdr:row>118</xdr:row>
      <xdr:rowOff>76200</xdr:rowOff>
    </xdr:to>
    <xdr:graphicFrame macro="">
      <xdr:nvGraphicFramePr>
        <xdr:cNvPr id="17" name="Gráfico 16">
          <a:extLst>
            <a:ext uri="{FF2B5EF4-FFF2-40B4-BE49-F238E27FC236}">
              <a16:creationId xmlns:a16="http://schemas.microsoft.com/office/drawing/2014/main" id="{00000000-0008-0000-02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122</xdr:row>
      <xdr:rowOff>0</xdr:rowOff>
    </xdr:from>
    <xdr:to>
      <xdr:col>6</xdr:col>
      <xdr:colOff>685800</xdr:colOff>
      <xdr:row>136</xdr:row>
      <xdr:rowOff>76200</xdr:rowOff>
    </xdr:to>
    <xdr:graphicFrame macro="">
      <xdr:nvGraphicFramePr>
        <xdr:cNvPr id="18" name="Gráfico 17">
          <a:extLst>
            <a:ext uri="{FF2B5EF4-FFF2-40B4-BE49-F238E27FC236}">
              <a16:creationId xmlns:a16="http://schemas.microsoft.com/office/drawing/2014/main" id="{00000000-0008-0000-02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342895</xdr:colOff>
      <xdr:row>49</xdr:row>
      <xdr:rowOff>0</xdr:rowOff>
    </xdr:from>
    <xdr:to>
      <xdr:col>21</xdr:col>
      <xdr:colOff>342895</xdr:colOff>
      <xdr:row>63</xdr:row>
      <xdr:rowOff>76200</xdr:rowOff>
    </xdr:to>
    <xdr:graphicFrame macro="">
      <xdr:nvGraphicFramePr>
        <xdr:cNvPr id="19" name="Gráfico 18">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333370</xdr:colOff>
      <xdr:row>67</xdr:row>
      <xdr:rowOff>0</xdr:rowOff>
    </xdr:from>
    <xdr:to>
      <xdr:col>21</xdr:col>
      <xdr:colOff>333370</xdr:colOff>
      <xdr:row>81</xdr:row>
      <xdr:rowOff>76200</xdr:rowOff>
    </xdr:to>
    <xdr:graphicFrame macro="">
      <xdr:nvGraphicFramePr>
        <xdr:cNvPr id="20" name="Gráfico 19">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342895</xdr:colOff>
      <xdr:row>85</xdr:row>
      <xdr:rowOff>0</xdr:rowOff>
    </xdr:from>
    <xdr:to>
      <xdr:col>21</xdr:col>
      <xdr:colOff>342895</xdr:colOff>
      <xdr:row>99</xdr:row>
      <xdr:rowOff>76200</xdr:rowOff>
    </xdr:to>
    <xdr:graphicFrame macro="">
      <xdr:nvGraphicFramePr>
        <xdr:cNvPr id="21" name="Gráfico 20">
          <a:extLst>
            <a:ext uri="{FF2B5EF4-FFF2-40B4-BE49-F238E27FC236}">
              <a16:creationId xmlns:a16="http://schemas.microsoft.com/office/drawing/2014/main" id="{00000000-0008-0000-02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342895</xdr:colOff>
      <xdr:row>104</xdr:row>
      <xdr:rowOff>0</xdr:rowOff>
    </xdr:from>
    <xdr:to>
      <xdr:col>21</xdr:col>
      <xdr:colOff>342895</xdr:colOff>
      <xdr:row>118</xdr:row>
      <xdr:rowOff>76200</xdr:rowOff>
    </xdr:to>
    <xdr:graphicFrame macro="">
      <xdr:nvGraphicFramePr>
        <xdr:cNvPr id="22" name="Gráfico 21">
          <a:extLst>
            <a:ext uri="{FF2B5EF4-FFF2-40B4-BE49-F238E27FC236}">
              <a16:creationId xmlns:a16="http://schemas.microsoft.com/office/drawing/2014/main" id="{00000000-0008-0000-02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333370</xdr:colOff>
      <xdr:row>122</xdr:row>
      <xdr:rowOff>9525</xdr:rowOff>
    </xdr:from>
    <xdr:to>
      <xdr:col>21</xdr:col>
      <xdr:colOff>333370</xdr:colOff>
      <xdr:row>136</xdr:row>
      <xdr:rowOff>85725</xdr:rowOff>
    </xdr:to>
    <xdr:graphicFrame macro="">
      <xdr:nvGraphicFramePr>
        <xdr:cNvPr id="23" name="Gráfico 22">
          <a:extLst>
            <a:ext uri="{FF2B5EF4-FFF2-40B4-BE49-F238E27FC236}">
              <a16:creationId xmlns:a16="http://schemas.microsoft.com/office/drawing/2014/main" id="{00000000-0008-0000-02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476250</xdr:colOff>
      <xdr:row>159</xdr:row>
      <xdr:rowOff>66675</xdr:rowOff>
    </xdr:from>
    <xdr:to>
      <xdr:col>2</xdr:col>
      <xdr:colOff>476250</xdr:colOff>
      <xdr:row>160</xdr:row>
      <xdr:rowOff>133350</xdr:rowOff>
    </xdr:to>
    <xdr:cxnSp macro="">
      <xdr:nvCxnSpPr>
        <xdr:cNvPr id="25" name="Conector recto de flecha 24">
          <a:extLst>
            <a:ext uri="{FF2B5EF4-FFF2-40B4-BE49-F238E27FC236}">
              <a16:creationId xmlns:a16="http://schemas.microsoft.com/office/drawing/2014/main" id="{00000000-0008-0000-0200-000019000000}"/>
            </a:ext>
          </a:extLst>
        </xdr:cNvPr>
        <xdr:cNvCxnSpPr/>
      </xdr:nvCxnSpPr>
      <xdr:spPr>
        <a:xfrm flipV="1">
          <a:off x="2076450" y="31118175"/>
          <a:ext cx="0" cy="257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11907</xdr:colOff>
      <xdr:row>60</xdr:row>
      <xdr:rowOff>83344</xdr:rowOff>
    </xdr:from>
    <xdr:to>
      <xdr:col>14</xdr:col>
      <xdr:colOff>11907</xdr:colOff>
      <xdr:row>74</xdr:row>
      <xdr:rowOff>159544</xdr:rowOff>
    </xdr:to>
    <xdr:graphicFrame macro="">
      <xdr:nvGraphicFramePr>
        <xdr:cNvPr id="9" name="Gráfico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272143</xdr:colOff>
      <xdr:row>60</xdr:row>
      <xdr:rowOff>13607</xdr:rowOff>
    </xdr:from>
    <xdr:to>
      <xdr:col>28</xdr:col>
      <xdr:colOff>272143</xdr:colOff>
      <xdr:row>74</xdr:row>
      <xdr:rowOff>89807</xdr:rowOff>
    </xdr:to>
    <xdr:graphicFrame macro="">
      <xdr:nvGraphicFramePr>
        <xdr:cNvPr id="10" name="Gráfico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693964</xdr:colOff>
      <xdr:row>91</xdr:row>
      <xdr:rowOff>108857</xdr:rowOff>
    </xdr:from>
    <xdr:to>
      <xdr:col>13</xdr:col>
      <xdr:colOff>693964</xdr:colOff>
      <xdr:row>105</xdr:row>
      <xdr:rowOff>185057</xdr:rowOff>
    </xdr:to>
    <xdr:graphicFrame macro="">
      <xdr:nvGraphicFramePr>
        <xdr:cNvPr id="11" name="Gráfico 10">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4288</xdr:colOff>
      <xdr:row>28</xdr:row>
      <xdr:rowOff>6123</xdr:rowOff>
    </xdr:from>
    <xdr:to>
      <xdr:col>6</xdr:col>
      <xdr:colOff>684645</xdr:colOff>
      <xdr:row>42</xdr:row>
      <xdr:rowOff>83358</xdr:rowOff>
    </xdr:to>
    <xdr:graphicFrame macro="">
      <xdr:nvGraphicFramePr>
        <xdr:cNvPr id="3" name="Gráfico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4732</xdr:colOff>
      <xdr:row>27</xdr:row>
      <xdr:rowOff>190560</xdr:rowOff>
    </xdr:from>
    <xdr:to>
      <xdr:col>13</xdr:col>
      <xdr:colOff>425519</xdr:colOff>
      <xdr:row>42</xdr:row>
      <xdr:rowOff>76259</xdr:rowOff>
    </xdr:to>
    <xdr:graphicFrame macro="">
      <xdr:nvGraphicFramePr>
        <xdr:cNvPr id="4" name="Gráfico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0</xdr:colOff>
      <xdr:row>28</xdr:row>
      <xdr:rowOff>0</xdr:rowOff>
    </xdr:from>
    <xdr:to>
      <xdr:col>25</xdr:col>
      <xdr:colOff>757268</xdr:colOff>
      <xdr:row>42</xdr:row>
      <xdr:rowOff>77235</xdr:rowOff>
    </xdr:to>
    <xdr:graphicFrame macro="">
      <xdr:nvGraphicFramePr>
        <xdr:cNvPr id="8" name="Gráfico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0.23124</cdr:x>
      <cdr:y>0.14799</cdr:y>
    </cdr:from>
    <cdr:to>
      <cdr:x>0.42991</cdr:x>
      <cdr:y>0.23253</cdr:y>
    </cdr:to>
    <cdr:sp macro="" textlink="">
      <cdr:nvSpPr>
        <cdr:cNvPr id="2" name="CuadroTexto 4">
          <a:extLst xmlns:a="http://schemas.openxmlformats.org/drawingml/2006/main">
            <a:ext uri="{FF2B5EF4-FFF2-40B4-BE49-F238E27FC236}">
              <a16:creationId xmlns:a16="http://schemas.microsoft.com/office/drawing/2014/main" id="{CA0CDD49-AC22-710E-AA8A-6200B3FD504E}"/>
            </a:ext>
          </a:extLst>
        </cdr:cNvPr>
        <cdr:cNvSpPr txBox="1"/>
      </cdr:nvSpPr>
      <cdr:spPr>
        <a:xfrm xmlns:a="http://schemas.openxmlformats.org/drawingml/2006/main">
          <a:off x="1054956" y="408275"/>
          <a:ext cx="906338" cy="23320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FF0000"/>
              </a:solidFill>
            </a:rPr>
            <a:t>Sobre consumo</a:t>
          </a:r>
        </a:p>
      </cdr:txBody>
    </cdr:sp>
  </cdr:relSizeAnchor>
  <cdr:relSizeAnchor xmlns:cdr="http://schemas.openxmlformats.org/drawingml/2006/chartDrawing">
    <cdr:from>
      <cdr:x>0.40147</cdr:x>
      <cdr:y>0.20981</cdr:y>
    </cdr:from>
    <cdr:to>
      <cdr:x>0.45618</cdr:x>
      <cdr:y>0.24133</cdr:y>
    </cdr:to>
    <cdr:cxnSp macro="">
      <cdr:nvCxnSpPr>
        <cdr:cNvPr id="8" name="Conector recto de flecha 7">
          <a:extLst xmlns:a="http://schemas.openxmlformats.org/drawingml/2006/main">
            <a:ext uri="{FF2B5EF4-FFF2-40B4-BE49-F238E27FC236}">
              <a16:creationId xmlns:a16="http://schemas.microsoft.com/office/drawing/2014/main" id="{6B97A054-05A6-A660-9C6B-78EA8402C989}"/>
            </a:ext>
          </a:extLst>
        </cdr:cNvPr>
        <cdr:cNvCxnSpPr/>
      </cdr:nvCxnSpPr>
      <cdr:spPr>
        <a:xfrm xmlns:a="http://schemas.openxmlformats.org/drawingml/2006/main">
          <a:off x="1831561" y="578816"/>
          <a:ext cx="249571" cy="86941"/>
        </a:xfrm>
        <a:prstGeom xmlns:a="http://schemas.openxmlformats.org/drawingml/2006/main" prst="straightConnector1">
          <a:avLst/>
        </a:prstGeom>
        <a:ln xmlns:a="http://schemas.openxmlformats.org/drawingml/2006/main" w="9525">
          <a:solidFill>
            <a:srgbClr val="FF0000"/>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0.21765</cdr:x>
      <cdr:y>0.46313</cdr:y>
    </cdr:from>
    <cdr:to>
      <cdr:x>0.62586</cdr:x>
      <cdr:y>0.54767</cdr:y>
    </cdr:to>
    <cdr:sp macro="" textlink="">
      <cdr:nvSpPr>
        <cdr:cNvPr id="9" name="CuadroTexto 4">
          <a:extLst xmlns:a="http://schemas.openxmlformats.org/drawingml/2006/main">
            <a:ext uri="{FF2B5EF4-FFF2-40B4-BE49-F238E27FC236}">
              <a16:creationId xmlns:a16="http://schemas.microsoft.com/office/drawing/2014/main" id="{C0D2E426-D980-E5BA-5367-BCA3EF689E4F}"/>
            </a:ext>
          </a:extLst>
        </cdr:cNvPr>
        <cdr:cNvSpPr txBox="1"/>
      </cdr:nvSpPr>
      <cdr:spPr>
        <a:xfrm xmlns:a="http://schemas.openxmlformats.org/drawingml/2006/main">
          <a:off x="992947" y="1277662"/>
          <a:ext cx="1862305" cy="23320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002060"/>
              </a:solidFill>
            </a:rPr>
            <a:t>Bajo consumo de lo que se esperaba</a:t>
          </a:r>
        </a:p>
      </cdr:txBody>
    </cdr:sp>
  </cdr:relSizeAnchor>
  <cdr:relSizeAnchor xmlns:cdr="http://schemas.openxmlformats.org/drawingml/2006/chartDrawing">
    <cdr:from>
      <cdr:x>0.26304</cdr:x>
      <cdr:y>0.44249</cdr:y>
    </cdr:from>
    <cdr:to>
      <cdr:x>0.28914</cdr:x>
      <cdr:y>0.4819</cdr:y>
    </cdr:to>
    <cdr:cxnSp macro="">
      <cdr:nvCxnSpPr>
        <cdr:cNvPr id="10" name="Conector recto de flecha 9">
          <a:extLst xmlns:a="http://schemas.openxmlformats.org/drawingml/2006/main">
            <a:ext uri="{FF2B5EF4-FFF2-40B4-BE49-F238E27FC236}">
              <a16:creationId xmlns:a16="http://schemas.microsoft.com/office/drawing/2014/main" id="{550C969F-A0F1-4F68-63D0-439392B427A9}"/>
            </a:ext>
          </a:extLst>
        </cdr:cNvPr>
        <cdr:cNvCxnSpPr/>
      </cdr:nvCxnSpPr>
      <cdr:spPr>
        <a:xfrm xmlns:a="http://schemas.openxmlformats.org/drawingml/2006/main" flipH="1" flipV="1">
          <a:off x="1200012" y="1220719"/>
          <a:ext cx="119063" cy="108709"/>
        </a:xfrm>
        <a:prstGeom xmlns:a="http://schemas.openxmlformats.org/drawingml/2006/main" prst="straightConnector1">
          <a:avLst/>
        </a:prstGeom>
        <a:ln xmlns:a="http://schemas.openxmlformats.org/drawingml/2006/main" w="9525">
          <a:solidFill>
            <a:srgbClr val="002060"/>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0.20741</cdr:x>
      <cdr:y>0.09355</cdr:y>
    </cdr:from>
    <cdr:to>
      <cdr:x>0.40608</cdr:x>
      <cdr:y>0.17809</cdr:y>
    </cdr:to>
    <cdr:sp macro="" textlink="">
      <cdr:nvSpPr>
        <cdr:cNvPr id="2" name="CuadroTexto 4">
          <a:extLst xmlns:a="http://schemas.openxmlformats.org/drawingml/2006/main">
            <a:ext uri="{FF2B5EF4-FFF2-40B4-BE49-F238E27FC236}">
              <a16:creationId xmlns:a16="http://schemas.microsoft.com/office/drawing/2014/main" id="{CA0CDD49-AC22-710E-AA8A-6200B3FD504E}"/>
            </a:ext>
          </a:extLst>
        </cdr:cNvPr>
        <cdr:cNvSpPr txBox="1"/>
      </cdr:nvSpPr>
      <cdr:spPr>
        <a:xfrm xmlns:a="http://schemas.openxmlformats.org/drawingml/2006/main">
          <a:off x="946229" y="311352"/>
          <a:ext cx="906351" cy="28136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FF0000"/>
              </a:solidFill>
            </a:rPr>
            <a:t>Sobre consumo</a:t>
          </a:r>
        </a:p>
      </cdr:txBody>
    </cdr:sp>
  </cdr:relSizeAnchor>
  <cdr:relSizeAnchor xmlns:cdr="http://schemas.openxmlformats.org/drawingml/2006/chartDrawing">
    <cdr:from>
      <cdr:x>0.39239</cdr:x>
      <cdr:y>0.16159</cdr:y>
    </cdr:from>
    <cdr:to>
      <cdr:x>0.4471</cdr:x>
      <cdr:y>0.19311</cdr:y>
    </cdr:to>
    <cdr:cxnSp macro="">
      <cdr:nvCxnSpPr>
        <cdr:cNvPr id="8" name="Conector recto de flecha 7">
          <a:extLst xmlns:a="http://schemas.openxmlformats.org/drawingml/2006/main">
            <a:ext uri="{FF2B5EF4-FFF2-40B4-BE49-F238E27FC236}">
              <a16:creationId xmlns:a16="http://schemas.microsoft.com/office/drawing/2014/main" id="{6B97A054-05A6-A660-9C6B-78EA8402C989}"/>
            </a:ext>
          </a:extLst>
        </cdr:cNvPr>
        <cdr:cNvCxnSpPr/>
      </cdr:nvCxnSpPr>
      <cdr:spPr>
        <a:xfrm xmlns:a="http://schemas.openxmlformats.org/drawingml/2006/main">
          <a:off x="1790130" y="537806"/>
          <a:ext cx="249592" cy="104904"/>
        </a:xfrm>
        <a:prstGeom xmlns:a="http://schemas.openxmlformats.org/drawingml/2006/main" prst="straightConnector1">
          <a:avLst/>
        </a:prstGeom>
        <a:ln xmlns:a="http://schemas.openxmlformats.org/drawingml/2006/main" w="9525">
          <a:solidFill>
            <a:srgbClr val="FF0000"/>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0.21765</cdr:x>
      <cdr:y>0.46313</cdr:y>
    </cdr:from>
    <cdr:to>
      <cdr:x>0.62586</cdr:x>
      <cdr:y>0.54767</cdr:y>
    </cdr:to>
    <cdr:sp macro="" textlink="">
      <cdr:nvSpPr>
        <cdr:cNvPr id="9" name="CuadroTexto 4">
          <a:extLst xmlns:a="http://schemas.openxmlformats.org/drawingml/2006/main">
            <a:ext uri="{FF2B5EF4-FFF2-40B4-BE49-F238E27FC236}">
              <a16:creationId xmlns:a16="http://schemas.microsoft.com/office/drawing/2014/main" id="{C0D2E426-D980-E5BA-5367-BCA3EF689E4F}"/>
            </a:ext>
          </a:extLst>
        </cdr:cNvPr>
        <cdr:cNvSpPr txBox="1"/>
      </cdr:nvSpPr>
      <cdr:spPr>
        <a:xfrm xmlns:a="http://schemas.openxmlformats.org/drawingml/2006/main">
          <a:off x="992947" y="1277662"/>
          <a:ext cx="1862305" cy="23320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s-CL" sz="900">
              <a:solidFill>
                <a:srgbClr val="002060"/>
              </a:solidFill>
            </a:rPr>
            <a:t>Bajo consumo de lo que se esperaba</a:t>
          </a:r>
        </a:p>
      </cdr:txBody>
    </cdr:sp>
  </cdr:relSizeAnchor>
  <cdr:relSizeAnchor xmlns:cdr="http://schemas.openxmlformats.org/drawingml/2006/chartDrawing">
    <cdr:from>
      <cdr:x>0.26644</cdr:x>
      <cdr:y>0.4316</cdr:y>
    </cdr:from>
    <cdr:to>
      <cdr:x>0.29254</cdr:x>
      <cdr:y>0.47101</cdr:y>
    </cdr:to>
    <cdr:cxnSp macro="">
      <cdr:nvCxnSpPr>
        <cdr:cNvPr id="10" name="Conector recto de flecha 9">
          <a:extLst xmlns:a="http://schemas.openxmlformats.org/drawingml/2006/main">
            <a:ext uri="{FF2B5EF4-FFF2-40B4-BE49-F238E27FC236}">
              <a16:creationId xmlns:a16="http://schemas.microsoft.com/office/drawing/2014/main" id="{550C969F-A0F1-4F68-63D0-439392B427A9}"/>
            </a:ext>
          </a:extLst>
        </cdr:cNvPr>
        <cdr:cNvCxnSpPr/>
      </cdr:nvCxnSpPr>
      <cdr:spPr>
        <a:xfrm xmlns:a="http://schemas.openxmlformats.org/drawingml/2006/main" flipH="1" flipV="1">
          <a:off x="1215542" y="1436440"/>
          <a:ext cx="119071" cy="131163"/>
        </a:xfrm>
        <a:prstGeom xmlns:a="http://schemas.openxmlformats.org/drawingml/2006/main" prst="straightConnector1">
          <a:avLst/>
        </a:prstGeom>
        <a:ln xmlns:a="http://schemas.openxmlformats.org/drawingml/2006/main" w="9525">
          <a:solidFill>
            <a:srgbClr val="002060"/>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12.xml><?xml version="1.0" encoding="utf-8"?>
<xdr:wsDr xmlns:xdr="http://schemas.openxmlformats.org/drawingml/2006/spreadsheetDrawing" xmlns:a="http://schemas.openxmlformats.org/drawingml/2006/main">
  <xdr:twoCellAnchor>
    <xdr:from>
      <xdr:col>10</xdr:col>
      <xdr:colOff>598364</xdr:colOff>
      <xdr:row>60</xdr:row>
      <xdr:rowOff>73269</xdr:rowOff>
    </xdr:from>
    <xdr:to>
      <xdr:col>23</xdr:col>
      <xdr:colOff>329710</xdr:colOff>
      <xdr:row>77</xdr:row>
      <xdr:rowOff>61058</xdr:rowOff>
    </xdr:to>
    <xdr:sp macro="" textlink="">
      <xdr:nvSpPr>
        <xdr:cNvPr id="4" name="Rectángulo: esquinas redondeadas 3">
          <a:extLst>
            <a:ext uri="{FF2B5EF4-FFF2-40B4-BE49-F238E27FC236}">
              <a16:creationId xmlns:a16="http://schemas.microsoft.com/office/drawing/2014/main" id="{00000000-0008-0000-0600-000004000000}"/>
            </a:ext>
          </a:extLst>
        </xdr:cNvPr>
        <xdr:cNvSpPr/>
      </xdr:nvSpPr>
      <xdr:spPr>
        <a:xfrm>
          <a:off x="11295672" y="12541250"/>
          <a:ext cx="14202019" cy="3345962"/>
        </a:xfrm>
        <a:prstGeom prst="roundRect">
          <a:avLst>
            <a:gd name="adj" fmla="val 11613"/>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30</xdr:col>
      <xdr:colOff>29765</xdr:colOff>
      <xdr:row>37</xdr:row>
      <xdr:rowOff>119063</xdr:rowOff>
    </xdr:from>
    <xdr:to>
      <xdr:col>38</xdr:col>
      <xdr:colOff>726280</xdr:colOff>
      <xdr:row>55</xdr:row>
      <xdr:rowOff>175021</xdr:rowOff>
    </xdr:to>
    <xdr:graphicFrame macro="">
      <xdr:nvGraphicFramePr>
        <xdr:cNvPr id="10" name="Gráfico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756044</xdr:colOff>
      <xdr:row>60</xdr:row>
      <xdr:rowOff>75008</xdr:rowOff>
    </xdr:from>
    <xdr:to>
      <xdr:col>38</xdr:col>
      <xdr:colOff>654842</xdr:colOff>
      <xdr:row>82</xdr:row>
      <xdr:rowOff>59530</xdr:rowOff>
    </xdr:to>
    <xdr:graphicFrame macro="">
      <xdr:nvGraphicFramePr>
        <xdr:cNvPr id="13" name="Gráfico 12">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45</xdr:col>
      <xdr:colOff>369094</xdr:colOff>
      <xdr:row>38</xdr:row>
      <xdr:rowOff>0</xdr:rowOff>
    </xdr:from>
    <xdr:to>
      <xdr:col>54</xdr:col>
      <xdr:colOff>303609</xdr:colOff>
      <xdr:row>56</xdr:row>
      <xdr:rowOff>55958</xdr:rowOff>
    </xdr:to>
    <xdr:graphicFrame macro="">
      <xdr:nvGraphicFramePr>
        <xdr:cNvPr id="14" name="Gráfico 13">
          <a:extLst>
            <a:ext uri="{FF2B5EF4-FFF2-40B4-BE49-F238E27FC236}">
              <a16:creationId xmlns:a16="http://schemas.microsoft.com/office/drawing/2014/main" id="{00000000-0008-0000-06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392906</xdr:colOff>
      <xdr:row>60</xdr:row>
      <xdr:rowOff>1</xdr:rowOff>
    </xdr:from>
    <xdr:to>
      <xdr:col>54</xdr:col>
      <xdr:colOff>291704</xdr:colOff>
      <xdr:row>81</xdr:row>
      <xdr:rowOff>175023</xdr:rowOff>
    </xdr:to>
    <xdr:graphicFrame macro="">
      <xdr:nvGraphicFramePr>
        <xdr:cNvPr id="16" name="Gráfico 15">
          <a:extLst>
            <a:ext uri="{FF2B5EF4-FFF2-40B4-BE49-F238E27FC236}">
              <a16:creationId xmlns:a16="http://schemas.microsoft.com/office/drawing/2014/main" id="{00000000-0008-0000-06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0</xdr:colOff>
          <xdr:row>1</xdr:row>
          <xdr:rowOff>0</xdr:rowOff>
        </xdr:from>
        <xdr:to>
          <xdr:col>21</xdr:col>
          <xdr:colOff>390525</xdr:colOff>
          <xdr:row>36</xdr:row>
          <xdr:rowOff>19050</xdr:rowOff>
        </xdr:to>
        <xdr:sp macro="" textlink="">
          <xdr:nvSpPr>
            <xdr:cNvPr id="12093" name="Object 829" hidden="1">
              <a:extLst>
                <a:ext uri="{63B3BB69-23CF-44E3-9099-C40C66FF867C}">
                  <a14:compatExt spid="_x0000_s12093"/>
                </a:ext>
                <a:ext uri="{FF2B5EF4-FFF2-40B4-BE49-F238E27FC236}">
                  <a16:creationId xmlns:a16="http://schemas.microsoft.com/office/drawing/2014/main" id="{00000000-0008-0000-0600-00003D2F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16</xdr:col>
      <xdr:colOff>206375</xdr:colOff>
      <xdr:row>78</xdr:row>
      <xdr:rowOff>17462</xdr:rowOff>
    </xdr:from>
    <xdr:to>
      <xdr:col>21</xdr:col>
      <xdr:colOff>984250</xdr:colOff>
      <xdr:row>90</xdr:row>
      <xdr:rowOff>93662</xdr:rowOff>
    </xdr:to>
    <xdr:graphicFrame macro="">
      <xdr:nvGraphicFramePr>
        <xdr:cNvPr id="6" name="Gráfico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642937</xdr:colOff>
      <xdr:row>78</xdr:row>
      <xdr:rowOff>17462</xdr:rowOff>
    </xdr:from>
    <xdr:to>
      <xdr:col>15</xdr:col>
      <xdr:colOff>3087687</xdr:colOff>
      <xdr:row>90</xdr:row>
      <xdr:rowOff>93662</xdr:rowOff>
    </xdr:to>
    <xdr:graphicFrame macro="">
      <xdr:nvGraphicFramePr>
        <xdr:cNvPr id="8" name="Gráfico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881062</xdr:colOff>
      <xdr:row>91</xdr:row>
      <xdr:rowOff>96837</xdr:rowOff>
    </xdr:from>
    <xdr:to>
      <xdr:col>18</xdr:col>
      <xdr:colOff>1103312</xdr:colOff>
      <xdr:row>105</xdr:row>
      <xdr:rowOff>173037</xdr:rowOff>
    </xdr:to>
    <xdr:graphicFrame macro="">
      <xdr:nvGraphicFramePr>
        <xdr:cNvPr id="9" name="Gráfico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343904</xdr:colOff>
      <xdr:row>78</xdr:row>
      <xdr:rowOff>279712</xdr:rowOff>
    </xdr:from>
    <xdr:to>
      <xdr:col>25</xdr:col>
      <xdr:colOff>887279</xdr:colOff>
      <xdr:row>91</xdr:row>
      <xdr:rowOff>171694</xdr:rowOff>
    </xdr:to>
    <xdr:graphicFrame macro="">
      <xdr:nvGraphicFramePr>
        <xdr:cNvPr id="2" name="Gráfico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61</xdr:col>
      <xdr:colOff>12211</xdr:colOff>
      <xdr:row>59</xdr:row>
      <xdr:rowOff>195384</xdr:rowOff>
    </xdr:from>
    <xdr:to>
      <xdr:col>69</xdr:col>
      <xdr:colOff>668125</xdr:colOff>
      <xdr:row>81</xdr:row>
      <xdr:rowOff>175021</xdr:rowOff>
    </xdr:to>
    <xdr:graphicFrame macro="">
      <xdr:nvGraphicFramePr>
        <xdr:cNvPr id="5" name="Gráfico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60</xdr:col>
      <xdr:colOff>744904</xdr:colOff>
      <xdr:row>38</xdr:row>
      <xdr:rowOff>0</xdr:rowOff>
    </xdr:from>
    <xdr:to>
      <xdr:col>69</xdr:col>
      <xdr:colOff>679419</xdr:colOff>
      <xdr:row>56</xdr:row>
      <xdr:rowOff>55958</xdr:rowOff>
    </xdr:to>
    <xdr:graphicFrame macro="">
      <xdr:nvGraphicFramePr>
        <xdr:cNvPr id="7" name="Gráfico 6">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111126</xdr:colOff>
      <xdr:row>59</xdr:row>
      <xdr:rowOff>15874</xdr:rowOff>
    </xdr:from>
    <xdr:to>
      <xdr:col>8</xdr:col>
      <xdr:colOff>285751</xdr:colOff>
      <xdr:row>74</xdr:row>
      <xdr:rowOff>178288</xdr:rowOff>
    </xdr:to>
    <xdr:sp macro="" textlink="">
      <xdr:nvSpPr>
        <xdr:cNvPr id="11" name="Rectángulo: esquinas redondeadas 10">
          <a:extLst>
            <a:ext uri="{FF2B5EF4-FFF2-40B4-BE49-F238E27FC236}">
              <a16:creationId xmlns:a16="http://schemas.microsoft.com/office/drawing/2014/main" id="{00000000-0008-0000-0600-00000B000000}"/>
            </a:ext>
          </a:extLst>
        </xdr:cNvPr>
        <xdr:cNvSpPr/>
      </xdr:nvSpPr>
      <xdr:spPr>
        <a:xfrm>
          <a:off x="4572001" y="12017374"/>
          <a:ext cx="4794250" cy="3067539"/>
        </a:xfrm>
        <a:prstGeom prst="roundRect">
          <a:avLst>
            <a:gd name="adj" fmla="val 11613"/>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13.xml><?xml version="1.0" encoding="utf-8"?>
<c:userShapes xmlns:c="http://schemas.openxmlformats.org/drawingml/2006/chart">
  <cdr:relSizeAnchor xmlns:cdr="http://schemas.openxmlformats.org/drawingml/2006/chartDrawing">
    <cdr:from>
      <cdr:x>0.652</cdr:x>
      <cdr:y>0.13747</cdr:y>
    </cdr:from>
    <cdr:to>
      <cdr:x>0.66772</cdr:x>
      <cdr:y>0.16349</cdr:y>
    </cdr:to>
    <cdr:sp macro="" textlink="">
      <cdr:nvSpPr>
        <cdr:cNvPr id="3" name="Rectángulo 2">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6723" y="380408"/>
          <a:ext cx="72000" cy="72000"/>
        </a:xfrm>
        <a:prstGeom xmlns:a="http://schemas.openxmlformats.org/drawingml/2006/main" prst="rect">
          <a:avLst/>
        </a:prstGeom>
        <a:solidFill xmlns:a="http://schemas.openxmlformats.org/drawingml/2006/main">
          <a:srgbClr val="0070C0"/>
        </a:solidFill>
        <a:ln xmlns:a="http://schemas.openxmlformats.org/drawingml/2006/main">
          <a:solidFill>
            <a:srgbClr val="0070C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0.65157</cdr:x>
      <cdr:y>0.21928</cdr:y>
    </cdr:from>
    <cdr:to>
      <cdr:x>0.66729</cdr:x>
      <cdr:y>0.2453</cdr:y>
    </cdr:to>
    <cdr:sp macro="" textlink="">
      <cdr:nvSpPr>
        <cdr:cNvPr id="4" name="Rectángulo 3">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5076" y="601804"/>
          <a:ext cx="72008" cy="71406"/>
        </a:xfrm>
        <a:prstGeom xmlns:a="http://schemas.openxmlformats.org/drawingml/2006/main" prst="rect">
          <a:avLst/>
        </a:prstGeom>
        <a:solidFill xmlns:a="http://schemas.openxmlformats.org/drawingml/2006/main">
          <a:srgbClr val="FFC000"/>
        </a:solidFill>
        <a:ln xmlns:a="http://schemas.openxmlformats.org/drawingml/2006/main">
          <a:solidFill>
            <a:srgbClr val="FFC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0.65159</cdr:x>
      <cdr:y>0.29839</cdr:y>
    </cdr:from>
    <cdr:to>
      <cdr:x>0.66731</cdr:x>
      <cdr:y>0.32441</cdr:y>
    </cdr:to>
    <cdr:sp macro="" textlink="">
      <cdr:nvSpPr>
        <cdr:cNvPr id="5" name="Rectángulo 4">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5194" y="818918"/>
          <a:ext cx="72008" cy="71406"/>
        </a:xfrm>
        <a:prstGeom xmlns:a="http://schemas.openxmlformats.org/drawingml/2006/main" prst="rect">
          <a:avLst/>
        </a:prstGeom>
        <a:solidFill xmlns:a="http://schemas.openxmlformats.org/drawingml/2006/main">
          <a:schemeClr val="accent6">
            <a:lumMod val="75000"/>
          </a:schemeClr>
        </a:solidFill>
        <a:ln xmlns:a="http://schemas.openxmlformats.org/drawingml/2006/main">
          <a:solidFill>
            <a:schemeClr val="accent6">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0.65206</cdr:x>
      <cdr:y>0.3825</cdr:y>
    </cdr:from>
    <cdr:to>
      <cdr:x>0.66777</cdr:x>
      <cdr:y>0.40852</cdr:y>
    </cdr:to>
    <cdr:sp macro="" textlink="">
      <cdr:nvSpPr>
        <cdr:cNvPr id="6" name="Rectángulo 5">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7305" y="1049730"/>
          <a:ext cx="72008" cy="71406"/>
        </a:xfrm>
        <a:prstGeom xmlns:a="http://schemas.openxmlformats.org/drawingml/2006/main" prst="rect">
          <a:avLst/>
        </a:prstGeom>
        <a:solidFill xmlns:a="http://schemas.openxmlformats.org/drawingml/2006/main">
          <a:schemeClr val="accent1">
            <a:lumMod val="60000"/>
            <a:lumOff val="40000"/>
          </a:schemeClr>
        </a:solidFill>
        <a:ln xmlns:a="http://schemas.openxmlformats.org/drawingml/2006/main">
          <a:solidFill>
            <a:schemeClr val="accent1">
              <a:lumMod val="60000"/>
              <a:lumOff val="4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0.65239</cdr:x>
      <cdr:y>0.46215</cdr:y>
    </cdr:from>
    <cdr:to>
      <cdr:x>0.6681</cdr:x>
      <cdr:y>0.48817</cdr:y>
    </cdr:to>
    <cdr:sp macro="" textlink="">
      <cdr:nvSpPr>
        <cdr:cNvPr id="7" name="Rectángulo 6">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8822" y="1268330"/>
          <a:ext cx="72008" cy="71405"/>
        </a:xfrm>
        <a:prstGeom xmlns:a="http://schemas.openxmlformats.org/drawingml/2006/main" prst="rect">
          <a:avLst/>
        </a:prstGeom>
        <a:solidFill xmlns:a="http://schemas.openxmlformats.org/drawingml/2006/main">
          <a:schemeClr val="accent5">
            <a:lumMod val="60000"/>
            <a:lumOff val="40000"/>
          </a:schemeClr>
        </a:solidFill>
        <a:ln xmlns:a="http://schemas.openxmlformats.org/drawingml/2006/main">
          <a:solidFill>
            <a:schemeClr val="accent5">
              <a:lumMod val="60000"/>
              <a:lumOff val="4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0.65261</cdr:x>
      <cdr:y>0.5371</cdr:y>
    </cdr:from>
    <cdr:to>
      <cdr:x>0.66833</cdr:x>
      <cdr:y>0.56312</cdr:y>
    </cdr:to>
    <cdr:sp macro="" textlink="">
      <cdr:nvSpPr>
        <cdr:cNvPr id="8" name="Rectángulo 7">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9840" y="1474031"/>
          <a:ext cx="72008" cy="71406"/>
        </a:xfrm>
        <a:prstGeom xmlns:a="http://schemas.openxmlformats.org/drawingml/2006/main" prst="rect">
          <a:avLst/>
        </a:prstGeom>
        <a:solidFill xmlns:a="http://schemas.openxmlformats.org/drawingml/2006/main">
          <a:schemeClr val="accent3">
            <a:lumMod val="60000"/>
            <a:lumOff val="40000"/>
          </a:schemeClr>
        </a:solidFill>
        <a:ln xmlns:a="http://schemas.openxmlformats.org/drawingml/2006/main">
          <a:solidFill>
            <a:schemeClr val="accent3">
              <a:lumMod val="60000"/>
              <a:lumOff val="4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0.65254</cdr:x>
      <cdr:y>0.61832</cdr:y>
    </cdr:from>
    <cdr:to>
      <cdr:x>0.66826</cdr:x>
      <cdr:y>0.64434</cdr:y>
    </cdr:to>
    <cdr:sp macro="" textlink="">
      <cdr:nvSpPr>
        <cdr:cNvPr id="9" name="Rectángulo 8">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9547" y="1696936"/>
          <a:ext cx="72008" cy="71406"/>
        </a:xfrm>
        <a:prstGeom xmlns:a="http://schemas.openxmlformats.org/drawingml/2006/main" prst="rect">
          <a:avLst/>
        </a:prstGeom>
        <a:solidFill xmlns:a="http://schemas.openxmlformats.org/drawingml/2006/main">
          <a:srgbClr val="002060"/>
        </a:solidFill>
        <a:ln xmlns:a="http://schemas.openxmlformats.org/drawingml/2006/main">
          <a:solidFill>
            <a:srgbClr val="00206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0.65261</cdr:x>
      <cdr:y>0.69656</cdr:y>
    </cdr:from>
    <cdr:to>
      <cdr:x>0.66833</cdr:x>
      <cdr:y>0.72258</cdr:y>
    </cdr:to>
    <cdr:sp macro="" textlink="">
      <cdr:nvSpPr>
        <cdr:cNvPr id="10" name="Rectángulo 9">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9839" y="1911649"/>
          <a:ext cx="72008" cy="71406"/>
        </a:xfrm>
        <a:prstGeom xmlns:a="http://schemas.openxmlformats.org/drawingml/2006/main" prst="rect">
          <a:avLst/>
        </a:prstGeom>
        <a:solidFill xmlns:a="http://schemas.openxmlformats.org/drawingml/2006/main">
          <a:schemeClr val="accent2">
            <a:lumMod val="50000"/>
          </a:schemeClr>
        </a:solidFill>
        <a:ln xmlns:a="http://schemas.openxmlformats.org/drawingml/2006/main">
          <a:solidFill>
            <a:schemeClr val="accent2">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0.65221</cdr:x>
      <cdr:y>0.77471</cdr:y>
    </cdr:from>
    <cdr:to>
      <cdr:x>0.66793</cdr:x>
      <cdr:y>0.80073</cdr:y>
    </cdr:to>
    <cdr:sp macro="" textlink="">
      <cdr:nvSpPr>
        <cdr:cNvPr id="11" name="Rectángulo 10">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8031" y="2126136"/>
          <a:ext cx="72009" cy="71406"/>
        </a:xfrm>
        <a:prstGeom xmlns:a="http://schemas.openxmlformats.org/drawingml/2006/main" prst="rect">
          <a:avLst/>
        </a:prstGeom>
        <a:solidFill xmlns:a="http://schemas.openxmlformats.org/drawingml/2006/main">
          <a:schemeClr val="accent6">
            <a:lumMod val="50000"/>
          </a:schemeClr>
        </a:solidFill>
        <a:ln xmlns:a="http://schemas.openxmlformats.org/drawingml/2006/main">
          <a:solidFill>
            <a:schemeClr val="accent6">
              <a:lumMod val="5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0.65224</cdr:x>
      <cdr:y>0.85275</cdr:y>
    </cdr:from>
    <cdr:to>
      <cdr:x>0.66796</cdr:x>
      <cdr:y>0.87877</cdr:y>
    </cdr:to>
    <cdr:sp macro="" textlink="">
      <cdr:nvSpPr>
        <cdr:cNvPr id="12" name="Rectángulo 11">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8148" y="2340313"/>
          <a:ext cx="72009" cy="71406"/>
        </a:xfrm>
        <a:prstGeom xmlns:a="http://schemas.openxmlformats.org/drawingml/2006/main" prst="rect">
          <a:avLst/>
        </a:prstGeom>
        <a:solidFill xmlns:a="http://schemas.openxmlformats.org/drawingml/2006/main">
          <a:schemeClr val="tx2">
            <a:lumMod val="75000"/>
            <a:lumOff val="25000"/>
          </a:schemeClr>
        </a:solidFill>
        <a:ln xmlns:a="http://schemas.openxmlformats.org/drawingml/2006/main">
          <a:solidFill>
            <a:schemeClr val="tx2">
              <a:lumMod val="75000"/>
              <a:lumOff val="2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0.65222</cdr:x>
      <cdr:y>0.93133</cdr:y>
    </cdr:from>
    <cdr:to>
      <cdr:x>0.66794</cdr:x>
      <cdr:y>0.95735</cdr:y>
    </cdr:to>
    <cdr:sp macro="" textlink="">
      <cdr:nvSpPr>
        <cdr:cNvPr id="13" name="Rectángulo 12">
          <a:extLst xmlns:a="http://schemas.openxmlformats.org/drawingml/2006/main">
            <a:ext uri="{FF2B5EF4-FFF2-40B4-BE49-F238E27FC236}">
              <a16:creationId xmlns:a16="http://schemas.microsoft.com/office/drawing/2014/main" id="{E2F15392-5BE1-73EC-8BB6-786EA0E32860}"/>
            </a:ext>
          </a:extLst>
        </cdr:cNvPr>
        <cdr:cNvSpPr/>
      </cdr:nvSpPr>
      <cdr:spPr>
        <a:xfrm xmlns:a="http://schemas.openxmlformats.org/drawingml/2006/main">
          <a:off x="2988061" y="2555950"/>
          <a:ext cx="72009" cy="71406"/>
        </a:xfrm>
        <a:prstGeom xmlns:a="http://schemas.openxmlformats.org/drawingml/2006/main" prst="rect">
          <a:avLst/>
        </a:prstGeom>
        <a:solidFill xmlns:a="http://schemas.openxmlformats.org/drawingml/2006/main">
          <a:srgbClr val="7030A0"/>
        </a:solidFill>
        <a:ln xmlns:a="http://schemas.openxmlformats.org/drawingml/2006/main">
          <a:solidFill>
            <a:srgbClr val="7030A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s-CL"/>
        </a:p>
      </cdr:txBody>
    </cdr:sp>
  </cdr:relSizeAnchor>
  <cdr:relSizeAnchor xmlns:cdr="http://schemas.openxmlformats.org/drawingml/2006/chartDrawing">
    <cdr:from>
      <cdr:x>0.67421</cdr:x>
      <cdr:y>0.11623</cdr:y>
    </cdr:from>
    <cdr:to>
      <cdr:x>0.99015</cdr:x>
      <cdr:y>0.98499</cdr:y>
    </cdr:to>
    <cdr:sp macro="" textlink="">
      <cdr:nvSpPr>
        <cdr:cNvPr id="16" name="CuadroTexto 15">
          <a:extLst xmlns:a="http://schemas.openxmlformats.org/drawingml/2006/main">
            <a:ext uri="{FF2B5EF4-FFF2-40B4-BE49-F238E27FC236}">
              <a16:creationId xmlns:a16="http://schemas.microsoft.com/office/drawing/2014/main" id="{C2B8D820-5C8B-8C9A-4B29-31F98D0D6AF1}"/>
            </a:ext>
          </a:extLst>
        </cdr:cNvPr>
        <cdr:cNvSpPr txBox="1"/>
      </cdr:nvSpPr>
      <cdr:spPr>
        <a:xfrm xmlns:a="http://schemas.openxmlformats.org/drawingml/2006/main">
          <a:off x="3088448" y="321639"/>
          <a:ext cx="1447283" cy="2404089"/>
        </a:xfrm>
        <a:prstGeom xmlns:a="http://schemas.openxmlformats.org/drawingml/2006/main" prst="rect">
          <a:avLst/>
        </a:prstGeom>
        <a:solidFill xmlns:a="http://schemas.openxmlformats.org/drawingml/2006/main">
          <a:schemeClr val="bg1"/>
        </a:solidFill>
        <a:ln xmlns:a="http://schemas.openxmlformats.org/drawingml/2006/main">
          <a:noFill/>
        </a:ln>
      </cdr:spPr>
      <cdr:txBody>
        <a:bodyPr xmlns:a="http://schemas.openxmlformats.org/drawingml/2006/main" vertOverflow="clip" wrap="none" rtlCol="0"/>
        <a:lstStyle xmlns:a="http://schemas.openxmlformats.org/drawingml/2006/main"/>
        <a:p xmlns:a="http://schemas.openxmlformats.org/drawingml/2006/main">
          <a:r>
            <a:rPr lang="es-CL" sz="700"/>
            <a:t>Bombas - Motores (Emulsión)</a:t>
          </a:r>
        </a:p>
        <a:p xmlns:a="http://schemas.openxmlformats.org/drawingml/2006/main">
          <a:endParaRPr lang="es-CL" sz="700"/>
        </a:p>
        <a:p xmlns:a="http://schemas.openxmlformats.org/drawingml/2006/main">
          <a:r>
            <a:rPr lang="es-CL" sz="700"/>
            <a:t>Quemadores (Almac. y aceite térmico)</a:t>
          </a:r>
        </a:p>
        <a:p xmlns:a="http://schemas.openxmlformats.org/drawingml/2006/main">
          <a:endParaRPr lang="es-CL" sz="700"/>
        </a:p>
        <a:p xmlns:a="http://schemas.openxmlformats.org/drawingml/2006/main">
          <a:r>
            <a:rPr lang="es-CL" sz="700"/>
            <a:t>Aire Acondicionados (Laboratorio)</a:t>
          </a:r>
        </a:p>
        <a:p xmlns:a="http://schemas.openxmlformats.org/drawingml/2006/main">
          <a:endParaRPr lang="es-CL" sz="700"/>
        </a:p>
        <a:p xmlns:a="http://schemas.openxmlformats.org/drawingml/2006/main">
          <a:r>
            <a:rPr lang="es-CL" sz="700"/>
            <a:t>Equipos (Laboratorio)</a:t>
          </a:r>
        </a:p>
        <a:p xmlns:a="http://schemas.openxmlformats.org/drawingml/2006/main">
          <a:endParaRPr lang="es-CL" sz="700"/>
        </a:p>
        <a:p xmlns:a="http://schemas.openxmlformats.org/drawingml/2006/main">
          <a:r>
            <a:rPr lang="es-CL" sz="700"/>
            <a:t>Bombas</a:t>
          </a:r>
          <a:r>
            <a:rPr lang="es-CL" sz="700" baseline="0"/>
            <a:t> - Motores (Agua jabonosa)</a:t>
          </a:r>
        </a:p>
        <a:p xmlns:a="http://schemas.openxmlformats.org/drawingml/2006/main">
          <a:endParaRPr lang="es-CL" sz="700" baseline="0"/>
        </a:p>
        <a:p xmlns:a="http://schemas.openxmlformats.org/drawingml/2006/main">
          <a:r>
            <a:rPr lang="es-CL" sz="700" baseline="0"/>
            <a:t>Varios</a:t>
          </a:r>
        </a:p>
        <a:p xmlns:a="http://schemas.openxmlformats.org/drawingml/2006/main">
          <a:endParaRPr lang="es-CL" sz="700" baseline="0"/>
        </a:p>
        <a:p xmlns:a="http://schemas.openxmlformats.org/drawingml/2006/main">
          <a:r>
            <a:rPr lang="es-CL" sz="700" baseline="0"/>
            <a:t>Luminarias (Laboratorios)</a:t>
          </a:r>
        </a:p>
        <a:p xmlns:a="http://schemas.openxmlformats.org/drawingml/2006/main">
          <a:endParaRPr lang="es-CL" sz="700" baseline="0"/>
        </a:p>
        <a:p xmlns:a="http://schemas.openxmlformats.org/drawingml/2006/main">
          <a:r>
            <a:rPr lang="es-CL" sz="700" baseline="0"/>
            <a:t>Aires Acondicionados (Oficinas)</a:t>
          </a:r>
        </a:p>
        <a:p xmlns:a="http://schemas.openxmlformats.org/drawingml/2006/main">
          <a:endParaRPr lang="es-CL" sz="700" baseline="0"/>
        </a:p>
        <a:p xmlns:a="http://schemas.openxmlformats.org/drawingml/2006/main">
          <a:r>
            <a:rPr lang="es-CL" sz="700" baseline="0"/>
            <a:t>Bombas - Motores (Nodriza)</a:t>
          </a:r>
        </a:p>
        <a:p xmlns:a="http://schemas.openxmlformats.org/drawingml/2006/main">
          <a:endParaRPr lang="es-CL" sz="700" baseline="0"/>
        </a:p>
        <a:p xmlns:a="http://schemas.openxmlformats.org/drawingml/2006/main">
          <a:r>
            <a:rPr lang="es-CL" sz="700" baseline="0"/>
            <a:t>Luminarias (Oficinas)</a:t>
          </a:r>
        </a:p>
        <a:p xmlns:a="http://schemas.openxmlformats.org/drawingml/2006/main">
          <a:endParaRPr lang="es-CL" sz="700" baseline="0"/>
        </a:p>
        <a:p xmlns:a="http://schemas.openxmlformats.org/drawingml/2006/main">
          <a:r>
            <a:rPr lang="es-CL" sz="700" baseline="0"/>
            <a:t>Bomba (Almacenamiento)</a:t>
          </a:r>
          <a:endParaRPr lang="es-CL" sz="700"/>
        </a:p>
      </cdr:txBody>
    </cdr:sp>
  </cdr:relSizeAnchor>
</c:userShapes>
</file>

<file path=xl/drawings/drawing14.xml><?xml version="1.0" encoding="utf-8"?>
<xdr:wsDr xmlns:xdr="http://schemas.openxmlformats.org/drawingml/2006/spreadsheetDrawing" xmlns:a="http://schemas.openxmlformats.org/drawingml/2006/main">
  <xdr:twoCellAnchor>
    <xdr:from>
      <xdr:col>7</xdr:col>
      <xdr:colOff>656707</xdr:colOff>
      <xdr:row>10</xdr:row>
      <xdr:rowOff>6496</xdr:rowOff>
    </xdr:from>
    <xdr:to>
      <xdr:col>17</xdr:col>
      <xdr:colOff>656133</xdr:colOff>
      <xdr:row>44</xdr:row>
      <xdr:rowOff>182081</xdr:rowOff>
    </xdr:to>
    <xdr:grpSp>
      <xdr:nvGrpSpPr>
        <xdr:cNvPr id="361" name="POWER_USER_SANKEY_CHART" descr="{&quot;RangeName&quot;:&quot;POWER_USER_EXCEL_CHART_F369CD19_B1EC_48BB_85C9_292C8ACCD36A&quot;,&quot;Version&quot;:&quot;1.6.1803.0&quot;}">
          <a:extLst>
            <a:ext uri="{FF2B5EF4-FFF2-40B4-BE49-F238E27FC236}">
              <a16:creationId xmlns:a16="http://schemas.microsoft.com/office/drawing/2014/main" id="{00000000-0008-0000-0700-000069010000}"/>
            </a:ext>
          </a:extLst>
        </xdr:cNvPr>
        <xdr:cNvGrpSpPr/>
      </xdr:nvGrpSpPr>
      <xdr:grpSpPr>
        <a:xfrm>
          <a:off x="8467207" y="1911496"/>
          <a:ext cx="10340855" cy="6652585"/>
          <a:chOff x="19935823" y="736600"/>
          <a:chExt cx="8132360" cy="5448300"/>
        </a:xfrm>
      </xdr:grpSpPr>
      <xdr:sp macro="" textlink="">
        <xdr:nvSpPr>
          <xdr:cNvPr id="360" name="Rectángulo 359">
            <a:extLst>
              <a:ext uri="{FF2B5EF4-FFF2-40B4-BE49-F238E27FC236}">
                <a16:creationId xmlns:a16="http://schemas.microsoft.com/office/drawing/2014/main" id="{00000000-0008-0000-0700-000068010000}"/>
              </a:ext>
            </a:extLst>
          </xdr:cNvPr>
          <xdr:cNvSpPr/>
        </xdr:nvSpPr>
        <xdr:spPr>
          <a:xfrm>
            <a:off x="19935823" y="736600"/>
            <a:ext cx="7861302" cy="5448300"/>
          </a:xfrm>
          <a:prstGeom prst="rect">
            <a:avLst/>
          </a:prstGeom>
          <a:solidFill>
            <a:schemeClr val="l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70" name="POWER_USER_SANKEY_CHART_SERIE_SHAPE" descr="{&quot;Id&quot;:&quot;788A1C66-DD84-421A-80D8-38A26CADB6A5&quot;,&quot;Value&quot;:0.99999999999999956,&quot;Percentage&quot;:0.50000000000000011}">
            <a:extLst>
              <a:ext uri="{FF2B5EF4-FFF2-40B4-BE49-F238E27FC236}">
                <a16:creationId xmlns:a16="http://schemas.microsoft.com/office/drawing/2014/main" id="{00000000-0008-0000-0700-00000E010000}"/>
              </a:ext>
            </a:extLst>
          </xdr:cNvPr>
          <xdr:cNvSpPr/>
        </xdr:nvSpPr>
        <xdr:spPr>
          <a:xfrm>
            <a:off x="20024725" y="1016000"/>
            <a:ext cx="1270000" cy="2476500"/>
          </a:xfrm>
          <a:prstGeom prst="rect">
            <a:avLst/>
          </a:prstGeom>
          <a:solidFill>
            <a:schemeClr val="accent1"/>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lt1"/>
                </a:solidFill>
              </a:rPr>
              <a:t>Electricidad
1
50%</a:t>
            </a:r>
          </a:p>
        </xdr:txBody>
      </xdr:sp>
      <xdr:sp macro="" textlink="">
        <xdr:nvSpPr>
          <xdr:cNvPr id="271" name="POWER_USER_SANKEY_CHART_CONNECTED_SUB_SERIE_SHAPE_5_10" descr="{&quot;Id&quot;:&quot;788A1C66-DD84-421A-80D8-38A26CADB6A5&quot;,&quot;Value&quot;:0.99999999999999956,&quot;Percentage&quot;:0.50000000000000011}">
            <a:extLst>
              <a:ext uri="{FF2B5EF4-FFF2-40B4-BE49-F238E27FC236}">
                <a16:creationId xmlns:a16="http://schemas.microsoft.com/office/drawing/2014/main" id="{00000000-0008-0000-0700-00000F010000}"/>
              </a:ext>
            </a:extLst>
          </xdr:cNvPr>
          <xdr:cNvSpPr/>
        </xdr:nvSpPr>
        <xdr:spPr>
          <a:xfrm>
            <a:off x="21269325" y="1016000"/>
            <a:ext cx="0" cy="97804"/>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73" name="POWER_USER_SANKEY_CHART_CONNECTED_SUB_SERIE_SHAPE_5_11" descr="{&quot;Id&quot;:&quot;788A1C66-DD84-421A-80D8-38A26CADB6A5&quot;,&quot;Value&quot;:0.99999999999999956,&quot;Percentage&quot;:0.50000000000000011}">
            <a:extLst>
              <a:ext uri="{FF2B5EF4-FFF2-40B4-BE49-F238E27FC236}">
                <a16:creationId xmlns:a16="http://schemas.microsoft.com/office/drawing/2014/main" id="{00000000-0008-0000-0700-000011010000}"/>
              </a:ext>
            </a:extLst>
          </xdr:cNvPr>
          <xdr:cNvSpPr/>
        </xdr:nvSpPr>
        <xdr:spPr>
          <a:xfrm>
            <a:off x="21269325" y="1113804"/>
            <a:ext cx="0" cy="244465"/>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75" name="POWER_USER_SANKEY_CHART_CONNECTED_SUB_SERIE_SHAPE_5_12" descr="{&quot;Id&quot;:&quot;788A1C66-DD84-421A-80D8-38A26CADB6A5&quot;,&quot;Value&quot;:0.99999999999999956,&quot;Percentage&quot;:0.50000000000000011}">
            <a:extLst>
              <a:ext uri="{FF2B5EF4-FFF2-40B4-BE49-F238E27FC236}">
                <a16:creationId xmlns:a16="http://schemas.microsoft.com/office/drawing/2014/main" id="{00000000-0008-0000-0700-000013010000}"/>
              </a:ext>
            </a:extLst>
          </xdr:cNvPr>
          <xdr:cNvSpPr/>
        </xdr:nvSpPr>
        <xdr:spPr>
          <a:xfrm>
            <a:off x="21269325" y="1358269"/>
            <a:ext cx="0" cy="25594"/>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77" name="POWER_USER_SANKEY_CHART_CONNECTED_SUB_SERIE_SHAPE_5_13" descr="{&quot;Id&quot;:&quot;788A1C66-DD84-421A-80D8-38A26CADB6A5&quot;,&quot;Value&quot;:0.99999999999999956,&quot;Percentage&quot;:0.50000000000000011}">
            <a:extLst>
              <a:ext uri="{FF2B5EF4-FFF2-40B4-BE49-F238E27FC236}">
                <a16:creationId xmlns:a16="http://schemas.microsoft.com/office/drawing/2014/main" id="{00000000-0008-0000-0700-000015010000}"/>
              </a:ext>
            </a:extLst>
          </xdr:cNvPr>
          <xdr:cNvSpPr/>
        </xdr:nvSpPr>
        <xdr:spPr>
          <a:xfrm>
            <a:off x="21269325" y="1383863"/>
            <a:ext cx="0" cy="188296"/>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79" name="POWER_USER_SANKEY_CHART_CONNECTED_SUB_SERIE_SHAPE_5_14" descr="{&quot;Id&quot;:&quot;788A1C66-DD84-421A-80D8-38A26CADB6A5&quot;,&quot;Value&quot;:0.99999999999999956,&quot;Percentage&quot;:0.50000000000000011}">
            <a:extLst>
              <a:ext uri="{FF2B5EF4-FFF2-40B4-BE49-F238E27FC236}">
                <a16:creationId xmlns:a16="http://schemas.microsoft.com/office/drawing/2014/main" id="{00000000-0008-0000-0700-000017010000}"/>
              </a:ext>
            </a:extLst>
          </xdr:cNvPr>
          <xdr:cNvSpPr/>
        </xdr:nvSpPr>
        <xdr:spPr>
          <a:xfrm>
            <a:off x="21269325" y="1572159"/>
            <a:ext cx="0" cy="205334"/>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81" name="POWER_USER_SANKEY_CHART_CONNECTED_SUB_SERIE_SHAPE_5_15" descr="{&quot;Id&quot;:&quot;788A1C66-DD84-421A-80D8-38A26CADB6A5&quot;,&quot;Value&quot;:0.99999999999999956,&quot;Percentage&quot;:0.50000000000000011}">
            <a:extLst>
              <a:ext uri="{FF2B5EF4-FFF2-40B4-BE49-F238E27FC236}">
                <a16:creationId xmlns:a16="http://schemas.microsoft.com/office/drawing/2014/main" id="{00000000-0008-0000-0700-000019010000}"/>
              </a:ext>
            </a:extLst>
          </xdr:cNvPr>
          <xdr:cNvSpPr/>
        </xdr:nvSpPr>
        <xdr:spPr>
          <a:xfrm>
            <a:off x="21269325" y="1777493"/>
            <a:ext cx="0" cy="57824"/>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83" name="POWER_USER_SANKEY_CHART_CONNECTED_SUB_SERIE_SHAPE_5_16" descr="{&quot;Id&quot;:&quot;788A1C66-DD84-421A-80D8-38A26CADB6A5&quot;,&quot;Value&quot;:0.99999999999999956,&quot;Percentage&quot;:0.50000000000000011}">
            <a:extLst>
              <a:ext uri="{FF2B5EF4-FFF2-40B4-BE49-F238E27FC236}">
                <a16:creationId xmlns:a16="http://schemas.microsoft.com/office/drawing/2014/main" id="{00000000-0008-0000-0700-00001B010000}"/>
              </a:ext>
            </a:extLst>
          </xdr:cNvPr>
          <xdr:cNvSpPr/>
        </xdr:nvSpPr>
        <xdr:spPr>
          <a:xfrm>
            <a:off x="21269325" y="1835317"/>
            <a:ext cx="0" cy="642063"/>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85" name="POWER_USER_SANKEY_CHART_CONNECTED_SUB_SERIE_SHAPE_5_17" descr="{&quot;Id&quot;:&quot;788A1C66-DD84-421A-80D8-38A26CADB6A5&quot;,&quot;Value&quot;:0.99999999999999956,&quot;Percentage&quot;:0.50000000000000011}">
            <a:extLst>
              <a:ext uri="{FF2B5EF4-FFF2-40B4-BE49-F238E27FC236}">
                <a16:creationId xmlns:a16="http://schemas.microsoft.com/office/drawing/2014/main" id="{00000000-0008-0000-0700-00001D010000}"/>
              </a:ext>
            </a:extLst>
          </xdr:cNvPr>
          <xdr:cNvSpPr/>
        </xdr:nvSpPr>
        <xdr:spPr>
          <a:xfrm>
            <a:off x="21269325" y="2477380"/>
            <a:ext cx="0" cy="217158"/>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87" name="POWER_USER_SANKEY_CHART_CONNECTED_SUB_SERIE_SHAPE_5_18" descr="{&quot;Id&quot;:&quot;788A1C66-DD84-421A-80D8-38A26CADB6A5&quot;,&quot;Value&quot;:0.99999999999999956,&quot;Percentage&quot;:0.50000000000000011}">
            <a:extLst>
              <a:ext uri="{FF2B5EF4-FFF2-40B4-BE49-F238E27FC236}">
                <a16:creationId xmlns:a16="http://schemas.microsoft.com/office/drawing/2014/main" id="{00000000-0008-0000-0700-00001F010000}"/>
              </a:ext>
            </a:extLst>
          </xdr:cNvPr>
          <xdr:cNvSpPr/>
        </xdr:nvSpPr>
        <xdr:spPr>
          <a:xfrm>
            <a:off x="21269325" y="2694538"/>
            <a:ext cx="0" cy="541996"/>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89" name="POWER_USER_SANKEY_CHART_CONNECTED_SUB_SERIE_SHAPE_5_19" descr="{&quot;Id&quot;:&quot;788A1C66-DD84-421A-80D8-38A26CADB6A5&quot;,&quot;Value&quot;:0.99999999999999956,&quot;Percentage&quot;:0.50000000000000011}">
            <a:extLst>
              <a:ext uri="{FF2B5EF4-FFF2-40B4-BE49-F238E27FC236}">
                <a16:creationId xmlns:a16="http://schemas.microsoft.com/office/drawing/2014/main" id="{00000000-0008-0000-0700-000021010000}"/>
              </a:ext>
            </a:extLst>
          </xdr:cNvPr>
          <xdr:cNvSpPr/>
        </xdr:nvSpPr>
        <xdr:spPr>
          <a:xfrm>
            <a:off x="21269325" y="3236534"/>
            <a:ext cx="0" cy="255967"/>
          </a:xfrm>
          <a:prstGeom prst="rect">
            <a:avLst/>
          </a:prstGeom>
          <a:solidFill>
            <a:schemeClr val="accent1">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91" name="POWER_USER_SANKEY_CHART_SERIE_SHAPE" descr="{&quot;Id&quot;:&quot;2C3AF878-C9EA-454C-9D98-88A573C64D49&quot;,&quot;Value&quot;:0.999999999999999,&quot;Percentage&quot;:0.49999999999999983}">
            <a:extLst>
              <a:ext uri="{FF2B5EF4-FFF2-40B4-BE49-F238E27FC236}">
                <a16:creationId xmlns:a16="http://schemas.microsoft.com/office/drawing/2014/main" id="{00000000-0008-0000-0700-000023010000}"/>
              </a:ext>
            </a:extLst>
          </xdr:cNvPr>
          <xdr:cNvSpPr/>
        </xdr:nvSpPr>
        <xdr:spPr>
          <a:xfrm>
            <a:off x="20024725" y="3619500"/>
            <a:ext cx="1270000" cy="2476500"/>
          </a:xfrm>
          <a:prstGeom prst="rect">
            <a:avLst/>
          </a:prstGeom>
          <a:solidFill>
            <a:schemeClr val="accent2"/>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lt1"/>
                </a:solidFill>
              </a:rPr>
              <a:t>Combustible
1
50%</a:t>
            </a:r>
          </a:p>
        </xdr:txBody>
      </xdr:sp>
      <xdr:sp macro="" textlink="">
        <xdr:nvSpPr>
          <xdr:cNvPr id="292" name="POWER_USER_SANKEY_CHART_CONNECTED_SUB_SERIE_SHAPE_6_9" descr="{&quot;Id&quot;:&quot;2C3AF878-C9EA-454C-9D98-88A573C64D49&quot;,&quot;Value&quot;:0.999999999999999,&quot;Percentage&quot;:0.49999999999999983}">
            <a:extLst>
              <a:ext uri="{FF2B5EF4-FFF2-40B4-BE49-F238E27FC236}">
                <a16:creationId xmlns:a16="http://schemas.microsoft.com/office/drawing/2014/main" id="{00000000-0008-0000-0700-000024010000}"/>
              </a:ext>
            </a:extLst>
          </xdr:cNvPr>
          <xdr:cNvSpPr/>
        </xdr:nvSpPr>
        <xdr:spPr>
          <a:xfrm>
            <a:off x="21269325" y="3619500"/>
            <a:ext cx="0" cy="909881"/>
          </a:xfrm>
          <a:prstGeom prst="rect">
            <a:avLst/>
          </a:prstGeom>
          <a:solidFill>
            <a:schemeClr val="accent2">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94" name="POWER_USER_SANKEY_CHART_CONNECTED_SUB_SERIE_SHAPE_6_10" descr="{&quot;Id&quot;:&quot;2C3AF878-C9EA-454C-9D98-88A573C64D49&quot;,&quot;Value&quot;:0.999999999999999,&quot;Percentage&quot;:0.49999999999999983}">
            <a:extLst>
              <a:ext uri="{FF2B5EF4-FFF2-40B4-BE49-F238E27FC236}">
                <a16:creationId xmlns:a16="http://schemas.microsoft.com/office/drawing/2014/main" id="{00000000-0008-0000-0700-000026010000}"/>
              </a:ext>
            </a:extLst>
          </xdr:cNvPr>
          <xdr:cNvSpPr/>
        </xdr:nvSpPr>
        <xdr:spPr>
          <a:xfrm>
            <a:off x="21269325" y="4529381"/>
            <a:ext cx="0" cy="272875"/>
          </a:xfrm>
          <a:prstGeom prst="rect">
            <a:avLst/>
          </a:prstGeom>
          <a:solidFill>
            <a:schemeClr val="accent2">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96" name="POWER_USER_SANKEY_CHART_CONNECTED_SUB_SERIE_SHAPE_6_11" descr="{&quot;Id&quot;:&quot;2C3AF878-C9EA-454C-9D98-88A573C64D49&quot;,&quot;Value&quot;:0.999999999999999,&quot;Percentage&quot;:0.49999999999999983}">
            <a:extLst>
              <a:ext uri="{FF2B5EF4-FFF2-40B4-BE49-F238E27FC236}">
                <a16:creationId xmlns:a16="http://schemas.microsoft.com/office/drawing/2014/main" id="{00000000-0008-0000-0700-000028010000}"/>
              </a:ext>
            </a:extLst>
          </xdr:cNvPr>
          <xdr:cNvSpPr/>
        </xdr:nvSpPr>
        <xdr:spPr>
          <a:xfrm>
            <a:off x="21269325" y="4802256"/>
            <a:ext cx="0" cy="1293744"/>
          </a:xfrm>
          <a:prstGeom prst="rect">
            <a:avLst/>
          </a:prstGeom>
          <a:solidFill>
            <a:schemeClr val="accent2">
              <a:alpha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98" name="POWER_USER_SANKEY_CHART_CATEGORY_LINE_SHAPE" descr="{&quot;Id&quot;:&quot;5522F3FF-44D8-4215-9039-9B7A9FAF3F26&quot;,&quot;Value&quot;:0.367405783894664,&quot;Percentage&quot;:0.18370289194733211}">
            <a:extLst>
              <a:ext uri="{FF2B5EF4-FFF2-40B4-BE49-F238E27FC236}">
                <a16:creationId xmlns:a16="http://schemas.microsoft.com/office/drawing/2014/main" id="{00000000-0008-0000-0700-00002A010000}"/>
              </a:ext>
            </a:extLst>
          </xdr:cNvPr>
          <xdr:cNvSpPr/>
        </xdr:nvSpPr>
        <xdr:spPr>
          <a:xfrm>
            <a:off x="26374725" y="1016000"/>
            <a:ext cx="63500" cy="699908"/>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299" name="POWER_USER_SANKEY_CHART_CATEGORY_SHAPE" descr="{&quot;Id&quot;:&quot;5522F3FF-44D8-4215-9039-9B7A9FAF3F26&quot;,&quot;Value&quot;:0.367405783894664,&quot;Percentage&quot;:0.18370289194733211}">
            <a:extLst>
              <a:ext uri="{FF2B5EF4-FFF2-40B4-BE49-F238E27FC236}">
                <a16:creationId xmlns:a16="http://schemas.microsoft.com/office/drawing/2014/main" id="{00000000-0008-0000-0700-00002B010000}"/>
              </a:ext>
            </a:extLst>
          </xdr:cNvPr>
          <xdr:cNvSpPr/>
        </xdr:nvSpPr>
        <xdr:spPr>
          <a:xfrm>
            <a:off x="26438225" y="1016000"/>
            <a:ext cx="1619988" cy="699908"/>
          </a:xfrm>
          <a:prstGeom prst="rect">
            <a:avLst/>
          </a:prstGeom>
          <a:solidFill>
            <a:schemeClr val="tx2">
              <a:lumMod val="10000"/>
              <a:lumOff val="9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Proc-01 (Quem)
0,37
18%</a:t>
            </a:r>
          </a:p>
        </xdr:txBody>
      </xdr:sp>
      <xdr:sp macro="" textlink="">
        <xdr:nvSpPr>
          <xdr:cNvPr id="300" name="POWER_USER_SANKEY_CHART_CONNECTED_SUB_CATEGORY_SHAPE_6_9" descr="{&quot;Id&quot;:&quot;5522F3FF-44D8-4215-9039-9B7A9FAF3F26&quot;,&quot;Value&quot;:0.367405783894664,&quot;Percentage&quot;:0.18370289194733211}">
            <a:extLst>
              <a:ext uri="{FF2B5EF4-FFF2-40B4-BE49-F238E27FC236}">
                <a16:creationId xmlns:a16="http://schemas.microsoft.com/office/drawing/2014/main" id="{00000000-0008-0000-0700-00002C010000}"/>
              </a:ext>
            </a:extLst>
          </xdr:cNvPr>
          <xdr:cNvSpPr/>
        </xdr:nvSpPr>
        <xdr:spPr>
          <a:xfrm>
            <a:off x="26400125" y="1016000"/>
            <a:ext cx="0" cy="699908"/>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02" name="POWER_USER_SANKEY_CHART_CATEGORY_LINE_SHAPE" descr="{&quot;Id&quot;:&quot;9FC22D0D-0DEF-4845-93F2-B691460976E3&quot;,&quot;Value&quot;:0.14967889202552911,&quot;Percentage&quot;:0.074839446012764613}">
            <a:extLst>
              <a:ext uri="{FF2B5EF4-FFF2-40B4-BE49-F238E27FC236}">
                <a16:creationId xmlns:a16="http://schemas.microsoft.com/office/drawing/2014/main" id="{00000000-0008-0000-0700-00002E010000}"/>
              </a:ext>
            </a:extLst>
          </xdr:cNvPr>
          <xdr:cNvSpPr/>
        </xdr:nvSpPr>
        <xdr:spPr>
          <a:xfrm>
            <a:off x="26374725" y="1842908"/>
            <a:ext cx="63500" cy="285138"/>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03" name="POWER_USER_SANKEY_CHART_CATEGORY_SHAPE" descr="{&quot;Id&quot;:&quot;9FC22D0D-0DEF-4845-93F2-B691460976E3&quot;,&quot;Value&quot;:0.14967889202552911,&quot;Percentage&quot;:0.074839446012764613}">
            <a:extLst>
              <a:ext uri="{FF2B5EF4-FFF2-40B4-BE49-F238E27FC236}">
                <a16:creationId xmlns:a16="http://schemas.microsoft.com/office/drawing/2014/main" id="{00000000-0008-0000-0700-00002F010000}"/>
              </a:ext>
            </a:extLst>
          </xdr:cNvPr>
          <xdr:cNvSpPr/>
        </xdr:nvSpPr>
        <xdr:spPr>
          <a:xfrm>
            <a:off x="26438225" y="1842908"/>
            <a:ext cx="1623312" cy="285138"/>
          </a:xfrm>
          <a:prstGeom prst="rect">
            <a:avLst/>
          </a:prstGeom>
          <a:solidFill>
            <a:schemeClr val="tx2">
              <a:lumMod val="50000"/>
              <a:lumOff val="5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Proc-02 (Mot A J)
0,15
7%</a:t>
            </a:r>
          </a:p>
        </xdr:txBody>
      </xdr:sp>
      <xdr:sp macro="" textlink="">
        <xdr:nvSpPr>
          <xdr:cNvPr id="304" name="POWER_USER_SANKEY_CHART_CONNECTED_SUB_CATEGORY_SHAPE_5_10" descr="{&quot;Id&quot;:&quot;9FC22D0D-0DEF-4845-93F2-B691460976E3&quot;,&quot;Value&quot;:0.14967889202552911,&quot;Percentage&quot;:0.074839446012764613}">
            <a:extLst>
              <a:ext uri="{FF2B5EF4-FFF2-40B4-BE49-F238E27FC236}">
                <a16:creationId xmlns:a16="http://schemas.microsoft.com/office/drawing/2014/main" id="{00000000-0008-0000-0700-000030010000}"/>
              </a:ext>
            </a:extLst>
          </xdr:cNvPr>
          <xdr:cNvSpPr/>
        </xdr:nvSpPr>
        <xdr:spPr>
          <a:xfrm>
            <a:off x="26400125" y="1842908"/>
            <a:ext cx="0" cy="75234"/>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06" name="POWER_USER_SANKEY_CHART_CONNECTED_SUB_CATEGORY_SHAPE_6_10" descr="{&quot;Id&quot;:&quot;9FC22D0D-0DEF-4845-93F2-B691460976E3&quot;,&quot;Value&quot;:0.14967889202552911,&quot;Percentage&quot;:0.074839446012764613}">
            <a:extLst>
              <a:ext uri="{FF2B5EF4-FFF2-40B4-BE49-F238E27FC236}">
                <a16:creationId xmlns:a16="http://schemas.microsoft.com/office/drawing/2014/main" id="{00000000-0008-0000-0700-000032010000}"/>
              </a:ext>
            </a:extLst>
          </xdr:cNvPr>
          <xdr:cNvSpPr/>
        </xdr:nvSpPr>
        <xdr:spPr>
          <a:xfrm>
            <a:off x="26400125" y="1918142"/>
            <a:ext cx="0" cy="209904"/>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08" name="POWER_USER_SANKEY_CHART_CATEGORY_LINE_SHAPE" descr="{&quot;Id&quot;:&quot;FD204C32-C0EC-45DF-9CE4-13F48DE5E171&quot;,&quot;Value&quot;:0.62112198765076676,&quot;Percentage&quot;:0.3105609938253836}">
            <a:extLst>
              <a:ext uri="{FF2B5EF4-FFF2-40B4-BE49-F238E27FC236}">
                <a16:creationId xmlns:a16="http://schemas.microsoft.com/office/drawing/2014/main" id="{00000000-0008-0000-0700-000034010000}"/>
              </a:ext>
            </a:extLst>
          </xdr:cNvPr>
          <xdr:cNvSpPr/>
        </xdr:nvSpPr>
        <xdr:spPr>
          <a:xfrm>
            <a:off x="26374725" y="2255046"/>
            <a:ext cx="63500" cy="1183238"/>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09" name="POWER_USER_SANKEY_CHART_CATEGORY_SHAPE" descr="{&quot;Id&quot;:&quot;FD204C32-C0EC-45DF-9CE4-13F48DE5E171&quot;,&quot;Value&quot;:0.62112198765076676,&quot;Percentage&quot;:0.3105609938253836}">
            <a:extLst>
              <a:ext uri="{FF2B5EF4-FFF2-40B4-BE49-F238E27FC236}">
                <a16:creationId xmlns:a16="http://schemas.microsoft.com/office/drawing/2014/main" id="{00000000-0008-0000-0700-000035010000}"/>
              </a:ext>
            </a:extLst>
          </xdr:cNvPr>
          <xdr:cNvSpPr/>
        </xdr:nvSpPr>
        <xdr:spPr>
          <a:xfrm>
            <a:off x="26438225" y="2255046"/>
            <a:ext cx="1623312" cy="1183238"/>
          </a:xfrm>
          <a:prstGeom prst="rect">
            <a:avLst/>
          </a:prstGeom>
          <a:solidFill>
            <a:schemeClr val="accent3">
              <a:lumMod val="20000"/>
              <a:lumOff val="8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Proc-02 (Mot E)
0,62
31%</a:t>
            </a:r>
          </a:p>
        </xdr:txBody>
      </xdr:sp>
      <xdr:sp macro="" textlink="">
        <xdr:nvSpPr>
          <xdr:cNvPr id="310" name="POWER_USER_SANKEY_CHART_CONNECTED_SUB_CATEGORY_SHAPE_5_11" descr="{&quot;Id&quot;:&quot;FD204C32-C0EC-45DF-9CE4-13F48DE5E171&quot;,&quot;Value&quot;:0.62112198765076676,&quot;Percentage&quot;:0.3105609938253836}">
            <a:extLst>
              <a:ext uri="{FF2B5EF4-FFF2-40B4-BE49-F238E27FC236}">
                <a16:creationId xmlns:a16="http://schemas.microsoft.com/office/drawing/2014/main" id="{00000000-0008-0000-0700-000036010000}"/>
              </a:ext>
            </a:extLst>
          </xdr:cNvPr>
          <xdr:cNvSpPr/>
        </xdr:nvSpPr>
        <xdr:spPr>
          <a:xfrm>
            <a:off x="26400125" y="2255046"/>
            <a:ext cx="0" cy="188050"/>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12" name="POWER_USER_SANKEY_CHART_CONNECTED_SUB_CATEGORY_SHAPE_6_11" descr="{&quot;Id&quot;:&quot;FD204C32-C0EC-45DF-9CE4-13F48DE5E171&quot;,&quot;Value&quot;:0.62112198765076676,&quot;Percentage&quot;:0.3105609938253836}">
            <a:extLst>
              <a:ext uri="{FF2B5EF4-FFF2-40B4-BE49-F238E27FC236}">
                <a16:creationId xmlns:a16="http://schemas.microsoft.com/office/drawing/2014/main" id="{00000000-0008-0000-0700-000038010000}"/>
              </a:ext>
            </a:extLst>
          </xdr:cNvPr>
          <xdr:cNvSpPr/>
        </xdr:nvSpPr>
        <xdr:spPr>
          <a:xfrm>
            <a:off x="26400125" y="2443096"/>
            <a:ext cx="0" cy="995188"/>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14" name="POWER_USER_SANKEY_CHART_CATEGORY_LINE_SHAPE" descr="{&quot;Id&quot;:&quot;EB6F029C-9D02-4632-A0F8-BE73D3556CD4&quot;,&quot;Value&quot;:0.0103345882761034,&quot;Percentage&quot;:0.0051672941380517031}">
            <a:extLst>
              <a:ext uri="{FF2B5EF4-FFF2-40B4-BE49-F238E27FC236}">
                <a16:creationId xmlns:a16="http://schemas.microsoft.com/office/drawing/2014/main" id="{00000000-0008-0000-0700-00003A010000}"/>
              </a:ext>
            </a:extLst>
          </xdr:cNvPr>
          <xdr:cNvSpPr/>
        </xdr:nvSpPr>
        <xdr:spPr>
          <a:xfrm>
            <a:off x="26374725" y="3565284"/>
            <a:ext cx="63500" cy="19687"/>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15" name="POWER_USER_SANKEY_CHART_CATEGORY_SHAPE" descr="{&quot;Id&quot;:&quot;EB6F029C-9D02-4632-A0F8-BE73D3556CD4&quot;,&quot;Value&quot;:0.0103345882761034,&quot;Percentage&quot;:0.0051672941380517031}">
            <a:extLst>
              <a:ext uri="{FF2B5EF4-FFF2-40B4-BE49-F238E27FC236}">
                <a16:creationId xmlns:a16="http://schemas.microsoft.com/office/drawing/2014/main" id="{00000000-0008-0000-0700-00003B010000}"/>
              </a:ext>
            </a:extLst>
          </xdr:cNvPr>
          <xdr:cNvSpPr/>
        </xdr:nvSpPr>
        <xdr:spPr>
          <a:xfrm>
            <a:off x="26438226" y="3484850"/>
            <a:ext cx="1616664" cy="100122"/>
          </a:xfrm>
          <a:prstGeom prst="rect">
            <a:avLst/>
          </a:prstGeom>
          <a:solidFill>
            <a:schemeClr val="accent4">
              <a:lumMod val="60000"/>
              <a:lumOff val="4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Proc-02 (BB Alm) 0,01</a:t>
            </a:r>
            <a:r>
              <a:rPr lang="es-CL" sz="1100" b="0" i="0" u="none" baseline="0">
                <a:solidFill>
                  <a:schemeClr val="dk1"/>
                </a:solidFill>
              </a:rPr>
              <a:t>  </a:t>
            </a:r>
            <a:r>
              <a:rPr lang="es-CL" sz="1100" b="0" i="0" u="none">
                <a:solidFill>
                  <a:schemeClr val="dk1"/>
                </a:solidFill>
              </a:rPr>
              <a:t>1%</a:t>
            </a:r>
          </a:p>
        </xdr:txBody>
      </xdr:sp>
      <xdr:sp macro="" textlink="">
        <xdr:nvSpPr>
          <xdr:cNvPr id="316" name="POWER_USER_SANKEY_CHART_CONNECTED_SUB_CATEGORY_SHAPE_5_12" descr="{&quot;Id&quot;:&quot;EB6F029C-9D02-4632-A0F8-BE73D3556CD4&quot;,&quot;Value&quot;:0.0103345882761034,&quot;Percentage&quot;:0.0051672941380517031}">
            <a:extLst>
              <a:ext uri="{FF2B5EF4-FFF2-40B4-BE49-F238E27FC236}">
                <a16:creationId xmlns:a16="http://schemas.microsoft.com/office/drawing/2014/main" id="{00000000-0008-0000-0700-00003C010000}"/>
              </a:ext>
            </a:extLst>
          </xdr:cNvPr>
          <xdr:cNvSpPr/>
        </xdr:nvSpPr>
        <xdr:spPr>
          <a:xfrm>
            <a:off x="26400125" y="3565284"/>
            <a:ext cx="0" cy="19687"/>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18" name="POWER_USER_SANKEY_CHART_CATEGORY_LINE_SHAPE" descr="{&quot;Id&quot;:&quot;0D14483A-0E52-4835-A83E-ACEFF677A8C0&quot;,&quot;Value&quot;:0.0760330423170461,&quot;Percentage&quot;:0.038016521158523081}">
            <a:extLst>
              <a:ext uri="{FF2B5EF4-FFF2-40B4-BE49-F238E27FC236}">
                <a16:creationId xmlns:a16="http://schemas.microsoft.com/office/drawing/2014/main" id="{00000000-0008-0000-0700-00003E010000}"/>
              </a:ext>
            </a:extLst>
          </xdr:cNvPr>
          <xdr:cNvSpPr/>
        </xdr:nvSpPr>
        <xdr:spPr>
          <a:xfrm>
            <a:off x="26374725" y="3711971"/>
            <a:ext cx="63500" cy="144843"/>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19" name="POWER_USER_SANKEY_CHART_CATEGORY_SHAPE" descr="{&quot;Id&quot;:&quot;0D14483A-0E52-4835-A83E-ACEFF677A8C0&quot;,&quot;Value&quot;:0.0760330423170461,&quot;Percentage&quot;:0.038016521158523081}">
            <a:extLst>
              <a:ext uri="{FF2B5EF4-FFF2-40B4-BE49-F238E27FC236}">
                <a16:creationId xmlns:a16="http://schemas.microsoft.com/office/drawing/2014/main" id="{00000000-0008-0000-0700-00003F010000}"/>
              </a:ext>
            </a:extLst>
          </xdr:cNvPr>
          <xdr:cNvSpPr/>
        </xdr:nvSpPr>
        <xdr:spPr>
          <a:xfrm>
            <a:off x="26438225" y="3711971"/>
            <a:ext cx="1629958" cy="144843"/>
          </a:xfrm>
          <a:prstGeom prst="rect">
            <a:avLst/>
          </a:prstGeom>
          <a:solidFill>
            <a:schemeClr val="accent5">
              <a:lumMod val="20000"/>
              <a:lumOff val="8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Proc-03 (BBs y Mots Nod) 0,08  4%</a:t>
            </a:r>
          </a:p>
        </xdr:txBody>
      </xdr:sp>
      <xdr:sp macro="" textlink="">
        <xdr:nvSpPr>
          <xdr:cNvPr id="320" name="POWER_USER_SANKEY_CHART_CONNECTED_SUB_CATEGORY_SHAPE_5_13" descr="{&quot;Id&quot;:&quot;0D14483A-0E52-4835-A83E-ACEFF677A8C0&quot;,&quot;Value&quot;:0.0760330423170461,&quot;Percentage&quot;:0.038016521158523081}">
            <a:extLst>
              <a:ext uri="{FF2B5EF4-FFF2-40B4-BE49-F238E27FC236}">
                <a16:creationId xmlns:a16="http://schemas.microsoft.com/office/drawing/2014/main" id="{00000000-0008-0000-0700-000040010000}"/>
              </a:ext>
            </a:extLst>
          </xdr:cNvPr>
          <xdr:cNvSpPr/>
        </xdr:nvSpPr>
        <xdr:spPr>
          <a:xfrm>
            <a:off x="26400125" y="3711971"/>
            <a:ext cx="0" cy="144843"/>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22" name="POWER_USER_SANKEY_CHART_CATEGORY_LINE_SHAPE" descr="{&quot;Id&quot;:&quot;8393C207-165A-4500-8929-963D9644BD58&quot;,&quot;Value&quot;:0.0829129253694235,&quot;Percentage&quot;:0.04145646268471178}">
            <a:extLst>
              <a:ext uri="{FF2B5EF4-FFF2-40B4-BE49-F238E27FC236}">
                <a16:creationId xmlns:a16="http://schemas.microsoft.com/office/drawing/2014/main" id="{00000000-0008-0000-0700-000042010000}"/>
              </a:ext>
            </a:extLst>
          </xdr:cNvPr>
          <xdr:cNvSpPr/>
        </xdr:nvSpPr>
        <xdr:spPr>
          <a:xfrm>
            <a:off x="26374725" y="3983814"/>
            <a:ext cx="63500" cy="157949"/>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23" name="POWER_USER_SANKEY_CHART_CATEGORY_SHAPE" descr="{&quot;Id&quot;:&quot;8393C207-165A-4500-8929-963D9644BD58&quot;,&quot;Value&quot;:0.0829129253694235,&quot;Percentage&quot;:0.04145646268471178}">
            <a:extLst>
              <a:ext uri="{FF2B5EF4-FFF2-40B4-BE49-F238E27FC236}">
                <a16:creationId xmlns:a16="http://schemas.microsoft.com/office/drawing/2014/main" id="{00000000-0008-0000-0700-000043010000}"/>
              </a:ext>
            </a:extLst>
          </xdr:cNvPr>
          <xdr:cNvSpPr/>
        </xdr:nvSpPr>
        <xdr:spPr>
          <a:xfrm>
            <a:off x="26438225" y="3983814"/>
            <a:ext cx="1616665" cy="157949"/>
          </a:xfrm>
          <a:prstGeom prst="rect">
            <a:avLst/>
          </a:prstGeom>
          <a:solidFill>
            <a:schemeClr val="accent3">
              <a:lumMod val="40000"/>
              <a:lumOff val="6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Sect_01 (AA Of) 0,08</a:t>
            </a:r>
            <a:r>
              <a:rPr lang="es-CL" sz="1100" b="0" i="0" u="none" baseline="0">
                <a:solidFill>
                  <a:schemeClr val="dk1"/>
                </a:solidFill>
              </a:rPr>
              <a:t>  </a:t>
            </a:r>
            <a:r>
              <a:rPr lang="es-CL" sz="1100" b="0" i="0" u="none">
                <a:solidFill>
                  <a:schemeClr val="dk1"/>
                </a:solidFill>
              </a:rPr>
              <a:t>4%</a:t>
            </a:r>
          </a:p>
        </xdr:txBody>
      </xdr:sp>
      <xdr:sp macro="" textlink="">
        <xdr:nvSpPr>
          <xdr:cNvPr id="324" name="POWER_USER_SANKEY_CHART_CONNECTED_SUB_CATEGORY_SHAPE_5_14" descr="{&quot;Id&quot;:&quot;8393C207-165A-4500-8929-963D9644BD58&quot;,&quot;Value&quot;:0.0829129253694235,&quot;Percentage&quot;:0.04145646268471178}">
            <a:extLst>
              <a:ext uri="{FF2B5EF4-FFF2-40B4-BE49-F238E27FC236}">
                <a16:creationId xmlns:a16="http://schemas.microsoft.com/office/drawing/2014/main" id="{00000000-0008-0000-0700-000044010000}"/>
              </a:ext>
            </a:extLst>
          </xdr:cNvPr>
          <xdr:cNvSpPr/>
        </xdr:nvSpPr>
        <xdr:spPr>
          <a:xfrm>
            <a:off x="26400125" y="3983814"/>
            <a:ext cx="0" cy="157949"/>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26" name="POWER_USER_SANKEY_CHART_CATEGORY_LINE_SHAPE" descr="{&quot;Id&quot;:&quot;B02473CD-2249-4404-9183-4766F4728745&quot;,&quot;Value&quot;:0.0233490747271215,&quot;Percentage&quot;:0.011674537363560757}">
            <a:extLst>
              <a:ext uri="{FF2B5EF4-FFF2-40B4-BE49-F238E27FC236}">
                <a16:creationId xmlns:a16="http://schemas.microsoft.com/office/drawing/2014/main" id="{00000000-0008-0000-0700-000046010000}"/>
              </a:ext>
            </a:extLst>
          </xdr:cNvPr>
          <xdr:cNvSpPr/>
        </xdr:nvSpPr>
        <xdr:spPr>
          <a:xfrm>
            <a:off x="26374725" y="4268763"/>
            <a:ext cx="63500" cy="44480"/>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27" name="POWER_USER_SANKEY_CHART_CATEGORY_SHAPE" descr="{&quot;Id&quot;:&quot;B02473CD-2249-4404-9183-4766F4728745&quot;,&quot;Value&quot;:0.0233490747271215,&quot;Percentage&quot;:0.011674537363560757}">
            <a:extLst>
              <a:ext uri="{FF2B5EF4-FFF2-40B4-BE49-F238E27FC236}">
                <a16:creationId xmlns:a16="http://schemas.microsoft.com/office/drawing/2014/main" id="{00000000-0008-0000-0700-000047010000}"/>
              </a:ext>
            </a:extLst>
          </xdr:cNvPr>
          <xdr:cNvSpPr/>
        </xdr:nvSpPr>
        <xdr:spPr>
          <a:xfrm>
            <a:off x="26438227" y="4268763"/>
            <a:ext cx="1619985" cy="106815"/>
          </a:xfrm>
          <a:prstGeom prst="rect">
            <a:avLst/>
          </a:prstGeom>
          <a:solidFill>
            <a:srgbClr val="FFC000"/>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Sect_01 (Lum Of) 0,02</a:t>
            </a:r>
            <a:r>
              <a:rPr lang="es-CL" sz="1100" b="0" i="0" u="none" baseline="0">
                <a:solidFill>
                  <a:schemeClr val="dk1"/>
                </a:solidFill>
              </a:rPr>
              <a:t>  </a:t>
            </a:r>
            <a:r>
              <a:rPr lang="es-CL" sz="1100" b="0" i="0" u="none">
                <a:solidFill>
                  <a:schemeClr val="dk1"/>
                </a:solidFill>
              </a:rPr>
              <a:t>1%</a:t>
            </a:r>
          </a:p>
        </xdr:txBody>
      </xdr:sp>
      <xdr:sp macro="" textlink="">
        <xdr:nvSpPr>
          <xdr:cNvPr id="328" name="POWER_USER_SANKEY_CHART_CONNECTED_SUB_CATEGORY_SHAPE_5_15" descr="{&quot;Id&quot;:&quot;B02473CD-2249-4404-9183-4766F4728745&quot;,&quot;Value&quot;:0.0233490747271215,&quot;Percentage&quot;:0.011674537363560757}">
            <a:extLst>
              <a:ext uri="{FF2B5EF4-FFF2-40B4-BE49-F238E27FC236}">
                <a16:creationId xmlns:a16="http://schemas.microsoft.com/office/drawing/2014/main" id="{00000000-0008-0000-0700-000048010000}"/>
              </a:ext>
            </a:extLst>
          </xdr:cNvPr>
          <xdr:cNvSpPr/>
        </xdr:nvSpPr>
        <xdr:spPr>
          <a:xfrm>
            <a:off x="26400125" y="4268763"/>
            <a:ext cx="0" cy="44480"/>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30" name="POWER_USER_SANKEY_CHART_CATEGORY_LINE_SHAPE" descr="{&quot;Id&quot;:&quot;C6ACA362-7D99-4A97-B957-C30F8F2913EF&quot;,&quot;Value&quot;:0.259262339712851,&quot;Percentage&quot;:0.12963116985642559}">
            <a:extLst>
              <a:ext uri="{FF2B5EF4-FFF2-40B4-BE49-F238E27FC236}">
                <a16:creationId xmlns:a16="http://schemas.microsoft.com/office/drawing/2014/main" id="{00000000-0008-0000-0700-00004A010000}"/>
              </a:ext>
            </a:extLst>
          </xdr:cNvPr>
          <xdr:cNvSpPr/>
        </xdr:nvSpPr>
        <xdr:spPr>
          <a:xfrm>
            <a:off x="26374725" y="4440243"/>
            <a:ext cx="63500" cy="493895"/>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31" name="POWER_USER_SANKEY_CHART_CATEGORY_SHAPE" descr="{&quot;Id&quot;:&quot;C6ACA362-7D99-4A97-B957-C30F8F2913EF&quot;,&quot;Value&quot;:0.259262339712851,&quot;Percentage&quot;:0.12963116985642559}">
            <a:extLst>
              <a:ext uri="{FF2B5EF4-FFF2-40B4-BE49-F238E27FC236}">
                <a16:creationId xmlns:a16="http://schemas.microsoft.com/office/drawing/2014/main" id="{00000000-0008-0000-0700-00004B010000}"/>
              </a:ext>
            </a:extLst>
          </xdr:cNvPr>
          <xdr:cNvSpPr/>
        </xdr:nvSpPr>
        <xdr:spPr>
          <a:xfrm>
            <a:off x="26438224" y="4440243"/>
            <a:ext cx="1619988" cy="493895"/>
          </a:xfrm>
          <a:prstGeom prst="rect">
            <a:avLst/>
          </a:prstGeom>
          <a:solidFill>
            <a:srgbClr val="00B0F0"/>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Sect_02 (AA Of)
0,26
13%</a:t>
            </a:r>
          </a:p>
        </xdr:txBody>
      </xdr:sp>
      <xdr:sp macro="" textlink="">
        <xdr:nvSpPr>
          <xdr:cNvPr id="332" name="POWER_USER_SANKEY_CHART_CONNECTED_SUB_CATEGORY_SHAPE_5_16" descr="{&quot;Id&quot;:&quot;C6ACA362-7D99-4A97-B957-C30F8F2913EF&quot;,&quot;Value&quot;:0.259262339712851,&quot;Percentage&quot;:0.12963116985642559}">
            <a:extLst>
              <a:ext uri="{FF2B5EF4-FFF2-40B4-BE49-F238E27FC236}">
                <a16:creationId xmlns:a16="http://schemas.microsoft.com/office/drawing/2014/main" id="{00000000-0008-0000-0700-00004C010000}"/>
              </a:ext>
            </a:extLst>
          </xdr:cNvPr>
          <xdr:cNvSpPr/>
        </xdr:nvSpPr>
        <xdr:spPr>
          <a:xfrm>
            <a:off x="26400125" y="4440243"/>
            <a:ext cx="0" cy="493895"/>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34" name="POWER_USER_SANKEY_CHART_CATEGORY_LINE_SHAPE" descr="{&quot;Id&quot;:&quot;07DCB90A-5D2A-445D-A331-F507C1AD5633&quot;,&quot;Value&quot;:0.0876873923747382,&quot;Percentage&quot;:0.043843696187369129}">
            <a:extLst>
              <a:ext uri="{FF2B5EF4-FFF2-40B4-BE49-F238E27FC236}">
                <a16:creationId xmlns:a16="http://schemas.microsoft.com/office/drawing/2014/main" id="{00000000-0008-0000-0700-00004E010000}"/>
              </a:ext>
            </a:extLst>
          </xdr:cNvPr>
          <xdr:cNvSpPr/>
        </xdr:nvSpPr>
        <xdr:spPr>
          <a:xfrm>
            <a:off x="26374725" y="5061138"/>
            <a:ext cx="63500" cy="167044"/>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35" name="POWER_USER_SANKEY_CHART_CATEGORY_SHAPE" descr="{&quot;Id&quot;:&quot;07DCB90A-5D2A-445D-A331-F507C1AD5633&quot;,&quot;Value&quot;:0.0876873923747382,&quot;Percentage&quot;:0.043843696187369129}">
            <a:extLst>
              <a:ext uri="{FF2B5EF4-FFF2-40B4-BE49-F238E27FC236}">
                <a16:creationId xmlns:a16="http://schemas.microsoft.com/office/drawing/2014/main" id="{00000000-0008-0000-0700-00004F010000}"/>
              </a:ext>
            </a:extLst>
          </xdr:cNvPr>
          <xdr:cNvSpPr/>
        </xdr:nvSpPr>
        <xdr:spPr>
          <a:xfrm>
            <a:off x="26438224" y="5061138"/>
            <a:ext cx="1616665" cy="167044"/>
          </a:xfrm>
          <a:prstGeom prst="rect">
            <a:avLst/>
          </a:prstGeom>
          <a:solidFill>
            <a:srgbClr val="FFFF00"/>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Sect_02 (Lum Of) 0,09  4%</a:t>
            </a:r>
          </a:p>
        </xdr:txBody>
      </xdr:sp>
      <xdr:sp macro="" textlink="">
        <xdr:nvSpPr>
          <xdr:cNvPr id="336" name="POWER_USER_SANKEY_CHART_CONNECTED_SUB_CATEGORY_SHAPE_5_17" descr="{&quot;Id&quot;:&quot;07DCB90A-5D2A-445D-A331-F507C1AD5633&quot;,&quot;Value&quot;:0.0876873923747382,&quot;Percentage&quot;:0.043843696187369129}">
            <a:extLst>
              <a:ext uri="{FF2B5EF4-FFF2-40B4-BE49-F238E27FC236}">
                <a16:creationId xmlns:a16="http://schemas.microsoft.com/office/drawing/2014/main" id="{00000000-0008-0000-0700-000050010000}"/>
              </a:ext>
            </a:extLst>
          </xdr:cNvPr>
          <xdr:cNvSpPr/>
        </xdr:nvSpPr>
        <xdr:spPr>
          <a:xfrm>
            <a:off x="26400125" y="5061138"/>
            <a:ext cx="0" cy="167044"/>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38" name="POWER_USER_SANKEY_CHART_CATEGORY_LINE_SHAPE" descr="{&quot;Id&quot;:&quot;76C3FF85-7856-4836-9063-E24FFC93DE76&quot;,&quot;Value&quot;:0.21885566819615,&quot;Percentage&quot;:0.10942783409807506}">
            <a:extLst>
              <a:ext uri="{FF2B5EF4-FFF2-40B4-BE49-F238E27FC236}">
                <a16:creationId xmlns:a16="http://schemas.microsoft.com/office/drawing/2014/main" id="{00000000-0008-0000-0700-000052010000}"/>
              </a:ext>
            </a:extLst>
          </xdr:cNvPr>
          <xdr:cNvSpPr/>
        </xdr:nvSpPr>
        <xdr:spPr>
          <a:xfrm>
            <a:off x="26374725" y="5355182"/>
            <a:ext cx="63500" cy="416920"/>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39" name="POWER_USER_SANKEY_CHART_CATEGORY_SHAPE" descr="{&quot;Id&quot;:&quot;76C3FF85-7856-4836-9063-E24FFC93DE76&quot;,&quot;Value&quot;:0.21885566819615,&quot;Percentage&quot;:0.10942783409807506}">
            <a:extLst>
              <a:ext uri="{FF2B5EF4-FFF2-40B4-BE49-F238E27FC236}">
                <a16:creationId xmlns:a16="http://schemas.microsoft.com/office/drawing/2014/main" id="{00000000-0008-0000-0700-000053010000}"/>
              </a:ext>
            </a:extLst>
          </xdr:cNvPr>
          <xdr:cNvSpPr/>
        </xdr:nvSpPr>
        <xdr:spPr>
          <a:xfrm>
            <a:off x="26438225" y="5355182"/>
            <a:ext cx="1623312" cy="416920"/>
          </a:xfrm>
          <a:prstGeom prst="rect">
            <a:avLst/>
          </a:prstGeom>
          <a:solidFill>
            <a:schemeClr val="bg2">
              <a:lumMod val="90000"/>
            </a:schemeClr>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dk1"/>
                </a:solidFill>
              </a:rPr>
              <a:t>Sect_02 (Eq Lab) 0,22  11%</a:t>
            </a:r>
          </a:p>
        </xdr:txBody>
      </xdr:sp>
      <xdr:sp macro="" textlink="">
        <xdr:nvSpPr>
          <xdr:cNvPr id="340" name="POWER_USER_SANKEY_CHART_CONNECTED_SUB_CATEGORY_SHAPE_5_18" descr="{&quot;Id&quot;:&quot;76C3FF85-7856-4836-9063-E24FFC93DE76&quot;,&quot;Value&quot;:0.21885566819615,&quot;Percentage&quot;:0.10942783409807506}">
            <a:extLst>
              <a:ext uri="{FF2B5EF4-FFF2-40B4-BE49-F238E27FC236}">
                <a16:creationId xmlns:a16="http://schemas.microsoft.com/office/drawing/2014/main" id="{00000000-0008-0000-0700-000054010000}"/>
              </a:ext>
            </a:extLst>
          </xdr:cNvPr>
          <xdr:cNvSpPr/>
        </xdr:nvSpPr>
        <xdr:spPr>
          <a:xfrm>
            <a:off x="26400125" y="5355182"/>
            <a:ext cx="0" cy="416920"/>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42" name="POWER_USER_SANKEY_CHART_CATEGORY_LINE_SHAPE" descr="{&quot;Id&quot;:&quot;D55F6445-8BEA-452B-81AC-6C99A11B613E&quot;,&quot;Value&quot;:0.103358305455605,&quot;Percentage&quot;:0.051679152727802533}">
            <a:extLst>
              <a:ext uri="{FF2B5EF4-FFF2-40B4-BE49-F238E27FC236}">
                <a16:creationId xmlns:a16="http://schemas.microsoft.com/office/drawing/2014/main" id="{00000000-0008-0000-0700-000056010000}"/>
              </a:ext>
            </a:extLst>
          </xdr:cNvPr>
          <xdr:cNvSpPr/>
        </xdr:nvSpPr>
        <xdr:spPr>
          <a:xfrm>
            <a:off x="26374725" y="5899102"/>
            <a:ext cx="63500" cy="196898"/>
          </a:xfrm>
          <a:prstGeom prst="rect">
            <a:avLst/>
          </a:prstGeom>
          <a:solidFill>
            <a:schemeClr val="dk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sp macro="" textlink="">
        <xdr:nvSpPr>
          <xdr:cNvPr id="343" name="POWER_USER_SANKEY_CHART_CATEGORY_SHAPE" descr="{&quot;Id&quot;:&quot;D55F6445-8BEA-452B-81AC-6C99A11B613E&quot;,&quot;Value&quot;:0.103358305455605,&quot;Percentage&quot;:0.051679152727802533}">
            <a:extLst>
              <a:ext uri="{FF2B5EF4-FFF2-40B4-BE49-F238E27FC236}">
                <a16:creationId xmlns:a16="http://schemas.microsoft.com/office/drawing/2014/main" id="{00000000-0008-0000-0700-000057010000}"/>
              </a:ext>
            </a:extLst>
          </xdr:cNvPr>
          <xdr:cNvSpPr/>
        </xdr:nvSpPr>
        <xdr:spPr>
          <a:xfrm>
            <a:off x="26438225" y="5899102"/>
            <a:ext cx="1616665" cy="196898"/>
          </a:xfrm>
          <a:prstGeom prst="rect">
            <a:avLst/>
          </a:prstGeom>
          <a:solidFill>
            <a:srgbClr val="7030A0"/>
          </a:solidFill>
          <a:ln w="3175"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lstStyle/>
          <a:p>
            <a:pPr algn="ctr"/>
            <a:r>
              <a:rPr lang="es-CL" sz="1100" b="0" i="0" u="none">
                <a:solidFill>
                  <a:schemeClr val="bg1"/>
                </a:solidFill>
              </a:rPr>
              <a:t>Varios 0,1  5%</a:t>
            </a:r>
          </a:p>
        </xdr:txBody>
      </xdr:sp>
      <xdr:sp macro="" textlink="">
        <xdr:nvSpPr>
          <xdr:cNvPr id="344" name="POWER_USER_SANKEY_CHART_CONNECTED_SUB_CATEGORY_SHAPE_5_19" descr="{&quot;Id&quot;:&quot;D55F6445-8BEA-452B-81AC-6C99A11B613E&quot;,&quot;Value&quot;:0.103358305455605,&quot;Percentage&quot;:0.051679152727802533}">
            <a:extLst>
              <a:ext uri="{FF2B5EF4-FFF2-40B4-BE49-F238E27FC236}">
                <a16:creationId xmlns:a16="http://schemas.microsoft.com/office/drawing/2014/main" id="{00000000-0008-0000-0700-000058010000}"/>
              </a:ext>
            </a:extLst>
          </xdr:cNvPr>
          <xdr:cNvSpPr/>
        </xdr:nvSpPr>
        <xdr:spPr>
          <a:xfrm>
            <a:off x="26400125" y="5899102"/>
            <a:ext cx="0" cy="196898"/>
          </a:xfrm>
          <a:prstGeom prst="rect">
            <a:avLst/>
          </a:prstGeom>
          <a:solidFill>
            <a:schemeClr val="accent1"/>
          </a:solidFill>
          <a:ln w="3175" cap="flat" cmpd="sng" algn="ctr">
            <a:noFill/>
            <a:prstDash val="solid"/>
            <a:miter lim="800000"/>
          </a:ln>
          <a:effectLst/>
          <a:extLs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1"/>
          <a:lstStyle/>
          <a:p>
            <a:pPr algn="ctr"/>
            <a:endParaRPr lang="es-CL" sz="1100" b="0" i="0" u="none">
              <a:solidFill>
                <a:schemeClr val="dk1"/>
              </a:solidFill>
            </a:endParaRPr>
          </a:p>
        </xdr:txBody>
      </xdr:sp>
      <xdr:cxnSp macro="">
        <xdr:nvCxnSpPr>
          <xdr:cNvPr id="346"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5A010000}"/>
              </a:ext>
            </a:extLst>
          </xdr:cNvPr>
          <xdr:cNvCxnSpPr>
            <a:stCxn id="271" idx="3"/>
            <a:endCxn id="304" idx="1"/>
          </xdr:cNvCxnSpPr>
        </xdr:nvCxnSpPr>
        <xdr:spPr>
          <a:xfrm>
            <a:off x="21269326" y="1064902"/>
            <a:ext cx="5130799" cy="815623"/>
          </a:xfrm>
          <a:prstGeom prst="curvedConnector3">
            <a:avLst>
              <a:gd name="adj1" fmla="val 50000"/>
            </a:avLst>
          </a:prstGeom>
          <a:ln w="97804"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47"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5B010000}"/>
              </a:ext>
            </a:extLst>
          </xdr:cNvPr>
          <xdr:cNvCxnSpPr>
            <a:stCxn id="273" idx="3"/>
            <a:endCxn id="310" idx="1"/>
          </xdr:cNvCxnSpPr>
        </xdr:nvCxnSpPr>
        <xdr:spPr>
          <a:xfrm>
            <a:off x="21269326" y="1236037"/>
            <a:ext cx="5130799" cy="1113034"/>
          </a:xfrm>
          <a:prstGeom prst="curvedConnector3">
            <a:avLst>
              <a:gd name="adj1" fmla="val 50000"/>
            </a:avLst>
          </a:prstGeom>
          <a:ln w="244465"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48"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5C010000}"/>
              </a:ext>
            </a:extLst>
          </xdr:cNvPr>
          <xdr:cNvCxnSpPr>
            <a:stCxn id="275" idx="3"/>
            <a:endCxn id="316" idx="1"/>
          </xdr:cNvCxnSpPr>
        </xdr:nvCxnSpPr>
        <xdr:spPr>
          <a:xfrm>
            <a:off x="21269326" y="1371066"/>
            <a:ext cx="5130799" cy="2204062"/>
          </a:xfrm>
          <a:prstGeom prst="curvedConnector3">
            <a:avLst>
              <a:gd name="adj1" fmla="val 50000"/>
            </a:avLst>
          </a:prstGeom>
          <a:ln w="25594"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49"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5D010000}"/>
              </a:ext>
            </a:extLst>
          </xdr:cNvPr>
          <xdr:cNvCxnSpPr>
            <a:stCxn id="277" idx="3"/>
            <a:endCxn id="320" idx="1"/>
          </xdr:cNvCxnSpPr>
        </xdr:nvCxnSpPr>
        <xdr:spPr>
          <a:xfrm>
            <a:off x="21269326" y="1478011"/>
            <a:ext cx="5130799" cy="2306382"/>
          </a:xfrm>
          <a:prstGeom prst="curvedConnector3">
            <a:avLst>
              <a:gd name="adj1" fmla="val 50000"/>
            </a:avLst>
          </a:prstGeom>
          <a:ln w="188296"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0"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5E010000}"/>
              </a:ext>
            </a:extLst>
          </xdr:cNvPr>
          <xdr:cNvCxnSpPr>
            <a:stCxn id="279" idx="3"/>
            <a:endCxn id="324" idx="1"/>
          </xdr:cNvCxnSpPr>
        </xdr:nvCxnSpPr>
        <xdr:spPr>
          <a:xfrm>
            <a:off x="21269326" y="1674826"/>
            <a:ext cx="5130799" cy="2387963"/>
          </a:xfrm>
          <a:prstGeom prst="curvedConnector3">
            <a:avLst>
              <a:gd name="adj1" fmla="val 50000"/>
            </a:avLst>
          </a:prstGeom>
          <a:ln w="205334"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1"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5F010000}"/>
              </a:ext>
            </a:extLst>
          </xdr:cNvPr>
          <xdr:cNvCxnSpPr>
            <a:stCxn id="281" idx="3"/>
            <a:endCxn id="328" idx="1"/>
          </xdr:cNvCxnSpPr>
        </xdr:nvCxnSpPr>
        <xdr:spPr>
          <a:xfrm>
            <a:off x="21269326" y="1806405"/>
            <a:ext cx="5130799" cy="2484598"/>
          </a:xfrm>
          <a:prstGeom prst="curvedConnector3">
            <a:avLst>
              <a:gd name="adj1" fmla="val 50000"/>
            </a:avLst>
          </a:prstGeom>
          <a:ln w="57824"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2"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60010000}"/>
              </a:ext>
            </a:extLst>
          </xdr:cNvPr>
          <xdr:cNvCxnSpPr>
            <a:stCxn id="283" idx="3"/>
            <a:endCxn id="332" idx="1"/>
          </xdr:cNvCxnSpPr>
        </xdr:nvCxnSpPr>
        <xdr:spPr>
          <a:xfrm>
            <a:off x="21269326" y="2156349"/>
            <a:ext cx="5130799" cy="2530842"/>
          </a:xfrm>
          <a:prstGeom prst="curvedConnector3">
            <a:avLst>
              <a:gd name="adj1" fmla="val 50000"/>
            </a:avLst>
          </a:prstGeom>
          <a:ln w="642063"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3"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61010000}"/>
              </a:ext>
            </a:extLst>
          </xdr:cNvPr>
          <xdr:cNvCxnSpPr>
            <a:stCxn id="285" idx="3"/>
            <a:endCxn id="336" idx="1"/>
          </xdr:cNvCxnSpPr>
        </xdr:nvCxnSpPr>
        <xdr:spPr>
          <a:xfrm>
            <a:off x="21269326" y="2585959"/>
            <a:ext cx="5130799" cy="2558701"/>
          </a:xfrm>
          <a:prstGeom prst="curvedConnector3">
            <a:avLst>
              <a:gd name="adj1" fmla="val 50000"/>
            </a:avLst>
          </a:prstGeom>
          <a:ln w="217158"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4"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62010000}"/>
              </a:ext>
            </a:extLst>
          </xdr:cNvPr>
          <xdr:cNvCxnSpPr>
            <a:stCxn id="287" idx="3"/>
            <a:endCxn id="340" idx="1"/>
          </xdr:cNvCxnSpPr>
        </xdr:nvCxnSpPr>
        <xdr:spPr>
          <a:xfrm>
            <a:off x="21269326" y="2965536"/>
            <a:ext cx="5130799" cy="2598106"/>
          </a:xfrm>
          <a:prstGeom prst="curvedConnector3">
            <a:avLst>
              <a:gd name="adj1" fmla="val 50000"/>
            </a:avLst>
          </a:prstGeom>
          <a:ln w="541996"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5" name="POWER_USER_SANKEY_CHART_CONNECTOR_SHAPE" descr="{&quot;Id&quot;:&quot;788A1C66-DD84-421A-80D8-38A26CADB6A5&quot;,&quot;Value&quot;:0.99999999999999956,&quot;Percentage&quot;:0.50000000000000011}">
            <a:extLst>
              <a:ext uri="{FF2B5EF4-FFF2-40B4-BE49-F238E27FC236}">
                <a16:creationId xmlns:a16="http://schemas.microsoft.com/office/drawing/2014/main" id="{00000000-0008-0000-0700-000063010000}"/>
              </a:ext>
            </a:extLst>
          </xdr:cNvPr>
          <xdr:cNvCxnSpPr>
            <a:stCxn id="289" idx="3"/>
            <a:endCxn id="344" idx="1"/>
          </xdr:cNvCxnSpPr>
        </xdr:nvCxnSpPr>
        <xdr:spPr>
          <a:xfrm>
            <a:off x="21269326" y="3364518"/>
            <a:ext cx="5130799" cy="2633033"/>
          </a:xfrm>
          <a:prstGeom prst="curvedConnector3">
            <a:avLst>
              <a:gd name="adj1" fmla="val 50000"/>
            </a:avLst>
          </a:prstGeom>
          <a:ln w="255967" cap="flat" cmpd="sng" algn="ctr">
            <a:solidFill>
              <a:schemeClr val="accent1">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6" name="POWER_USER_SANKEY_CHART_CONNECTOR_SHAPE" descr="{&quot;Id&quot;:&quot;2C3AF878-C9EA-454C-9D98-88A573C64D49&quot;,&quot;Value&quot;:0.999999999999999,&quot;Percentage&quot;:0.49999999999999983}">
            <a:extLst>
              <a:ext uri="{FF2B5EF4-FFF2-40B4-BE49-F238E27FC236}">
                <a16:creationId xmlns:a16="http://schemas.microsoft.com/office/drawing/2014/main" id="{00000000-0008-0000-0700-000064010000}"/>
              </a:ext>
            </a:extLst>
          </xdr:cNvPr>
          <xdr:cNvCxnSpPr>
            <a:stCxn id="292" idx="3"/>
            <a:endCxn id="300" idx="1"/>
          </xdr:cNvCxnSpPr>
        </xdr:nvCxnSpPr>
        <xdr:spPr>
          <a:xfrm flipV="1">
            <a:off x="21269326" y="1365954"/>
            <a:ext cx="5130799" cy="2708487"/>
          </a:xfrm>
          <a:prstGeom prst="curvedConnector3">
            <a:avLst>
              <a:gd name="adj1" fmla="val 50000"/>
            </a:avLst>
          </a:prstGeom>
          <a:ln w="909881" cap="flat" cmpd="sng" algn="ctr">
            <a:solidFill>
              <a:schemeClr val="accent2">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7" name="POWER_USER_SANKEY_CHART_CONNECTOR_SHAPE" descr="{&quot;Id&quot;:&quot;2C3AF878-C9EA-454C-9D98-88A573C64D49&quot;,&quot;Value&quot;:0.999999999999999,&quot;Percentage&quot;:0.49999999999999983}">
            <a:extLst>
              <a:ext uri="{FF2B5EF4-FFF2-40B4-BE49-F238E27FC236}">
                <a16:creationId xmlns:a16="http://schemas.microsoft.com/office/drawing/2014/main" id="{00000000-0008-0000-0700-000065010000}"/>
              </a:ext>
            </a:extLst>
          </xdr:cNvPr>
          <xdr:cNvCxnSpPr>
            <a:stCxn id="294" idx="3"/>
            <a:endCxn id="306" idx="1"/>
          </xdr:cNvCxnSpPr>
        </xdr:nvCxnSpPr>
        <xdr:spPr>
          <a:xfrm flipV="1">
            <a:off x="21269326" y="2023094"/>
            <a:ext cx="5130799" cy="2642725"/>
          </a:xfrm>
          <a:prstGeom prst="curvedConnector3">
            <a:avLst>
              <a:gd name="adj1" fmla="val 50000"/>
            </a:avLst>
          </a:prstGeom>
          <a:ln w="272875" cap="flat" cmpd="sng" algn="ctr">
            <a:solidFill>
              <a:schemeClr val="accent2">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cxnSp macro="">
        <xdr:nvCxnSpPr>
          <xdr:cNvPr id="358" name="POWER_USER_SANKEY_CHART_CONNECTOR_SHAPE" descr="{&quot;Id&quot;:&quot;2C3AF878-C9EA-454C-9D98-88A573C64D49&quot;,&quot;Value&quot;:0.999999999999999,&quot;Percentage&quot;:0.49999999999999983}">
            <a:extLst>
              <a:ext uri="{FF2B5EF4-FFF2-40B4-BE49-F238E27FC236}">
                <a16:creationId xmlns:a16="http://schemas.microsoft.com/office/drawing/2014/main" id="{00000000-0008-0000-0700-000066010000}"/>
              </a:ext>
            </a:extLst>
          </xdr:cNvPr>
          <xdr:cNvCxnSpPr>
            <a:stCxn id="296" idx="3"/>
            <a:endCxn id="312" idx="1"/>
          </xdr:cNvCxnSpPr>
        </xdr:nvCxnSpPr>
        <xdr:spPr>
          <a:xfrm flipV="1">
            <a:off x="21269326" y="2940690"/>
            <a:ext cx="5130799" cy="2508438"/>
          </a:xfrm>
          <a:prstGeom prst="curvedConnector3">
            <a:avLst>
              <a:gd name="adj1" fmla="val 50000"/>
            </a:avLst>
          </a:prstGeom>
          <a:ln w="1293744" cap="flat" cmpd="sng" algn="ctr">
            <a:solidFill>
              <a:schemeClr val="accent2">
                <a:alpha val="40000"/>
              </a:schemeClr>
            </a:solidFill>
            <a:prstDash val="solid"/>
            <a:miter lim="800000"/>
            <a:headEnd type="none" w="med" len="med"/>
            <a:tailEnd type="none" w="med" len="med"/>
          </a:ln>
        </xdr:spPr>
        <xdr:style>
          <a:lnRef idx="2">
            <a:schemeClr val="accent1"/>
          </a:lnRef>
          <a:fillRef idx="0">
            <a:schemeClr val="accent1"/>
          </a:fillRef>
          <a:effectRef idx="1">
            <a:schemeClr val="accent1"/>
          </a:effectRef>
          <a:fontRef idx="minor">
            <a:schemeClr val="tx1"/>
          </a:fontRef>
        </xdr:style>
      </xdr:cxnSp>
      <xdr:sp macro="" textlink="">
        <xdr:nvSpPr>
          <xdr:cNvPr id="359" name="POWER_USER_SANKEY_CHART_TOTAL_SHAPE" descr="{&quot;Id&quot;:&quot;6B02B358-F1C8-450E-8BE0-0267D41E4991&quot;,&quot;Value&quot;:1.9999999999999987,&quot;Percentage&quot;:0.0}">
            <a:extLst>
              <a:ext uri="{FF2B5EF4-FFF2-40B4-BE49-F238E27FC236}">
                <a16:creationId xmlns:a16="http://schemas.microsoft.com/office/drawing/2014/main" id="{00000000-0008-0000-0700-000067010000}"/>
              </a:ext>
            </a:extLst>
          </xdr:cNvPr>
          <xdr:cNvSpPr txBox="1"/>
        </xdr:nvSpPr>
        <xdr:spPr>
          <a:xfrm>
            <a:off x="20024725" y="825500"/>
            <a:ext cx="7683500" cy="190500"/>
          </a:xfrm>
          <a:prstGeom prst="rect">
            <a:avLst/>
          </a:prstGeom>
          <a:noFill/>
          <a:ln w="3175" cmpd="sng">
            <a:noFill/>
            <a:prstDash val="solid"/>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3175" cmpd="sng">
                <a:solidFill>
                  <a:schemeClr val="dk1"/>
                </a:solidFill>
                <a:prstDash val="solid"/>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ctr" anchorCtr="0">
            <a:noAutofit/>
          </a:bodyPr>
          <a:lstStyle/>
          <a:p>
            <a:pPr algn="ctr"/>
            <a:r>
              <a:rPr lang="es-CL" sz="1100" b="1" i="0">
                <a:solidFill>
                  <a:schemeClr val="dk1"/>
                </a:solidFill>
                <a:effectLst/>
                <a:latin typeface="+mn-lt"/>
                <a:ea typeface="+mn-ea"/>
                <a:cs typeface="+mn-cs"/>
              </a:rPr>
              <a:t>Balance Energético [kWh] | Total = 2</a:t>
            </a:r>
            <a:endParaRPr lang="es-CL">
              <a:effectLst/>
            </a:endParaRPr>
          </a:p>
        </xdr:txBody>
      </xdr:sp>
      <xdr:sp macro="" textlink="">
        <xdr:nvSpPr>
          <xdr:cNvPr id="272" name="POWER_USER_SANKEY_CHART_SUB_SERIE_SHAPE" descr="{&quot;Id&quot;:&quot;788A1C66-DD84-421A-80D8-38A26CADB6A5&quot;,&quot;Value&quot;:0.0394928909122521,&quot;Percentage&quot;:0.019746445456126065}">
            <a:extLst>
              <a:ext uri="{FF2B5EF4-FFF2-40B4-BE49-F238E27FC236}">
                <a16:creationId xmlns:a16="http://schemas.microsoft.com/office/drawing/2014/main" id="{00000000-0008-0000-0700-000010010000}"/>
              </a:ext>
            </a:extLst>
          </xdr:cNvPr>
          <xdr:cNvSpPr/>
        </xdr:nvSpPr>
        <xdr:spPr>
          <a:xfrm>
            <a:off x="21294725" y="1016000"/>
            <a:ext cx="2540000" cy="97804"/>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0,04</a:t>
            </a:r>
          </a:p>
        </xdr:txBody>
      </xdr:sp>
      <xdr:sp macro="" textlink="">
        <xdr:nvSpPr>
          <xdr:cNvPr id="274" name="POWER_USER_SANKEY_CHART_SUB_SERIE_SHAPE" descr="{&quot;Id&quot;:&quot;788A1C66-DD84-421A-80D8-38A26CADB6A5&quot;,&quot;Value&quot;:0.0987137726587087,&quot;Percentage&quot;:0.049356886329354387}">
            <a:extLst>
              <a:ext uri="{FF2B5EF4-FFF2-40B4-BE49-F238E27FC236}">
                <a16:creationId xmlns:a16="http://schemas.microsoft.com/office/drawing/2014/main" id="{00000000-0008-0000-0700-000012010000}"/>
              </a:ext>
            </a:extLst>
          </xdr:cNvPr>
          <xdr:cNvSpPr/>
        </xdr:nvSpPr>
        <xdr:spPr>
          <a:xfrm>
            <a:off x="21294725" y="1113804"/>
            <a:ext cx="2540000" cy="244465"/>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0,1</a:t>
            </a:r>
          </a:p>
        </xdr:txBody>
      </xdr:sp>
      <xdr:sp macro="" textlink="">
        <xdr:nvSpPr>
          <xdr:cNvPr id="276" name="POWER_USER_SANKEY_CHART_SUB_SERIE_SHAPE" descr="{&quot;Id&quot;:&quot;788A1C66-DD84-421A-80D8-38A26CADB6A5&quot;,&quot;Value&quot;:0.0103345882761034,&quot;Percentage&quot;:0.0051672941380517031}">
            <a:extLst>
              <a:ext uri="{FF2B5EF4-FFF2-40B4-BE49-F238E27FC236}">
                <a16:creationId xmlns:a16="http://schemas.microsoft.com/office/drawing/2014/main" id="{00000000-0008-0000-0700-000014010000}"/>
              </a:ext>
            </a:extLst>
          </xdr:cNvPr>
          <xdr:cNvSpPr/>
        </xdr:nvSpPr>
        <xdr:spPr>
          <a:xfrm>
            <a:off x="21294725" y="1311820"/>
            <a:ext cx="2540000" cy="107686"/>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0,01</a:t>
            </a:r>
          </a:p>
        </xdr:txBody>
      </xdr:sp>
      <xdr:sp macro="" textlink="">
        <xdr:nvSpPr>
          <xdr:cNvPr id="278" name="POWER_USER_SANKEY_CHART_SUB_SERIE_SHAPE" descr="{&quot;Id&quot;:&quot;788A1C66-DD84-421A-80D8-38A26CADB6A5&quot;,&quot;Value&quot;:0.0760330423170461,&quot;Percentage&quot;:0.038016521158523081}">
            <a:extLst>
              <a:ext uri="{FF2B5EF4-FFF2-40B4-BE49-F238E27FC236}">
                <a16:creationId xmlns:a16="http://schemas.microsoft.com/office/drawing/2014/main" id="{00000000-0008-0000-0700-000016010000}"/>
              </a:ext>
            </a:extLst>
          </xdr:cNvPr>
          <xdr:cNvSpPr/>
        </xdr:nvSpPr>
        <xdr:spPr>
          <a:xfrm>
            <a:off x="21294725" y="1383863"/>
            <a:ext cx="2540000" cy="188296"/>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0,08</a:t>
            </a:r>
          </a:p>
        </xdr:txBody>
      </xdr:sp>
      <xdr:sp macro="" textlink="">
        <xdr:nvSpPr>
          <xdr:cNvPr id="280" name="POWER_USER_SANKEY_CHART_SUB_SERIE_SHAPE" descr="{&quot;Id&quot;:&quot;788A1C66-DD84-421A-80D8-38A26CADB6A5&quot;,&quot;Value&quot;:0.0829129253694235,&quot;Percentage&quot;:0.04145646268471178}">
            <a:extLst>
              <a:ext uri="{FF2B5EF4-FFF2-40B4-BE49-F238E27FC236}">
                <a16:creationId xmlns:a16="http://schemas.microsoft.com/office/drawing/2014/main" id="{00000000-0008-0000-0700-000018010000}"/>
              </a:ext>
            </a:extLst>
          </xdr:cNvPr>
          <xdr:cNvSpPr/>
        </xdr:nvSpPr>
        <xdr:spPr>
          <a:xfrm>
            <a:off x="21294725" y="1572159"/>
            <a:ext cx="2540000" cy="205334"/>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0,08</a:t>
            </a:r>
          </a:p>
        </xdr:txBody>
      </xdr:sp>
      <xdr:sp macro="" textlink="">
        <xdr:nvSpPr>
          <xdr:cNvPr id="282" name="POWER_USER_SANKEY_CHART_SUB_SERIE_SHAPE" descr="{&quot;Id&quot;:&quot;788A1C66-DD84-421A-80D8-38A26CADB6A5&quot;,&quot;Value&quot;:0.0233490747271215,&quot;Percentage&quot;:0.011674537363560757}">
            <a:extLst>
              <a:ext uri="{FF2B5EF4-FFF2-40B4-BE49-F238E27FC236}">
                <a16:creationId xmlns:a16="http://schemas.microsoft.com/office/drawing/2014/main" id="{00000000-0008-0000-0700-00001A010000}"/>
              </a:ext>
            </a:extLst>
          </xdr:cNvPr>
          <xdr:cNvSpPr/>
        </xdr:nvSpPr>
        <xdr:spPr>
          <a:xfrm>
            <a:off x="21294725" y="1777492"/>
            <a:ext cx="2540000" cy="82187"/>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0,02</a:t>
            </a:r>
          </a:p>
        </xdr:txBody>
      </xdr:sp>
      <xdr:sp macro="" textlink="">
        <xdr:nvSpPr>
          <xdr:cNvPr id="284" name="POWER_USER_SANKEY_CHART_SUB_SERIE_SHAPE" descr="{&quot;Id&quot;:&quot;788A1C66-DD84-421A-80D8-38A26CADB6A5&quot;,&quot;Value&quot;:0.259262339712851,&quot;Percentage&quot;:0.12963116985642559}">
            <a:extLst>
              <a:ext uri="{FF2B5EF4-FFF2-40B4-BE49-F238E27FC236}">
                <a16:creationId xmlns:a16="http://schemas.microsoft.com/office/drawing/2014/main" id="{00000000-0008-0000-0700-00001C010000}"/>
              </a:ext>
            </a:extLst>
          </xdr:cNvPr>
          <xdr:cNvSpPr/>
        </xdr:nvSpPr>
        <xdr:spPr>
          <a:xfrm>
            <a:off x="21294725" y="1835317"/>
            <a:ext cx="2540000" cy="642063"/>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0,26</a:t>
            </a:r>
          </a:p>
        </xdr:txBody>
      </xdr:sp>
      <xdr:sp macro="" textlink="">
        <xdr:nvSpPr>
          <xdr:cNvPr id="286" name="POWER_USER_SANKEY_CHART_SUB_SERIE_SHAPE" descr="{&quot;Id&quot;:&quot;788A1C66-DD84-421A-80D8-38A26CADB6A5&quot;,&quot;Value&quot;:0.0876873923747382,&quot;Percentage&quot;:0.043843696187369129}">
            <a:extLst>
              <a:ext uri="{FF2B5EF4-FFF2-40B4-BE49-F238E27FC236}">
                <a16:creationId xmlns:a16="http://schemas.microsoft.com/office/drawing/2014/main" id="{00000000-0008-0000-0700-00001E010000}"/>
              </a:ext>
            </a:extLst>
          </xdr:cNvPr>
          <xdr:cNvSpPr/>
        </xdr:nvSpPr>
        <xdr:spPr>
          <a:xfrm>
            <a:off x="21294725" y="2477380"/>
            <a:ext cx="2540000" cy="217158"/>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0,09</a:t>
            </a:r>
          </a:p>
        </xdr:txBody>
      </xdr:sp>
      <xdr:sp macro="" textlink="">
        <xdr:nvSpPr>
          <xdr:cNvPr id="288" name="POWER_USER_SANKEY_CHART_SUB_SERIE_SHAPE" descr="{&quot;Id&quot;:&quot;788A1C66-DD84-421A-80D8-38A26CADB6A5&quot;,&quot;Value&quot;:0.21885566819615,&quot;Percentage&quot;:0.10942783409807506}">
            <a:extLst>
              <a:ext uri="{FF2B5EF4-FFF2-40B4-BE49-F238E27FC236}">
                <a16:creationId xmlns:a16="http://schemas.microsoft.com/office/drawing/2014/main" id="{00000000-0008-0000-0700-000020010000}"/>
              </a:ext>
            </a:extLst>
          </xdr:cNvPr>
          <xdr:cNvSpPr/>
        </xdr:nvSpPr>
        <xdr:spPr>
          <a:xfrm>
            <a:off x="21294725" y="2694538"/>
            <a:ext cx="2540000" cy="541996"/>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0,22</a:t>
            </a:r>
          </a:p>
        </xdr:txBody>
      </xdr:sp>
      <xdr:sp macro="" textlink="">
        <xdr:nvSpPr>
          <xdr:cNvPr id="290" name="POWER_USER_SANKEY_CHART_SUB_SERIE_SHAPE" descr="{&quot;Id&quot;:&quot;788A1C66-DD84-421A-80D8-38A26CADB6A5&quot;,&quot;Value&quot;:0.103358305455605,&quot;Percentage&quot;:0.051679152727802533}">
            <a:extLst>
              <a:ext uri="{FF2B5EF4-FFF2-40B4-BE49-F238E27FC236}">
                <a16:creationId xmlns:a16="http://schemas.microsoft.com/office/drawing/2014/main" id="{00000000-0008-0000-0700-000022010000}"/>
              </a:ext>
            </a:extLst>
          </xdr:cNvPr>
          <xdr:cNvSpPr/>
        </xdr:nvSpPr>
        <xdr:spPr>
          <a:xfrm>
            <a:off x="21294725" y="3236534"/>
            <a:ext cx="2540000" cy="255967"/>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0,1</a:t>
            </a:r>
          </a:p>
        </xdr:txBody>
      </xdr:sp>
      <xdr:sp macro="" textlink="">
        <xdr:nvSpPr>
          <xdr:cNvPr id="293" name="POWER_USER_SANKEY_CHART_SUB_SERIE_SHAPE" descr="{&quot;Id&quot;:&quot;2C3AF878-C9EA-454C-9D98-88A573C64D49&quot;,&quot;Value&quot;:0.367405783894664,&quot;Percentage&quot;:0.18370289194733211}">
            <a:extLst>
              <a:ext uri="{FF2B5EF4-FFF2-40B4-BE49-F238E27FC236}">
                <a16:creationId xmlns:a16="http://schemas.microsoft.com/office/drawing/2014/main" id="{00000000-0008-0000-0700-000025010000}"/>
              </a:ext>
            </a:extLst>
          </xdr:cNvPr>
          <xdr:cNvSpPr/>
        </xdr:nvSpPr>
        <xdr:spPr>
          <a:xfrm>
            <a:off x="21294725" y="3619500"/>
            <a:ext cx="2540000" cy="909881"/>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0,37</a:t>
            </a:r>
          </a:p>
        </xdr:txBody>
      </xdr:sp>
      <xdr:sp macro="" textlink="">
        <xdr:nvSpPr>
          <xdr:cNvPr id="295" name="POWER_USER_SANKEY_CHART_SUB_SERIE_SHAPE" descr="{&quot;Id&quot;:&quot;2C3AF878-C9EA-454C-9D98-88A573C64D49&quot;,&quot;Value&quot;:0.110186001113277,&quot;Percentage&quot;:0.055093000556638537}">
            <a:extLst>
              <a:ext uri="{FF2B5EF4-FFF2-40B4-BE49-F238E27FC236}">
                <a16:creationId xmlns:a16="http://schemas.microsoft.com/office/drawing/2014/main" id="{00000000-0008-0000-0700-000027010000}"/>
              </a:ext>
            </a:extLst>
          </xdr:cNvPr>
          <xdr:cNvSpPr/>
        </xdr:nvSpPr>
        <xdr:spPr>
          <a:xfrm>
            <a:off x="21294725" y="4529381"/>
            <a:ext cx="2540000" cy="272875"/>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0,11</a:t>
            </a:r>
          </a:p>
        </xdr:txBody>
      </xdr:sp>
      <xdr:sp macro="" textlink="">
        <xdr:nvSpPr>
          <xdr:cNvPr id="297" name="POWER_USER_SANKEY_CHART_SUB_SERIE_SHAPE" descr="{&quot;Id&quot;:&quot;2C3AF878-C9EA-454C-9D98-88A573C64D49&quot;,&quot;Value&quot;:0.522408214992058,&quot;Percentage&quot;:0.26120410749602918}">
            <a:extLst>
              <a:ext uri="{FF2B5EF4-FFF2-40B4-BE49-F238E27FC236}">
                <a16:creationId xmlns:a16="http://schemas.microsoft.com/office/drawing/2014/main" id="{00000000-0008-0000-0700-000029010000}"/>
              </a:ext>
            </a:extLst>
          </xdr:cNvPr>
          <xdr:cNvSpPr/>
        </xdr:nvSpPr>
        <xdr:spPr>
          <a:xfrm>
            <a:off x="21294725" y="4802256"/>
            <a:ext cx="2540000" cy="1293744"/>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alpha val="40000"/>
                  </a:schemeClr>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l"/>
            <a:r>
              <a:rPr lang="es-CL" sz="1100" b="0" i="0" u="none">
                <a:solidFill>
                  <a:schemeClr val="dk1"/>
                </a:solidFill>
              </a:rPr>
              <a:t>0,52</a:t>
            </a:r>
          </a:p>
        </xdr:txBody>
      </xdr:sp>
      <xdr:sp macro="" textlink="">
        <xdr:nvSpPr>
          <xdr:cNvPr id="301" name="POWER_USER_SANKEY_CHART_SUB_CATEGORY_SHAPE" descr="{&quot;Id&quot;:&quot;2C3AF878-C9EA-454C-9D98-88A573C64D49&quot;,&quot;Value&quot;:0.367405783894664,&quot;Percentage&quot;:0.18370289194733211}">
            <a:extLst>
              <a:ext uri="{FF2B5EF4-FFF2-40B4-BE49-F238E27FC236}">
                <a16:creationId xmlns:a16="http://schemas.microsoft.com/office/drawing/2014/main" id="{00000000-0008-0000-0700-00002D010000}"/>
              </a:ext>
            </a:extLst>
          </xdr:cNvPr>
          <xdr:cNvSpPr/>
        </xdr:nvSpPr>
        <xdr:spPr>
          <a:xfrm>
            <a:off x="23834725" y="1016000"/>
            <a:ext cx="2540000" cy="699908"/>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0,37</a:t>
            </a:r>
          </a:p>
        </xdr:txBody>
      </xdr:sp>
      <xdr:sp macro="" textlink="">
        <xdr:nvSpPr>
          <xdr:cNvPr id="305" name="POWER_USER_SANKEY_CHART_SUB_CATEGORY_SHAPE" descr="{&quot;Id&quot;:&quot;788A1C66-DD84-421A-80D8-38A26CADB6A5&quot;,&quot;Value&quot;:0.0394928909122521,&quot;Percentage&quot;:0.019746445456126065}">
            <a:extLst>
              <a:ext uri="{FF2B5EF4-FFF2-40B4-BE49-F238E27FC236}">
                <a16:creationId xmlns:a16="http://schemas.microsoft.com/office/drawing/2014/main" id="{00000000-0008-0000-0700-000031010000}"/>
              </a:ext>
            </a:extLst>
          </xdr:cNvPr>
          <xdr:cNvSpPr/>
        </xdr:nvSpPr>
        <xdr:spPr>
          <a:xfrm>
            <a:off x="23834725" y="1842908"/>
            <a:ext cx="2540000" cy="75234"/>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0,04</a:t>
            </a:r>
          </a:p>
        </xdr:txBody>
      </xdr:sp>
      <xdr:sp macro="" textlink="">
        <xdr:nvSpPr>
          <xdr:cNvPr id="307" name="POWER_USER_SANKEY_CHART_SUB_CATEGORY_SHAPE" descr="{&quot;Id&quot;:&quot;2C3AF878-C9EA-454C-9D98-88A573C64D49&quot;,&quot;Value&quot;:0.110186001113277,&quot;Percentage&quot;:0.055093000556638537}">
            <a:extLst>
              <a:ext uri="{FF2B5EF4-FFF2-40B4-BE49-F238E27FC236}">
                <a16:creationId xmlns:a16="http://schemas.microsoft.com/office/drawing/2014/main" id="{00000000-0008-0000-0700-000033010000}"/>
              </a:ext>
            </a:extLst>
          </xdr:cNvPr>
          <xdr:cNvSpPr/>
        </xdr:nvSpPr>
        <xdr:spPr>
          <a:xfrm>
            <a:off x="23834725" y="1918142"/>
            <a:ext cx="2540000" cy="209904"/>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0,11</a:t>
            </a:r>
          </a:p>
        </xdr:txBody>
      </xdr:sp>
      <xdr:sp macro="" textlink="">
        <xdr:nvSpPr>
          <xdr:cNvPr id="311" name="POWER_USER_SANKEY_CHART_SUB_CATEGORY_SHAPE" descr="{&quot;Id&quot;:&quot;788A1C66-DD84-421A-80D8-38A26CADB6A5&quot;,&quot;Value&quot;:0.0987137726587087,&quot;Percentage&quot;:0.049356886329354387}">
            <a:extLst>
              <a:ext uri="{FF2B5EF4-FFF2-40B4-BE49-F238E27FC236}">
                <a16:creationId xmlns:a16="http://schemas.microsoft.com/office/drawing/2014/main" id="{00000000-0008-0000-0700-000037010000}"/>
              </a:ext>
            </a:extLst>
          </xdr:cNvPr>
          <xdr:cNvSpPr/>
        </xdr:nvSpPr>
        <xdr:spPr>
          <a:xfrm>
            <a:off x="23834725" y="2255046"/>
            <a:ext cx="2540000" cy="188050"/>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0,1</a:t>
            </a:r>
          </a:p>
        </xdr:txBody>
      </xdr:sp>
      <xdr:sp macro="" textlink="">
        <xdr:nvSpPr>
          <xdr:cNvPr id="313" name="POWER_USER_SANKEY_CHART_SUB_CATEGORY_SHAPE" descr="{&quot;Id&quot;:&quot;2C3AF878-C9EA-454C-9D98-88A573C64D49&quot;,&quot;Value&quot;:0.522408214992058,&quot;Percentage&quot;:0.26120410749602918}">
            <a:extLst>
              <a:ext uri="{FF2B5EF4-FFF2-40B4-BE49-F238E27FC236}">
                <a16:creationId xmlns:a16="http://schemas.microsoft.com/office/drawing/2014/main" id="{00000000-0008-0000-0700-000039010000}"/>
              </a:ext>
            </a:extLst>
          </xdr:cNvPr>
          <xdr:cNvSpPr/>
        </xdr:nvSpPr>
        <xdr:spPr>
          <a:xfrm>
            <a:off x="23834725" y="2443096"/>
            <a:ext cx="2540000" cy="995188"/>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0,52</a:t>
            </a:r>
          </a:p>
        </xdr:txBody>
      </xdr:sp>
      <xdr:sp macro="" textlink="">
        <xdr:nvSpPr>
          <xdr:cNvPr id="317" name="POWER_USER_SANKEY_CHART_SUB_CATEGORY_SHAPE" descr="{&quot;Id&quot;:&quot;788A1C66-DD84-421A-80D8-38A26CADB6A5&quot;,&quot;Value&quot;:0.0103345882761034,&quot;Percentage&quot;:0.0051672941380517031}">
            <a:extLst>
              <a:ext uri="{FF2B5EF4-FFF2-40B4-BE49-F238E27FC236}">
                <a16:creationId xmlns:a16="http://schemas.microsoft.com/office/drawing/2014/main" id="{00000000-0008-0000-0700-00003D010000}"/>
              </a:ext>
            </a:extLst>
          </xdr:cNvPr>
          <xdr:cNvSpPr/>
        </xdr:nvSpPr>
        <xdr:spPr>
          <a:xfrm>
            <a:off x="23834725" y="3501915"/>
            <a:ext cx="2540000" cy="128931"/>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0,01</a:t>
            </a:r>
          </a:p>
        </xdr:txBody>
      </xdr:sp>
      <xdr:sp macro="" textlink="">
        <xdr:nvSpPr>
          <xdr:cNvPr id="321" name="POWER_USER_SANKEY_CHART_SUB_CATEGORY_SHAPE" descr="{&quot;Id&quot;:&quot;788A1C66-DD84-421A-80D8-38A26CADB6A5&quot;,&quot;Value&quot;:0.0760330423170461,&quot;Percentage&quot;:0.038016521158523081}">
            <a:extLst>
              <a:ext uri="{FF2B5EF4-FFF2-40B4-BE49-F238E27FC236}">
                <a16:creationId xmlns:a16="http://schemas.microsoft.com/office/drawing/2014/main" id="{00000000-0008-0000-0700-000041010000}"/>
              </a:ext>
            </a:extLst>
          </xdr:cNvPr>
          <xdr:cNvSpPr/>
        </xdr:nvSpPr>
        <xdr:spPr>
          <a:xfrm>
            <a:off x="23834725" y="3711971"/>
            <a:ext cx="2540000" cy="144843"/>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0,08</a:t>
            </a:r>
          </a:p>
        </xdr:txBody>
      </xdr:sp>
      <xdr:sp macro="" textlink="">
        <xdr:nvSpPr>
          <xdr:cNvPr id="325" name="POWER_USER_SANKEY_CHART_SUB_CATEGORY_SHAPE" descr="{&quot;Id&quot;:&quot;788A1C66-DD84-421A-80D8-38A26CADB6A5&quot;,&quot;Value&quot;:0.0829129253694235,&quot;Percentage&quot;:0.04145646268471178}">
            <a:extLst>
              <a:ext uri="{FF2B5EF4-FFF2-40B4-BE49-F238E27FC236}">
                <a16:creationId xmlns:a16="http://schemas.microsoft.com/office/drawing/2014/main" id="{00000000-0008-0000-0700-000045010000}"/>
              </a:ext>
            </a:extLst>
          </xdr:cNvPr>
          <xdr:cNvSpPr/>
        </xdr:nvSpPr>
        <xdr:spPr>
          <a:xfrm>
            <a:off x="23834725" y="3983814"/>
            <a:ext cx="2540000" cy="157949"/>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0,08</a:t>
            </a:r>
          </a:p>
        </xdr:txBody>
      </xdr:sp>
      <xdr:sp macro="" textlink="">
        <xdr:nvSpPr>
          <xdr:cNvPr id="329" name="POWER_USER_SANKEY_CHART_SUB_CATEGORY_SHAPE" descr="{&quot;Id&quot;:&quot;788A1C66-DD84-421A-80D8-38A26CADB6A5&quot;,&quot;Value&quot;:0.0233490747271215,&quot;Percentage&quot;:0.011674537363560757}">
            <a:extLst>
              <a:ext uri="{FF2B5EF4-FFF2-40B4-BE49-F238E27FC236}">
                <a16:creationId xmlns:a16="http://schemas.microsoft.com/office/drawing/2014/main" id="{00000000-0008-0000-0700-000049010000}"/>
              </a:ext>
            </a:extLst>
          </xdr:cNvPr>
          <xdr:cNvSpPr/>
        </xdr:nvSpPr>
        <xdr:spPr>
          <a:xfrm>
            <a:off x="23834725" y="4268763"/>
            <a:ext cx="2540000" cy="117697"/>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0,02</a:t>
            </a:r>
          </a:p>
        </xdr:txBody>
      </xdr:sp>
      <xdr:sp macro="" textlink="">
        <xdr:nvSpPr>
          <xdr:cNvPr id="333" name="POWER_USER_SANKEY_CHART_SUB_CATEGORY_SHAPE" descr="{&quot;Id&quot;:&quot;788A1C66-DD84-421A-80D8-38A26CADB6A5&quot;,&quot;Value&quot;:0.259262339712851,&quot;Percentage&quot;:0.12963116985642559}">
            <a:extLst>
              <a:ext uri="{FF2B5EF4-FFF2-40B4-BE49-F238E27FC236}">
                <a16:creationId xmlns:a16="http://schemas.microsoft.com/office/drawing/2014/main" id="{00000000-0008-0000-0700-00004D010000}"/>
              </a:ext>
            </a:extLst>
          </xdr:cNvPr>
          <xdr:cNvSpPr/>
        </xdr:nvSpPr>
        <xdr:spPr>
          <a:xfrm>
            <a:off x="23834725" y="4440243"/>
            <a:ext cx="2540000" cy="493895"/>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0,26</a:t>
            </a:r>
          </a:p>
        </xdr:txBody>
      </xdr:sp>
      <xdr:sp macro="" textlink="">
        <xdr:nvSpPr>
          <xdr:cNvPr id="337" name="POWER_USER_SANKEY_CHART_SUB_CATEGORY_SHAPE" descr="{&quot;Id&quot;:&quot;788A1C66-DD84-421A-80D8-38A26CADB6A5&quot;,&quot;Value&quot;:0.0876873923747382,&quot;Percentage&quot;:0.043843696187369129}">
            <a:extLst>
              <a:ext uri="{FF2B5EF4-FFF2-40B4-BE49-F238E27FC236}">
                <a16:creationId xmlns:a16="http://schemas.microsoft.com/office/drawing/2014/main" id="{00000000-0008-0000-0700-000051010000}"/>
              </a:ext>
            </a:extLst>
          </xdr:cNvPr>
          <xdr:cNvSpPr/>
        </xdr:nvSpPr>
        <xdr:spPr>
          <a:xfrm>
            <a:off x="23834725" y="5061138"/>
            <a:ext cx="2540000" cy="167044"/>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0,09</a:t>
            </a:r>
          </a:p>
        </xdr:txBody>
      </xdr:sp>
      <xdr:sp macro="" textlink="">
        <xdr:nvSpPr>
          <xdr:cNvPr id="341" name="POWER_USER_SANKEY_CHART_SUB_CATEGORY_SHAPE" descr="{&quot;Id&quot;:&quot;788A1C66-DD84-421A-80D8-38A26CADB6A5&quot;,&quot;Value&quot;:0.21885566819615,&quot;Percentage&quot;:0.10942783409807506}">
            <a:extLst>
              <a:ext uri="{FF2B5EF4-FFF2-40B4-BE49-F238E27FC236}">
                <a16:creationId xmlns:a16="http://schemas.microsoft.com/office/drawing/2014/main" id="{00000000-0008-0000-0700-000055010000}"/>
              </a:ext>
            </a:extLst>
          </xdr:cNvPr>
          <xdr:cNvSpPr/>
        </xdr:nvSpPr>
        <xdr:spPr>
          <a:xfrm>
            <a:off x="23834725" y="5355182"/>
            <a:ext cx="2540000" cy="416920"/>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0,22</a:t>
            </a:r>
          </a:p>
        </xdr:txBody>
      </xdr:sp>
      <xdr:sp macro="" textlink="">
        <xdr:nvSpPr>
          <xdr:cNvPr id="345" name="POWER_USER_SANKEY_CHART_SUB_CATEGORY_SHAPE" descr="{&quot;Id&quot;:&quot;788A1C66-DD84-421A-80D8-38A26CADB6A5&quot;,&quot;Value&quot;:0.103358305455605,&quot;Percentage&quot;:0.051679152727802533}">
            <a:extLst>
              <a:ext uri="{FF2B5EF4-FFF2-40B4-BE49-F238E27FC236}">
                <a16:creationId xmlns:a16="http://schemas.microsoft.com/office/drawing/2014/main" id="{00000000-0008-0000-0700-000059010000}"/>
              </a:ext>
            </a:extLst>
          </xdr:cNvPr>
          <xdr:cNvSpPr/>
        </xdr:nvSpPr>
        <xdr:spPr>
          <a:xfrm>
            <a:off x="23834725" y="5899102"/>
            <a:ext cx="2540000" cy="196898"/>
          </a:xfrm>
          <a:prstGeom prst="rect">
            <a:avLst/>
          </a:prstGeom>
          <a:noFill/>
          <a:ln w="3175"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3175" cap="flat" cmpd="sng" algn="ctr">
                <a:solidFill>
                  <a:schemeClr val="dk1"/>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chorCtr="0"/>
          <a:lstStyle/>
          <a:p>
            <a:pPr algn="r"/>
            <a:r>
              <a:rPr lang="es-CL" sz="1100" b="0" i="0" u="none">
                <a:solidFill>
                  <a:schemeClr val="dk1"/>
                </a:solidFill>
              </a:rPr>
              <a:t>0,1</a:t>
            </a:r>
          </a:p>
        </xdr:txBody>
      </xdr:sp>
    </xdr:grpSp>
    <xdr:clientData/>
  </xdr:twoCellAnchor>
</xdr:wsDr>
</file>

<file path=xl/drawings/drawing15.xml><?xml version="1.0" encoding="utf-8"?>
<xdr:wsDr xmlns:xdr="http://schemas.openxmlformats.org/drawingml/2006/spreadsheetDrawing" xmlns:a="http://schemas.openxmlformats.org/drawingml/2006/main">
  <xdr:oneCellAnchor>
    <xdr:from>
      <xdr:col>7</xdr:col>
      <xdr:colOff>429816</xdr:colOff>
      <xdr:row>31</xdr:row>
      <xdr:rowOff>120252</xdr:rowOff>
    </xdr:from>
    <xdr:ext cx="1249445" cy="284373"/>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00000000-0008-0000-0800-000005000000}"/>
                </a:ext>
              </a:extLst>
            </xdr:cNvPr>
            <xdr:cNvSpPr txBox="1"/>
          </xdr:nvSpPr>
          <xdr:spPr>
            <a:xfrm>
              <a:off x="7466410" y="6025752"/>
              <a:ext cx="1249445" cy="284373"/>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800" b="0" i="1">
                        <a:latin typeface="Cambria Math" panose="02040503050406030204" pitchFamily="18" charset="0"/>
                      </a:rPr>
                      <m:t>𝑄</m:t>
                    </m:r>
                    <m:r>
                      <a:rPr lang="es-ES" sz="1800" b="0" i="1">
                        <a:latin typeface="Cambria Math" panose="02040503050406030204" pitchFamily="18" charset="0"/>
                      </a:rPr>
                      <m:t>=</m:t>
                    </m:r>
                    <m:r>
                      <a:rPr lang="es-ES" sz="1800" b="0" i="1">
                        <a:latin typeface="Cambria Math" panose="02040503050406030204" pitchFamily="18" charset="0"/>
                      </a:rPr>
                      <m:t>𝑚𝐶𝑝</m:t>
                    </m:r>
                    <m:r>
                      <a:rPr lang="es-ES" sz="1800" b="0" i="1">
                        <a:latin typeface="Cambria Math" panose="02040503050406030204" pitchFamily="18" charset="0"/>
                        <a:ea typeface="Cambria Math" panose="02040503050406030204" pitchFamily="18" charset="0"/>
                      </a:rPr>
                      <m:t>∆</m:t>
                    </m:r>
                    <m:r>
                      <a:rPr lang="es-ES" sz="1800" b="0" i="1">
                        <a:latin typeface="Cambria Math" panose="02040503050406030204" pitchFamily="18" charset="0"/>
                        <a:ea typeface="Cambria Math" panose="02040503050406030204" pitchFamily="18" charset="0"/>
                      </a:rPr>
                      <m:t>𝑇</m:t>
                    </m:r>
                  </m:oMath>
                </m:oMathPara>
              </a14:m>
              <a:endParaRPr lang="es-CL" sz="1800"/>
            </a:p>
          </xdr:txBody>
        </xdr:sp>
      </mc:Choice>
      <mc:Fallback xmlns="">
        <xdr:sp macro="" textlink="">
          <xdr:nvSpPr>
            <xdr:cNvPr id="5" name="CuadroTexto 4">
              <a:extLst>
                <a:ext uri="{FF2B5EF4-FFF2-40B4-BE49-F238E27FC236}">
                  <a16:creationId xmlns:a16="http://schemas.microsoft.com/office/drawing/2014/main" id="{6F281B7C-25A2-0B4F-18AD-E7DC38944342}"/>
                </a:ext>
              </a:extLst>
            </xdr:cNvPr>
            <xdr:cNvSpPr txBox="1"/>
          </xdr:nvSpPr>
          <xdr:spPr>
            <a:xfrm>
              <a:off x="7466410" y="6025752"/>
              <a:ext cx="1249445" cy="284373"/>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800" b="0" i="0">
                  <a:latin typeface="Cambria Math" panose="02040503050406030204" pitchFamily="18" charset="0"/>
                </a:rPr>
                <a:t>𝑄=𝑚𝐶𝑝</a:t>
              </a:r>
              <a:r>
                <a:rPr lang="es-ES" sz="1800" b="0" i="0">
                  <a:latin typeface="Cambria Math" panose="02040503050406030204" pitchFamily="18" charset="0"/>
                  <a:ea typeface="Cambria Math" panose="02040503050406030204" pitchFamily="18" charset="0"/>
                </a:rPr>
                <a:t>∆𝑇</a:t>
              </a:r>
              <a:endParaRPr lang="es-CL" sz="1800"/>
            </a:p>
          </xdr:txBody>
        </xdr:sp>
      </mc:Fallback>
    </mc:AlternateContent>
    <xdr:clientData/>
  </xdr:oneCellAnchor>
  <xdr:oneCellAnchor>
    <xdr:from>
      <xdr:col>6</xdr:col>
      <xdr:colOff>48816</xdr:colOff>
      <xdr:row>42</xdr:row>
      <xdr:rowOff>13096</xdr:rowOff>
    </xdr:from>
    <xdr:ext cx="763542" cy="173766"/>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00000000-0008-0000-0800-00000A000000}"/>
                </a:ext>
              </a:extLst>
            </xdr:cNvPr>
            <xdr:cNvSpPr txBox="1"/>
          </xdr:nvSpPr>
          <xdr:spPr>
            <a:xfrm>
              <a:off x="6316266" y="8014096"/>
              <a:ext cx="76354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𝑄</m:t>
                    </m:r>
                    <m:r>
                      <a:rPr lang="es-ES" sz="1100" b="0" i="1">
                        <a:latin typeface="Cambria Math" panose="02040503050406030204" pitchFamily="18" charset="0"/>
                      </a:rPr>
                      <m:t>=</m:t>
                    </m:r>
                    <m:r>
                      <a:rPr lang="es-ES" sz="1100" b="0" i="1">
                        <a:latin typeface="Cambria Math" panose="02040503050406030204" pitchFamily="18" charset="0"/>
                      </a:rPr>
                      <m:t>𝑚𝐶𝑝</m:t>
                    </m:r>
                    <m:r>
                      <a:rPr lang="es-ES" sz="1100" b="0" i="1">
                        <a:latin typeface="Cambria Math" panose="02040503050406030204" pitchFamily="18" charset="0"/>
                        <a:ea typeface="Cambria Math" panose="02040503050406030204" pitchFamily="18" charset="0"/>
                      </a:rPr>
                      <m:t>∆</m:t>
                    </m:r>
                    <m:r>
                      <a:rPr lang="es-ES" sz="1100" b="0" i="1">
                        <a:latin typeface="Cambria Math" panose="02040503050406030204" pitchFamily="18" charset="0"/>
                        <a:ea typeface="Cambria Math" panose="02040503050406030204" pitchFamily="18" charset="0"/>
                      </a:rPr>
                      <m:t>𝑇</m:t>
                    </m:r>
                  </m:oMath>
                </m:oMathPara>
              </a14:m>
              <a:endParaRPr lang="es-CL" sz="1100"/>
            </a:p>
          </xdr:txBody>
        </xdr:sp>
      </mc:Choice>
      <mc:Fallback xmlns="">
        <xdr:sp macro="" textlink="">
          <xdr:nvSpPr>
            <xdr:cNvPr id="10" name="CuadroTexto 9">
              <a:extLst>
                <a:ext uri="{FF2B5EF4-FFF2-40B4-BE49-F238E27FC236}">
                  <a16:creationId xmlns:a16="http://schemas.microsoft.com/office/drawing/2014/main" id="{2EFE1F18-E535-4539-AAFC-B6A8EC2C4763}"/>
                </a:ext>
              </a:extLst>
            </xdr:cNvPr>
            <xdr:cNvSpPr txBox="1"/>
          </xdr:nvSpPr>
          <xdr:spPr>
            <a:xfrm>
              <a:off x="6316266" y="8014096"/>
              <a:ext cx="76354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𝑄=𝑚𝐶𝑝</a:t>
              </a:r>
              <a:r>
                <a:rPr lang="es-ES" sz="1100" b="0" i="0">
                  <a:latin typeface="Cambria Math" panose="02040503050406030204" pitchFamily="18" charset="0"/>
                  <a:ea typeface="Cambria Math" panose="02040503050406030204" pitchFamily="18" charset="0"/>
                </a:rPr>
                <a:t>∆𝑇</a:t>
              </a:r>
              <a:endParaRPr lang="es-CL" sz="1100"/>
            </a:p>
          </xdr:txBody>
        </xdr:sp>
      </mc:Fallback>
    </mc:AlternateContent>
    <xdr:clientData/>
  </xdr:oneCellAnchor>
  <xdr:oneCellAnchor>
    <xdr:from>
      <xdr:col>6</xdr:col>
      <xdr:colOff>47625</xdr:colOff>
      <xdr:row>43</xdr:row>
      <xdr:rowOff>59532</xdr:rowOff>
    </xdr:from>
    <xdr:ext cx="2357953" cy="351122"/>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00000000-0008-0000-0800-00000B000000}"/>
                </a:ext>
              </a:extLst>
            </xdr:cNvPr>
            <xdr:cNvSpPr txBox="1"/>
          </xdr:nvSpPr>
          <xdr:spPr>
            <a:xfrm>
              <a:off x="6315075" y="8251032"/>
              <a:ext cx="2357953" cy="3511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𝑄</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65.000 </m:t>
                        </m:r>
                        <m:r>
                          <a:rPr lang="es-ES" sz="1100" b="0" i="1">
                            <a:latin typeface="Cambria Math" panose="02040503050406030204" pitchFamily="18" charset="0"/>
                          </a:rPr>
                          <m:t>𝑘𝑔</m:t>
                        </m:r>
                      </m:num>
                      <m:den>
                        <m:r>
                          <a:rPr lang="es-ES" sz="1100" b="0" i="1">
                            <a:latin typeface="Cambria Math" panose="02040503050406030204" pitchFamily="18" charset="0"/>
                          </a:rPr>
                          <m:t>𝑚𝑒𝑠</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1.9 </m:t>
                        </m:r>
                        <m:r>
                          <a:rPr lang="es-ES" sz="1100" b="0" i="1">
                            <a:latin typeface="Cambria Math" panose="02040503050406030204" pitchFamily="18" charset="0"/>
                          </a:rPr>
                          <m:t>𝑘𝐽</m:t>
                        </m:r>
                      </m:num>
                      <m:den>
                        <m:r>
                          <a:rPr lang="es-ES" sz="1100" b="0" i="1">
                            <a:latin typeface="Cambria Math" panose="02040503050406030204" pitchFamily="18" charset="0"/>
                          </a:rPr>
                          <m:t>𝑘𝑔</m:t>
                        </m:r>
                        <m:r>
                          <a:rPr lang="es-ES" sz="1100" b="0" i="1">
                            <a:latin typeface="Cambria Math" panose="02040503050406030204" pitchFamily="18" charset="0"/>
                          </a:rPr>
                          <m:t>°</m:t>
                        </m:r>
                        <m:r>
                          <a:rPr lang="es-ES" sz="1100" b="0" i="1">
                            <a:latin typeface="Cambria Math" panose="02040503050406030204" pitchFamily="18" charset="0"/>
                          </a:rPr>
                          <m:t>𝐶</m:t>
                        </m:r>
                      </m:den>
                    </m:f>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145−25</m:t>
                        </m:r>
                      </m:e>
                    </m:d>
                    <m:r>
                      <a:rPr lang="es-ES" sz="1100" b="0" i="1">
                        <a:latin typeface="Cambria Math" panose="02040503050406030204" pitchFamily="18" charset="0"/>
                      </a:rPr>
                      <m:t>°</m:t>
                    </m:r>
                    <m:r>
                      <a:rPr lang="es-ES" sz="1100" b="0" i="1">
                        <a:latin typeface="Cambria Math" panose="02040503050406030204" pitchFamily="18" charset="0"/>
                      </a:rPr>
                      <m:t>𝐶</m:t>
                    </m:r>
                  </m:oMath>
                </m:oMathPara>
              </a14:m>
              <a:endParaRPr lang="es-CL" sz="1100"/>
            </a:p>
          </xdr:txBody>
        </xdr:sp>
      </mc:Choice>
      <mc:Fallback xmlns="">
        <xdr:sp macro="" textlink="">
          <xdr:nvSpPr>
            <xdr:cNvPr id="11" name="CuadroTexto 10">
              <a:extLst>
                <a:ext uri="{FF2B5EF4-FFF2-40B4-BE49-F238E27FC236}">
                  <a16:creationId xmlns:a16="http://schemas.microsoft.com/office/drawing/2014/main" id="{14E50B42-056D-438E-93D2-CF328C73DD11}"/>
                </a:ext>
              </a:extLst>
            </xdr:cNvPr>
            <xdr:cNvSpPr txBox="1"/>
          </xdr:nvSpPr>
          <xdr:spPr>
            <a:xfrm>
              <a:off x="6315075" y="8251032"/>
              <a:ext cx="2357953" cy="3511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𝑄=(65.000 𝑘𝑔)/𝑚𝑒𝑠∗(1.9 𝑘𝐽)/(𝑘𝑔°𝐶)∗(145−25)°𝐶</a:t>
              </a:r>
              <a:endParaRPr lang="es-CL" sz="1100"/>
            </a:p>
          </xdr:txBody>
        </xdr:sp>
      </mc:Fallback>
    </mc:AlternateContent>
    <xdr:clientData/>
  </xdr:oneCellAnchor>
  <xdr:oneCellAnchor>
    <xdr:from>
      <xdr:col>6</xdr:col>
      <xdr:colOff>198411</xdr:colOff>
      <xdr:row>45</xdr:row>
      <xdr:rowOff>171039</xdr:rowOff>
    </xdr:from>
    <xdr:ext cx="749372" cy="318036"/>
    <mc:AlternateContent xmlns:mc="http://schemas.openxmlformats.org/markup-compatibility/2006" xmlns:a14="http://schemas.microsoft.com/office/drawing/2010/main">
      <mc:Choice Requires="a14">
        <xdr:sp macro="" textlink="">
          <xdr:nvSpPr>
            <xdr:cNvPr id="12" name="CuadroTexto 11">
              <a:extLst>
                <a:ext uri="{FF2B5EF4-FFF2-40B4-BE49-F238E27FC236}">
                  <a16:creationId xmlns:a16="http://schemas.microsoft.com/office/drawing/2014/main" id="{00000000-0008-0000-0800-00000C000000}"/>
                </a:ext>
              </a:extLst>
            </xdr:cNvPr>
            <xdr:cNvSpPr txBox="1"/>
          </xdr:nvSpPr>
          <xdr:spPr>
            <a:xfrm>
              <a:off x="6465861" y="8743539"/>
              <a:ext cx="74937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𝑄</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14.8 </m:t>
                        </m:r>
                        <m:r>
                          <a:rPr lang="es-ES" sz="1100" b="0" i="1">
                            <a:latin typeface="Cambria Math" panose="02040503050406030204" pitchFamily="18" charset="0"/>
                          </a:rPr>
                          <m:t>𝐺𝐽</m:t>
                        </m:r>
                      </m:num>
                      <m:den>
                        <m:r>
                          <a:rPr lang="es-ES" sz="1100" b="0" i="1">
                            <a:latin typeface="Cambria Math" panose="02040503050406030204" pitchFamily="18" charset="0"/>
                          </a:rPr>
                          <m:t>𝑚𝑒𝑠</m:t>
                        </m:r>
                      </m:den>
                    </m:f>
                  </m:oMath>
                </m:oMathPara>
              </a14:m>
              <a:endParaRPr lang="es-CL" sz="1100"/>
            </a:p>
          </xdr:txBody>
        </xdr:sp>
      </mc:Choice>
      <mc:Fallback xmlns="">
        <xdr:sp macro="" textlink="">
          <xdr:nvSpPr>
            <xdr:cNvPr id="12" name="CuadroTexto 11">
              <a:extLst>
                <a:ext uri="{FF2B5EF4-FFF2-40B4-BE49-F238E27FC236}">
                  <a16:creationId xmlns:a16="http://schemas.microsoft.com/office/drawing/2014/main" id="{5A486B1F-B754-4EC1-94B5-104397775037}"/>
                </a:ext>
              </a:extLst>
            </xdr:cNvPr>
            <xdr:cNvSpPr txBox="1"/>
          </xdr:nvSpPr>
          <xdr:spPr>
            <a:xfrm>
              <a:off x="6465861" y="8743539"/>
              <a:ext cx="74937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𝑄=(14.8 𝐺𝐽)/𝑚𝑒𝑠</a:t>
              </a:r>
              <a:endParaRPr lang="es-CL" sz="1100"/>
            </a:p>
          </xdr:txBody>
        </xdr:sp>
      </mc:Fallback>
    </mc:AlternateContent>
    <xdr:clientData/>
  </xdr:oneCellAnchor>
  <xdr:twoCellAnchor>
    <xdr:from>
      <xdr:col>4</xdr:col>
      <xdr:colOff>238123</xdr:colOff>
      <xdr:row>0</xdr:row>
      <xdr:rowOff>190499</xdr:rowOff>
    </xdr:from>
    <xdr:to>
      <xdr:col>10</xdr:col>
      <xdr:colOff>233361</xdr:colOff>
      <xdr:row>15</xdr:row>
      <xdr:rowOff>76199</xdr:rowOff>
    </xdr:to>
    <xdr:graphicFrame macro="">
      <xdr:nvGraphicFramePr>
        <xdr:cNvPr id="2" name="Gráfico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238126</xdr:colOff>
      <xdr:row>1</xdr:row>
      <xdr:rowOff>11907</xdr:rowOff>
    </xdr:from>
    <xdr:to>
      <xdr:col>22</xdr:col>
      <xdr:colOff>233364</xdr:colOff>
      <xdr:row>15</xdr:row>
      <xdr:rowOff>88107</xdr:rowOff>
    </xdr:to>
    <xdr:graphicFrame macro="">
      <xdr:nvGraphicFramePr>
        <xdr:cNvPr id="4" name="Gráfico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1845468</xdr:colOff>
      <xdr:row>81</xdr:row>
      <xdr:rowOff>11907</xdr:rowOff>
    </xdr:from>
    <xdr:to>
      <xdr:col>7</xdr:col>
      <xdr:colOff>142874</xdr:colOff>
      <xdr:row>95</xdr:row>
      <xdr:rowOff>88107</xdr:rowOff>
    </xdr:to>
    <xdr:graphicFrame macro="">
      <xdr:nvGraphicFramePr>
        <xdr:cNvPr id="7" name="Gráfico 6">
          <a:extLst>
            <a:ext uri="{FF2B5EF4-FFF2-40B4-BE49-F238E27FC236}">
              <a16:creationId xmlns:a16="http://schemas.microsoft.com/office/drawing/2014/main" id="{00000000-0008-0000-0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81</xdr:row>
      <xdr:rowOff>1</xdr:rowOff>
    </xdr:from>
    <xdr:to>
      <xdr:col>16</xdr:col>
      <xdr:colOff>583406</xdr:colOff>
      <xdr:row>95</xdr:row>
      <xdr:rowOff>76201</xdr:rowOff>
    </xdr:to>
    <xdr:graphicFrame macro="">
      <xdr:nvGraphicFramePr>
        <xdr:cNvPr id="9" name="Gráfico 8">
          <a:extLst>
            <a:ext uri="{FF2B5EF4-FFF2-40B4-BE49-F238E27FC236}">
              <a16:creationId xmlns:a16="http://schemas.microsoft.com/office/drawing/2014/main" id="{00000000-0008-0000-0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11906</xdr:colOff>
      <xdr:row>14</xdr:row>
      <xdr:rowOff>0</xdr:rowOff>
    </xdr:from>
    <xdr:to>
      <xdr:col>5</xdr:col>
      <xdr:colOff>756047</xdr:colOff>
      <xdr:row>29</xdr:row>
      <xdr:rowOff>20241</xdr:rowOff>
    </xdr:to>
    <xdr:graphicFrame macro="">
      <xdr:nvGraphicFramePr>
        <xdr:cNvPr id="4" name="Gráfico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11907</xdr:colOff>
      <xdr:row>14</xdr:row>
      <xdr:rowOff>0</xdr:rowOff>
    </xdr:from>
    <xdr:to>
      <xdr:col>14</xdr:col>
      <xdr:colOff>756048</xdr:colOff>
      <xdr:row>29</xdr:row>
      <xdr:rowOff>20241</xdr:rowOff>
    </xdr:to>
    <xdr:graphicFrame macro="">
      <xdr:nvGraphicFramePr>
        <xdr:cNvPr id="6" name="Gráfico 5">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273842</xdr:colOff>
      <xdr:row>12</xdr:row>
      <xdr:rowOff>119062</xdr:rowOff>
    </xdr:from>
    <xdr:to>
      <xdr:col>3</xdr:col>
      <xdr:colOff>631030</xdr:colOff>
      <xdr:row>22</xdr:row>
      <xdr:rowOff>142875</xdr:rowOff>
    </xdr:to>
    <xdr:sp macro="" textlink="">
      <xdr:nvSpPr>
        <xdr:cNvPr id="2" name="Diagrama de flujo: disco magnético 1">
          <a:extLst>
            <a:ext uri="{FF2B5EF4-FFF2-40B4-BE49-F238E27FC236}">
              <a16:creationId xmlns:a16="http://schemas.microsoft.com/office/drawing/2014/main" id="{00000000-0008-0000-0A00-000002000000}"/>
            </a:ext>
          </a:extLst>
        </xdr:cNvPr>
        <xdr:cNvSpPr/>
      </xdr:nvSpPr>
      <xdr:spPr>
        <a:xfrm>
          <a:off x="2297905" y="2214562"/>
          <a:ext cx="1119188" cy="1928813"/>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xdr:col>
      <xdr:colOff>452438</xdr:colOff>
      <xdr:row>16</xdr:row>
      <xdr:rowOff>83343</xdr:rowOff>
    </xdr:from>
    <xdr:to>
      <xdr:col>1</xdr:col>
      <xdr:colOff>1012032</xdr:colOff>
      <xdr:row>17</xdr:row>
      <xdr:rowOff>178593</xdr:rowOff>
    </xdr:to>
    <xdr:sp macro="" textlink="">
      <xdr:nvSpPr>
        <xdr:cNvPr id="3" name="Flecha: a la derecha 2">
          <a:extLst>
            <a:ext uri="{FF2B5EF4-FFF2-40B4-BE49-F238E27FC236}">
              <a16:creationId xmlns:a16="http://schemas.microsoft.com/office/drawing/2014/main" id="{00000000-0008-0000-0A00-000003000000}"/>
            </a:ext>
          </a:extLst>
        </xdr:cNvPr>
        <xdr:cNvSpPr/>
      </xdr:nvSpPr>
      <xdr:spPr>
        <a:xfrm>
          <a:off x="1214438" y="2940843"/>
          <a:ext cx="559594" cy="285750"/>
        </a:xfrm>
        <a:prstGeom prst="right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2</xdr:col>
      <xdr:colOff>753666</xdr:colOff>
      <xdr:row>8</xdr:row>
      <xdr:rowOff>122633</xdr:rowOff>
    </xdr:from>
    <xdr:to>
      <xdr:col>3</xdr:col>
      <xdr:colOff>277416</xdr:colOff>
      <xdr:row>11</xdr:row>
      <xdr:rowOff>110727</xdr:rowOff>
    </xdr:to>
    <xdr:sp macro="" textlink="">
      <xdr:nvSpPr>
        <xdr:cNvPr id="4" name="Flecha: a la derecha 3">
          <a:extLst>
            <a:ext uri="{FF2B5EF4-FFF2-40B4-BE49-F238E27FC236}">
              <a16:creationId xmlns:a16="http://schemas.microsoft.com/office/drawing/2014/main" id="{00000000-0008-0000-0A00-000004000000}"/>
            </a:ext>
          </a:extLst>
        </xdr:cNvPr>
        <xdr:cNvSpPr/>
      </xdr:nvSpPr>
      <xdr:spPr>
        <a:xfrm rot="5400000">
          <a:off x="2640807" y="1593055"/>
          <a:ext cx="559594" cy="285750"/>
        </a:xfrm>
        <a:prstGeom prst="rightArrow">
          <a:avLst/>
        </a:prstGeom>
        <a:solidFill>
          <a:schemeClr val="tx2">
            <a:lumMod val="50000"/>
            <a:lumOff val="50000"/>
          </a:schemeClr>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xdr:col>
      <xdr:colOff>71438</xdr:colOff>
      <xdr:row>23</xdr:row>
      <xdr:rowOff>130968</xdr:rowOff>
    </xdr:from>
    <xdr:to>
      <xdr:col>3</xdr:col>
      <xdr:colOff>357188</xdr:colOff>
      <xdr:row>26</xdr:row>
      <xdr:rowOff>119062</xdr:rowOff>
    </xdr:to>
    <xdr:sp macro="" textlink="">
      <xdr:nvSpPr>
        <xdr:cNvPr id="5" name="Flecha: a la derecha 4">
          <a:extLst>
            <a:ext uri="{FF2B5EF4-FFF2-40B4-BE49-F238E27FC236}">
              <a16:creationId xmlns:a16="http://schemas.microsoft.com/office/drawing/2014/main" id="{00000000-0008-0000-0A00-000005000000}"/>
            </a:ext>
          </a:extLst>
        </xdr:cNvPr>
        <xdr:cNvSpPr/>
      </xdr:nvSpPr>
      <xdr:spPr>
        <a:xfrm rot="16200000">
          <a:off x="2720579" y="4649390"/>
          <a:ext cx="559594" cy="285750"/>
        </a:xfrm>
        <a:prstGeom prst="rightArrow">
          <a:avLst/>
        </a:prstGeom>
        <a:solidFill>
          <a:schemeClr val="accent2">
            <a:lumMod val="7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4</xdr:col>
      <xdr:colOff>250031</xdr:colOff>
      <xdr:row>16</xdr:row>
      <xdr:rowOff>71437</xdr:rowOff>
    </xdr:from>
    <xdr:to>
      <xdr:col>5</xdr:col>
      <xdr:colOff>47625</xdr:colOff>
      <xdr:row>17</xdr:row>
      <xdr:rowOff>166687</xdr:rowOff>
    </xdr:to>
    <xdr:sp macro="" textlink="">
      <xdr:nvSpPr>
        <xdr:cNvPr id="6" name="Flecha: a la derecha 5">
          <a:extLst>
            <a:ext uri="{FF2B5EF4-FFF2-40B4-BE49-F238E27FC236}">
              <a16:creationId xmlns:a16="http://schemas.microsoft.com/office/drawing/2014/main" id="{00000000-0008-0000-0A00-000006000000}"/>
            </a:ext>
          </a:extLst>
        </xdr:cNvPr>
        <xdr:cNvSpPr/>
      </xdr:nvSpPr>
      <xdr:spPr>
        <a:xfrm>
          <a:off x="3798094" y="2928937"/>
          <a:ext cx="559594" cy="285750"/>
        </a:xfrm>
        <a:prstGeom prst="rightArrow">
          <a:avLst/>
        </a:prstGeom>
        <a:blipFill>
          <a:blip xmlns:r="http://schemas.openxmlformats.org/officeDocument/2006/relationships" r:embed="rId1">
            <a:alphaModFix/>
            <a:biLevel thresh="75000"/>
          </a:blip>
          <a:tile tx="0" ty="0" sx="100000" sy="100000" flip="none" algn="tl"/>
        </a:blip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11</xdr:col>
      <xdr:colOff>273842</xdr:colOff>
      <xdr:row>12</xdr:row>
      <xdr:rowOff>119062</xdr:rowOff>
    </xdr:from>
    <xdr:to>
      <xdr:col>12</xdr:col>
      <xdr:colOff>631030</xdr:colOff>
      <xdr:row>22</xdr:row>
      <xdr:rowOff>142875</xdr:rowOff>
    </xdr:to>
    <xdr:sp macro="" textlink="">
      <xdr:nvSpPr>
        <xdr:cNvPr id="7" name="Diagrama de flujo: disco magnético 6">
          <a:extLst>
            <a:ext uri="{FF2B5EF4-FFF2-40B4-BE49-F238E27FC236}">
              <a16:creationId xmlns:a16="http://schemas.microsoft.com/office/drawing/2014/main" id="{00000000-0008-0000-0A00-000007000000}"/>
            </a:ext>
          </a:extLst>
        </xdr:cNvPr>
        <xdr:cNvSpPr/>
      </xdr:nvSpPr>
      <xdr:spPr>
        <a:xfrm>
          <a:off x="2297905" y="2405062"/>
          <a:ext cx="1166813" cy="1928813"/>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10</xdr:col>
      <xdr:colOff>452438</xdr:colOff>
      <xdr:row>16</xdr:row>
      <xdr:rowOff>83343</xdr:rowOff>
    </xdr:from>
    <xdr:to>
      <xdr:col>10</xdr:col>
      <xdr:colOff>1012032</xdr:colOff>
      <xdr:row>17</xdr:row>
      <xdr:rowOff>178593</xdr:rowOff>
    </xdr:to>
    <xdr:sp macro="" textlink="">
      <xdr:nvSpPr>
        <xdr:cNvPr id="8" name="Flecha: a la derecha 7">
          <a:extLst>
            <a:ext uri="{FF2B5EF4-FFF2-40B4-BE49-F238E27FC236}">
              <a16:creationId xmlns:a16="http://schemas.microsoft.com/office/drawing/2014/main" id="{00000000-0008-0000-0A00-000008000000}"/>
            </a:ext>
          </a:extLst>
        </xdr:cNvPr>
        <xdr:cNvSpPr/>
      </xdr:nvSpPr>
      <xdr:spPr>
        <a:xfrm>
          <a:off x="1214438" y="3131343"/>
          <a:ext cx="559594" cy="285750"/>
        </a:xfrm>
        <a:prstGeom prst="rightArrow">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11</xdr:col>
      <xdr:colOff>753666</xdr:colOff>
      <xdr:row>8</xdr:row>
      <xdr:rowOff>122633</xdr:rowOff>
    </xdr:from>
    <xdr:to>
      <xdr:col>12</xdr:col>
      <xdr:colOff>277416</xdr:colOff>
      <xdr:row>11</xdr:row>
      <xdr:rowOff>110727</xdr:rowOff>
    </xdr:to>
    <xdr:sp macro="" textlink="">
      <xdr:nvSpPr>
        <xdr:cNvPr id="9" name="Flecha: a la derecha 8">
          <a:extLst>
            <a:ext uri="{FF2B5EF4-FFF2-40B4-BE49-F238E27FC236}">
              <a16:creationId xmlns:a16="http://schemas.microsoft.com/office/drawing/2014/main" id="{00000000-0008-0000-0A00-000009000000}"/>
            </a:ext>
          </a:extLst>
        </xdr:cNvPr>
        <xdr:cNvSpPr/>
      </xdr:nvSpPr>
      <xdr:spPr>
        <a:xfrm rot="5400000">
          <a:off x="2664620" y="1759742"/>
          <a:ext cx="559594" cy="333375"/>
        </a:xfrm>
        <a:prstGeom prst="rightArrow">
          <a:avLst/>
        </a:prstGeom>
        <a:solidFill>
          <a:schemeClr val="tx2">
            <a:lumMod val="50000"/>
            <a:lumOff val="50000"/>
          </a:schemeClr>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12</xdr:col>
      <xdr:colOff>71438</xdr:colOff>
      <xdr:row>23</xdr:row>
      <xdr:rowOff>130968</xdr:rowOff>
    </xdr:from>
    <xdr:to>
      <xdr:col>12</xdr:col>
      <xdr:colOff>357188</xdr:colOff>
      <xdr:row>26</xdr:row>
      <xdr:rowOff>119062</xdr:rowOff>
    </xdr:to>
    <xdr:sp macro="" textlink="">
      <xdr:nvSpPr>
        <xdr:cNvPr id="10" name="Flecha: a la derecha 9">
          <a:extLst>
            <a:ext uri="{FF2B5EF4-FFF2-40B4-BE49-F238E27FC236}">
              <a16:creationId xmlns:a16="http://schemas.microsoft.com/office/drawing/2014/main" id="{00000000-0008-0000-0A00-00000A000000}"/>
            </a:ext>
          </a:extLst>
        </xdr:cNvPr>
        <xdr:cNvSpPr/>
      </xdr:nvSpPr>
      <xdr:spPr>
        <a:xfrm rot="16200000">
          <a:off x="2768204" y="4649390"/>
          <a:ext cx="559594" cy="285750"/>
        </a:xfrm>
        <a:prstGeom prst="rightArrow">
          <a:avLst/>
        </a:prstGeom>
        <a:solidFill>
          <a:schemeClr val="accent2">
            <a:lumMod val="75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13</xdr:col>
      <xdr:colOff>250031</xdr:colOff>
      <xdr:row>16</xdr:row>
      <xdr:rowOff>71437</xdr:rowOff>
    </xdr:from>
    <xdr:to>
      <xdr:col>14</xdr:col>
      <xdr:colOff>47625</xdr:colOff>
      <xdr:row>17</xdr:row>
      <xdr:rowOff>166687</xdr:rowOff>
    </xdr:to>
    <xdr:sp macro="" textlink="">
      <xdr:nvSpPr>
        <xdr:cNvPr id="11" name="Flecha: a la derecha 10">
          <a:extLst>
            <a:ext uri="{FF2B5EF4-FFF2-40B4-BE49-F238E27FC236}">
              <a16:creationId xmlns:a16="http://schemas.microsoft.com/office/drawing/2014/main" id="{00000000-0008-0000-0A00-00000B000000}"/>
            </a:ext>
          </a:extLst>
        </xdr:cNvPr>
        <xdr:cNvSpPr/>
      </xdr:nvSpPr>
      <xdr:spPr>
        <a:xfrm>
          <a:off x="3845719" y="3119437"/>
          <a:ext cx="559594" cy="285750"/>
        </a:xfrm>
        <a:prstGeom prst="rightArrow">
          <a:avLst/>
        </a:prstGeom>
        <a:blipFill>
          <a:blip xmlns:r="http://schemas.openxmlformats.org/officeDocument/2006/relationships" r:embed="rId1">
            <a:alphaModFix/>
            <a:biLevel thresh="75000"/>
          </a:blip>
          <a:tile tx="0" ty="0" sx="100000" sy="100000" flip="none" algn="tl"/>
        </a:blip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18.xml><?xml version="1.0" encoding="utf-8"?>
<xdr:wsDr xmlns:xdr="http://schemas.openxmlformats.org/drawingml/2006/spreadsheetDrawing" xmlns:a="http://schemas.openxmlformats.org/drawingml/2006/main">
  <xdr:oneCellAnchor>
    <xdr:from>
      <xdr:col>1</xdr:col>
      <xdr:colOff>2138588</xdr:colOff>
      <xdr:row>64</xdr:row>
      <xdr:rowOff>113393</xdr:rowOff>
    </xdr:from>
    <xdr:ext cx="3276410" cy="380361"/>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00000000-0008-0000-0B00-000002000000}"/>
                </a:ext>
              </a:extLst>
            </xdr:cNvPr>
            <xdr:cNvSpPr txBox="1"/>
          </xdr:nvSpPr>
          <xdr:spPr>
            <a:xfrm>
              <a:off x="3363231" y="12858750"/>
              <a:ext cx="3276410"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𝐵𝑒𝑛𝑒𝑓𝑖𝑐𝑖𝑜</m:t>
                    </m:r>
                    <m:r>
                      <a:rPr lang="es-ES" sz="1100" b="0" i="1">
                        <a:latin typeface="Cambria Math" panose="02040503050406030204" pitchFamily="18" charset="0"/>
                      </a:rPr>
                      <m:t> </m:t>
                    </m:r>
                    <m:r>
                      <a:rPr lang="es-ES" sz="1100" b="0" i="1">
                        <a:latin typeface="Cambria Math" panose="02040503050406030204" pitchFamily="18" charset="0"/>
                      </a:rPr>
                      <m:t>𝑒𝑐𝑜𝑛</m:t>
                    </m:r>
                    <m:r>
                      <a:rPr lang="es-ES" sz="1100" b="0" i="1">
                        <a:latin typeface="Cambria Math" panose="02040503050406030204" pitchFamily="18" charset="0"/>
                      </a:rPr>
                      <m:t>ó</m:t>
                    </m:r>
                    <m:r>
                      <a:rPr lang="es-ES" sz="1100" b="0" i="1">
                        <a:latin typeface="Cambria Math" panose="02040503050406030204" pitchFamily="18" charset="0"/>
                      </a:rPr>
                      <m:t>𝑚𝑖𝑐𝑜</m:t>
                    </m:r>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solidFill>
                              <a:srgbClr val="0070C0"/>
                            </a:solidFill>
                            <a:latin typeface="Cambria Math" panose="02040503050406030204" pitchFamily="18" charset="0"/>
                          </a:rPr>
                          <m:t>394,05</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m:t>
                            </m:r>
                          </m:num>
                          <m:den>
                            <m:r>
                              <a:rPr lang="es-ES" sz="1100" b="0" i="1">
                                <a:solidFill>
                                  <a:schemeClr val="tx1"/>
                                </a:solidFill>
                                <a:effectLst/>
                                <a:latin typeface="Cambria Math" panose="02040503050406030204" pitchFamily="18" charset="0"/>
                                <a:ea typeface="+mn-ea"/>
                                <a:cs typeface="+mn-cs"/>
                              </a:rPr>
                              <m:t>𝑘𝑊h</m:t>
                            </m:r>
                          </m:den>
                        </m:f>
                      </m:e>
                    </m:d>
                    <m:d>
                      <m:dPr>
                        <m:ctrlPr>
                          <a:rPr lang="es-ES" sz="1100" b="0" i="1">
                            <a:latin typeface="Cambria Math" panose="02040503050406030204" pitchFamily="18" charset="0"/>
                          </a:rPr>
                        </m:ctrlPr>
                      </m:dPr>
                      <m:e>
                        <m:r>
                          <a:rPr lang="es-ES" sz="1100" b="0" i="1">
                            <a:latin typeface="Cambria Math" panose="02040503050406030204" pitchFamily="18" charset="0"/>
                          </a:rPr>
                          <m:t>946,5</m:t>
                        </m:r>
                        <m:f>
                          <m:fPr>
                            <m:ctrlPr>
                              <a:rPr lang="es-ES" sz="1100" b="0" i="1">
                                <a:latin typeface="Cambria Math" panose="02040503050406030204" pitchFamily="18" charset="0"/>
                              </a:rPr>
                            </m:ctrlPr>
                          </m:fPr>
                          <m:num>
                            <m:r>
                              <a:rPr lang="es-ES" sz="1100" b="0" i="1">
                                <a:latin typeface="Cambria Math" panose="02040503050406030204" pitchFamily="18" charset="0"/>
                              </a:rPr>
                              <m:t>𝑘𝑊h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oMath>
                </m:oMathPara>
              </a14:m>
              <a:endParaRPr lang="es-CL" sz="1100"/>
            </a:p>
          </xdr:txBody>
        </xdr:sp>
      </mc:Choice>
      <mc:Fallback xmlns="">
        <xdr:sp macro="" textlink="">
          <xdr:nvSpPr>
            <xdr:cNvPr id="2" name="CuadroTexto 1">
              <a:extLst>
                <a:ext uri="{FF2B5EF4-FFF2-40B4-BE49-F238E27FC236}">
                  <a16:creationId xmlns:a16="http://schemas.microsoft.com/office/drawing/2014/main" id="{CC02B48E-68A9-45FE-880F-BC79F56138FC}"/>
                </a:ext>
              </a:extLst>
            </xdr:cNvPr>
            <xdr:cNvSpPr txBox="1"/>
          </xdr:nvSpPr>
          <xdr:spPr>
            <a:xfrm>
              <a:off x="3363231" y="12858750"/>
              <a:ext cx="3276410"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𝐵𝑒𝑛𝑒𝑓𝑖𝑐𝑖𝑜 𝑒𝑐𝑜𝑛ó𝑚𝑖𝑐𝑜=(</a:t>
              </a:r>
              <a:r>
                <a:rPr lang="es-ES" sz="1100" b="0" i="0">
                  <a:solidFill>
                    <a:srgbClr val="0070C0"/>
                  </a:solidFill>
                  <a:latin typeface="Cambria Math" panose="02040503050406030204" pitchFamily="18" charset="0"/>
                </a:rPr>
                <a:t>394,05</a:t>
              </a:r>
              <a:r>
                <a:rPr lang="es-ES" sz="1100" b="0" i="0">
                  <a:solidFill>
                    <a:schemeClr val="tx1"/>
                  </a:solidFill>
                  <a:effectLst/>
                  <a:latin typeface="Cambria Math" panose="02040503050406030204" pitchFamily="18" charset="0"/>
                  <a:ea typeface="+mn-ea"/>
                  <a:cs typeface="+mn-cs"/>
                </a:rPr>
                <a:t> $/𝑘𝑊ℎ)</a:t>
              </a:r>
              <a:r>
                <a:rPr lang="es-ES" sz="1100" b="0" i="0">
                  <a:latin typeface="Cambria Math" panose="02040503050406030204" pitchFamily="18" charset="0"/>
                </a:rPr>
                <a:t>(946,5 𝑘𝑊ℎ/𝑎ñ𝑜)</a:t>
              </a:r>
              <a:endParaRPr lang="es-CL" sz="1100"/>
            </a:p>
          </xdr:txBody>
        </xdr:sp>
      </mc:Fallback>
    </mc:AlternateContent>
    <xdr:clientData/>
  </xdr:oneCellAnchor>
  <xdr:oneCellAnchor>
    <xdr:from>
      <xdr:col>1</xdr:col>
      <xdr:colOff>2131785</xdr:colOff>
      <xdr:row>67</xdr:row>
      <xdr:rowOff>99787</xdr:rowOff>
    </xdr:from>
    <xdr:ext cx="2400144" cy="328231"/>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00000000-0008-0000-0B00-000003000000}"/>
                </a:ext>
              </a:extLst>
            </xdr:cNvPr>
            <xdr:cNvSpPr txBox="1"/>
          </xdr:nvSpPr>
          <xdr:spPr>
            <a:xfrm>
              <a:off x="3356428" y="13423448"/>
              <a:ext cx="2400144"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𝐵𝑒𝑛𝑒𝑓𝑖𝑐𝑖𝑜</m:t>
                    </m:r>
                    <m:r>
                      <a:rPr lang="es-ES" sz="1100" b="0" i="1">
                        <a:latin typeface="Cambria Math" panose="02040503050406030204" pitchFamily="18" charset="0"/>
                      </a:rPr>
                      <m:t> </m:t>
                    </m:r>
                    <m:r>
                      <a:rPr lang="es-ES" sz="1100" b="0" i="1">
                        <a:latin typeface="Cambria Math" panose="02040503050406030204" pitchFamily="18" charset="0"/>
                      </a:rPr>
                      <m:t>𝑒𝑐𝑜𝑛</m:t>
                    </m:r>
                    <m:r>
                      <a:rPr lang="es-ES" sz="1100" b="0" i="1">
                        <a:latin typeface="Cambria Math" panose="02040503050406030204" pitchFamily="18" charset="0"/>
                      </a:rPr>
                      <m:t>ó</m:t>
                    </m:r>
                    <m:r>
                      <a:rPr lang="es-ES" sz="1100" b="0" i="1">
                        <a:latin typeface="Cambria Math" panose="02040503050406030204" pitchFamily="18" charset="0"/>
                      </a:rPr>
                      <m:t>𝑚𝑖𝑐𝑜</m:t>
                    </m:r>
                    <m:r>
                      <a:rPr lang="es-ES" sz="1100" b="0" i="1">
                        <a:latin typeface="Cambria Math" panose="02040503050406030204" pitchFamily="18" charset="0"/>
                      </a:rPr>
                      <m:t>=96.508,14</m:t>
                    </m:r>
                    <m:f>
                      <m:fPr>
                        <m:ctrlPr>
                          <a:rPr lang="es-ES" sz="1100" b="0" i="1">
                            <a:latin typeface="Cambria Math" panose="02040503050406030204" pitchFamily="18" charset="0"/>
                          </a:rPr>
                        </m:ctrlPr>
                      </m:fPr>
                      <m:num>
                        <m:r>
                          <a:rPr lang="es-ES" sz="1100" b="0" i="1">
                            <a:latin typeface="Cambria Math" panose="02040503050406030204" pitchFamily="18" charset="0"/>
                          </a:rPr>
                          <m:t>$</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3" name="CuadroTexto 2">
              <a:extLst>
                <a:ext uri="{FF2B5EF4-FFF2-40B4-BE49-F238E27FC236}">
                  <a16:creationId xmlns:a16="http://schemas.microsoft.com/office/drawing/2014/main" id="{4766CC6D-7FD5-49CB-90E6-89A50DC824B6}"/>
                </a:ext>
              </a:extLst>
            </xdr:cNvPr>
            <xdr:cNvSpPr txBox="1"/>
          </xdr:nvSpPr>
          <xdr:spPr>
            <a:xfrm>
              <a:off x="3356428" y="13423448"/>
              <a:ext cx="2400144"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𝐵𝑒𝑛𝑒𝑓𝑖𝑐𝑖𝑜 𝑒𝑐𝑜𝑛ó𝑚𝑖𝑐𝑜=96.508,14 $/𝑎ñ𝑜</a:t>
              </a:r>
              <a:endParaRPr lang="es-CL" sz="1100"/>
            </a:p>
          </xdr:txBody>
        </xdr:sp>
      </mc:Fallback>
    </mc:AlternateContent>
    <xdr:clientData/>
  </xdr:oneCellAnchor>
  <xdr:twoCellAnchor editAs="oneCell">
    <xdr:from>
      <xdr:col>0</xdr:col>
      <xdr:colOff>1201965</xdr:colOff>
      <xdr:row>76</xdr:row>
      <xdr:rowOff>90715</xdr:rowOff>
    </xdr:from>
    <xdr:to>
      <xdr:col>2</xdr:col>
      <xdr:colOff>1205715</xdr:colOff>
      <xdr:row>78</xdr:row>
      <xdr:rowOff>135319</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1965" y="15149286"/>
          <a:ext cx="3687748" cy="428870"/>
        </a:xfrm>
        <a:prstGeom prst="rect">
          <a:avLst/>
        </a:prstGeom>
      </xdr:spPr>
    </xdr:pic>
    <xdr:clientData/>
  </xdr:twoCellAnchor>
  <xdr:twoCellAnchor editAs="oneCell">
    <xdr:from>
      <xdr:col>0</xdr:col>
      <xdr:colOff>1208435</xdr:colOff>
      <xdr:row>79</xdr:row>
      <xdr:rowOff>100809</xdr:rowOff>
    </xdr:from>
    <xdr:to>
      <xdr:col>2</xdr:col>
      <xdr:colOff>1204205</xdr:colOff>
      <xdr:row>83</xdr:row>
      <xdr:rowOff>68605</xdr:rowOff>
    </xdr:to>
    <xdr:pic>
      <xdr:nvPicPr>
        <xdr:cNvPr id="5" name="Imagen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8435" y="15737684"/>
          <a:ext cx="3686118" cy="741407"/>
        </a:xfrm>
        <a:prstGeom prst="rect">
          <a:avLst/>
        </a:prstGeom>
      </xdr:spPr>
    </xdr:pic>
    <xdr:clientData/>
  </xdr:twoCellAnchor>
  <xdr:oneCellAnchor>
    <xdr:from>
      <xdr:col>1</xdr:col>
      <xdr:colOff>83343</xdr:colOff>
      <xdr:row>97</xdr:row>
      <xdr:rowOff>22679</xdr:rowOff>
    </xdr:from>
    <xdr:ext cx="4090863" cy="173766"/>
    <mc:AlternateContent xmlns:mc="http://schemas.openxmlformats.org/markup-compatibility/2006" xmlns:a14="http://schemas.microsoft.com/office/drawing/2010/main">
      <mc:Choice Requires="a14">
        <xdr:sp macro="" textlink="">
          <xdr:nvSpPr>
            <xdr:cNvPr id="7" name="CuadroTexto 6">
              <a:extLst>
                <a:ext uri="{FF2B5EF4-FFF2-40B4-BE49-F238E27FC236}">
                  <a16:creationId xmlns:a16="http://schemas.microsoft.com/office/drawing/2014/main" id="{00000000-0008-0000-0B00-000007000000}"/>
                </a:ext>
              </a:extLst>
            </xdr:cNvPr>
            <xdr:cNvSpPr txBox="1"/>
          </xdr:nvSpPr>
          <xdr:spPr>
            <a:xfrm>
              <a:off x="1307986" y="19152054"/>
              <a:ext cx="40908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𝐵𝑒𝑛𝑒𝑓𝑖𝑐𝑖𝑜</m:t>
                    </m:r>
                    <m:r>
                      <a:rPr lang="es-ES" sz="1100" b="0" i="1">
                        <a:latin typeface="Cambria Math" panose="02040503050406030204" pitchFamily="18" charset="0"/>
                      </a:rPr>
                      <m:t> </m:t>
                    </m:r>
                    <m:r>
                      <a:rPr lang="es-ES" sz="1100" b="0" i="1">
                        <a:latin typeface="Cambria Math" panose="02040503050406030204" pitchFamily="18" charset="0"/>
                      </a:rPr>
                      <m:t>𝑎𝑚𝑏𝑖𝑒𝑛𝑡𝑎𝑙</m:t>
                    </m:r>
                    <m:r>
                      <a:rPr lang="es-ES" sz="1100" b="0" i="1">
                        <a:latin typeface="Cambria Math" panose="02040503050406030204" pitchFamily="18" charset="0"/>
                      </a:rPr>
                      <m:t>=(</m:t>
                    </m:r>
                    <m:r>
                      <a:rPr lang="es-ES" sz="1100" b="0" i="1">
                        <a:latin typeface="Cambria Math" panose="02040503050406030204" pitchFamily="18" charset="0"/>
                      </a:rPr>
                      <m:t>𝑓𝑎𝑐𝑡𝑜𝑟</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𝑒𝑚𝑖𝑠𝑖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m:t>
                    </m:r>
                    <m:r>
                      <a:rPr lang="es-ES" sz="1100" b="0" i="1">
                        <a:latin typeface="Cambria Math" panose="02040503050406030204" pitchFamily="18" charset="0"/>
                      </a:rPr>
                      <m:t>𝑃𝑜𝑡𝑒𝑛𝑐𝑖𝑎</m:t>
                    </m:r>
                    <m:r>
                      <a:rPr lang="es-ES" sz="1100" b="0" i="1">
                        <a:latin typeface="Cambria Math" panose="02040503050406030204" pitchFamily="18" charset="0"/>
                      </a:rPr>
                      <m:t> </m:t>
                    </m:r>
                    <m:r>
                      <a:rPr lang="es-ES" sz="1100" b="0" i="1">
                        <a:latin typeface="Cambria Math" panose="02040503050406030204" pitchFamily="18" charset="0"/>
                      </a:rPr>
                      <m:t>𝑎h𝑜𝑟𝑟𝑎𝑑𝑎</m:t>
                    </m:r>
                    <m:r>
                      <a:rPr lang="es-ES" sz="1100" b="0" i="1">
                        <a:latin typeface="Cambria Math" panose="02040503050406030204" pitchFamily="18" charset="0"/>
                      </a:rPr>
                      <m:t>)</m:t>
                    </m:r>
                  </m:oMath>
                </m:oMathPara>
              </a14:m>
              <a:endParaRPr lang="es-CL" sz="1100"/>
            </a:p>
          </xdr:txBody>
        </xdr:sp>
      </mc:Choice>
      <mc:Fallback xmlns="">
        <xdr:sp macro="" textlink="">
          <xdr:nvSpPr>
            <xdr:cNvPr id="7" name="CuadroTexto 6">
              <a:extLst>
                <a:ext uri="{FF2B5EF4-FFF2-40B4-BE49-F238E27FC236}">
                  <a16:creationId xmlns:a16="http://schemas.microsoft.com/office/drawing/2014/main" id="{34B5B5AE-E8EB-42C0-AB85-D901BDE95A5A}"/>
                </a:ext>
              </a:extLst>
            </xdr:cNvPr>
            <xdr:cNvSpPr txBox="1"/>
          </xdr:nvSpPr>
          <xdr:spPr>
            <a:xfrm>
              <a:off x="1307986" y="19152054"/>
              <a:ext cx="40908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𝐵𝑒𝑛𝑒𝑓𝑖𝑐𝑖𝑜 𝑎𝑚𝑏𝑖𝑒𝑛𝑡𝑎𝑙=(𝑓𝑎𝑐𝑡𝑜𝑟 𝑑𝑒 𝑒𝑚𝑖𝑠𝑖ó𝑛)(𝑃𝑜𝑡𝑒𝑛𝑐𝑖𝑎 𝑎ℎ𝑜𝑟𝑟𝑎𝑑𝑎)</a:t>
              </a:r>
              <a:endParaRPr lang="es-CL" sz="1100"/>
            </a:p>
          </xdr:txBody>
        </xdr:sp>
      </mc:Fallback>
    </mc:AlternateContent>
    <xdr:clientData/>
  </xdr:oneCellAnchor>
  <xdr:oneCellAnchor>
    <xdr:from>
      <xdr:col>1</xdr:col>
      <xdr:colOff>0</xdr:colOff>
      <xdr:row>98</xdr:row>
      <xdr:rowOff>191635</xdr:rowOff>
    </xdr:from>
    <xdr:ext cx="4576637" cy="380361"/>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00000000-0008-0000-0B00-000008000000}"/>
                </a:ext>
              </a:extLst>
            </xdr:cNvPr>
            <xdr:cNvSpPr txBox="1"/>
          </xdr:nvSpPr>
          <xdr:spPr>
            <a:xfrm>
              <a:off x="1224643" y="19513778"/>
              <a:ext cx="4576637"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𝐵𝑒𝑛𝑒𝑓𝑖𝑐𝑖𝑜</m:t>
                    </m:r>
                    <m:r>
                      <a:rPr lang="es-ES" sz="1100" b="0" i="1">
                        <a:latin typeface="Cambria Math" panose="02040503050406030204" pitchFamily="18" charset="0"/>
                      </a:rPr>
                      <m:t> </m:t>
                    </m:r>
                    <m:r>
                      <a:rPr lang="es-ES" sz="1100" b="0" i="1">
                        <a:latin typeface="Cambria Math" panose="02040503050406030204" pitchFamily="18" charset="0"/>
                      </a:rPr>
                      <m:t>𝑎𝑚𝑏𝑖𝑒𝑛𝑡𝑎𝑙</m:t>
                    </m:r>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0,2384</m:t>
                        </m:r>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𝑇𝑜𝑛</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𝑀𝑊h</m:t>
                            </m:r>
                          </m:den>
                        </m:f>
                      </m:e>
                    </m:d>
                    <m:d>
                      <m:dPr>
                        <m:ctrlPr>
                          <a:rPr lang="es-ES" sz="1100" b="0" i="1">
                            <a:latin typeface="Cambria Math" panose="02040503050406030204" pitchFamily="18" charset="0"/>
                          </a:rPr>
                        </m:ctrlPr>
                      </m:dPr>
                      <m:e>
                        <m:r>
                          <a:rPr lang="es-ES" sz="1100" b="0" i="1">
                            <a:latin typeface="Cambria Math" panose="02040503050406030204" pitchFamily="18" charset="0"/>
                          </a:rPr>
                          <m:t>5,3093</m:t>
                        </m:r>
                        <m:f>
                          <m:fPr>
                            <m:ctrlPr>
                              <a:rPr lang="es-ES" sz="1100" b="0" i="1">
                                <a:latin typeface="Cambria Math" panose="02040503050406030204" pitchFamily="18" charset="0"/>
                              </a:rPr>
                            </m:ctrlPr>
                          </m:fPr>
                          <m:num>
                            <m:r>
                              <a:rPr lang="es-ES" sz="1100" b="0" i="1">
                                <a:latin typeface="Cambria Math" panose="02040503050406030204" pitchFamily="18" charset="0"/>
                              </a:rPr>
                              <m:t>𝑀𝑊h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=1,3</m:t>
                    </m:r>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𝑇𝑜𝑛</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oMath>
                </m:oMathPara>
              </a14:m>
              <a:endParaRPr lang="es-CL" sz="1100"/>
            </a:p>
          </xdr:txBody>
        </xdr:sp>
      </mc:Choice>
      <mc:Fallback xmlns="">
        <xdr:sp macro="" textlink="">
          <xdr:nvSpPr>
            <xdr:cNvPr id="8" name="CuadroTexto 7">
              <a:extLst>
                <a:ext uri="{FF2B5EF4-FFF2-40B4-BE49-F238E27FC236}">
                  <a16:creationId xmlns:a16="http://schemas.microsoft.com/office/drawing/2014/main" id="{4A0188B7-6279-4BCF-BA8A-C37DD74DB0A4}"/>
                </a:ext>
              </a:extLst>
            </xdr:cNvPr>
            <xdr:cNvSpPr txBox="1"/>
          </xdr:nvSpPr>
          <xdr:spPr>
            <a:xfrm>
              <a:off x="1224643" y="19513778"/>
              <a:ext cx="4576637"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𝐵𝑒𝑛𝑒𝑓𝑖𝑐𝑖𝑜 𝑎𝑚𝑏𝑖𝑒𝑛𝑡𝑎𝑙=(0,2384</a:t>
              </a:r>
              <a:r>
                <a:rPr lang="es-ES" sz="1100" b="0" i="0">
                  <a:solidFill>
                    <a:schemeClr val="tx1"/>
                  </a:solidFill>
                  <a:effectLst/>
                  <a:latin typeface="Cambria Math" panose="02040503050406030204" pitchFamily="18" charset="0"/>
                  <a:ea typeface="+mn-ea"/>
                  <a:cs typeface="+mn-cs"/>
                </a:rPr>
                <a:t> 〖𝑇𝑜𝑛 𝐶𝑂〗_2/𝑀𝑊ℎ)</a:t>
              </a:r>
              <a:r>
                <a:rPr lang="es-ES" sz="1100" b="0" i="0">
                  <a:latin typeface="Cambria Math" panose="02040503050406030204" pitchFamily="18" charset="0"/>
                </a:rPr>
                <a:t>(5,3093 𝑀𝑊ℎ/𝑎ñ𝑜)=1,3</a:t>
              </a:r>
              <a:r>
                <a:rPr lang="es-ES" sz="1100" b="0" i="0">
                  <a:solidFill>
                    <a:schemeClr val="tx1"/>
                  </a:solidFill>
                  <a:effectLst/>
                  <a:latin typeface="Cambria Math" panose="02040503050406030204" pitchFamily="18" charset="0"/>
                  <a:ea typeface="+mn-ea"/>
                  <a:cs typeface="+mn-cs"/>
                </a:rPr>
                <a:t> 〖𝑇𝑜𝑛 𝐶𝑂〗_2/𝑎ñ𝑜</a:t>
              </a:r>
              <a:endParaRPr lang="es-CL" sz="1100"/>
            </a:p>
          </xdr:txBody>
        </xdr:sp>
      </mc:Fallback>
    </mc:AlternateContent>
    <xdr:clientData/>
  </xdr:oneCellAnchor>
  <xdr:oneCellAnchor>
    <xdr:from>
      <xdr:col>1</xdr:col>
      <xdr:colOff>192232</xdr:colOff>
      <xdr:row>164</xdr:row>
      <xdr:rowOff>0</xdr:rowOff>
    </xdr:from>
    <xdr:ext cx="5225020" cy="380361"/>
    <mc:AlternateContent xmlns:mc="http://schemas.openxmlformats.org/markup-compatibility/2006" xmlns:a14="http://schemas.microsoft.com/office/drawing/2010/main">
      <mc:Choice Requires="a14">
        <xdr:sp macro="" textlink="">
          <xdr:nvSpPr>
            <xdr:cNvPr id="14" name="CuadroTexto 13">
              <a:extLst>
                <a:ext uri="{FF2B5EF4-FFF2-40B4-BE49-F238E27FC236}">
                  <a16:creationId xmlns:a16="http://schemas.microsoft.com/office/drawing/2014/main" id="{00000000-0008-0000-0B00-00000E000000}"/>
                </a:ext>
              </a:extLst>
            </xdr:cNvPr>
            <xdr:cNvSpPr txBox="1"/>
          </xdr:nvSpPr>
          <xdr:spPr>
            <a:xfrm>
              <a:off x="1416875" y="33031339"/>
              <a:ext cx="5225020"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𝐶𝑜𝑛𝑠𝑢𝑚𝑜</m:t>
                    </m:r>
                    <m:r>
                      <a:rPr lang="es-ES" sz="1100" b="0" i="1">
                        <a:latin typeface="Cambria Math" panose="02040503050406030204" pitchFamily="18" charset="0"/>
                      </a:rPr>
                      <m:t> </m:t>
                    </m:r>
                    <m:r>
                      <a:rPr lang="es-ES" sz="1100" b="0" i="1">
                        <a:latin typeface="Cambria Math" panose="02040503050406030204" pitchFamily="18" charset="0"/>
                      </a:rPr>
                      <m:t>𝐴𝑐𝑡𝑢𝑎𝑙</m:t>
                    </m:r>
                    <m:r>
                      <a:rPr lang="es-ES" sz="1100" b="0" i="1">
                        <a:latin typeface="Cambria Math" panose="02040503050406030204" pitchFamily="18" charset="0"/>
                      </a:rPr>
                      <m:t> </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𝐾𝑤h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m:t>
                    </m:r>
                    <m:r>
                      <a:rPr lang="es-ES" sz="1100" b="0" i="1">
                        <a:latin typeface="Cambria Math" panose="02040503050406030204" pitchFamily="18" charset="0"/>
                      </a:rPr>
                      <m:t>𝐻𝑜𝑟𝑎</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𝑢𝑠𝑜</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h</m:t>
                            </m:r>
                          </m:num>
                          <m:den>
                            <m:r>
                              <a:rPr lang="es-ES" sz="1100" b="0" i="1">
                                <a:latin typeface="Cambria Math" panose="02040503050406030204" pitchFamily="18" charset="0"/>
                              </a:rPr>
                              <m:t>𝑠𝑒𝑚𝑎𝑛𝑎</m:t>
                            </m:r>
                          </m:den>
                        </m:f>
                      </m:e>
                    </m:d>
                    <m:r>
                      <a:rPr lang="es-ES" sz="1100" b="0" i="1">
                        <a:latin typeface="Cambria Math" panose="02040503050406030204" pitchFamily="18" charset="0"/>
                      </a:rPr>
                      <m:t>∗48</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𝑠𝑒𝑚𝑎𝑛𝑎𝑠</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m:t>
                    </m:r>
                    <m:r>
                      <a:rPr lang="es-ES" sz="1100" b="0" i="1">
                        <a:latin typeface="Cambria Math" panose="02040503050406030204" pitchFamily="18" charset="0"/>
                      </a:rPr>
                      <m:t>𝑃𝑜𝑡𝑒𝑛𝑐𝑖𝑎</m:t>
                    </m:r>
                    <m:d>
                      <m:dPr>
                        <m:ctrlPr>
                          <a:rPr lang="es-ES" sz="1100" b="0" i="1">
                            <a:latin typeface="Cambria Math" panose="02040503050406030204" pitchFamily="18" charset="0"/>
                          </a:rPr>
                        </m:ctrlPr>
                      </m:dPr>
                      <m:e>
                        <m:r>
                          <a:rPr lang="es-ES" sz="1100" b="0" i="1">
                            <a:latin typeface="Cambria Math" panose="02040503050406030204" pitchFamily="18" charset="0"/>
                          </a:rPr>
                          <m:t>𝑘𝑊</m:t>
                        </m:r>
                      </m:e>
                    </m:d>
                  </m:oMath>
                </m:oMathPara>
              </a14:m>
              <a:endParaRPr lang="es-CL" sz="1100"/>
            </a:p>
          </xdr:txBody>
        </xdr:sp>
      </mc:Choice>
      <mc:Fallback xmlns="">
        <xdr:sp macro="" textlink="">
          <xdr:nvSpPr>
            <xdr:cNvPr id="14" name="CuadroTexto 13">
              <a:extLst>
                <a:ext uri="{FF2B5EF4-FFF2-40B4-BE49-F238E27FC236}">
                  <a16:creationId xmlns:a16="http://schemas.microsoft.com/office/drawing/2014/main" id="{F4001979-C640-46F1-BC5B-01E22E7B869E}"/>
                </a:ext>
              </a:extLst>
            </xdr:cNvPr>
            <xdr:cNvSpPr txBox="1"/>
          </xdr:nvSpPr>
          <xdr:spPr>
            <a:xfrm>
              <a:off x="1416875" y="33031339"/>
              <a:ext cx="5225020"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𝐶𝑜𝑛𝑠𝑢𝑚𝑜 𝐴𝑐𝑡𝑢𝑎𝑙 (𝐾𝑤ℎ/𝑎ñ𝑜)=𝐻𝑜𝑟𝑎 𝑑𝑒 𝑢𝑠𝑜(ℎ/𝑠𝑒𝑚𝑎𝑛𝑎)∗48(𝑠𝑒𝑚𝑎𝑛𝑎𝑠/𝑎ñ𝑜)∗𝑃𝑜𝑡𝑒𝑛𝑐𝑖𝑎(𝑘𝑊)</a:t>
              </a:r>
              <a:endParaRPr lang="es-CL" sz="1100"/>
            </a:p>
          </xdr:txBody>
        </xdr:sp>
      </mc:Fallback>
    </mc:AlternateContent>
    <xdr:clientData/>
  </xdr:oneCellAnchor>
  <xdr:oneCellAnchor>
    <xdr:from>
      <xdr:col>1</xdr:col>
      <xdr:colOff>37110</xdr:colOff>
      <xdr:row>166</xdr:row>
      <xdr:rowOff>167533</xdr:rowOff>
    </xdr:from>
    <xdr:ext cx="7343164" cy="380361"/>
    <mc:AlternateContent xmlns:mc="http://schemas.openxmlformats.org/markup-compatibility/2006" xmlns:a14="http://schemas.microsoft.com/office/drawing/2010/main">
      <mc:Choice Requires="a14">
        <xdr:sp macro="" textlink="">
          <xdr:nvSpPr>
            <xdr:cNvPr id="15" name="CuadroTexto 14">
              <a:extLst>
                <a:ext uri="{FF2B5EF4-FFF2-40B4-BE49-F238E27FC236}">
                  <a16:creationId xmlns:a16="http://schemas.microsoft.com/office/drawing/2014/main" id="{00000000-0008-0000-0B00-00000F000000}"/>
                </a:ext>
              </a:extLst>
            </xdr:cNvPr>
            <xdr:cNvSpPr txBox="1"/>
          </xdr:nvSpPr>
          <xdr:spPr>
            <a:xfrm>
              <a:off x="1261753" y="33584408"/>
              <a:ext cx="7343164"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𝐶𝑜𝑛𝑠𝑢𝑚𝑜</m:t>
                    </m:r>
                    <m:r>
                      <a:rPr lang="es-ES" sz="1100" b="0" i="1">
                        <a:latin typeface="Cambria Math" panose="02040503050406030204" pitchFamily="18" charset="0"/>
                      </a:rPr>
                      <m:t> </m:t>
                    </m:r>
                    <m:r>
                      <a:rPr lang="es-ES" sz="1100" b="0" i="1">
                        <a:latin typeface="Cambria Math" panose="02040503050406030204" pitchFamily="18" charset="0"/>
                      </a:rPr>
                      <m:t>𝐴𝑐𝑡𝑢𝑎𝑙</m:t>
                    </m:r>
                    <m:r>
                      <a:rPr lang="es-ES" sz="1100" b="0" i="1">
                        <a:latin typeface="Cambria Math" panose="02040503050406030204" pitchFamily="18" charset="0"/>
                      </a:rPr>
                      <m:t> </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𝐾𝑤h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=60</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h</m:t>
                            </m:r>
                          </m:num>
                          <m:den>
                            <m:r>
                              <a:rPr lang="es-ES" sz="1100" b="0" i="1">
                                <a:latin typeface="Cambria Math" panose="02040503050406030204" pitchFamily="18" charset="0"/>
                              </a:rPr>
                              <m:t>𝑠𝑒𝑚𝑎𝑛𝑎</m:t>
                            </m:r>
                          </m:den>
                        </m:f>
                      </m:e>
                    </m:d>
                    <m:r>
                      <a:rPr lang="es-ES" sz="1100" b="0" i="1">
                        <a:latin typeface="Cambria Math" panose="02040503050406030204" pitchFamily="18" charset="0"/>
                      </a:rPr>
                      <m:t>∗48</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𝑠𝑒𝑚𝑎𝑛𝑎𝑠</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m:t>
                    </m:r>
                    <m:r>
                      <a:rPr lang="es-ES" sz="1100" b="0" i="1">
                        <a:latin typeface="Cambria Math" panose="02040503050406030204" pitchFamily="18" charset="0"/>
                      </a:rPr>
                      <m:t>𝑃𝑜𝑡𝑒𝑛𝑐𝑖𝑎</m:t>
                    </m:r>
                    <m:d>
                      <m:dPr>
                        <m:ctrlPr>
                          <a:rPr lang="es-ES" sz="1100" b="0" i="1">
                            <a:latin typeface="Cambria Math" panose="02040503050406030204" pitchFamily="18" charset="0"/>
                          </a:rPr>
                        </m:ctrlPr>
                      </m:dPr>
                      <m:e>
                        <m:r>
                          <a:rPr lang="es-ES" sz="1100" b="0" i="1">
                            <a:latin typeface="Cambria Math" panose="02040503050406030204" pitchFamily="18" charset="0"/>
                          </a:rPr>
                          <m:t>𝑘𝑊</m:t>
                        </m:r>
                      </m:e>
                    </m:d>
                    <m:r>
                      <a:rPr lang="es-ES" sz="1100" b="0" i="1">
                        <a:latin typeface="Cambria Math" panose="02040503050406030204" pitchFamily="18" charset="0"/>
                      </a:rPr>
                      <m:t>∗</m:t>
                    </m:r>
                    <m:r>
                      <a:rPr lang="es-ES" sz="1100" b="0" i="1">
                        <a:latin typeface="Cambria Math" panose="02040503050406030204" pitchFamily="18" charset="0"/>
                      </a:rPr>
                      <m:t>𝑓𝑎𝑐𝑡𝑜𝑟</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𝑐𝑎𝑟𝑔𝑎</m:t>
                    </m:r>
                    <m:r>
                      <a:rPr lang="es-ES" sz="1100" b="0" i="1">
                        <a:latin typeface="Cambria Math" panose="02040503050406030204" pitchFamily="18" charset="0"/>
                      </a:rPr>
                      <m:t>∗</m:t>
                    </m:r>
                    <m:r>
                      <a:rPr lang="es-ES" sz="1100" b="0" i="1">
                        <a:latin typeface="Cambria Math" panose="02040503050406030204" pitchFamily="18" charset="0"/>
                      </a:rPr>
                      <m:t>𝑓𝑎𝑐𝑡𝑜𝑟</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𝑝𝑜𝑡𝑒𝑛𝑐𝑖𝑎</m:t>
                    </m:r>
                  </m:oMath>
                </m:oMathPara>
              </a14:m>
              <a:endParaRPr lang="es-CL" sz="1100"/>
            </a:p>
          </xdr:txBody>
        </xdr:sp>
      </mc:Choice>
      <mc:Fallback xmlns="">
        <xdr:sp macro="" textlink="">
          <xdr:nvSpPr>
            <xdr:cNvPr id="15" name="CuadroTexto 14">
              <a:extLst>
                <a:ext uri="{FF2B5EF4-FFF2-40B4-BE49-F238E27FC236}">
                  <a16:creationId xmlns:a16="http://schemas.microsoft.com/office/drawing/2014/main" id="{19BAC5E4-2D06-4BD3-B44F-0F0714EF4DF2}"/>
                </a:ext>
              </a:extLst>
            </xdr:cNvPr>
            <xdr:cNvSpPr txBox="1"/>
          </xdr:nvSpPr>
          <xdr:spPr>
            <a:xfrm>
              <a:off x="1261753" y="33584408"/>
              <a:ext cx="7343164"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𝐶𝑜𝑛𝑠𝑢𝑚𝑜 𝐴𝑐𝑡𝑢𝑎𝑙 (𝐾𝑤ℎ/𝑎ñ𝑜)=60(ℎ/𝑠𝑒𝑚𝑎𝑛𝑎)∗48(𝑠𝑒𝑚𝑎𝑛𝑎𝑠/𝑎ñ𝑜)∗𝑃𝑜𝑡𝑒𝑛𝑐𝑖𝑎(𝑘𝑊)∗𝑓𝑎𝑐𝑡𝑜𝑟 𝑑𝑒 𝑐𝑎𝑟𝑔𝑎∗𝑓𝑎𝑐𝑡𝑜𝑟 𝑑𝑒 𝑝𝑜𝑡𝑒𝑛𝑐𝑖𝑎</a:t>
              </a:r>
              <a:endParaRPr lang="es-CL" sz="1100"/>
            </a:p>
          </xdr:txBody>
        </xdr:sp>
      </mc:Fallback>
    </mc:AlternateContent>
    <xdr:clientData/>
  </xdr:oneCellAnchor>
  <xdr:oneCellAnchor>
    <xdr:from>
      <xdr:col>1</xdr:col>
      <xdr:colOff>427264</xdr:colOff>
      <xdr:row>170</xdr:row>
      <xdr:rowOff>12370</xdr:rowOff>
    </xdr:from>
    <xdr:ext cx="4118243" cy="173766"/>
    <mc:AlternateContent xmlns:mc="http://schemas.openxmlformats.org/markup-compatibility/2006" xmlns:a14="http://schemas.microsoft.com/office/drawing/2010/main">
      <mc:Choice Requires="a14">
        <xdr:sp macro="" textlink="">
          <xdr:nvSpPr>
            <xdr:cNvPr id="16" name="CuadroTexto 15">
              <a:extLst>
                <a:ext uri="{FF2B5EF4-FFF2-40B4-BE49-F238E27FC236}">
                  <a16:creationId xmlns:a16="http://schemas.microsoft.com/office/drawing/2014/main" id="{00000000-0008-0000-0B00-000010000000}"/>
                </a:ext>
              </a:extLst>
            </xdr:cNvPr>
            <xdr:cNvSpPr txBox="1"/>
          </xdr:nvSpPr>
          <xdr:spPr>
            <a:xfrm>
              <a:off x="1651907" y="34200316"/>
              <a:ext cx="411824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𝑅𝑒𝑑𝑢𝑐𝑐𝑖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𝑝𝑜𝑡𝑒𝑛𝑐𝑖𝑎</m:t>
                    </m:r>
                    <m:r>
                      <a:rPr lang="es-ES" sz="1100" b="0" i="1">
                        <a:latin typeface="Cambria Math" panose="02040503050406030204" pitchFamily="18" charset="0"/>
                      </a:rPr>
                      <m:t>=</m:t>
                    </m:r>
                    <m:r>
                      <a:rPr lang="es-ES" sz="1100" b="0" i="1">
                        <a:latin typeface="Cambria Math" panose="02040503050406030204" pitchFamily="18" charset="0"/>
                      </a:rPr>
                      <m:t>𝐶𝑜𝑛𝑠𝑢𝑚𝑜</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 −</m:t>
                    </m:r>
                    <m:r>
                      <a:rPr lang="es-ES" sz="1100" b="0" i="1">
                        <a:latin typeface="Cambria Math" panose="02040503050406030204" pitchFamily="18" charset="0"/>
                      </a:rPr>
                      <m:t>𝐶𝑜𝑛𝑠𝑢𝑚𝑜</m:t>
                    </m:r>
                    <m:r>
                      <a:rPr lang="es-ES" sz="1100" b="0" i="1">
                        <a:latin typeface="Cambria Math" panose="02040503050406030204" pitchFamily="18" charset="0"/>
                      </a:rPr>
                      <m:t> </m:t>
                    </m:r>
                    <m:r>
                      <a:rPr lang="es-ES" sz="1100" b="0" i="1">
                        <a:latin typeface="Cambria Math" panose="02040503050406030204" pitchFamily="18" charset="0"/>
                      </a:rPr>
                      <m:t>𝑝𝑟𝑜𝑝𝑢𝑒𝑠𝑡𝑜</m:t>
                    </m:r>
                  </m:oMath>
                </m:oMathPara>
              </a14:m>
              <a:endParaRPr lang="es-CL" sz="1100"/>
            </a:p>
          </xdr:txBody>
        </xdr:sp>
      </mc:Choice>
      <mc:Fallback xmlns="">
        <xdr:sp macro="" textlink="">
          <xdr:nvSpPr>
            <xdr:cNvPr id="16" name="CuadroTexto 15">
              <a:extLst>
                <a:ext uri="{FF2B5EF4-FFF2-40B4-BE49-F238E27FC236}">
                  <a16:creationId xmlns:a16="http://schemas.microsoft.com/office/drawing/2014/main" id="{6AF6D876-0737-472E-8C68-5A76886BD2F5}"/>
                </a:ext>
              </a:extLst>
            </xdr:cNvPr>
            <xdr:cNvSpPr txBox="1"/>
          </xdr:nvSpPr>
          <xdr:spPr>
            <a:xfrm>
              <a:off x="1651907" y="34200316"/>
              <a:ext cx="411824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𝑅𝑒𝑑𝑢𝑐𝑐𝑖ó𝑛 𝑑𝑒 𝑝𝑜𝑡𝑒𝑛𝑐𝑖𝑎=𝐶𝑜𝑛𝑠𝑢𝑚𝑜 𝑎𝑐𝑡𝑢𝑎𝑙 −𝐶𝑜𝑛𝑠𝑢𝑚𝑜 𝑝𝑟𝑜𝑝𝑢𝑒𝑠𝑡𝑜</a:t>
              </a:r>
              <a:endParaRPr lang="es-CL" sz="1100"/>
            </a:p>
          </xdr:txBody>
        </xdr:sp>
      </mc:Fallback>
    </mc:AlternateContent>
    <xdr:clientData/>
  </xdr:oneCellAnchor>
  <xdr:oneCellAnchor>
    <xdr:from>
      <xdr:col>1</xdr:col>
      <xdr:colOff>0</xdr:colOff>
      <xdr:row>176</xdr:row>
      <xdr:rowOff>80942</xdr:rowOff>
    </xdr:from>
    <xdr:ext cx="4854854" cy="380361"/>
    <mc:AlternateContent xmlns:mc="http://schemas.openxmlformats.org/markup-compatibility/2006" xmlns:a14="http://schemas.microsoft.com/office/drawing/2010/main">
      <mc:Choice Requires="a14">
        <xdr:sp macro="" textlink="">
          <xdr:nvSpPr>
            <xdr:cNvPr id="17" name="CuadroTexto 16">
              <a:extLst>
                <a:ext uri="{FF2B5EF4-FFF2-40B4-BE49-F238E27FC236}">
                  <a16:creationId xmlns:a16="http://schemas.microsoft.com/office/drawing/2014/main" id="{00000000-0008-0000-0B00-000011000000}"/>
                </a:ext>
              </a:extLst>
            </xdr:cNvPr>
            <xdr:cNvSpPr txBox="1"/>
          </xdr:nvSpPr>
          <xdr:spPr>
            <a:xfrm>
              <a:off x="1224643" y="35425496"/>
              <a:ext cx="4854854"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m:t>
                    </m:r>
                    <m:r>
                      <a:rPr lang="es-ES" sz="1100" b="0" i="1">
                        <a:latin typeface="Cambria Math" panose="02040503050406030204" pitchFamily="18" charset="0"/>
                      </a:rPr>
                      <m:t>𝑅𝑒𝑑𝑢𝑐𝑐𝑖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𝑝𝑜𝑡𝑒𝑛𝑐𝑖𝑎</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𝑘𝑊h</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d>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𝐶𝑜𝑠𝑡𝑜</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𝑝𝑜𝑛𝑑𝑒𝑟𝑎𝑑𝑜</m:t>
                    </m:r>
                    <m:d>
                      <m:dPr>
                        <m:ctrlPr>
                          <a:rPr lang="es-ES" sz="1100" b="0" i="1">
                            <a:latin typeface="Cambria Math" panose="02040503050406030204" pitchFamily="18" charset="0"/>
                          </a:rPr>
                        </m:ctrlPr>
                      </m:dPr>
                      <m:e>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m:t>
                            </m:r>
                          </m:num>
                          <m:den>
                            <m:r>
                              <a:rPr lang="es-ES" sz="1100" b="0" i="1">
                                <a:solidFill>
                                  <a:schemeClr val="tx1"/>
                                </a:solidFill>
                                <a:effectLst/>
                                <a:latin typeface="Cambria Math" panose="02040503050406030204" pitchFamily="18" charset="0"/>
                                <a:ea typeface="+mn-ea"/>
                                <a:cs typeface="+mn-cs"/>
                              </a:rPr>
                              <m:t>𝑘𝑊h</m:t>
                            </m:r>
                          </m:den>
                        </m:f>
                      </m:e>
                    </m:d>
                  </m:oMath>
                </m:oMathPara>
              </a14:m>
              <a:endParaRPr lang="es-CL" sz="1100"/>
            </a:p>
          </xdr:txBody>
        </xdr:sp>
      </mc:Choice>
      <mc:Fallback xmlns="">
        <xdr:sp macro="" textlink="">
          <xdr:nvSpPr>
            <xdr:cNvPr id="17" name="CuadroTexto 16">
              <a:extLst>
                <a:ext uri="{FF2B5EF4-FFF2-40B4-BE49-F238E27FC236}">
                  <a16:creationId xmlns:a16="http://schemas.microsoft.com/office/drawing/2014/main" id="{E98D4600-E085-4B91-BF9D-6CFE37513DA2}"/>
                </a:ext>
              </a:extLst>
            </xdr:cNvPr>
            <xdr:cNvSpPr txBox="1"/>
          </xdr:nvSpPr>
          <xdr:spPr>
            <a:xfrm>
              <a:off x="1224643" y="35425496"/>
              <a:ext cx="4854854"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𝐴ℎ𝑜𝑟𝑟𝑜𝑠 𝑎𝑛𝑢𝑎𝑙𝑒𝑠=𝑅𝑒𝑑𝑢𝑐𝑐𝑖ó𝑛 𝑑𝑒 𝑝𝑜𝑡𝑒𝑛𝑐𝑖𝑎</a:t>
              </a:r>
              <a:r>
                <a:rPr lang="es-ES" sz="1100" b="0" i="0">
                  <a:solidFill>
                    <a:schemeClr val="tx1"/>
                  </a:solidFill>
                  <a:effectLst/>
                  <a:latin typeface="Cambria Math" panose="02040503050406030204" pitchFamily="18" charset="0"/>
                  <a:ea typeface="+mn-ea"/>
                  <a:cs typeface="+mn-cs"/>
                </a:rPr>
                <a:t>(𝑘𝑊ℎ/𝑎ñ𝑜)∗𝐶𝑜𝑠𝑡𝑜 𝑝𝑜𝑛𝑑𝑒𝑟𝑎𝑑𝑜</a:t>
              </a:r>
              <a:r>
                <a:rPr lang="es-ES" sz="1100" b="0" i="0">
                  <a:latin typeface="Cambria Math" panose="02040503050406030204" pitchFamily="18" charset="0"/>
                </a:rPr>
                <a:t>(</a:t>
              </a:r>
              <a:r>
                <a:rPr lang="es-ES" sz="1100" b="0" i="0">
                  <a:solidFill>
                    <a:schemeClr val="tx1"/>
                  </a:solidFill>
                  <a:effectLst/>
                  <a:latin typeface="Cambria Math" panose="02040503050406030204" pitchFamily="18" charset="0"/>
                  <a:ea typeface="+mn-ea"/>
                  <a:cs typeface="+mn-cs"/>
                </a:rPr>
                <a:t>$/𝑘𝑊ℎ)</a:t>
              </a:r>
              <a:endParaRPr lang="es-CL" sz="1100"/>
            </a:p>
          </xdr:txBody>
        </xdr:sp>
      </mc:Fallback>
    </mc:AlternateContent>
    <xdr:clientData/>
  </xdr:oneCellAnchor>
  <xdr:oneCellAnchor>
    <xdr:from>
      <xdr:col>1</xdr:col>
      <xdr:colOff>23813</xdr:colOff>
      <xdr:row>179</xdr:row>
      <xdr:rowOff>54862</xdr:rowOff>
    </xdr:from>
    <xdr:ext cx="3295069" cy="380361"/>
    <mc:AlternateContent xmlns:mc="http://schemas.openxmlformats.org/markup-compatibility/2006" xmlns:a14="http://schemas.microsoft.com/office/drawing/2010/main">
      <mc:Choice Requires="a14">
        <xdr:sp macro="" textlink="">
          <xdr:nvSpPr>
            <xdr:cNvPr id="18" name="CuadroTexto 17">
              <a:extLst>
                <a:ext uri="{FF2B5EF4-FFF2-40B4-BE49-F238E27FC236}">
                  <a16:creationId xmlns:a16="http://schemas.microsoft.com/office/drawing/2014/main" id="{00000000-0008-0000-0B00-000012000000}"/>
                </a:ext>
              </a:extLst>
            </xdr:cNvPr>
            <xdr:cNvSpPr txBox="1"/>
          </xdr:nvSpPr>
          <xdr:spPr>
            <a:xfrm>
              <a:off x="1248456" y="35977719"/>
              <a:ext cx="3295069"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=10.376,3</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𝑘𝑊h</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d>
                    <m:r>
                      <a:rPr lang="es-ES" sz="1100" b="0" i="1">
                        <a:solidFill>
                          <a:schemeClr val="tx1"/>
                        </a:solidFill>
                        <a:effectLst/>
                        <a:latin typeface="Cambria Math" panose="02040503050406030204" pitchFamily="18" charset="0"/>
                        <a:ea typeface="+mn-ea"/>
                        <a:cs typeface="+mn-cs"/>
                      </a:rPr>
                      <m:t>∗</m:t>
                    </m:r>
                    <m:r>
                      <a:rPr lang="es-ES" sz="1100" b="0" i="1">
                        <a:solidFill>
                          <a:srgbClr val="0070C0"/>
                        </a:solidFill>
                        <a:effectLst/>
                        <a:latin typeface="Cambria Math" panose="02040503050406030204" pitchFamily="18" charset="0"/>
                        <a:ea typeface="+mn-ea"/>
                        <a:cs typeface="+mn-cs"/>
                      </a:rPr>
                      <m:t>394,05</m:t>
                    </m:r>
                    <m:d>
                      <m:dPr>
                        <m:ctrlPr>
                          <a:rPr lang="es-ES" sz="1100" b="0" i="1">
                            <a:latin typeface="Cambria Math" panose="02040503050406030204" pitchFamily="18" charset="0"/>
                          </a:rPr>
                        </m:ctrlPr>
                      </m:dPr>
                      <m:e>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m:t>
                            </m:r>
                          </m:num>
                          <m:den>
                            <m:r>
                              <a:rPr lang="es-ES" sz="1100" b="0" i="1">
                                <a:solidFill>
                                  <a:schemeClr val="tx1"/>
                                </a:solidFill>
                                <a:effectLst/>
                                <a:latin typeface="Cambria Math" panose="02040503050406030204" pitchFamily="18" charset="0"/>
                                <a:ea typeface="+mn-ea"/>
                                <a:cs typeface="+mn-cs"/>
                              </a:rPr>
                              <m:t>𝑘𝑊h</m:t>
                            </m:r>
                          </m:den>
                        </m:f>
                      </m:e>
                    </m:d>
                  </m:oMath>
                </m:oMathPara>
              </a14:m>
              <a:endParaRPr lang="es-CL" sz="1100"/>
            </a:p>
          </xdr:txBody>
        </xdr:sp>
      </mc:Choice>
      <mc:Fallback xmlns="">
        <xdr:sp macro="" textlink="">
          <xdr:nvSpPr>
            <xdr:cNvPr id="18" name="CuadroTexto 17">
              <a:extLst>
                <a:ext uri="{FF2B5EF4-FFF2-40B4-BE49-F238E27FC236}">
                  <a16:creationId xmlns:a16="http://schemas.microsoft.com/office/drawing/2014/main" id="{0560CAD6-4D57-4B03-A608-D85814DD1B7E}"/>
                </a:ext>
              </a:extLst>
            </xdr:cNvPr>
            <xdr:cNvSpPr txBox="1"/>
          </xdr:nvSpPr>
          <xdr:spPr>
            <a:xfrm>
              <a:off x="1248456" y="35977719"/>
              <a:ext cx="3295069"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𝐴ℎ𝑜𝑟𝑟𝑜𝑠 𝑎𝑛𝑢𝑎𝑙𝑒𝑠=10.376,3</a:t>
              </a:r>
              <a:r>
                <a:rPr lang="es-ES" sz="1100" b="0" i="0">
                  <a:solidFill>
                    <a:schemeClr val="tx1"/>
                  </a:solidFill>
                  <a:effectLst/>
                  <a:latin typeface="Cambria Math" panose="02040503050406030204" pitchFamily="18" charset="0"/>
                  <a:ea typeface="+mn-ea"/>
                  <a:cs typeface="+mn-cs"/>
                </a:rPr>
                <a:t>(𝑘𝑊ℎ/𝑎ñ𝑜)∗</a:t>
              </a:r>
              <a:r>
                <a:rPr lang="es-ES" sz="1100" b="0" i="0">
                  <a:solidFill>
                    <a:srgbClr val="0070C0"/>
                  </a:solidFill>
                  <a:effectLst/>
                  <a:latin typeface="Cambria Math" panose="02040503050406030204" pitchFamily="18" charset="0"/>
                  <a:ea typeface="+mn-ea"/>
                  <a:cs typeface="+mn-cs"/>
                </a:rPr>
                <a:t>394,05</a:t>
              </a:r>
              <a:r>
                <a:rPr lang="es-ES" sz="1100" b="0" i="0">
                  <a:latin typeface="Cambria Math" panose="02040503050406030204" pitchFamily="18" charset="0"/>
                </a:rPr>
                <a:t>(</a:t>
              </a:r>
              <a:r>
                <a:rPr lang="es-ES" sz="1100" b="0" i="0">
                  <a:solidFill>
                    <a:schemeClr val="tx1"/>
                  </a:solidFill>
                  <a:effectLst/>
                  <a:latin typeface="Cambria Math" panose="02040503050406030204" pitchFamily="18" charset="0"/>
                  <a:ea typeface="+mn-ea"/>
                  <a:cs typeface="+mn-cs"/>
                </a:rPr>
                <a:t>$/𝑘𝑊ℎ)</a:t>
              </a:r>
              <a:endParaRPr lang="es-CL" sz="1100"/>
            </a:p>
          </xdr:txBody>
        </xdr:sp>
      </mc:Fallback>
    </mc:AlternateContent>
    <xdr:clientData/>
  </xdr:oneCellAnchor>
  <xdr:oneCellAnchor>
    <xdr:from>
      <xdr:col>1</xdr:col>
      <xdr:colOff>35718</xdr:colOff>
      <xdr:row>182</xdr:row>
      <xdr:rowOff>7238</xdr:rowOff>
    </xdr:from>
    <xdr:ext cx="2319161" cy="328231"/>
    <mc:AlternateContent xmlns:mc="http://schemas.openxmlformats.org/markup-compatibility/2006" xmlns:a14="http://schemas.microsoft.com/office/drawing/2010/main">
      <mc:Choice Requires="a14">
        <xdr:sp macro="" textlink="">
          <xdr:nvSpPr>
            <xdr:cNvPr id="19" name="CuadroTexto 18">
              <a:extLst>
                <a:ext uri="{FF2B5EF4-FFF2-40B4-BE49-F238E27FC236}">
                  <a16:creationId xmlns:a16="http://schemas.microsoft.com/office/drawing/2014/main" id="{00000000-0008-0000-0B00-000013000000}"/>
                </a:ext>
              </a:extLst>
            </xdr:cNvPr>
            <xdr:cNvSpPr txBox="1"/>
          </xdr:nvSpPr>
          <xdr:spPr>
            <a:xfrm>
              <a:off x="1260361" y="36508399"/>
              <a:ext cx="2319161"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=1.057.966,98</m:t>
                    </m:r>
                    <m:f>
                      <m:fPr>
                        <m:ctrlPr>
                          <a:rPr lang="es-ES" sz="1100" b="0" i="1">
                            <a:latin typeface="Cambria Math" panose="02040503050406030204" pitchFamily="18" charset="0"/>
                          </a:rPr>
                        </m:ctrlPr>
                      </m:fPr>
                      <m:num>
                        <m:r>
                          <a:rPr lang="es-ES" sz="1100" b="0" i="1">
                            <a:latin typeface="Cambria Math" panose="02040503050406030204" pitchFamily="18" charset="0"/>
                          </a:rPr>
                          <m:t>𝑈𝑆</m:t>
                        </m:r>
                        <m:r>
                          <a:rPr lang="es-ES" sz="1100" b="0" i="1">
                            <a:latin typeface="Cambria Math" panose="02040503050406030204" pitchFamily="18" charset="0"/>
                          </a:rPr>
                          <m:t>$</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19" name="CuadroTexto 18">
              <a:extLst>
                <a:ext uri="{FF2B5EF4-FFF2-40B4-BE49-F238E27FC236}">
                  <a16:creationId xmlns:a16="http://schemas.microsoft.com/office/drawing/2014/main" id="{C0AF3C1C-CD28-455C-8160-9E54E1BC0FF9}"/>
                </a:ext>
              </a:extLst>
            </xdr:cNvPr>
            <xdr:cNvSpPr txBox="1"/>
          </xdr:nvSpPr>
          <xdr:spPr>
            <a:xfrm>
              <a:off x="1260361" y="36508399"/>
              <a:ext cx="2319161"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𝐴ℎ𝑜𝑟𝑟𝑜𝑠 𝑎𝑛𝑢𝑎𝑙𝑒𝑠=1.057.966,98 𝑈𝑆$/𝑎ñ𝑜</a:t>
              </a:r>
              <a:endParaRPr lang="es-CL" sz="1100"/>
            </a:p>
          </xdr:txBody>
        </xdr:sp>
      </mc:Fallback>
    </mc:AlternateContent>
    <xdr:clientData/>
  </xdr:oneCellAnchor>
  <xdr:oneCellAnchor>
    <xdr:from>
      <xdr:col>1</xdr:col>
      <xdr:colOff>11906</xdr:colOff>
      <xdr:row>203</xdr:row>
      <xdr:rowOff>0</xdr:rowOff>
    </xdr:from>
    <xdr:ext cx="5844933" cy="380361"/>
    <mc:AlternateContent xmlns:mc="http://schemas.openxmlformats.org/markup-compatibility/2006" xmlns:a14="http://schemas.microsoft.com/office/drawing/2010/main">
      <mc:Choice Requires="a14">
        <xdr:sp macro="" textlink="">
          <xdr:nvSpPr>
            <xdr:cNvPr id="20" name="CuadroTexto 19">
              <a:extLst>
                <a:ext uri="{FF2B5EF4-FFF2-40B4-BE49-F238E27FC236}">
                  <a16:creationId xmlns:a16="http://schemas.microsoft.com/office/drawing/2014/main" id="{00000000-0008-0000-0B00-000014000000}"/>
                </a:ext>
              </a:extLst>
            </xdr:cNvPr>
            <xdr:cNvSpPr txBox="1"/>
          </xdr:nvSpPr>
          <xdr:spPr>
            <a:xfrm>
              <a:off x="1236549" y="40571964"/>
              <a:ext cx="5844933"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𝑇𝑜𝑛𝑒𝑙𝑎𝑑𝑎𝑠</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r>
                      <a:rPr lang="es-ES" sz="1100" b="0" i="1">
                        <a:latin typeface="Cambria Math" panose="02040503050406030204" pitchFamily="18" charset="0"/>
                      </a:rPr>
                      <m:t> </m:t>
                    </m:r>
                    <m:r>
                      <a:rPr lang="es-ES" sz="1100" b="0" i="1">
                        <a:latin typeface="Cambria Math" panose="02040503050406030204" pitchFamily="18" charset="0"/>
                      </a:rPr>
                      <m:t>𝑛𝑜</m:t>
                    </m:r>
                    <m:r>
                      <a:rPr lang="es-ES" sz="1100" b="0" i="1">
                        <a:latin typeface="Cambria Math" panose="02040503050406030204" pitchFamily="18" charset="0"/>
                      </a:rPr>
                      <m:t> </m:t>
                    </m:r>
                    <m:r>
                      <a:rPr lang="es-ES" sz="1100" b="0" i="1">
                        <a:latin typeface="Cambria Math" panose="02040503050406030204" pitchFamily="18" charset="0"/>
                      </a:rPr>
                      <m:t>𝑒𝑚𝑖𝑡𝑖𝑑𝑎𝑠</m:t>
                    </m:r>
                    <m:r>
                      <a:rPr lang="es-ES" sz="1100" b="0" i="1">
                        <a:latin typeface="Cambria Math" panose="02040503050406030204" pitchFamily="18" charset="0"/>
                      </a:rPr>
                      <m:t> =</m:t>
                    </m:r>
                    <m:r>
                      <a:rPr lang="es-ES" sz="1100" b="0" i="1">
                        <a:latin typeface="Cambria Math" panose="02040503050406030204" pitchFamily="18" charset="0"/>
                      </a:rPr>
                      <m:t>𝑟𝑒𝑑𝑢𝑐𝑐𝑖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𝑝𝑜𝑡𝑒𝑛𝑐𝑖𝑎</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𝑀𝑊h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m:t>
                    </m:r>
                    <m:r>
                      <a:rPr lang="es-ES" sz="1100" b="0" i="1">
                        <a:latin typeface="Cambria Math" panose="02040503050406030204" pitchFamily="18" charset="0"/>
                      </a:rPr>
                      <m:t>𝑓𝑎𝑐𝑡𝑜𝑟</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𝑒𝑚𝑖𝑠𝑖</m:t>
                    </m:r>
                    <m:r>
                      <a:rPr lang="es-ES" sz="1100" b="0" i="1">
                        <a:latin typeface="Cambria Math" panose="02040503050406030204" pitchFamily="18" charset="0"/>
                      </a:rPr>
                      <m:t>ó</m:t>
                    </m:r>
                    <m:r>
                      <a:rPr lang="es-ES" sz="1100" b="0" i="1">
                        <a:latin typeface="Cambria Math" panose="02040503050406030204" pitchFamily="18" charset="0"/>
                      </a:rPr>
                      <m:t>𝑛</m:t>
                    </m:r>
                    <m:d>
                      <m:dPr>
                        <m:ctrlPr>
                          <a:rPr lang="es-ES" sz="1100" b="0" i="1">
                            <a:latin typeface="Cambria Math" panose="02040503050406030204" pitchFamily="18" charset="0"/>
                          </a:rPr>
                        </m:ctrlPr>
                      </m:dPr>
                      <m:e>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𝑇𝑜𝑛</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𝑀𝑊h</m:t>
                            </m:r>
                          </m:den>
                        </m:f>
                      </m:e>
                    </m:d>
                  </m:oMath>
                </m:oMathPara>
              </a14:m>
              <a:endParaRPr lang="es-CL" sz="1100"/>
            </a:p>
          </xdr:txBody>
        </xdr:sp>
      </mc:Choice>
      <mc:Fallback xmlns="">
        <xdr:sp macro="" textlink="">
          <xdr:nvSpPr>
            <xdr:cNvPr id="20" name="CuadroTexto 19">
              <a:extLst>
                <a:ext uri="{FF2B5EF4-FFF2-40B4-BE49-F238E27FC236}">
                  <a16:creationId xmlns:a16="http://schemas.microsoft.com/office/drawing/2014/main" id="{753A0302-9EA5-43A9-AFAE-89B4BE72EFB5}"/>
                </a:ext>
              </a:extLst>
            </xdr:cNvPr>
            <xdr:cNvSpPr txBox="1"/>
          </xdr:nvSpPr>
          <xdr:spPr>
            <a:xfrm>
              <a:off x="1236549" y="40571964"/>
              <a:ext cx="5844933"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𝑇𝑜𝑛𝑒𝑙𝑎𝑑𝑎𝑠 〖𝐶𝑂〗_2  𝑛𝑜 𝑒𝑚𝑖𝑡𝑖𝑑𝑎𝑠 =𝑟𝑒𝑑𝑢𝑐𝑐𝑖ó𝑛 𝑑𝑒 𝑝𝑜𝑡𝑒𝑛𝑐𝑖𝑎(𝑀𝑊ℎ/𝑎ñ𝑜)∗𝑓𝑎𝑐𝑡𝑜𝑟 𝑑𝑒 𝑒𝑚𝑖𝑠𝑖ó𝑛(</a:t>
              </a:r>
              <a:r>
                <a:rPr lang="es-ES" sz="1100" b="0" i="0">
                  <a:solidFill>
                    <a:schemeClr val="tx1"/>
                  </a:solidFill>
                  <a:effectLst/>
                  <a:latin typeface="Cambria Math" panose="02040503050406030204" pitchFamily="18" charset="0"/>
                  <a:ea typeface="+mn-ea"/>
                  <a:cs typeface="+mn-cs"/>
                </a:rPr>
                <a:t>〖𝑇𝑜𝑛 𝐶𝑂〗_2/𝑀𝑊ℎ)</a:t>
              </a:r>
              <a:endParaRPr lang="es-CL" sz="1100"/>
            </a:p>
          </xdr:txBody>
        </xdr:sp>
      </mc:Fallback>
    </mc:AlternateContent>
    <xdr:clientData/>
  </xdr:oneCellAnchor>
  <xdr:oneCellAnchor>
    <xdr:from>
      <xdr:col>1</xdr:col>
      <xdr:colOff>0</xdr:colOff>
      <xdr:row>206</xdr:row>
      <xdr:rowOff>1</xdr:rowOff>
    </xdr:from>
    <xdr:ext cx="5280356" cy="380361"/>
    <mc:AlternateContent xmlns:mc="http://schemas.openxmlformats.org/markup-compatibility/2006" xmlns:a14="http://schemas.microsoft.com/office/drawing/2010/main">
      <mc:Choice Requires="a14">
        <xdr:sp macro="" textlink="">
          <xdr:nvSpPr>
            <xdr:cNvPr id="21" name="CuadroTexto 20">
              <a:extLst>
                <a:ext uri="{FF2B5EF4-FFF2-40B4-BE49-F238E27FC236}">
                  <a16:creationId xmlns:a16="http://schemas.microsoft.com/office/drawing/2014/main" id="{00000000-0008-0000-0B00-000015000000}"/>
                </a:ext>
              </a:extLst>
            </xdr:cNvPr>
            <xdr:cNvSpPr txBox="1"/>
          </xdr:nvSpPr>
          <xdr:spPr>
            <a:xfrm>
              <a:off x="1224643" y="41150269"/>
              <a:ext cx="5280356"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𝑇𝑜𝑛𝑒𝑙𝑎𝑑𝑎𝑠</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r>
                      <a:rPr lang="es-ES" sz="1100" b="0" i="1">
                        <a:latin typeface="Cambria Math" panose="02040503050406030204" pitchFamily="18" charset="0"/>
                      </a:rPr>
                      <m:t> </m:t>
                    </m:r>
                    <m:r>
                      <a:rPr lang="es-ES" sz="1100" b="0" i="1">
                        <a:latin typeface="Cambria Math" panose="02040503050406030204" pitchFamily="18" charset="0"/>
                      </a:rPr>
                      <m:t>𝑛𝑜</m:t>
                    </m:r>
                    <m:r>
                      <a:rPr lang="es-ES" sz="1100" b="0" i="1">
                        <a:latin typeface="Cambria Math" panose="02040503050406030204" pitchFamily="18" charset="0"/>
                      </a:rPr>
                      <m:t> </m:t>
                    </m:r>
                    <m:r>
                      <a:rPr lang="es-ES" sz="1100" b="0" i="1">
                        <a:latin typeface="Cambria Math" panose="02040503050406030204" pitchFamily="18" charset="0"/>
                      </a:rPr>
                      <m:t>𝑒𝑚𝑖𝑡𝑖𝑑𝑎𝑠</m:t>
                    </m:r>
                    <m:r>
                      <a:rPr lang="es-ES" sz="1100" b="0" i="1">
                        <a:latin typeface="Cambria Math" panose="02040503050406030204" pitchFamily="18" charset="0"/>
                      </a:rPr>
                      <m:t> =10,36</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𝑀𝑊h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∗0,2384</m:t>
                    </m:r>
                    <m:d>
                      <m:dPr>
                        <m:ctrlPr>
                          <a:rPr lang="es-ES" sz="1100" b="0" i="1">
                            <a:latin typeface="Cambria Math" panose="02040503050406030204" pitchFamily="18" charset="0"/>
                          </a:rPr>
                        </m:ctrlPr>
                      </m:dPr>
                      <m:e>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𝑇𝑜𝑛</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𝑀𝑊h</m:t>
                            </m:r>
                          </m:den>
                        </m:f>
                      </m:e>
                    </m:d>
                    <m:r>
                      <a:rPr lang="es-ES" sz="1100" b="0" i="1">
                        <a:latin typeface="Cambria Math" panose="02040503050406030204" pitchFamily="18" charset="0"/>
                      </a:rPr>
                      <m:t>=2,5</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𝑇𝑜𝑛</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d>
                  </m:oMath>
                </m:oMathPara>
              </a14:m>
              <a:endParaRPr lang="es-CL" sz="1100"/>
            </a:p>
          </xdr:txBody>
        </xdr:sp>
      </mc:Choice>
      <mc:Fallback xmlns="">
        <xdr:sp macro="" textlink="">
          <xdr:nvSpPr>
            <xdr:cNvPr id="21" name="CuadroTexto 20">
              <a:extLst>
                <a:ext uri="{FF2B5EF4-FFF2-40B4-BE49-F238E27FC236}">
                  <a16:creationId xmlns:a16="http://schemas.microsoft.com/office/drawing/2014/main" id="{60AD1F29-3F88-4B54-BEF1-8B836312AE23}"/>
                </a:ext>
              </a:extLst>
            </xdr:cNvPr>
            <xdr:cNvSpPr txBox="1"/>
          </xdr:nvSpPr>
          <xdr:spPr>
            <a:xfrm>
              <a:off x="1224643" y="41150269"/>
              <a:ext cx="5280356"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𝑇𝑜𝑛𝑒𝑙𝑎𝑑𝑎𝑠 〖𝐶𝑂〗_2  𝑛𝑜 𝑒𝑚𝑖𝑡𝑖𝑑𝑎𝑠 =10,36(𝑀𝑊ℎ/𝑎ñ𝑜)∗0,2384(</a:t>
              </a:r>
              <a:r>
                <a:rPr lang="es-ES" sz="1100" b="0" i="0">
                  <a:solidFill>
                    <a:schemeClr val="tx1"/>
                  </a:solidFill>
                  <a:effectLst/>
                  <a:latin typeface="Cambria Math" panose="02040503050406030204" pitchFamily="18" charset="0"/>
                  <a:ea typeface="+mn-ea"/>
                  <a:cs typeface="+mn-cs"/>
                </a:rPr>
                <a:t>〖𝑇𝑜𝑛 𝐶𝑂〗_2/𝑀𝑊ℎ)</a:t>
              </a:r>
              <a:r>
                <a:rPr lang="es-ES" sz="1100" b="0" i="0">
                  <a:latin typeface="Cambria Math" panose="02040503050406030204" pitchFamily="18" charset="0"/>
                </a:rPr>
                <a:t>=2,5</a:t>
              </a:r>
              <a:r>
                <a:rPr lang="es-ES" sz="1100" b="0" i="0">
                  <a:solidFill>
                    <a:schemeClr val="tx1"/>
                  </a:solidFill>
                  <a:effectLst/>
                  <a:latin typeface="Cambria Math" panose="02040503050406030204" pitchFamily="18" charset="0"/>
                  <a:ea typeface="+mn-ea"/>
                  <a:cs typeface="+mn-cs"/>
                </a:rPr>
                <a:t>(〖𝑇𝑜𝑛 𝐶𝑂〗_2/𝑎ñ𝑜)</a:t>
              </a:r>
              <a:endParaRPr lang="es-CL" sz="1100"/>
            </a:p>
          </xdr:txBody>
        </xdr:sp>
      </mc:Fallback>
    </mc:AlternateContent>
    <xdr:clientData/>
  </xdr:oneCellAnchor>
  <xdr:oneCellAnchor>
    <xdr:from>
      <xdr:col>1</xdr:col>
      <xdr:colOff>48814</xdr:colOff>
      <xdr:row>284</xdr:row>
      <xdr:rowOff>34022</xdr:rowOff>
    </xdr:from>
    <xdr:ext cx="4739694" cy="173766"/>
    <mc:AlternateContent xmlns:mc="http://schemas.openxmlformats.org/markup-compatibility/2006" xmlns:a14="http://schemas.microsoft.com/office/drawing/2010/main">
      <mc:Choice Requires="a14">
        <xdr:sp macro="" textlink="">
          <xdr:nvSpPr>
            <xdr:cNvPr id="22" name="CuadroTexto 21">
              <a:extLst>
                <a:ext uri="{FF2B5EF4-FFF2-40B4-BE49-F238E27FC236}">
                  <a16:creationId xmlns:a16="http://schemas.microsoft.com/office/drawing/2014/main" id="{00000000-0008-0000-0B00-000016000000}"/>
                </a:ext>
              </a:extLst>
            </xdr:cNvPr>
            <xdr:cNvSpPr txBox="1"/>
          </xdr:nvSpPr>
          <xdr:spPr>
            <a:xfrm>
              <a:off x="1273457" y="56265540"/>
              <a:ext cx="47396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m:t>
                    </m:r>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−3(</m:t>
                    </m:r>
                    <m:r>
                      <a:rPr lang="es-ES" sz="1100" b="0" i="1">
                        <a:latin typeface="Cambria Math" panose="02040503050406030204" pitchFamily="18" charset="0"/>
                      </a:rPr>
                      <m:t>𝑁</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𝑣𝑒𝑐𝑒𝑠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𝑟𝑒𝑏𝑜𝑏𝑖𝑛𝑎𝑑𝑜</m:t>
                    </m:r>
                    <m:r>
                      <a:rPr lang="es-ES" sz="1100" b="0" i="1">
                        <a:latin typeface="Cambria Math" panose="02040503050406030204" pitchFamily="18" charset="0"/>
                      </a:rPr>
                      <m:t>)</m:t>
                    </m:r>
                  </m:oMath>
                </m:oMathPara>
              </a14:m>
              <a:endParaRPr lang="es-CL" sz="1100"/>
            </a:p>
          </xdr:txBody>
        </xdr:sp>
      </mc:Choice>
      <mc:Fallback xmlns="">
        <xdr:sp macro="" textlink="">
          <xdr:nvSpPr>
            <xdr:cNvPr id="22" name="CuadroTexto 21">
              <a:extLst>
                <a:ext uri="{FF2B5EF4-FFF2-40B4-BE49-F238E27FC236}">
                  <a16:creationId xmlns:a16="http://schemas.microsoft.com/office/drawing/2014/main" id="{A7C06FBA-B12D-4C9E-8CC3-CA8FBFC65355}"/>
                </a:ext>
              </a:extLst>
            </xdr:cNvPr>
            <xdr:cNvSpPr txBox="1"/>
          </xdr:nvSpPr>
          <xdr:spPr>
            <a:xfrm>
              <a:off x="1273457" y="56265540"/>
              <a:ext cx="47396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𝑎𝑐𝑡𝑢𝑎𝑙=𝐸𝑓𝑖𝑐𝑖𝑒𝑛𝑐𝑖𝑎 𝑎𝑐𝑡𝑢𝑎𝑙−3(𝑁° 𝑑𝑒 𝑣𝑒𝑐𝑒𝑠 𝑑𝑒 𝑟𝑒𝑏𝑜𝑏𝑖𝑛𝑎𝑑𝑜)</a:t>
              </a:r>
              <a:endParaRPr lang="es-CL" sz="1100"/>
            </a:p>
          </xdr:txBody>
        </xdr:sp>
      </mc:Fallback>
    </mc:AlternateContent>
    <xdr:clientData/>
  </xdr:oneCellAnchor>
  <xdr:oneCellAnchor>
    <xdr:from>
      <xdr:col>1</xdr:col>
      <xdr:colOff>35719</xdr:colOff>
      <xdr:row>285</xdr:row>
      <xdr:rowOff>80457</xdr:rowOff>
    </xdr:from>
    <xdr:ext cx="2330190" cy="173766"/>
    <mc:AlternateContent xmlns:mc="http://schemas.openxmlformats.org/markup-compatibility/2006" xmlns:a14="http://schemas.microsoft.com/office/drawing/2010/main">
      <mc:Choice Requires="a14">
        <xdr:sp macro="" textlink="">
          <xdr:nvSpPr>
            <xdr:cNvPr id="23" name="CuadroTexto 22">
              <a:extLst>
                <a:ext uri="{FF2B5EF4-FFF2-40B4-BE49-F238E27FC236}">
                  <a16:creationId xmlns:a16="http://schemas.microsoft.com/office/drawing/2014/main" id="{00000000-0008-0000-0B00-000017000000}"/>
                </a:ext>
              </a:extLst>
            </xdr:cNvPr>
            <xdr:cNvSpPr txBox="1"/>
          </xdr:nvSpPr>
          <xdr:spPr>
            <a:xfrm>
              <a:off x="1260362" y="56504743"/>
              <a:ext cx="233019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=78%−3(1)</m:t>
                    </m:r>
                  </m:oMath>
                </m:oMathPara>
              </a14:m>
              <a:endParaRPr lang="es-CL" sz="1100"/>
            </a:p>
          </xdr:txBody>
        </xdr:sp>
      </mc:Choice>
      <mc:Fallback xmlns="">
        <xdr:sp macro="" textlink="">
          <xdr:nvSpPr>
            <xdr:cNvPr id="23" name="CuadroTexto 22">
              <a:extLst>
                <a:ext uri="{FF2B5EF4-FFF2-40B4-BE49-F238E27FC236}">
                  <a16:creationId xmlns:a16="http://schemas.microsoft.com/office/drawing/2014/main" id="{8276A1E1-1171-4A12-A578-C3E17507788D}"/>
                </a:ext>
              </a:extLst>
            </xdr:cNvPr>
            <xdr:cNvSpPr txBox="1"/>
          </xdr:nvSpPr>
          <xdr:spPr>
            <a:xfrm>
              <a:off x="1260362" y="56504743"/>
              <a:ext cx="233019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𝑎𝑐𝑡𝑢𝑎𝑙=78%−3(1)</a:t>
              </a:r>
              <a:endParaRPr lang="es-CL" sz="1100"/>
            </a:p>
          </xdr:txBody>
        </xdr:sp>
      </mc:Fallback>
    </mc:AlternateContent>
    <xdr:clientData/>
  </xdr:oneCellAnchor>
  <xdr:oneCellAnchor>
    <xdr:from>
      <xdr:col>1</xdr:col>
      <xdr:colOff>0</xdr:colOff>
      <xdr:row>286</xdr:row>
      <xdr:rowOff>128082</xdr:rowOff>
    </xdr:from>
    <xdr:ext cx="1947328" cy="173766"/>
    <mc:AlternateContent xmlns:mc="http://schemas.openxmlformats.org/markup-compatibility/2006" xmlns:a14="http://schemas.microsoft.com/office/drawing/2010/main">
      <mc:Choice Requires="a14">
        <xdr:sp macro="" textlink="">
          <xdr:nvSpPr>
            <xdr:cNvPr id="24" name="CuadroTexto 23">
              <a:extLst>
                <a:ext uri="{FF2B5EF4-FFF2-40B4-BE49-F238E27FC236}">
                  <a16:creationId xmlns:a16="http://schemas.microsoft.com/office/drawing/2014/main" id="{00000000-0008-0000-0B00-000018000000}"/>
                </a:ext>
              </a:extLst>
            </xdr:cNvPr>
            <xdr:cNvSpPr txBox="1"/>
          </xdr:nvSpPr>
          <xdr:spPr>
            <a:xfrm>
              <a:off x="1224643" y="56745136"/>
              <a:ext cx="194732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=75%</m:t>
                    </m:r>
                  </m:oMath>
                </m:oMathPara>
              </a14:m>
              <a:endParaRPr lang="es-CL" sz="1100"/>
            </a:p>
          </xdr:txBody>
        </xdr:sp>
      </mc:Choice>
      <mc:Fallback xmlns="">
        <xdr:sp macro="" textlink="">
          <xdr:nvSpPr>
            <xdr:cNvPr id="24" name="CuadroTexto 23">
              <a:extLst>
                <a:ext uri="{FF2B5EF4-FFF2-40B4-BE49-F238E27FC236}">
                  <a16:creationId xmlns:a16="http://schemas.microsoft.com/office/drawing/2014/main" id="{2C2C7DA5-F306-4721-B0B6-474EC30CA70A}"/>
                </a:ext>
              </a:extLst>
            </xdr:cNvPr>
            <xdr:cNvSpPr txBox="1"/>
          </xdr:nvSpPr>
          <xdr:spPr>
            <a:xfrm>
              <a:off x="1224643" y="56745136"/>
              <a:ext cx="194732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𝑎𝑐𝑡𝑢𝑎𝑙=75%</a:t>
              </a:r>
              <a:endParaRPr lang="es-CL" sz="1100"/>
            </a:p>
          </xdr:txBody>
        </xdr:sp>
      </mc:Fallback>
    </mc:AlternateContent>
    <xdr:clientData/>
  </xdr:oneCellAnchor>
  <xdr:oneCellAnchor>
    <xdr:from>
      <xdr:col>1</xdr:col>
      <xdr:colOff>48815</xdr:colOff>
      <xdr:row>290</xdr:row>
      <xdr:rowOff>79373</xdr:rowOff>
    </xdr:from>
    <xdr:ext cx="7024872" cy="381579"/>
    <mc:AlternateContent xmlns:mc="http://schemas.openxmlformats.org/markup-compatibility/2006" xmlns:a14="http://schemas.microsoft.com/office/drawing/2010/main">
      <mc:Choice Requires="a14">
        <xdr:sp macro="" textlink="">
          <xdr:nvSpPr>
            <xdr:cNvPr id="25" name="CuadroTexto 24">
              <a:extLst>
                <a:ext uri="{FF2B5EF4-FFF2-40B4-BE49-F238E27FC236}">
                  <a16:creationId xmlns:a16="http://schemas.microsoft.com/office/drawing/2014/main" id="{00000000-0008-0000-0B00-000019000000}"/>
                </a:ext>
              </a:extLst>
            </xdr:cNvPr>
            <xdr:cNvSpPr txBox="1"/>
          </xdr:nvSpPr>
          <xdr:spPr>
            <a:xfrm>
              <a:off x="1273458" y="57467498"/>
              <a:ext cx="7024872" cy="381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𝑃𝑜𝑡𝑒𝑛𝑐𝑖𝑎</m:t>
                        </m:r>
                      </m:e>
                      <m:sub>
                        <m:r>
                          <a:rPr lang="es-ES" sz="1100" b="0" i="1">
                            <a:latin typeface="Cambria Math" panose="02040503050406030204" pitchFamily="18" charset="0"/>
                          </a:rPr>
                          <m:t>𝑝𝑟𝑜𝑝𝑢𝑒𝑠𝑡𝑎</m:t>
                        </m:r>
                      </m:sub>
                    </m:sSub>
                    <m:r>
                      <a:rPr lang="es-ES" sz="1100" b="0" i="1">
                        <a:latin typeface="Cambria Math" panose="02040503050406030204" pitchFamily="18" charset="0"/>
                      </a:rPr>
                      <m:t>∗</m:t>
                    </m:r>
                    <m:r>
                      <a:rPr lang="es-ES" sz="1100" b="0" i="1">
                        <a:latin typeface="Cambria Math" panose="02040503050406030204" pitchFamily="18" charset="0"/>
                      </a:rPr>
                      <m:t>𝐹𝑟𝑎𝑐𝑐𝑖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𝑐𝑎𝑟𝑔𝑎𝑠</m:t>
                    </m:r>
                    <m:r>
                      <a:rPr lang="es-ES" sz="1100" b="0" i="1">
                        <a:latin typeface="Cambria Math" panose="02040503050406030204" pitchFamily="18" charset="0"/>
                      </a:rPr>
                      <m:t>∗</m:t>
                    </m:r>
                    <m:r>
                      <a:rPr lang="es-ES" sz="1100" b="0" i="1">
                        <a:latin typeface="Cambria Math" panose="02040503050406030204" pitchFamily="18" charset="0"/>
                      </a:rPr>
                      <m:t>𝐻𝑜𝑟𝑎𝑠</m:t>
                    </m:r>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𝐸𝑓</m:t>
                                </m:r>
                              </m:e>
                              <m:sub>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sub>
                            </m:sSub>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𝐸𝑓</m:t>
                                </m:r>
                              </m:e>
                              <m:sub>
                                <m:r>
                                  <a:rPr lang="es-ES" sz="1100" b="0" i="1">
                                    <a:latin typeface="Cambria Math" panose="02040503050406030204" pitchFamily="18" charset="0"/>
                                  </a:rPr>
                                  <m:t>𝑝𝑟𝑜𝑝𝑢𝑒𝑠𝑡𝑎</m:t>
                                </m:r>
                              </m:sub>
                            </m:sSub>
                          </m:den>
                        </m:f>
                      </m:e>
                    </m:d>
                  </m:oMath>
                </m:oMathPara>
              </a14:m>
              <a:endParaRPr lang="es-CL" sz="1100"/>
            </a:p>
          </xdr:txBody>
        </xdr:sp>
      </mc:Choice>
      <mc:Fallback xmlns="">
        <xdr:sp macro="" textlink="">
          <xdr:nvSpPr>
            <xdr:cNvPr id="25" name="CuadroTexto 24">
              <a:extLst>
                <a:ext uri="{FF2B5EF4-FFF2-40B4-BE49-F238E27FC236}">
                  <a16:creationId xmlns:a16="http://schemas.microsoft.com/office/drawing/2014/main" id="{4F9E5197-8327-4F81-8D40-C7FE156AEC82}"/>
                </a:ext>
              </a:extLst>
            </xdr:cNvPr>
            <xdr:cNvSpPr txBox="1"/>
          </xdr:nvSpPr>
          <xdr:spPr>
            <a:xfrm>
              <a:off x="1273458" y="57467498"/>
              <a:ext cx="7024872" cy="381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𝑎𝑛𝑢𝑎𝑙=〖𝑃𝑜𝑡𝑒𝑛𝑐𝑖𝑎〗_𝑝𝑟𝑜𝑝𝑢𝑒𝑠𝑡𝑎∗𝐹𝑟𝑎𝑐𝑐𝑖ó𝑛 𝑑𝑒 𝑐𝑎𝑟𝑔𝑎𝑠∗𝐻𝑜𝑟𝑎𝑠∗[1/〖𝐸𝑓〗_(𝑟𝑒𝑎𝑙 𝑎𝑐𝑡𝑢𝑎𝑙) −1/〖𝐸𝑓〗_𝑝𝑟𝑜𝑝𝑢𝑒𝑠𝑡𝑎 ]</a:t>
              </a:r>
              <a:endParaRPr lang="es-CL" sz="1100"/>
            </a:p>
          </xdr:txBody>
        </xdr:sp>
      </mc:Fallback>
    </mc:AlternateContent>
    <xdr:clientData/>
  </xdr:oneCellAnchor>
  <xdr:oneCellAnchor>
    <xdr:from>
      <xdr:col>1</xdr:col>
      <xdr:colOff>726281</xdr:colOff>
      <xdr:row>292</xdr:row>
      <xdr:rowOff>187606</xdr:rowOff>
    </xdr:from>
    <xdr:ext cx="2238818" cy="182294"/>
    <mc:AlternateContent xmlns:mc="http://schemas.openxmlformats.org/markup-compatibility/2006" xmlns:a14="http://schemas.microsoft.com/office/drawing/2010/main">
      <mc:Choice Requires="a14">
        <xdr:sp macro="" textlink="">
          <xdr:nvSpPr>
            <xdr:cNvPr id="26" name="CuadroTexto 25">
              <a:extLst>
                <a:ext uri="{FF2B5EF4-FFF2-40B4-BE49-F238E27FC236}">
                  <a16:creationId xmlns:a16="http://schemas.microsoft.com/office/drawing/2014/main" id="{00000000-0008-0000-0B00-00001A000000}"/>
                </a:ext>
              </a:extLst>
            </xdr:cNvPr>
            <xdr:cNvSpPr txBox="1"/>
          </xdr:nvSpPr>
          <xdr:spPr>
            <a:xfrm>
              <a:off x="1950924" y="57961267"/>
              <a:ext cx="2238818"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𝑃𝑜𝑡𝑒𝑛𝑐𝑖𝑎</m:t>
                        </m:r>
                      </m:e>
                      <m:sub>
                        <m:r>
                          <a:rPr lang="es-ES" sz="1100" b="0" i="1">
                            <a:latin typeface="Cambria Math" panose="02040503050406030204" pitchFamily="18" charset="0"/>
                          </a:rPr>
                          <m:t>𝑝𝑟𝑜𝑝𝑢𝑒𝑠𝑡𝑎</m:t>
                        </m:r>
                      </m:sub>
                    </m:sSub>
                    <m:r>
                      <a:rPr lang="es-ES" sz="1100" b="0" i="1">
                        <a:latin typeface="Cambria Math" panose="02040503050406030204" pitchFamily="18" charset="0"/>
                      </a:rPr>
                      <m:t>=10</m:t>
                    </m:r>
                    <m:r>
                      <a:rPr lang="es-ES" sz="1100" b="0" i="1">
                        <a:latin typeface="Cambria Math" panose="02040503050406030204" pitchFamily="18" charset="0"/>
                      </a:rPr>
                      <m:t>𝐻𝑃</m:t>
                    </m:r>
                    <m:r>
                      <a:rPr lang="es-ES" sz="1100" b="0" i="1">
                        <a:latin typeface="Cambria Math" panose="02040503050406030204" pitchFamily="18" charset="0"/>
                      </a:rPr>
                      <m:t>=7,5</m:t>
                    </m:r>
                    <m:r>
                      <a:rPr lang="es-ES" sz="1100" b="0" i="1">
                        <a:latin typeface="Cambria Math" panose="02040503050406030204" pitchFamily="18" charset="0"/>
                      </a:rPr>
                      <m:t>𝑘𝑊</m:t>
                    </m:r>
                  </m:oMath>
                </m:oMathPara>
              </a14:m>
              <a:endParaRPr lang="es-CL" sz="1100"/>
            </a:p>
          </xdr:txBody>
        </xdr:sp>
      </mc:Choice>
      <mc:Fallback xmlns="">
        <xdr:sp macro="" textlink="">
          <xdr:nvSpPr>
            <xdr:cNvPr id="26" name="CuadroTexto 25">
              <a:extLst>
                <a:ext uri="{FF2B5EF4-FFF2-40B4-BE49-F238E27FC236}">
                  <a16:creationId xmlns:a16="http://schemas.microsoft.com/office/drawing/2014/main" id="{692871C1-C12B-4BDB-B767-BA695E2ECBCA}"/>
                </a:ext>
              </a:extLst>
            </xdr:cNvPr>
            <xdr:cNvSpPr txBox="1"/>
          </xdr:nvSpPr>
          <xdr:spPr>
            <a:xfrm>
              <a:off x="1950924" y="57961267"/>
              <a:ext cx="2238818"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〖𝑃𝑜𝑡𝑒𝑛𝑐𝑖𝑎〗_𝑝𝑟𝑜𝑝𝑢𝑒𝑠𝑡𝑎=10𝐻𝑃=7,5𝑘𝑊</a:t>
              </a:r>
              <a:endParaRPr lang="es-CL" sz="1100"/>
            </a:p>
          </xdr:txBody>
        </xdr:sp>
      </mc:Fallback>
    </mc:AlternateContent>
    <xdr:clientData/>
  </xdr:oneCellAnchor>
  <xdr:oneCellAnchor>
    <xdr:from>
      <xdr:col>1</xdr:col>
      <xdr:colOff>0</xdr:colOff>
      <xdr:row>294</xdr:row>
      <xdr:rowOff>125808</xdr:rowOff>
    </xdr:from>
    <xdr:ext cx="4819717" cy="380361"/>
    <mc:AlternateContent xmlns:mc="http://schemas.openxmlformats.org/markup-compatibility/2006" xmlns:a14="http://schemas.microsoft.com/office/drawing/2010/main">
      <mc:Choice Requires="a14">
        <xdr:sp macro="" textlink="">
          <xdr:nvSpPr>
            <xdr:cNvPr id="27" name="CuadroTexto 26">
              <a:extLst>
                <a:ext uri="{FF2B5EF4-FFF2-40B4-BE49-F238E27FC236}">
                  <a16:creationId xmlns:a16="http://schemas.microsoft.com/office/drawing/2014/main" id="{00000000-0008-0000-0B00-00001B000000}"/>
                </a:ext>
              </a:extLst>
            </xdr:cNvPr>
            <xdr:cNvSpPr txBox="1"/>
          </xdr:nvSpPr>
          <xdr:spPr>
            <a:xfrm>
              <a:off x="1224643" y="58285004"/>
              <a:ext cx="4819717"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=(7,5 </m:t>
                    </m:r>
                    <m:r>
                      <a:rPr lang="es-ES" sz="1100" b="0" i="1">
                        <a:latin typeface="Cambria Math" panose="02040503050406030204" pitchFamily="18" charset="0"/>
                      </a:rPr>
                      <m:t>𝑘𝑊</m:t>
                    </m:r>
                    <m:r>
                      <a:rPr lang="es-ES" sz="1100" b="0" i="1">
                        <a:latin typeface="Cambria Math" panose="02040503050406030204" pitchFamily="18" charset="0"/>
                      </a:rPr>
                      <m:t>)(0,8)∗</m:t>
                    </m:r>
                    <m:d>
                      <m:dPr>
                        <m:ctrlPr>
                          <a:rPr lang="es-ES" sz="1100" b="0" i="1">
                            <a:latin typeface="Cambria Math" panose="02040503050406030204" pitchFamily="18" charset="0"/>
                          </a:rPr>
                        </m:ctrlPr>
                      </m:dPr>
                      <m:e>
                        <m:r>
                          <a:rPr lang="es-ES" sz="1100" b="0" i="1">
                            <a:latin typeface="Cambria Math" panose="02040503050406030204" pitchFamily="18" charset="0"/>
                          </a:rPr>
                          <m:t>216</m:t>
                        </m:r>
                        <m:f>
                          <m:fPr>
                            <m:ctrlPr>
                              <a:rPr lang="es-ES" sz="1100" b="0" i="1">
                                <a:latin typeface="Cambria Math" panose="02040503050406030204" pitchFamily="18" charset="0"/>
                              </a:rPr>
                            </m:ctrlPr>
                          </m:fPr>
                          <m:num>
                            <m:r>
                              <a:rPr lang="es-ES" sz="1100" b="0" i="1">
                                <a:latin typeface="Cambria Math" panose="02040503050406030204" pitchFamily="18" charset="0"/>
                              </a:rPr>
                              <m:t>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latin typeface="Cambria Math" panose="02040503050406030204" pitchFamily="18" charset="0"/>
                              </a:rPr>
                              <m:t>0,75</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latin typeface="Cambria Math" panose="02040503050406030204" pitchFamily="18" charset="0"/>
                              </a:rPr>
                              <m:t>0,93</m:t>
                            </m:r>
                          </m:den>
                        </m:f>
                      </m:e>
                    </m:d>
                  </m:oMath>
                </m:oMathPara>
              </a14:m>
              <a:endParaRPr lang="es-CL" sz="1100"/>
            </a:p>
          </xdr:txBody>
        </xdr:sp>
      </mc:Choice>
      <mc:Fallback xmlns="">
        <xdr:sp macro="" textlink="">
          <xdr:nvSpPr>
            <xdr:cNvPr id="27" name="CuadroTexto 26">
              <a:extLst>
                <a:ext uri="{FF2B5EF4-FFF2-40B4-BE49-F238E27FC236}">
                  <a16:creationId xmlns:a16="http://schemas.microsoft.com/office/drawing/2014/main" id="{D76CD12E-428F-4255-97BD-37B37D8265D3}"/>
                </a:ext>
              </a:extLst>
            </xdr:cNvPr>
            <xdr:cNvSpPr txBox="1"/>
          </xdr:nvSpPr>
          <xdr:spPr>
            <a:xfrm>
              <a:off x="1224643" y="58285004"/>
              <a:ext cx="4819717"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𝑎𝑛𝑢𝑎𝑙=(7,5 𝑘𝑊)(0,8)∗(216 ℎ/𝑎ñ𝑜)∗[1/0,75−1/0,93]</a:t>
              </a:r>
              <a:endParaRPr lang="es-CL" sz="1100"/>
            </a:p>
          </xdr:txBody>
        </xdr:sp>
      </mc:Fallback>
    </mc:AlternateContent>
    <xdr:clientData/>
  </xdr:oneCellAnchor>
  <xdr:oneCellAnchor>
    <xdr:from>
      <xdr:col>1</xdr:col>
      <xdr:colOff>190500</xdr:colOff>
      <xdr:row>297</xdr:row>
      <xdr:rowOff>125808</xdr:rowOff>
    </xdr:from>
    <xdr:ext cx="3067763" cy="380361"/>
    <mc:AlternateContent xmlns:mc="http://schemas.openxmlformats.org/markup-compatibility/2006" xmlns:a14="http://schemas.microsoft.com/office/drawing/2010/main">
      <mc:Choice Requires="a14">
        <xdr:sp macro="" textlink="">
          <xdr:nvSpPr>
            <xdr:cNvPr id="28" name="CuadroTexto 27">
              <a:extLst>
                <a:ext uri="{FF2B5EF4-FFF2-40B4-BE49-F238E27FC236}">
                  <a16:creationId xmlns:a16="http://schemas.microsoft.com/office/drawing/2014/main" id="{00000000-0008-0000-0B00-00001C000000}"/>
                </a:ext>
              </a:extLst>
            </xdr:cNvPr>
            <xdr:cNvSpPr txBox="1"/>
          </xdr:nvSpPr>
          <xdr:spPr>
            <a:xfrm>
              <a:off x="1415143" y="58863308"/>
              <a:ext cx="3067763"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=332,5</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𝑘𝑊h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oMath>
                </m:oMathPara>
              </a14:m>
              <a:endParaRPr lang="es-CL" sz="1100"/>
            </a:p>
          </xdr:txBody>
        </xdr:sp>
      </mc:Choice>
      <mc:Fallback xmlns="">
        <xdr:sp macro="" textlink="">
          <xdr:nvSpPr>
            <xdr:cNvPr id="28" name="CuadroTexto 27">
              <a:extLst>
                <a:ext uri="{FF2B5EF4-FFF2-40B4-BE49-F238E27FC236}">
                  <a16:creationId xmlns:a16="http://schemas.microsoft.com/office/drawing/2014/main" id="{5DE08463-46F5-4D40-B28D-B8E6EDFF0B5B}"/>
                </a:ext>
              </a:extLst>
            </xdr:cNvPr>
            <xdr:cNvSpPr txBox="1"/>
          </xdr:nvSpPr>
          <xdr:spPr>
            <a:xfrm>
              <a:off x="1415143" y="58863308"/>
              <a:ext cx="3067763"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𝑎𝑛𝑢𝑎𝑙=332,5(𝑘𝑊ℎ/𝑎ñ𝑜)</a:t>
              </a:r>
              <a:endParaRPr lang="es-CL" sz="1100"/>
            </a:p>
          </xdr:txBody>
        </xdr:sp>
      </mc:Fallback>
    </mc:AlternateContent>
    <xdr:clientData/>
  </xdr:oneCellAnchor>
  <xdr:oneCellAnchor>
    <xdr:from>
      <xdr:col>1</xdr:col>
      <xdr:colOff>72627</xdr:colOff>
      <xdr:row>321</xdr:row>
      <xdr:rowOff>0</xdr:rowOff>
    </xdr:from>
    <xdr:ext cx="4739694" cy="173766"/>
    <mc:AlternateContent xmlns:mc="http://schemas.openxmlformats.org/markup-compatibility/2006" xmlns:a14="http://schemas.microsoft.com/office/drawing/2010/main">
      <mc:Choice Requires="a14">
        <xdr:sp macro="" textlink="">
          <xdr:nvSpPr>
            <xdr:cNvPr id="29" name="CuadroTexto 28">
              <a:extLst>
                <a:ext uri="{FF2B5EF4-FFF2-40B4-BE49-F238E27FC236}">
                  <a16:creationId xmlns:a16="http://schemas.microsoft.com/office/drawing/2014/main" id="{00000000-0008-0000-0B00-00001D000000}"/>
                </a:ext>
              </a:extLst>
            </xdr:cNvPr>
            <xdr:cNvSpPr txBox="1"/>
          </xdr:nvSpPr>
          <xdr:spPr>
            <a:xfrm>
              <a:off x="1297270" y="63375268"/>
              <a:ext cx="47396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m:t>
                    </m:r>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−3(</m:t>
                    </m:r>
                    <m:r>
                      <a:rPr lang="es-ES" sz="1100" b="0" i="1">
                        <a:latin typeface="Cambria Math" panose="02040503050406030204" pitchFamily="18" charset="0"/>
                      </a:rPr>
                      <m:t>𝑁</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𝑣𝑒𝑐𝑒𝑠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𝑟𝑒𝑏𝑜𝑏𝑖𝑛𝑎𝑑𝑜</m:t>
                    </m:r>
                    <m:r>
                      <a:rPr lang="es-ES" sz="1100" b="0" i="1">
                        <a:latin typeface="Cambria Math" panose="02040503050406030204" pitchFamily="18" charset="0"/>
                      </a:rPr>
                      <m:t>)</m:t>
                    </m:r>
                  </m:oMath>
                </m:oMathPara>
              </a14:m>
              <a:endParaRPr lang="es-CL" sz="1100"/>
            </a:p>
          </xdr:txBody>
        </xdr:sp>
      </mc:Choice>
      <mc:Fallback xmlns="">
        <xdr:sp macro="" textlink="">
          <xdr:nvSpPr>
            <xdr:cNvPr id="29" name="CuadroTexto 28">
              <a:extLst>
                <a:ext uri="{FF2B5EF4-FFF2-40B4-BE49-F238E27FC236}">
                  <a16:creationId xmlns:a16="http://schemas.microsoft.com/office/drawing/2014/main" id="{E6A24DD9-C519-4980-9A65-C7580B127631}"/>
                </a:ext>
              </a:extLst>
            </xdr:cNvPr>
            <xdr:cNvSpPr txBox="1"/>
          </xdr:nvSpPr>
          <xdr:spPr>
            <a:xfrm>
              <a:off x="1297270" y="63375268"/>
              <a:ext cx="47396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𝑎𝑐𝑡𝑢𝑎𝑙=𝐸𝑓𝑖𝑐𝑖𝑒𝑛𝑐𝑖𝑎 𝑎𝑐𝑡𝑢𝑎𝑙−3(𝑁° 𝑑𝑒 𝑣𝑒𝑐𝑒𝑠 𝑑𝑒 𝑟𝑒𝑏𝑜𝑏𝑖𝑛𝑎𝑑𝑜)</a:t>
              </a:r>
              <a:endParaRPr lang="es-CL" sz="1100"/>
            </a:p>
          </xdr:txBody>
        </xdr:sp>
      </mc:Fallback>
    </mc:AlternateContent>
    <xdr:clientData/>
  </xdr:oneCellAnchor>
  <xdr:oneCellAnchor>
    <xdr:from>
      <xdr:col>1</xdr:col>
      <xdr:colOff>59532</xdr:colOff>
      <xdr:row>322</xdr:row>
      <xdr:rowOff>46435</xdr:rowOff>
    </xdr:from>
    <xdr:ext cx="2330190" cy="173766"/>
    <mc:AlternateContent xmlns:mc="http://schemas.openxmlformats.org/markup-compatibility/2006" xmlns:a14="http://schemas.microsoft.com/office/drawing/2010/main">
      <mc:Choice Requires="a14">
        <xdr:sp macro="" textlink="">
          <xdr:nvSpPr>
            <xdr:cNvPr id="30" name="CuadroTexto 29">
              <a:extLst>
                <a:ext uri="{FF2B5EF4-FFF2-40B4-BE49-F238E27FC236}">
                  <a16:creationId xmlns:a16="http://schemas.microsoft.com/office/drawing/2014/main" id="{00000000-0008-0000-0B00-00001E000000}"/>
                </a:ext>
              </a:extLst>
            </xdr:cNvPr>
            <xdr:cNvSpPr txBox="1"/>
          </xdr:nvSpPr>
          <xdr:spPr>
            <a:xfrm>
              <a:off x="1284175" y="63614471"/>
              <a:ext cx="233019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=78%−3(1)</m:t>
                    </m:r>
                  </m:oMath>
                </m:oMathPara>
              </a14:m>
              <a:endParaRPr lang="es-CL" sz="1100"/>
            </a:p>
          </xdr:txBody>
        </xdr:sp>
      </mc:Choice>
      <mc:Fallback xmlns="">
        <xdr:sp macro="" textlink="">
          <xdr:nvSpPr>
            <xdr:cNvPr id="30" name="CuadroTexto 29">
              <a:extLst>
                <a:ext uri="{FF2B5EF4-FFF2-40B4-BE49-F238E27FC236}">
                  <a16:creationId xmlns:a16="http://schemas.microsoft.com/office/drawing/2014/main" id="{609AD7E8-FA91-47BF-9070-1905BBFBC7D4}"/>
                </a:ext>
              </a:extLst>
            </xdr:cNvPr>
            <xdr:cNvSpPr txBox="1"/>
          </xdr:nvSpPr>
          <xdr:spPr>
            <a:xfrm>
              <a:off x="1284175" y="63614471"/>
              <a:ext cx="233019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𝑎𝑐𝑡𝑢𝑎𝑙=78%−3(1)</a:t>
              </a:r>
              <a:endParaRPr lang="es-CL" sz="1100"/>
            </a:p>
          </xdr:txBody>
        </xdr:sp>
      </mc:Fallback>
    </mc:AlternateContent>
    <xdr:clientData/>
  </xdr:oneCellAnchor>
  <xdr:oneCellAnchor>
    <xdr:from>
      <xdr:col>1</xdr:col>
      <xdr:colOff>23813</xdr:colOff>
      <xdr:row>323</xdr:row>
      <xdr:rowOff>94060</xdr:rowOff>
    </xdr:from>
    <xdr:ext cx="1947328" cy="173766"/>
    <mc:AlternateContent xmlns:mc="http://schemas.openxmlformats.org/markup-compatibility/2006" xmlns:a14="http://schemas.microsoft.com/office/drawing/2010/main">
      <mc:Choice Requires="a14">
        <xdr:sp macro="" textlink="">
          <xdr:nvSpPr>
            <xdr:cNvPr id="31" name="CuadroTexto 30">
              <a:extLst>
                <a:ext uri="{FF2B5EF4-FFF2-40B4-BE49-F238E27FC236}">
                  <a16:creationId xmlns:a16="http://schemas.microsoft.com/office/drawing/2014/main" id="{00000000-0008-0000-0B00-00001F000000}"/>
                </a:ext>
              </a:extLst>
            </xdr:cNvPr>
            <xdr:cNvSpPr txBox="1"/>
          </xdr:nvSpPr>
          <xdr:spPr>
            <a:xfrm>
              <a:off x="1248456" y="63854864"/>
              <a:ext cx="194732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=75%</m:t>
                    </m:r>
                  </m:oMath>
                </m:oMathPara>
              </a14:m>
              <a:endParaRPr lang="es-CL" sz="1100"/>
            </a:p>
          </xdr:txBody>
        </xdr:sp>
      </mc:Choice>
      <mc:Fallback xmlns="">
        <xdr:sp macro="" textlink="">
          <xdr:nvSpPr>
            <xdr:cNvPr id="31" name="CuadroTexto 30">
              <a:extLst>
                <a:ext uri="{FF2B5EF4-FFF2-40B4-BE49-F238E27FC236}">
                  <a16:creationId xmlns:a16="http://schemas.microsoft.com/office/drawing/2014/main" id="{93B78975-8B75-4AA3-BA08-E80719A20DC6}"/>
                </a:ext>
              </a:extLst>
            </xdr:cNvPr>
            <xdr:cNvSpPr txBox="1"/>
          </xdr:nvSpPr>
          <xdr:spPr>
            <a:xfrm>
              <a:off x="1248456" y="63854864"/>
              <a:ext cx="194732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𝑎𝑐𝑡𝑢𝑎𝑙=75%</a:t>
              </a:r>
              <a:endParaRPr lang="es-CL" sz="1100"/>
            </a:p>
          </xdr:txBody>
        </xdr:sp>
      </mc:Fallback>
    </mc:AlternateContent>
    <xdr:clientData/>
  </xdr:oneCellAnchor>
  <xdr:oneCellAnchor>
    <xdr:from>
      <xdr:col>1</xdr:col>
      <xdr:colOff>48815</xdr:colOff>
      <xdr:row>328</xdr:row>
      <xdr:rowOff>83344</xdr:rowOff>
    </xdr:from>
    <xdr:ext cx="7024872" cy="381579"/>
    <mc:AlternateContent xmlns:mc="http://schemas.openxmlformats.org/markup-compatibility/2006" xmlns:a14="http://schemas.microsoft.com/office/drawing/2010/main">
      <mc:Choice Requires="a14">
        <xdr:sp macro="" textlink="">
          <xdr:nvSpPr>
            <xdr:cNvPr id="32" name="CuadroTexto 31">
              <a:extLst>
                <a:ext uri="{FF2B5EF4-FFF2-40B4-BE49-F238E27FC236}">
                  <a16:creationId xmlns:a16="http://schemas.microsoft.com/office/drawing/2014/main" id="{00000000-0008-0000-0B00-000020000000}"/>
                </a:ext>
              </a:extLst>
            </xdr:cNvPr>
            <xdr:cNvSpPr txBox="1"/>
          </xdr:nvSpPr>
          <xdr:spPr>
            <a:xfrm>
              <a:off x="1273458" y="64807987"/>
              <a:ext cx="7024872" cy="381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𝑃𝑜𝑡𝑒𝑛𝑐𝑖𝑎</m:t>
                        </m:r>
                      </m:e>
                      <m:sub>
                        <m:r>
                          <a:rPr lang="es-ES" sz="1100" b="0" i="1">
                            <a:latin typeface="Cambria Math" panose="02040503050406030204" pitchFamily="18" charset="0"/>
                          </a:rPr>
                          <m:t>𝑝𝑟𝑜𝑝𝑢𝑒𝑠𝑡𝑎</m:t>
                        </m:r>
                      </m:sub>
                    </m:sSub>
                    <m:r>
                      <a:rPr lang="es-ES" sz="1100" b="0" i="1">
                        <a:latin typeface="Cambria Math" panose="02040503050406030204" pitchFamily="18" charset="0"/>
                      </a:rPr>
                      <m:t>∗</m:t>
                    </m:r>
                    <m:r>
                      <a:rPr lang="es-ES" sz="1100" b="0" i="1">
                        <a:latin typeface="Cambria Math" panose="02040503050406030204" pitchFamily="18" charset="0"/>
                      </a:rPr>
                      <m:t>𝐹𝑟𝑎𝑐𝑐𝑖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𝑐𝑎𝑟𝑔𝑎𝑠</m:t>
                    </m:r>
                    <m:r>
                      <a:rPr lang="es-ES" sz="1100" b="0" i="1">
                        <a:latin typeface="Cambria Math" panose="02040503050406030204" pitchFamily="18" charset="0"/>
                      </a:rPr>
                      <m:t>∗</m:t>
                    </m:r>
                    <m:r>
                      <a:rPr lang="es-ES" sz="1100" b="0" i="1">
                        <a:latin typeface="Cambria Math" panose="02040503050406030204" pitchFamily="18" charset="0"/>
                      </a:rPr>
                      <m:t>𝐻𝑜𝑟𝑎𝑠</m:t>
                    </m:r>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𝐸𝑓</m:t>
                                </m:r>
                              </m:e>
                              <m:sub>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sub>
                            </m:sSub>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𝐸𝑓</m:t>
                                </m:r>
                              </m:e>
                              <m:sub>
                                <m:r>
                                  <a:rPr lang="es-ES" sz="1100" b="0" i="1">
                                    <a:latin typeface="Cambria Math" panose="02040503050406030204" pitchFamily="18" charset="0"/>
                                  </a:rPr>
                                  <m:t>𝑝𝑟𝑜𝑝𝑢𝑒𝑠𝑡𝑎</m:t>
                                </m:r>
                              </m:sub>
                            </m:sSub>
                          </m:den>
                        </m:f>
                      </m:e>
                    </m:d>
                  </m:oMath>
                </m:oMathPara>
              </a14:m>
              <a:endParaRPr lang="es-CL" sz="1100"/>
            </a:p>
          </xdr:txBody>
        </xdr:sp>
      </mc:Choice>
      <mc:Fallback xmlns="">
        <xdr:sp macro="" textlink="">
          <xdr:nvSpPr>
            <xdr:cNvPr id="32" name="CuadroTexto 31">
              <a:extLst>
                <a:ext uri="{FF2B5EF4-FFF2-40B4-BE49-F238E27FC236}">
                  <a16:creationId xmlns:a16="http://schemas.microsoft.com/office/drawing/2014/main" id="{FFE978B4-280F-48C4-873A-825F82481F70}"/>
                </a:ext>
              </a:extLst>
            </xdr:cNvPr>
            <xdr:cNvSpPr txBox="1"/>
          </xdr:nvSpPr>
          <xdr:spPr>
            <a:xfrm>
              <a:off x="1273458" y="64807987"/>
              <a:ext cx="7024872" cy="381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𝑎𝑛𝑢𝑎𝑙=〖𝑃𝑜𝑡𝑒𝑛𝑐𝑖𝑎〗_𝑝𝑟𝑜𝑝𝑢𝑒𝑠𝑡𝑎∗𝐹𝑟𝑎𝑐𝑐𝑖ó𝑛 𝑑𝑒 𝑐𝑎𝑟𝑔𝑎𝑠∗𝐻𝑜𝑟𝑎𝑠∗[1/〖𝐸𝑓〗_(𝑟𝑒𝑎𝑙 𝑎𝑐𝑡𝑢𝑎𝑙) −1/〖𝐸𝑓〗_𝑝𝑟𝑜𝑝𝑢𝑒𝑠𝑡𝑎 ]</a:t>
              </a:r>
              <a:endParaRPr lang="es-CL" sz="1100"/>
            </a:p>
          </xdr:txBody>
        </xdr:sp>
      </mc:Fallback>
    </mc:AlternateContent>
    <xdr:clientData/>
  </xdr:oneCellAnchor>
  <xdr:oneCellAnchor>
    <xdr:from>
      <xdr:col>1</xdr:col>
      <xdr:colOff>726281</xdr:colOff>
      <xdr:row>330</xdr:row>
      <xdr:rowOff>191577</xdr:rowOff>
    </xdr:from>
    <xdr:ext cx="2316916" cy="182294"/>
    <mc:AlternateContent xmlns:mc="http://schemas.openxmlformats.org/markup-compatibility/2006" xmlns:a14="http://schemas.microsoft.com/office/drawing/2010/main">
      <mc:Choice Requires="a14">
        <xdr:sp macro="" textlink="">
          <xdr:nvSpPr>
            <xdr:cNvPr id="33" name="CuadroTexto 32">
              <a:extLst>
                <a:ext uri="{FF2B5EF4-FFF2-40B4-BE49-F238E27FC236}">
                  <a16:creationId xmlns:a16="http://schemas.microsoft.com/office/drawing/2014/main" id="{00000000-0008-0000-0B00-000021000000}"/>
                </a:ext>
              </a:extLst>
            </xdr:cNvPr>
            <xdr:cNvSpPr txBox="1"/>
          </xdr:nvSpPr>
          <xdr:spPr>
            <a:xfrm>
              <a:off x="1950924" y="65301756"/>
              <a:ext cx="2316916"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𝑃𝑜𝑡𝑒𝑛𝑐𝑖𝑎</m:t>
                        </m:r>
                      </m:e>
                      <m:sub>
                        <m:r>
                          <a:rPr lang="es-ES" sz="1100" b="0" i="1">
                            <a:latin typeface="Cambria Math" panose="02040503050406030204" pitchFamily="18" charset="0"/>
                          </a:rPr>
                          <m:t>𝑝𝑟𝑜𝑝𝑢𝑒𝑠𝑡𝑎</m:t>
                        </m:r>
                      </m:sub>
                    </m:sSub>
                    <m:r>
                      <a:rPr lang="es-ES" sz="1100" b="0" i="1">
                        <a:latin typeface="Cambria Math" panose="02040503050406030204" pitchFamily="18" charset="0"/>
                      </a:rPr>
                      <m:t>=15</m:t>
                    </m:r>
                    <m:r>
                      <a:rPr lang="es-ES" sz="1100" b="0" i="1">
                        <a:latin typeface="Cambria Math" panose="02040503050406030204" pitchFamily="18" charset="0"/>
                      </a:rPr>
                      <m:t>𝐻𝑃</m:t>
                    </m:r>
                    <m:r>
                      <a:rPr lang="es-ES" sz="1100" b="0" i="1">
                        <a:latin typeface="Cambria Math" panose="02040503050406030204" pitchFamily="18" charset="0"/>
                      </a:rPr>
                      <m:t>=11,2</m:t>
                    </m:r>
                    <m:r>
                      <a:rPr lang="es-ES" sz="1100" b="0" i="1">
                        <a:latin typeface="Cambria Math" panose="02040503050406030204" pitchFamily="18" charset="0"/>
                      </a:rPr>
                      <m:t>𝑘𝑊</m:t>
                    </m:r>
                  </m:oMath>
                </m:oMathPara>
              </a14:m>
              <a:endParaRPr lang="es-CL" sz="1100"/>
            </a:p>
          </xdr:txBody>
        </xdr:sp>
      </mc:Choice>
      <mc:Fallback xmlns="">
        <xdr:sp macro="" textlink="">
          <xdr:nvSpPr>
            <xdr:cNvPr id="33" name="CuadroTexto 32">
              <a:extLst>
                <a:ext uri="{FF2B5EF4-FFF2-40B4-BE49-F238E27FC236}">
                  <a16:creationId xmlns:a16="http://schemas.microsoft.com/office/drawing/2014/main" id="{B37507CB-53F0-4069-8835-D5A62D30934E}"/>
                </a:ext>
              </a:extLst>
            </xdr:cNvPr>
            <xdr:cNvSpPr txBox="1"/>
          </xdr:nvSpPr>
          <xdr:spPr>
            <a:xfrm>
              <a:off x="1950924" y="65301756"/>
              <a:ext cx="2316916"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〖𝑃𝑜𝑡𝑒𝑛𝑐𝑖𝑎〗_𝑝𝑟𝑜𝑝𝑢𝑒𝑠𝑡𝑎=15𝐻𝑃=11,2𝑘𝑊</a:t>
              </a:r>
              <a:endParaRPr lang="es-CL" sz="1100"/>
            </a:p>
          </xdr:txBody>
        </xdr:sp>
      </mc:Fallback>
    </mc:AlternateContent>
    <xdr:clientData/>
  </xdr:oneCellAnchor>
  <xdr:oneCellAnchor>
    <xdr:from>
      <xdr:col>1</xdr:col>
      <xdr:colOff>0</xdr:colOff>
      <xdr:row>332</xdr:row>
      <xdr:rowOff>129779</xdr:rowOff>
    </xdr:from>
    <xdr:ext cx="4975914" cy="380361"/>
    <mc:AlternateContent xmlns:mc="http://schemas.openxmlformats.org/markup-compatibility/2006" xmlns:a14="http://schemas.microsoft.com/office/drawing/2010/main">
      <mc:Choice Requires="a14">
        <xdr:sp macro="" textlink="">
          <xdr:nvSpPr>
            <xdr:cNvPr id="34" name="CuadroTexto 33">
              <a:extLst>
                <a:ext uri="{FF2B5EF4-FFF2-40B4-BE49-F238E27FC236}">
                  <a16:creationId xmlns:a16="http://schemas.microsoft.com/office/drawing/2014/main" id="{00000000-0008-0000-0B00-000022000000}"/>
                </a:ext>
              </a:extLst>
            </xdr:cNvPr>
            <xdr:cNvSpPr txBox="1"/>
          </xdr:nvSpPr>
          <xdr:spPr>
            <a:xfrm>
              <a:off x="1224643" y="65625493"/>
              <a:ext cx="4975914"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=(11,2 </m:t>
                    </m:r>
                    <m:r>
                      <a:rPr lang="es-ES" sz="1100" b="0" i="1">
                        <a:latin typeface="Cambria Math" panose="02040503050406030204" pitchFamily="18" charset="0"/>
                      </a:rPr>
                      <m:t>𝑘𝑊</m:t>
                    </m:r>
                    <m:r>
                      <a:rPr lang="es-ES" sz="1100" b="0" i="1">
                        <a:latin typeface="Cambria Math" panose="02040503050406030204" pitchFamily="18" charset="0"/>
                      </a:rPr>
                      <m:t>)(0,8)∗</m:t>
                    </m:r>
                    <m:d>
                      <m:dPr>
                        <m:ctrlPr>
                          <a:rPr lang="es-ES" sz="1100" b="0" i="1">
                            <a:latin typeface="Cambria Math" panose="02040503050406030204" pitchFamily="18" charset="0"/>
                          </a:rPr>
                        </m:ctrlPr>
                      </m:dPr>
                      <m:e>
                        <m:r>
                          <a:rPr lang="es-ES" sz="1100" b="0" i="1">
                            <a:latin typeface="Cambria Math" panose="02040503050406030204" pitchFamily="18" charset="0"/>
                          </a:rPr>
                          <m:t>216</m:t>
                        </m:r>
                        <m:f>
                          <m:fPr>
                            <m:ctrlPr>
                              <a:rPr lang="es-ES" sz="1100" b="0" i="1">
                                <a:latin typeface="Cambria Math" panose="02040503050406030204" pitchFamily="18" charset="0"/>
                              </a:rPr>
                            </m:ctrlPr>
                          </m:fPr>
                          <m:num>
                            <m:r>
                              <a:rPr lang="es-ES" sz="1100" b="0" i="1">
                                <a:latin typeface="Cambria Math" panose="02040503050406030204" pitchFamily="18" charset="0"/>
                              </a:rPr>
                              <m:t>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latin typeface="Cambria Math" panose="02040503050406030204" pitchFamily="18" charset="0"/>
                              </a:rPr>
                              <m:t>0,75</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latin typeface="Cambria Math" panose="02040503050406030204" pitchFamily="18" charset="0"/>
                              </a:rPr>
                              <m:t>0,93</m:t>
                            </m:r>
                          </m:den>
                        </m:f>
                      </m:e>
                    </m:d>
                  </m:oMath>
                </m:oMathPara>
              </a14:m>
              <a:endParaRPr lang="es-CL" sz="1100"/>
            </a:p>
          </xdr:txBody>
        </xdr:sp>
      </mc:Choice>
      <mc:Fallback xmlns="">
        <xdr:sp macro="" textlink="">
          <xdr:nvSpPr>
            <xdr:cNvPr id="34" name="CuadroTexto 33">
              <a:extLst>
                <a:ext uri="{FF2B5EF4-FFF2-40B4-BE49-F238E27FC236}">
                  <a16:creationId xmlns:a16="http://schemas.microsoft.com/office/drawing/2014/main" id="{63FCF519-59A1-4A75-98D4-5E8CBC2EC839}"/>
                </a:ext>
              </a:extLst>
            </xdr:cNvPr>
            <xdr:cNvSpPr txBox="1"/>
          </xdr:nvSpPr>
          <xdr:spPr>
            <a:xfrm>
              <a:off x="1224643" y="65625493"/>
              <a:ext cx="4975914"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𝑎𝑛𝑢𝑎𝑙=(11,2 𝑘𝑊)(0,8)∗(216 ℎ/𝑎ñ𝑜)∗[1/0,75−1/0,93]</a:t>
              </a:r>
              <a:endParaRPr lang="es-CL" sz="1100"/>
            </a:p>
          </xdr:txBody>
        </xdr:sp>
      </mc:Fallback>
    </mc:AlternateContent>
    <xdr:clientData/>
  </xdr:oneCellAnchor>
  <xdr:oneCellAnchor>
    <xdr:from>
      <xdr:col>1</xdr:col>
      <xdr:colOff>190500</xdr:colOff>
      <xdr:row>335</xdr:row>
      <xdr:rowOff>129779</xdr:rowOff>
    </xdr:from>
    <xdr:ext cx="3145861" cy="380361"/>
    <mc:AlternateContent xmlns:mc="http://schemas.openxmlformats.org/markup-compatibility/2006" xmlns:a14="http://schemas.microsoft.com/office/drawing/2010/main">
      <mc:Choice Requires="a14">
        <xdr:sp macro="" textlink="">
          <xdr:nvSpPr>
            <xdr:cNvPr id="35" name="CuadroTexto 34">
              <a:extLst>
                <a:ext uri="{FF2B5EF4-FFF2-40B4-BE49-F238E27FC236}">
                  <a16:creationId xmlns:a16="http://schemas.microsoft.com/office/drawing/2014/main" id="{00000000-0008-0000-0B00-000023000000}"/>
                </a:ext>
              </a:extLst>
            </xdr:cNvPr>
            <xdr:cNvSpPr txBox="1"/>
          </xdr:nvSpPr>
          <xdr:spPr>
            <a:xfrm>
              <a:off x="1415143" y="66203797"/>
              <a:ext cx="3145861"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=498,9</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𝑘𝑊h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oMath>
                </m:oMathPara>
              </a14:m>
              <a:endParaRPr lang="es-CL" sz="1100"/>
            </a:p>
          </xdr:txBody>
        </xdr:sp>
      </mc:Choice>
      <mc:Fallback xmlns="">
        <xdr:sp macro="" textlink="">
          <xdr:nvSpPr>
            <xdr:cNvPr id="35" name="CuadroTexto 34">
              <a:extLst>
                <a:ext uri="{FF2B5EF4-FFF2-40B4-BE49-F238E27FC236}">
                  <a16:creationId xmlns:a16="http://schemas.microsoft.com/office/drawing/2014/main" id="{4120E4FF-4E3B-4904-87F5-F12B228EA5BC}"/>
                </a:ext>
              </a:extLst>
            </xdr:cNvPr>
            <xdr:cNvSpPr txBox="1"/>
          </xdr:nvSpPr>
          <xdr:spPr>
            <a:xfrm>
              <a:off x="1415143" y="66203797"/>
              <a:ext cx="3145861"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𝑎𝑛𝑢𝑎𝑙=498,9(𝑘𝑊ℎ/𝑎ñ𝑜)</a:t>
              </a:r>
              <a:endParaRPr lang="es-CL" sz="1100"/>
            </a:p>
          </xdr:txBody>
        </xdr:sp>
      </mc:Fallback>
    </mc:AlternateContent>
    <xdr:clientData/>
  </xdr:oneCellAnchor>
  <xdr:oneCellAnchor>
    <xdr:from>
      <xdr:col>1</xdr:col>
      <xdr:colOff>72627</xdr:colOff>
      <xdr:row>358</xdr:row>
      <xdr:rowOff>11339</xdr:rowOff>
    </xdr:from>
    <xdr:ext cx="4739694" cy="173766"/>
    <mc:AlternateContent xmlns:mc="http://schemas.openxmlformats.org/markup-compatibility/2006" xmlns:a14="http://schemas.microsoft.com/office/drawing/2010/main">
      <mc:Choice Requires="a14">
        <xdr:sp macro="" textlink="">
          <xdr:nvSpPr>
            <xdr:cNvPr id="36" name="CuadroTexto 35">
              <a:extLst>
                <a:ext uri="{FF2B5EF4-FFF2-40B4-BE49-F238E27FC236}">
                  <a16:creationId xmlns:a16="http://schemas.microsoft.com/office/drawing/2014/main" id="{00000000-0008-0000-0B00-000024000000}"/>
                </a:ext>
              </a:extLst>
            </xdr:cNvPr>
            <xdr:cNvSpPr txBox="1"/>
          </xdr:nvSpPr>
          <xdr:spPr>
            <a:xfrm>
              <a:off x="1297270" y="70530357"/>
              <a:ext cx="47396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m:t>
                    </m:r>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−3(</m:t>
                    </m:r>
                    <m:r>
                      <a:rPr lang="es-ES" sz="1100" b="0" i="1">
                        <a:latin typeface="Cambria Math" panose="02040503050406030204" pitchFamily="18" charset="0"/>
                      </a:rPr>
                      <m:t>𝑁</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𝑣𝑒𝑐𝑒𝑠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𝑟𝑒𝑏𝑜𝑏𝑖𝑛𝑎𝑑𝑜</m:t>
                    </m:r>
                    <m:r>
                      <a:rPr lang="es-ES" sz="1100" b="0" i="1">
                        <a:latin typeface="Cambria Math" panose="02040503050406030204" pitchFamily="18" charset="0"/>
                      </a:rPr>
                      <m:t>)</m:t>
                    </m:r>
                  </m:oMath>
                </m:oMathPara>
              </a14:m>
              <a:endParaRPr lang="es-CL" sz="1100"/>
            </a:p>
          </xdr:txBody>
        </xdr:sp>
      </mc:Choice>
      <mc:Fallback xmlns="">
        <xdr:sp macro="" textlink="">
          <xdr:nvSpPr>
            <xdr:cNvPr id="36" name="CuadroTexto 35">
              <a:extLst>
                <a:ext uri="{FF2B5EF4-FFF2-40B4-BE49-F238E27FC236}">
                  <a16:creationId xmlns:a16="http://schemas.microsoft.com/office/drawing/2014/main" id="{046C1904-D076-4BD8-8407-A0F4E9E3C421}"/>
                </a:ext>
              </a:extLst>
            </xdr:cNvPr>
            <xdr:cNvSpPr txBox="1"/>
          </xdr:nvSpPr>
          <xdr:spPr>
            <a:xfrm>
              <a:off x="1297270" y="70530357"/>
              <a:ext cx="47396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𝑎𝑐𝑡𝑢𝑎𝑙=𝐸𝑓𝑖𝑐𝑖𝑒𝑛𝑐𝑖𝑎 𝑎𝑐𝑡𝑢𝑎𝑙−3(𝑁° 𝑑𝑒 𝑣𝑒𝑐𝑒𝑠 𝑑𝑒 𝑟𝑒𝑏𝑜𝑏𝑖𝑛𝑎𝑑𝑜)</a:t>
              </a:r>
              <a:endParaRPr lang="es-CL" sz="1100"/>
            </a:p>
          </xdr:txBody>
        </xdr:sp>
      </mc:Fallback>
    </mc:AlternateContent>
    <xdr:clientData/>
  </xdr:oneCellAnchor>
  <xdr:oneCellAnchor>
    <xdr:from>
      <xdr:col>1</xdr:col>
      <xdr:colOff>59532</xdr:colOff>
      <xdr:row>359</xdr:row>
      <xdr:rowOff>57774</xdr:rowOff>
    </xdr:from>
    <xdr:ext cx="2330190" cy="173766"/>
    <mc:AlternateContent xmlns:mc="http://schemas.openxmlformats.org/markup-compatibility/2006" xmlns:a14="http://schemas.microsoft.com/office/drawing/2010/main">
      <mc:Choice Requires="a14">
        <xdr:sp macro="" textlink="">
          <xdr:nvSpPr>
            <xdr:cNvPr id="37" name="CuadroTexto 36">
              <a:extLst>
                <a:ext uri="{FF2B5EF4-FFF2-40B4-BE49-F238E27FC236}">
                  <a16:creationId xmlns:a16="http://schemas.microsoft.com/office/drawing/2014/main" id="{00000000-0008-0000-0B00-000025000000}"/>
                </a:ext>
              </a:extLst>
            </xdr:cNvPr>
            <xdr:cNvSpPr txBox="1"/>
          </xdr:nvSpPr>
          <xdr:spPr>
            <a:xfrm>
              <a:off x="1284175" y="70769560"/>
              <a:ext cx="233019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=78%−3(1)</m:t>
                    </m:r>
                  </m:oMath>
                </m:oMathPara>
              </a14:m>
              <a:endParaRPr lang="es-CL" sz="1100"/>
            </a:p>
          </xdr:txBody>
        </xdr:sp>
      </mc:Choice>
      <mc:Fallback xmlns="">
        <xdr:sp macro="" textlink="">
          <xdr:nvSpPr>
            <xdr:cNvPr id="37" name="CuadroTexto 36">
              <a:extLst>
                <a:ext uri="{FF2B5EF4-FFF2-40B4-BE49-F238E27FC236}">
                  <a16:creationId xmlns:a16="http://schemas.microsoft.com/office/drawing/2014/main" id="{CCB0DE6F-6ACC-482C-888C-764E372A3CBA}"/>
                </a:ext>
              </a:extLst>
            </xdr:cNvPr>
            <xdr:cNvSpPr txBox="1"/>
          </xdr:nvSpPr>
          <xdr:spPr>
            <a:xfrm>
              <a:off x="1284175" y="70769560"/>
              <a:ext cx="233019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𝑎𝑐𝑡𝑢𝑎𝑙=78%−3(1)</a:t>
              </a:r>
              <a:endParaRPr lang="es-CL" sz="1100"/>
            </a:p>
          </xdr:txBody>
        </xdr:sp>
      </mc:Fallback>
    </mc:AlternateContent>
    <xdr:clientData/>
  </xdr:oneCellAnchor>
  <xdr:oneCellAnchor>
    <xdr:from>
      <xdr:col>1</xdr:col>
      <xdr:colOff>23813</xdr:colOff>
      <xdr:row>360</xdr:row>
      <xdr:rowOff>105399</xdr:rowOff>
    </xdr:from>
    <xdr:ext cx="1947328" cy="173766"/>
    <mc:AlternateContent xmlns:mc="http://schemas.openxmlformats.org/markup-compatibility/2006" xmlns:a14="http://schemas.microsoft.com/office/drawing/2010/main">
      <mc:Choice Requires="a14">
        <xdr:sp macro="" textlink="">
          <xdr:nvSpPr>
            <xdr:cNvPr id="38" name="CuadroTexto 37">
              <a:extLst>
                <a:ext uri="{FF2B5EF4-FFF2-40B4-BE49-F238E27FC236}">
                  <a16:creationId xmlns:a16="http://schemas.microsoft.com/office/drawing/2014/main" id="{00000000-0008-0000-0B00-000026000000}"/>
                </a:ext>
              </a:extLst>
            </xdr:cNvPr>
            <xdr:cNvSpPr txBox="1"/>
          </xdr:nvSpPr>
          <xdr:spPr>
            <a:xfrm>
              <a:off x="1248456" y="71009953"/>
              <a:ext cx="194732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𝐸𝑓𝑖𝑐𝑖𝑒𝑛𝑐𝑖𝑎</m:t>
                    </m:r>
                    <m:r>
                      <a:rPr lang="es-ES" sz="1100" b="0" i="1">
                        <a:latin typeface="Cambria Math" panose="02040503050406030204" pitchFamily="18" charset="0"/>
                      </a:rPr>
                      <m:t> </m:t>
                    </m:r>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r>
                      <a:rPr lang="es-ES" sz="1100" b="0" i="1">
                        <a:latin typeface="Cambria Math" panose="02040503050406030204" pitchFamily="18" charset="0"/>
                      </a:rPr>
                      <m:t>=75%</m:t>
                    </m:r>
                  </m:oMath>
                </m:oMathPara>
              </a14:m>
              <a:endParaRPr lang="es-CL" sz="1100"/>
            </a:p>
          </xdr:txBody>
        </xdr:sp>
      </mc:Choice>
      <mc:Fallback xmlns="">
        <xdr:sp macro="" textlink="">
          <xdr:nvSpPr>
            <xdr:cNvPr id="38" name="CuadroTexto 37">
              <a:extLst>
                <a:ext uri="{FF2B5EF4-FFF2-40B4-BE49-F238E27FC236}">
                  <a16:creationId xmlns:a16="http://schemas.microsoft.com/office/drawing/2014/main" id="{2D1A6413-1AC7-4FB1-AFF4-9272E6813450}"/>
                </a:ext>
              </a:extLst>
            </xdr:cNvPr>
            <xdr:cNvSpPr txBox="1"/>
          </xdr:nvSpPr>
          <xdr:spPr>
            <a:xfrm>
              <a:off x="1248456" y="71009953"/>
              <a:ext cx="194732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𝐸𝑓𝑖𝑐𝑖𝑒𝑛𝑐𝑖𝑎 𝑟𝑒𝑎𝑙 𝑎𝑐𝑡𝑢𝑎𝑙=75%</a:t>
              </a:r>
              <a:endParaRPr lang="es-CL" sz="1100"/>
            </a:p>
          </xdr:txBody>
        </xdr:sp>
      </mc:Fallback>
    </mc:AlternateContent>
    <xdr:clientData/>
  </xdr:oneCellAnchor>
  <xdr:oneCellAnchor>
    <xdr:from>
      <xdr:col>1</xdr:col>
      <xdr:colOff>48815</xdr:colOff>
      <xdr:row>365</xdr:row>
      <xdr:rowOff>94683</xdr:rowOff>
    </xdr:from>
    <xdr:ext cx="7024872" cy="381579"/>
    <mc:AlternateContent xmlns:mc="http://schemas.openxmlformats.org/markup-compatibility/2006" xmlns:a14="http://schemas.microsoft.com/office/drawing/2010/main">
      <mc:Choice Requires="a14">
        <xdr:sp macro="" textlink="">
          <xdr:nvSpPr>
            <xdr:cNvPr id="39" name="CuadroTexto 38">
              <a:extLst>
                <a:ext uri="{FF2B5EF4-FFF2-40B4-BE49-F238E27FC236}">
                  <a16:creationId xmlns:a16="http://schemas.microsoft.com/office/drawing/2014/main" id="{00000000-0008-0000-0B00-000027000000}"/>
                </a:ext>
              </a:extLst>
            </xdr:cNvPr>
            <xdr:cNvSpPr txBox="1"/>
          </xdr:nvSpPr>
          <xdr:spPr>
            <a:xfrm>
              <a:off x="1273458" y="71963076"/>
              <a:ext cx="7024872" cy="381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𝑃𝑜𝑡𝑒𝑛𝑐𝑖𝑎</m:t>
                        </m:r>
                      </m:e>
                      <m:sub>
                        <m:r>
                          <a:rPr lang="es-ES" sz="1100" b="0" i="1">
                            <a:latin typeface="Cambria Math" panose="02040503050406030204" pitchFamily="18" charset="0"/>
                          </a:rPr>
                          <m:t>𝑝𝑟𝑜𝑝𝑢𝑒𝑠𝑡𝑎</m:t>
                        </m:r>
                      </m:sub>
                    </m:sSub>
                    <m:r>
                      <a:rPr lang="es-ES" sz="1100" b="0" i="1">
                        <a:latin typeface="Cambria Math" panose="02040503050406030204" pitchFamily="18" charset="0"/>
                      </a:rPr>
                      <m:t>∗</m:t>
                    </m:r>
                    <m:r>
                      <a:rPr lang="es-ES" sz="1100" b="0" i="1">
                        <a:latin typeface="Cambria Math" panose="02040503050406030204" pitchFamily="18" charset="0"/>
                      </a:rPr>
                      <m:t>𝐹𝑟𝑎𝑐𝑐𝑖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𝑐𝑎𝑟𝑔𝑎𝑠</m:t>
                    </m:r>
                    <m:r>
                      <a:rPr lang="es-ES" sz="1100" b="0" i="1">
                        <a:latin typeface="Cambria Math" panose="02040503050406030204" pitchFamily="18" charset="0"/>
                      </a:rPr>
                      <m:t>∗</m:t>
                    </m:r>
                    <m:r>
                      <a:rPr lang="es-ES" sz="1100" b="0" i="1">
                        <a:latin typeface="Cambria Math" panose="02040503050406030204" pitchFamily="18" charset="0"/>
                      </a:rPr>
                      <m:t>𝐻𝑜𝑟𝑎𝑠</m:t>
                    </m:r>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𝐸𝑓</m:t>
                                </m:r>
                              </m:e>
                              <m:sub>
                                <m:r>
                                  <a:rPr lang="es-ES" sz="1100" b="0" i="1">
                                    <a:latin typeface="Cambria Math" panose="02040503050406030204" pitchFamily="18" charset="0"/>
                                  </a:rPr>
                                  <m:t>𝑟𝑒𝑎𝑙</m:t>
                                </m:r>
                                <m:r>
                                  <a:rPr lang="es-ES" sz="1100" b="0" i="1">
                                    <a:latin typeface="Cambria Math" panose="02040503050406030204" pitchFamily="18" charset="0"/>
                                  </a:rPr>
                                  <m:t> </m:t>
                                </m:r>
                                <m:r>
                                  <a:rPr lang="es-ES" sz="1100" b="0" i="1">
                                    <a:latin typeface="Cambria Math" panose="02040503050406030204" pitchFamily="18" charset="0"/>
                                  </a:rPr>
                                  <m:t>𝑎𝑐𝑡𝑢𝑎𝑙</m:t>
                                </m:r>
                              </m:sub>
                            </m:sSub>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𝐸𝑓</m:t>
                                </m:r>
                              </m:e>
                              <m:sub>
                                <m:r>
                                  <a:rPr lang="es-ES" sz="1100" b="0" i="1">
                                    <a:latin typeface="Cambria Math" panose="02040503050406030204" pitchFamily="18" charset="0"/>
                                  </a:rPr>
                                  <m:t>𝑝𝑟𝑜𝑝𝑢𝑒𝑠𝑡𝑎</m:t>
                                </m:r>
                              </m:sub>
                            </m:sSub>
                          </m:den>
                        </m:f>
                      </m:e>
                    </m:d>
                  </m:oMath>
                </m:oMathPara>
              </a14:m>
              <a:endParaRPr lang="es-CL" sz="1100"/>
            </a:p>
          </xdr:txBody>
        </xdr:sp>
      </mc:Choice>
      <mc:Fallback xmlns="">
        <xdr:sp macro="" textlink="">
          <xdr:nvSpPr>
            <xdr:cNvPr id="39" name="CuadroTexto 38">
              <a:extLst>
                <a:ext uri="{FF2B5EF4-FFF2-40B4-BE49-F238E27FC236}">
                  <a16:creationId xmlns:a16="http://schemas.microsoft.com/office/drawing/2014/main" id="{4488862C-7C18-4F1C-AD74-938FC8EC6A7A}"/>
                </a:ext>
              </a:extLst>
            </xdr:cNvPr>
            <xdr:cNvSpPr txBox="1"/>
          </xdr:nvSpPr>
          <xdr:spPr>
            <a:xfrm>
              <a:off x="1273458" y="71963076"/>
              <a:ext cx="7024872" cy="381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𝑎𝑛𝑢𝑎𝑙=〖𝑃𝑜𝑡𝑒𝑛𝑐𝑖𝑎〗_𝑝𝑟𝑜𝑝𝑢𝑒𝑠𝑡𝑎∗𝐹𝑟𝑎𝑐𝑐𝑖ó𝑛 𝑑𝑒 𝑐𝑎𝑟𝑔𝑎𝑠∗𝐻𝑜𝑟𝑎𝑠∗[1/〖𝐸𝑓〗_(𝑟𝑒𝑎𝑙 𝑎𝑐𝑡𝑢𝑎𝑙) −1/〖𝐸𝑓〗_𝑝𝑟𝑜𝑝𝑢𝑒𝑠𝑡𝑎 ]</a:t>
              </a:r>
              <a:endParaRPr lang="es-CL" sz="1100"/>
            </a:p>
          </xdr:txBody>
        </xdr:sp>
      </mc:Fallback>
    </mc:AlternateContent>
    <xdr:clientData/>
  </xdr:oneCellAnchor>
  <xdr:oneCellAnchor>
    <xdr:from>
      <xdr:col>1</xdr:col>
      <xdr:colOff>726281</xdr:colOff>
      <xdr:row>368</xdr:row>
      <xdr:rowOff>10149</xdr:rowOff>
    </xdr:from>
    <xdr:ext cx="2316916" cy="182294"/>
    <mc:AlternateContent xmlns:mc="http://schemas.openxmlformats.org/markup-compatibility/2006" xmlns:a14="http://schemas.microsoft.com/office/drawing/2010/main">
      <mc:Choice Requires="a14">
        <xdr:sp macro="" textlink="">
          <xdr:nvSpPr>
            <xdr:cNvPr id="40" name="CuadroTexto 39">
              <a:extLst>
                <a:ext uri="{FF2B5EF4-FFF2-40B4-BE49-F238E27FC236}">
                  <a16:creationId xmlns:a16="http://schemas.microsoft.com/office/drawing/2014/main" id="{00000000-0008-0000-0B00-000028000000}"/>
                </a:ext>
              </a:extLst>
            </xdr:cNvPr>
            <xdr:cNvSpPr txBox="1"/>
          </xdr:nvSpPr>
          <xdr:spPr>
            <a:xfrm>
              <a:off x="1950924" y="72456845"/>
              <a:ext cx="2316916"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𝑃𝑜𝑡𝑒𝑛𝑐𝑖𝑎</m:t>
                        </m:r>
                      </m:e>
                      <m:sub>
                        <m:r>
                          <a:rPr lang="es-ES" sz="1100" b="0" i="1">
                            <a:latin typeface="Cambria Math" panose="02040503050406030204" pitchFamily="18" charset="0"/>
                          </a:rPr>
                          <m:t>𝑝𝑟𝑜𝑝𝑢𝑒𝑠𝑡𝑎</m:t>
                        </m:r>
                      </m:sub>
                    </m:sSub>
                    <m:r>
                      <a:rPr lang="es-ES" sz="1100" b="0" i="1">
                        <a:latin typeface="Cambria Math" panose="02040503050406030204" pitchFamily="18" charset="0"/>
                      </a:rPr>
                      <m:t>=30</m:t>
                    </m:r>
                    <m:r>
                      <a:rPr lang="es-ES" sz="1100" b="0" i="1">
                        <a:latin typeface="Cambria Math" panose="02040503050406030204" pitchFamily="18" charset="0"/>
                      </a:rPr>
                      <m:t>𝐻𝑃</m:t>
                    </m:r>
                    <m:r>
                      <a:rPr lang="es-ES" sz="1100" b="0" i="1">
                        <a:latin typeface="Cambria Math" panose="02040503050406030204" pitchFamily="18" charset="0"/>
                      </a:rPr>
                      <m:t>=22,4</m:t>
                    </m:r>
                    <m:r>
                      <a:rPr lang="es-ES" sz="1100" b="0" i="1">
                        <a:latin typeface="Cambria Math" panose="02040503050406030204" pitchFamily="18" charset="0"/>
                      </a:rPr>
                      <m:t>𝑘𝑊</m:t>
                    </m:r>
                  </m:oMath>
                </m:oMathPara>
              </a14:m>
              <a:endParaRPr lang="es-CL" sz="1100"/>
            </a:p>
          </xdr:txBody>
        </xdr:sp>
      </mc:Choice>
      <mc:Fallback xmlns="">
        <xdr:sp macro="" textlink="">
          <xdr:nvSpPr>
            <xdr:cNvPr id="40" name="CuadroTexto 39">
              <a:extLst>
                <a:ext uri="{FF2B5EF4-FFF2-40B4-BE49-F238E27FC236}">
                  <a16:creationId xmlns:a16="http://schemas.microsoft.com/office/drawing/2014/main" id="{7ABF0FAA-B7B7-4317-B27C-B06CBFBC2108}"/>
                </a:ext>
              </a:extLst>
            </xdr:cNvPr>
            <xdr:cNvSpPr txBox="1"/>
          </xdr:nvSpPr>
          <xdr:spPr>
            <a:xfrm>
              <a:off x="1950924" y="72456845"/>
              <a:ext cx="2316916"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〖𝑃𝑜𝑡𝑒𝑛𝑐𝑖𝑎〗_𝑝𝑟𝑜𝑝𝑢𝑒𝑠𝑡𝑎=30𝐻𝑃=22,4𝑘𝑊</a:t>
              </a:r>
              <a:endParaRPr lang="es-CL" sz="1100"/>
            </a:p>
          </xdr:txBody>
        </xdr:sp>
      </mc:Fallback>
    </mc:AlternateContent>
    <xdr:clientData/>
  </xdr:oneCellAnchor>
  <xdr:oneCellAnchor>
    <xdr:from>
      <xdr:col>1</xdr:col>
      <xdr:colOff>0</xdr:colOff>
      <xdr:row>369</xdr:row>
      <xdr:rowOff>141118</xdr:rowOff>
    </xdr:from>
    <xdr:ext cx="5054012" cy="380361"/>
    <mc:AlternateContent xmlns:mc="http://schemas.openxmlformats.org/markup-compatibility/2006" xmlns:a14="http://schemas.microsoft.com/office/drawing/2010/main">
      <mc:Choice Requires="a14">
        <xdr:sp macro="" textlink="">
          <xdr:nvSpPr>
            <xdr:cNvPr id="41" name="CuadroTexto 40">
              <a:extLst>
                <a:ext uri="{FF2B5EF4-FFF2-40B4-BE49-F238E27FC236}">
                  <a16:creationId xmlns:a16="http://schemas.microsoft.com/office/drawing/2014/main" id="{00000000-0008-0000-0B00-000029000000}"/>
                </a:ext>
              </a:extLst>
            </xdr:cNvPr>
            <xdr:cNvSpPr txBox="1"/>
          </xdr:nvSpPr>
          <xdr:spPr>
            <a:xfrm>
              <a:off x="1224643" y="72780582"/>
              <a:ext cx="5054012"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=(22,4 </m:t>
                    </m:r>
                    <m:r>
                      <a:rPr lang="es-ES" sz="1100" b="0" i="1">
                        <a:latin typeface="Cambria Math" panose="02040503050406030204" pitchFamily="18" charset="0"/>
                      </a:rPr>
                      <m:t>𝑘𝑊</m:t>
                    </m:r>
                    <m:r>
                      <a:rPr lang="es-ES" sz="1100" b="0" i="1">
                        <a:latin typeface="Cambria Math" panose="02040503050406030204" pitchFamily="18" charset="0"/>
                      </a:rPr>
                      <m:t>)(0,8)∗</m:t>
                    </m:r>
                    <m:d>
                      <m:dPr>
                        <m:ctrlPr>
                          <a:rPr lang="es-ES" sz="1100" b="0" i="1">
                            <a:latin typeface="Cambria Math" panose="02040503050406030204" pitchFamily="18" charset="0"/>
                          </a:rPr>
                        </m:ctrlPr>
                      </m:dPr>
                      <m:e>
                        <m:r>
                          <a:rPr lang="es-ES" sz="1100" b="0" i="1">
                            <a:latin typeface="Cambria Math" panose="02040503050406030204" pitchFamily="18" charset="0"/>
                          </a:rPr>
                          <m:t>216</m:t>
                        </m:r>
                        <m:f>
                          <m:fPr>
                            <m:ctrlPr>
                              <a:rPr lang="es-ES" sz="1100" b="0" i="1">
                                <a:latin typeface="Cambria Math" panose="02040503050406030204" pitchFamily="18" charset="0"/>
                              </a:rPr>
                            </m:ctrlPr>
                          </m:fPr>
                          <m:num>
                            <m:r>
                              <a:rPr lang="es-ES" sz="1100" b="0" i="1">
                                <a:latin typeface="Cambria Math" panose="02040503050406030204" pitchFamily="18" charset="0"/>
                              </a:rPr>
                              <m:t>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latin typeface="Cambria Math" panose="02040503050406030204" pitchFamily="18" charset="0"/>
                              </a:rPr>
                              <m:t>0,75</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latin typeface="Cambria Math" panose="02040503050406030204" pitchFamily="18" charset="0"/>
                              </a:rPr>
                              <m:t>0,93</m:t>
                            </m:r>
                          </m:den>
                        </m:f>
                      </m:e>
                    </m:d>
                  </m:oMath>
                </m:oMathPara>
              </a14:m>
              <a:endParaRPr lang="es-CL" sz="1100"/>
            </a:p>
          </xdr:txBody>
        </xdr:sp>
      </mc:Choice>
      <mc:Fallback xmlns="">
        <xdr:sp macro="" textlink="">
          <xdr:nvSpPr>
            <xdr:cNvPr id="41" name="CuadroTexto 40">
              <a:extLst>
                <a:ext uri="{FF2B5EF4-FFF2-40B4-BE49-F238E27FC236}">
                  <a16:creationId xmlns:a16="http://schemas.microsoft.com/office/drawing/2014/main" id="{81CB835E-2B50-4B64-8AA3-0BF9BAFCA684}"/>
                </a:ext>
              </a:extLst>
            </xdr:cNvPr>
            <xdr:cNvSpPr txBox="1"/>
          </xdr:nvSpPr>
          <xdr:spPr>
            <a:xfrm>
              <a:off x="1224643" y="72780582"/>
              <a:ext cx="5054012"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𝑎𝑛𝑢𝑎𝑙=(22,4 𝑘𝑊)(0,8)∗(216 ℎ/𝑎ñ𝑜)∗[1/0,75−1/0,93]</a:t>
              </a:r>
              <a:endParaRPr lang="es-CL" sz="1100"/>
            </a:p>
          </xdr:txBody>
        </xdr:sp>
      </mc:Fallback>
    </mc:AlternateContent>
    <xdr:clientData/>
  </xdr:oneCellAnchor>
  <xdr:oneCellAnchor>
    <xdr:from>
      <xdr:col>1</xdr:col>
      <xdr:colOff>190500</xdr:colOff>
      <xdr:row>372</xdr:row>
      <xdr:rowOff>141118</xdr:rowOff>
    </xdr:from>
    <xdr:ext cx="3067763" cy="380361"/>
    <mc:AlternateContent xmlns:mc="http://schemas.openxmlformats.org/markup-compatibility/2006" xmlns:a14="http://schemas.microsoft.com/office/drawing/2010/main">
      <mc:Choice Requires="a14">
        <xdr:sp macro="" textlink="">
          <xdr:nvSpPr>
            <xdr:cNvPr id="42" name="CuadroTexto 41">
              <a:extLst>
                <a:ext uri="{FF2B5EF4-FFF2-40B4-BE49-F238E27FC236}">
                  <a16:creationId xmlns:a16="http://schemas.microsoft.com/office/drawing/2014/main" id="{00000000-0008-0000-0B00-00002A000000}"/>
                </a:ext>
              </a:extLst>
            </xdr:cNvPr>
            <xdr:cNvSpPr txBox="1"/>
          </xdr:nvSpPr>
          <xdr:spPr>
            <a:xfrm>
              <a:off x="1415143" y="73358886"/>
              <a:ext cx="3067763"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m:t>
                    </m:r>
                    <m:r>
                      <a:rPr lang="es-ES" sz="1100" b="0" i="1">
                        <a:latin typeface="Cambria Math" panose="02040503050406030204" pitchFamily="18" charset="0"/>
                      </a:rPr>
                      <m:t> </m:t>
                    </m:r>
                    <m:r>
                      <a:rPr lang="es-ES" sz="1100" b="0" i="1">
                        <a:latin typeface="Cambria Math" panose="02040503050406030204" pitchFamily="18" charset="0"/>
                      </a:rPr>
                      <m:t>𝑐𝑜𝑛𝑠𝑢𝑚𝑜</m:t>
                    </m:r>
                    <m:r>
                      <a:rPr lang="es-ES" sz="1100" b="0" i="1">
                        <a:latin typeface="Cambria Math" panose="02040503050406030204" pitchFamily="18" charset="0"/>
                      </a:rPr>
                      <m:t> </m:t>
                    </m:r>
                    <m:r>
                      <a:rPr lang="es-ES" sz="1100" b="0" i="1">
                        <a:latin typeface="Cambria Math" panose="02040503050406030204" pitchFamily="18" charset="0"/>
                      </a:rPr>
                      <m:t>𝑒𝑙</m:t>
                    </m:r>
                    <m:r>
                      <a:rPr lang="es-ES" sz="1100" b="0" i="1">
                        <a:latin typeface="Cambria Math" panose="02040503050406030204" pitchFamily="18" charset="0"/>
                      </a:rPr>
                      <m:t>é</m:t>
                    </m:r>
                    <m:r>
                      <a:rPr lang="es-ES" sz="1100" b="0" i="1">
                        <a:latin typeface="Cambria Math" panose="02040503050406030204" pitchFamily="18" charset="0"/>
                      </a:rPr>
                      <m:t>𝑐𝑡𝑟𝑖𝑐𝑜</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=997,6</m:t>
                    </m:r>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𝑘𝑊h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d>
                  </m:oMath>
                </m:oMathPara>
              </a14:m>
              <a:endParaRPr lang="es-CL" sz="1100"/>
            </a:p>
          </xdr:txBody>
        </xdr:sp>
      </mc:Choice>
      <mc:Fallback xmlns="">
        <xdr:sp macro="" textlink="">
          <xdr:nvSpPr>
            <xdr:cNvPr id="42" name="CuadroTexto 41">
              <a:extLst>
                <a:ext uri="{FF2B5EF4-FFF2-40B4-BE49-F238E27FC236}">
                  <a16:creationId xmlns:a16="http://schemas.microsoft.com/office/drawing/2014/main" id="{6C81B1B6-82EE-43BB-91DD-20180EBCFC10}"/>
                </a:ext>
              </a:extLst>
            </xdr:cNvPr>
            <xdr:cNvSpPr txBox="1"/>
          </xdr:nvSpPr>
          <xdr:spPr>
            <a:xfrm>
              <a:off x="1415143" y="73358886"/>
              <a:ext cx="3067763"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𝑐𝑜𝑛𝑠𝑢𝑚𝑜 𝑒𝑙é𝑐𝑡𝑟𝑖𝑐𝑜 𝑎𝑛𝑢𝑎𝑙=997,6(𝑘𝑊ℎ/𝑎ñ𝑜)</a:t>
              </a:r>
              <a:endParaRPr lang="es-CL" sz="1100"/>
            </a:p>
          </xdr:txBody>
        </xdr:sp>
      </mc:Fallback>
    </mc:AlternateContent>
    <xdr:clientData/>
  </xdr:oneCellAnchor>
  <xdr:oneCellAnchor>
    <xdr:from>
      <xdr:col>1</xdr:col>
      <xdr:colOff>0</xdr:colOff>
      <xdr:row>395</xdr:row>
      <xdr:rowOff>0</xdr:rowOff>
    </xdr:from>
    <xdr:ext cx="6161559" cy="380361"/>
    <mc:AlternateContent xmlns:mc="http://schemas.openxmlformats.org/markup-compatibility/2006" xmlns:a14="http://schemas.microsoft.com/office/drawing/2010/main">
      <mc:Choice Requires="a14">
        <xdr:sp macro="" textlink="">
          <xdr:nvSpPr>
            <xdr:cNvPr id="43" name="CuadroTexto 42">
              <a:extLst>
                <a:ext uri="{FF2B5EF4-FFF2-40B4-BE49-F238E27FC236}">
                  <a16:creationId xmlns:a16="http://schemas.microsoft.com/office/drawing/2014/main" id="{00000000-0008-0000-0B00-00002B000000}"/>
                </a:ext>
              </a:extLst>
            </xdr:cNvPr>
            <xdr:cNvSpPr txBox="1"/>
          </xdr:nvSpPr>
          <xdr:spPr>
            <a:xfrm>
              <a:off x="1224643" y="77662768"/>
              <a:ext cx="6161559"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m:t>
                    </m:r>
                    <m:r>
                      <a:rPr lang="es-ES" sz="1100" b="0" i="1">
                        <a:latin typeface="Cambria Math" panose="02040503050406030204" pitchFamily="18" charset="0"/>
                      </a:rPr>
                      <m:t> </m:t>
                    </m:r>
                    <m:r>
                      <a:rPr lang="es-ES" sz="1100" b="0" i="1">
                        <a:latin typeface="Cambria Math" panose="02040503050406030204" pitchFamily="18" charset="0"/>
                      </a:rPr>
                      <m:t>𝑒𝑐𝑜𝑛</m:t>
                    </m:r>
                    <m:r>
                      <a:rPr lang="es-ES" sz="1100" b="0" i="1">
                        <a:latin typeface="Cambria Math" panose="02040503050406030204" pitchFamily="18" charset="0"/>
                      </a:rPr>
                      <m:t>ó</m:t>
                    </m:r>
                    <m:r>
                      <a:rPr lang="es-ES" sz="1100" b="0" i="1">
                        <a:latin typeface="Cambria Math" panose="02040503050406030204" pitchFamily="18" charset="0"/>
                      </a:rPr>
                      <m:t>𝑚𝑖𝑐𝑜</m:t>
                    </m:r>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332,5</m:t>
                        </m:r>
                        <m:f>
                          <m:fPr>
                            <m:ctrlPr>
                              <a:rPr lang="es-ES" sz="1100" b="0" i="1">
                                <a:latin typeface="Cambria Math" panose="02040503050406030204" pitchFamily="18" charset="0"/>
                              </a:rPr>
                            </m:ctrlPr>
                          </m:fPr>
                          <m:num>
                            <m:r>
                              <a:rPr lang="es-ES" sz="1100" b="0" i="1">
                                <a:latin typeface="Cambria Math" panose="02040503050406030204" pitchFamily="18" charset="0"/>
                              </a:rPr>
                              <m:t>𝑘𝑊h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+498,9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𝑘𝑊h</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+997,6</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𝑘𝑊h</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d>
                    <m:r>
                      <a:rPr lang="es-ES" sz="1100" b="0" i="1">
                        <a:solidFill>
                          <a:schemeClr val="tx1"/>
                        </a:solidFill>
                        <a:effectLst/>
                        <a:latin typeface="Cambria Math" panose="02040503050406030204" pitchFamily="18" charset="0"/>
                        <a:ea typeface="+mn-ea"/>
                        <a:cs typeface="+mn-cs"/>
                      </a:rPr>
                      <m:t>∗</m:t>
                    </m:r>
                    <m:r>
                      <a:rPr lang="es-ES" sz="1100" b="0" i="1">
                        <a:solidFill>
                          <a:srgbClr val="0070C0"/>
                        </a:solidFill>
                        <a:effectLst/>
                        <a:latin typeface="Cambria Math" panose="02040503050406030204" pitchFamily="18" charset="0"/>
                        <a:ea typeface="+mn-ea"/>
                        <a:cs typeface="+mn-cs"/>
                      </a:rPr>
                      <m:t>394,05</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m:t>
                            </m:r>
                          </m:num>
                          <m:den>
                            <m:r>
                              <a:rPr lang="es-ES" sz="1100" b="0" i="1">
                                <a:solidFill>
                                  <a:schemeClr val="tx1"/>
                                </a:solidFill>
                                <a:effectLst/>
                                <a:latin typeface="Cambria Math" panose="02040503050406030204" pitchFamily="18" charset="0"/>
                                <a:ea typeface="+mn-ea"/>
                                <a:cs typeface="+mn-cs"/>
                              </a:rPr>
                              <m:t>𝑘𝑊h</m:t>
                            </m:r>
                          </m:den>
                        </m:f>
                      </m:e>
                    </m:d>
                    <m:r>
                      <a:rPr lang="es-ES" sz="1100" b="0" i="1">
                        <a:solidFill>
                          <a:schemeClr val="tx1"/>
                        </a:solidFill>
                        <a:effectLst/>
                        <a:latin typeface="Cambria Math" panose="02040503050406030204" pitchFamily="18" charset="0"/>
                        <a:ea typeface="+mn-ea"/>
                        <a:cs typeface="+mn-cs"/>
                      </a:rPr>
                      <m:t>+3∗</m:t>
                    </m:r>
                    <m:d>
                      <m:dPr>
                        <m:ctrlPr>
                          <a:rPr lang="es-ES" sz="1100" b="0" i="1">
                            <a:solidFill>
                              <a:schemeClr val="tx1"/>
                            </a:solidFill>
                            <a:effectLst/>
                            <a:latin typeface="Cambria Math" panose="02040503050406030204" pitchFamily="18" charset="0"/>
                            <a:ea typeface="+mn-ea"/>
                            <a:cs typeface="+mn-cs"/>
                          </a:rPr>
                        </m:ctrlPr>
                      </m:dPr>
                      <m:e>
                        <m:r>
                          <a:rPr lang="es-ES" sz="1100" b="0" i="1">
                            <a:solidFill>
                              <a:schemeClr val="tx1"/>
                            </a:solidFill>
                            <a:effectLst/>
                            <a:latin typeface="Cambria Math" panose="02040503050406030204" pitchFamily="18" charset="0"/>
                            <a:ea typeface="+mn-ea"/>
                            <a:cs typeface="+mn-cs"/>
                          </a:rPr>
                          <m:t>250.000</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d>
                  </m:oMath>
                </m:oMathPara>
              </a14:m>
              <a:endParaRPr lang="es-CL" sz="1100"/>
            </a:p>
          </xdr:txBody>
        </xdr:sp>
      </mc:Choice>
      <mc:Fallback xmlns="">
        <xdr:sp macro="" textlink="">
          <xdr:nvSpPr>
            <xdr:cNvPr id="43" name="CuadroTexto 42">
              <a:extLst>
                <a:ext uri="{FF2B5EF4-FFF2-40B4-BE49-F238E27FC236}">
                  <a16:creationId xmlns:a16="http://schemas.microsoft.com/office/drawing/2014/main" id="{025AFB70-B091-4852-A3D6-D9F335F0ED17}"/>
                </a:ext>
              </a:extLst>
            </xdr:cNvPr>
            <xdr:cNvSpPr txBox="1"/>
          </xdr:nvSpPr>
          <xdr:spPr>
            <a:xfrm>
              <a:off x="1224643" y="77662768"/>
              <a:ext cx="6161559"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𝑒𝑐𝑜𝑛ó𝑚𝑖𝑐𝑜=(332,5 𝑘𝑊ℎ/𝑎ñ𝑜+498,9</a:t>
              </a:r>
              <a:r>
                <a:rPr lang="es-ES" sz="1100" b="0" i="0">
                  <a:solidFill>
                    <a:schemeClr val="tx1"/>
                  </a:solidFill>
                  <a:effectLst/>
                  <a:latin typeface="Cambria Math" panose="02040503050406030204" pitchFamily="18" charset="0"/>
                  <a:ea typeface="+mn-ea"/>
                  <a:cs typeface="+mn-cs"/>
                </a:rPr>
                <a:t> 𝑘𝑊ℎ/𝑎ñ𝑜+997,6 𝑘𝑊ℎ/𝑎ñ𝑜)∗</a:t>
              </a:r>
              <a:r>
                <a:rPr lang="es-ES" sz="1100" b="0" i="0">
                  <a:solidFill>
                    <a:srgbClr val="0070C0"/>
                  </a:solidFill>
                  <a:effectLst/>
                  <a:latin typeface="Cambria Math" panose="02040503050406030204" pitchFamily="18" charset="0"/>
                  <a:ea typeface="+mn-ea"/>
                  <a:cs typeface="+mn-cs"/>
                </a:rPr>
                <a:t>394,05</a:t>
              </a:r>
              <a:r>
                <a:rPr lang="es-ES" sz="1100" b="0" i="0">
                  <a:solidFill>
                    <a:schemeClr val="tx1"/>
                  </a:solidFill>
                  <a:effectLst/>
                  <a:latin typeface="Cambria Math" panose="02040503050406030204" pitchFamily="18" charset="0"/>
                  <a:ea typeface="+mn-ea"/>
                  <a:cs typeface="+mn-cs"/>
                </a:rPr>
                <a:t>($/𝑘𝑊ℎ)+3∗(250.000 $/𝑎ñ𝑜)</a:t>
              </a:r>
              <a:endParaRPr lang="es-CL" sz="1100"/>
            </a:p>
          </xdr:txBody>
        </xdr:sp>
      </mc:Fallback>
    </mc:AlternateContent>
    <xdr:clientData/>
  </xdr:oneCellAnchor>
  <xdr:oneCellAnchor>
    <xdr:from>
      <xdr:col>1</xdr:col>
      <xdr:colOff>201896</xdr:colOff>
      <xdr:row>408</xdr:row>
      <xdr:rowOff>181428</xdr:rowOff>
    </xdr:from>
    <xdr:ext cx="3996094" cy="173766"/>
    <mc:AlternateContent xmlns:mc="http://schemas.openxmlformats.org/markup-compatibility/2006" xmlns:a14="http://schemas.microsoft.com/office/drawing/2010/main">
      <mc:Choice Requires="a14">
        <xdr:sp macro="" textlink="">
          <xdr:nvSpPr>
            <xdr:cNvPr id="44" name="CuadroTexto 43">
              <a:extLst>
                <a:ext uri="{FF2B5EF4-FFF2-40B4-BE49-F238E27FC236}">
                  <a16:creationId xmlns:a16="http://schemas.microsoft.com/office/drawing/2014/main" id="{00000000-0008-0000-0B00-00002C000000}"/>
                </a:ext>
              </a:extLst>
            </xdr:cNvPr>
            <xdr:cNvSpPr txBox="1"/>
          </xdr:nvSpPr>
          <xdr:spPr>
            <a:xfrm>
              <a:off x="1426539" y="80372857"/>
              <a:ext cx="39960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𝐵𝑒𝑛𝑒𝑓𝑖𝑐𝑖𝑜</m:t>
                    </m:r>
                    <m:r>
                      <a:rPr lang="es-ES" sz="1100" b="0" i="1">
                        <a:latin typeface="Cambria Math" panose="02040503050406030204" pitchFamily="18" charset="0"/>
                      </a:rPr>
                      <m:t> </m:t>
                    </m:r>
                    <m:r>
                      <a:rPr lang="es-ES" sz="1100" b="0" i="1">
                        <a:latin typeface="Cambria Math" panose="02040503050406030204" pitchFamily="18" charset="0"/>
                      </a:rPr>
                      <m:t>𝑎𝑚𝑏𝑖𝑒𝑛𝑡𝑎𝑙</m:t>
                    </m:r>
                    <m:r>
                      <a:rPr lang="es-ES" sz="1100" b="0" i="1">
                        <a:latin typeface="Cambria Math" panose="02040503050406030204" pitchFamily="18" charset="0"/>
                      </a:rPr>
                      <m:t>=</m:t>
                    </m:r>
                    <m:r>
                      <a:rPr lang="es-ES" sz="1100" b="0" i="1">
                        <a:latin typeface="Cambria Math" panose="02040503050406030204" pitchFamily="18" charset="0"/>
                      </a:rPr>
                      <m:t>𝐹𝑎𝑐𝑡𝑜𝑟</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𝑒𝑚𝑖𝑠𝑖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m:t>
                    </m:r>
                    <m:r>
                      <a:rPr lang="es-ES" sz="1100" b="0" i="1">
                        <a:latin typeface="Cambria Math" panose="02040503050406030204" pitchFamily="18" charset="0"/>
                      </a:rPr>
                      <m:t>𝑃𝑜𝑡𝑒𝑛𝑐𝑖𝑎</m:t>
                    </m:r>
                    <m:r>
                      <a:rPr lang="es-ES" sz="1100" b="0" i="1">
                        <a:latin typeface="Cambria Math" panose="02040503050406030204" pitchFamily="18" charset="0"/>
                      </a:rPr>
                      <m:t> </m:t>
                    </m:r>
                    <m:r>
                      <a:rPr lang="es-ES" sz="1100" b="0" i="1">
                        <a:latin typeface="Cambria Math" panose="02040503050406030204" pitchFamily="18" charset="0"/>
                      </a:rPr>
                      <m:t>𝑎h𝑜𝑟𝑟𝑎𝑑𝑎</m:t>
                    </m:r>
                  </m:oMath>
                </m:oMathPara>
              </a14:m>
              <a:endParaRPr lang="es-CL" sz="1100"/>
            </a:p>
          </xdr:txBody>
        </xdr:sp>
      </mc:Choice>
      <mc:Fallback xmlns="">
        <xdr:sp macro="" textlink="">
          <xdr:nvSpPr>
            <xdr:cNvPr id="44" name="CuadroTexto 43">
              <a:extLst>
                <a:ext uri="{FF2B5EF4-FFF2-40B4-BE49-F238E27FC236}">
                  <a16:creationId xmlns:a16="http://schemas.microsoft.com/office/drawing/2014/main" id="{CE6508DC-FB08-4DBE-86B9-265C61B382AA}"/>
                </a:ext>
              </a:extLst>
            </xdr:cNvPr>
            <xdr:cNvSpPr txBox="1"/>
          </xdr:nvSpPr>
          <xdr:spPr>
            <a:xfrm>
              <a:off x="1426539" y="80372857"/>
              <a:ext cx="39960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𝐵𝑒𝑛𝑒𝑓𝑖𝑐𝑖𝑜 𝑎𝑚𝑏𝑖𝑒𝑛𝑡𝑎𝑙=𝐹𝑎𝑐𝑡𝑜𝑟 𝑑𝑒 𝑒𝑚𝑖𝑠𝑖ó𝑛∗𝑃𝑜𝑡𝑒𝑛𝑐𝑖𝑎 𝑎ℎ𝑜𝑟𝑟𝑎𝑑𝑎</a:t>
              </a:r>
              <a:endParaRPr lang="es-CL" sz="1100"/>
            </a:p>
          </xdr:txBody>
        </xdr:sp>
      </mc:Fallback>
    </mc:AlternateContent>
    <xdr:clientData/>
  </xdr:oneCellAnchor>
  <xdr:oneCellAnchor>
    <xdr:from>
      <xdr:col>1</xdr:col>
      <xdr:colOff>0</xdr:colOff>
      <xdr:row>410</xdr:row>
      <xdr:rowOff>70814</xdr:rowOff>
    </xdr:from>
    <xdr:ext cx="6877780" cy="380361"/>
    <mc:AlternateContent xmlns:mc="http://schemas.openxmlformats.org/markup-compatibility/2006" xmlns:a14="http://schemas.microsoft.com/office/drawing/2010/main">
      <mc:Choice Requires="a14">
        <xdr:sp macro="" textlink="">
          <xdr:nvSpPr>
            <xdr:cNvPr id="45" name="CuadroTexto 44">
              <a:extLst>
                <a:ext uri="{FF2B5EF4-FFF2-40B4-BE49-F238E27FC236}">
                  <a16:creationId xmlns:a16="http://schemas.microsoft.com/office/drawing/2014/main" id="{00000000-0008-0000-0B00-00002D000000}"/>
                </a:ext>
              </a:extLst>
            </xdr:cNvPr>
            <xdr:cNvSpPr txBox="1"/>
          </xdr:nvSpPr>
          <xdr:spPr>
            <a:xfrm>
              <a:off x="1224643" y="80647778"/>
              <a:ext cx="6877780"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𝐵𝑒𝑛𝑒𝑓𝑖𝑐𝑖𝑜</m:t>
                    </m:r>
                    <m:r>
                      <a:rPr lang="es-ES" sz="1100" b="0" i="1">
                        <a:latin typeface="Cambria Math" panose="02040503050406030204" pitchFamily="18" charset="0"/>
                      </a:rPr>
                      <m:t> </m:t>
                    </m:r>
                    <m:r>
                      <a:rPr lang="es-ES" sz="1100" b="0" i="1">
                        <a:latin typeface="Cambria Math" panose="02040503050406030204" pitchFamily="18" charset="0"/>
                      </a:rPr>
                      <m:t>𝑎𝑚𝑏𝑖𝑒𝑛𝑡𝑎𝑙</m:t>
                    </m:r>
                    <m:r>
                      <a:rPr lang="es-ES" sz="1100" b="0" i="1">
                        <a:latin typeface="Cambria Math" panose="02040503050406030204" pitchFamily="18" charset="0"/>
                      </a:rPr>
                      <m:t> =0,2384</m:t>
                    </m:r>
                    <m:d>
                      <m:dPr>
                        <m:ctrlPr>
                          <a:rPr lang="es-ES" sz="1100" b="0" i="1">
                            <a:latin typeface="Cambria Math" panose="02040503050406030204" pitchFamily="18" charset="0"/>
                          </a:rPr>
                        </m:ctrlPr>
                      </m:dPr>
                      <m:e>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𝑇𝑜𝑛</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𝑀𝑊h</m:t>
                            </m:r>
                          </m:den>
                        </m:f>
                      </m:e>
                    </m:d>
                    <m:r>
                      <a:rPr lang="es-ES" sz="1100" b="0" i="1">
                        <a:solidFill>
                          <a:schemeClr val="tx1"/>
                        </a:solidFill>
                        <a:effectLst/>
                        <a:latin typeface="Cambria Math" panose="02040503050406030204" pitchFamily="18" charset="0"/>
                        <a:ea typeface="+mn-ea"/>
                        <a:cs typeface="+mn-cs"/>
                      </a:rPr>
                      <m:t>∗</m:t>
                    </m:r>
                    <m:d>
                      <m:dPr>
                        <m:ctrlPr>
                          <a:rPr lang="es-ES" sz="1100" b="0" i="1">
                            <a:solidFill>
                              <a:schemeClr val="tx1"/>
                            </a:solidFill>
                            <a:effectLst/>
                            <a:latin typeface="Cambria Math" panose="02040503050406030204" pitchFamily="18" charset="0"/>
                            <a:ea typeface="+mn-ea"/>
                            <a:cs typeface="+mn-cs"/>
                          </a:rPr>
                        </m:ctrlPr>
                      </m:dPr>
                      <m:e>
                        <m:r>
                          <a:rPr lang="es-ES" sz="1100" b="0" i="1">
                            <a:solidFill>
                              <a:schemeClr val="tx1"/>
                            </a:solidFill>
                            <a:effectLst/>
                            <a:latin typeface="Cambria Math" panose="02040503050406030204" pitchFamily="18" charset="0"/>
                            <a:ea typeface="+mn-ea"/>
                            <a:cs typeface="+mn-cs"/>
                          </a:rPr>
                          <m:t>0,3325</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𝑀𝑊h</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+0,4989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𝑀𝑊h</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+0,9976</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𝑀𝑊h</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d>
                    <m:r>
                      <a:rPr lang="es-ES" sz="1100" b="0" i="1">
                        <a:latin typeface="Cambria Math" panose="02040503050406030204" pitchFamily="18" charset="0"/>
                      </a:rPr>
                      <m:t>=1,3</m:t>
                    </m:r>
                    <m:d>
                      <m:dPr>
                        <m:ctrlPr>
                          <a:rPr lang="es-ES" sz="1100" b="0" i="1">
                            <a:solidFill>
                              <a:schemeClr val="tx1"/>
                            </a:solidFill>
                            <a:effectLst/>
                            <a:latin typeface="Cambria Math" panose="02040503050406030204" pitchFamily="18" charset="0"/>
                            <a:ea typeface="+mn-ea"/>
                            <a:cs typeface="+mn-cs"/>
                          </a:rPr>
                        </m:ctrlPr>
                      </m:dPr>
                      <m:e>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𝑇𝑜𝑛</m:t>
                                </m:r>
                                <m:r>
                                  <a:rPr lang="es-ES" sz="1100" b="0" i="1">
                                    <a:solidFill>
                                      <a:schemeClr val="tx1"/>
                                    </a:solidFill>
                                    <a:effectLst/>
                                    <a:latin typeface="Cambria Math" panose="02040503050406030204" pitchFamily="18" charset="0"/>
                                    <a:ea typeface="+mn-ea"/>
                                    <a:cs typeface="+mn-cs"/>
                                  </a:rPr>
                                  <m:t> </m:t>
                                </m:r>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d>
                  </m:oMath>
                </m:oMathPara>
              </a14:m>
              <a:endParaRPr lang="es-CL" sz="1100"/>
            </a:p>
          </xdr:txBody>
        </xdr:sp>
      </mc:Choice>
      <mc:Fallback xmlns="">
        <xdr:sp macro="" textlink="">
          <xdr:nvSpPr>
            <xdr:cNvPr id="45" name="CuadroTexto 44">
              <a:extLst>
                <a:ext uri="{FF2B5EF4-FFF2-40B4-BE49-F238E27FC236}">
                  <a16:creationId xmlns:a16="http://schemas.microsoft.com/office/drawing/2014/main" id="{2AE912FC-AD9A-49BA-8DA8-873C30EBEDE3}"/>
                </a:ext>
              </a:extLst>
            </xdr:cNvPr>
            <xdr:cNvSpPr txBox="1"/>
          </xdr:nvSpPr>
          <xdr:spPr>
            <a:xfrm>
              <a:off x="1224643" y="80647778"/>
              <a:ext cx="6877780"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𝐵𝑒𝑛𝑒𝑓𝑖𝑐𝑖𝑜 𝑎𝑚𝑏𝑖𝑒𝑛𝑡𝑎𝑙 =0,2384(</a:t>
              </a:r>
              <a:r>
                <a:rPr lang="es-ES" sz="1100" b="0" i="0">
                  <a:solidFill>
                    <a:schemeClr val="tx1"/>
                  </a:solidFill>
                  <a:effectLst/>
                  <a:latin typeface="Cambria Math" panose="02040503050406030204" pitchFamily="18" charset="0"/>
                  <a:ea typeface="+mn-ea"/>
                  <a:cs typeface="+mn-cs"/>
                </a:rPr>
                <a:t>〖𝑇𝑜𝑛 𝐶𝑂〗_2/𝑀𝑊ℎ)∗(0,3325 𝑀𝑊ℎ/𝑎ñ𝑜+0,4989 𝑀𝑊ℎ/𝑎ñ𝑜+0,9976 𝑀𝑊ℎ/𝑎ñ𝑜)</a:t>
              </a:r>
              <a:r>
                <a:rPr lang="es-ES" sz="1100" b="0" i="0">
                  <a:latin typeface="Cambria Math" panose="02040503050406030204" pitchFamily="18" charset="0"/>
                </a:rPr>
                <a:t>=1,3</a:t>
              </a:r>
              <a:r>
                <a:rPr lang="es-ES" sz="1100" b="0" i="0">
                  <a:solidFill>
                    <a:schemeClr val="tx1"/>
                  </a:solidFill>
                  <a:effectLst/>
                  <a:latin typeface="Cambria Math" panose="02040503050406030204" pitchFamily="18" charset="0"/>
                  <a:ea typeface="+mn-ea"/>
                  <a:cs typeface="+mn-cs"/>
                </a:rPr>
                <a:t>(〖𝑇𝑜𝑛 𝐶𝑂〗_2/𝑎ñ𝑜)</a:t>
              </a:r>
              <a:endParaRPr lang="es-CL" sz="1100"/>
            </a:p>
          </xdr:txBody>
        </xdr:sp>
      </mc:Fallback>
    </mc:AlternateContent>
    <xdr:clientData/>
  </xdr:oneCellAnchor>
  <xdr:oneCellAnchor>
    <xdr:from>
      <xdr:col>1</xdr:col>
      <xdr:colOff>465534</xdr:colOff>
      <xdr:row>477</xdr:row>
      <xdr:rowOff>45356</xdr:rowOff>
    </xdr:from>
    <xdr:ext cx="4147481" cy="366254"/>
    <mc:AlternateContent xmlns:mc="http://schemas.openxmlformats.org/markup-compatibility/2006" xmlns:a14="http://schemas.microsoft.com/office/drawing/2010/main">
      <mc:Choice Requires="a14">
        <xdr:sp macro="" textlink="">
          <xdr:nvSpPr>
            <xdr:cNvPr id="46" name="CuadroTexto 45">
              <a:extLst>
                <a:ext uri="{FF2B5EF4-FFF2-40B4-BE49-F238E27FC236}">
                  <a16:creationId xmlns:a16="http://schemas.microsoft.com/office/drawing/2014/main" id="{00000000-0008-0000-0B00-00002E000000}"/>
                </a:ext>
              </a:extLst>
            </xdr:cNvPr>
            <xdr:cNvSpPr txBox="1"/>
          </xdr:nvSpPr>
          <xdr:spPr>
            <a:xfrm>
              <a:off x="1690177" y="93560445"/>
              <a:ext cx="4147481" cy="366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f>
                          <m:fPr>
                            <m:ctrlPr>
                              <a:rPr lang="es-CL" sz="1100" i="1">
                                <a:latin typeface="Cambria Math" panose="02040503050406030204" pitchFamily="18" charset="0"/>
                              </a:rPr>
                            </m:ctrlPr>
                          </m:fPr>
                          <m:num>
                            <m:r>
                              <a:rPr lang="es-ES" sz="1100" b="0" i="1">
                                <a:latin typeface="Cambria Math" panose="02040503050406030204" pitchFamily="18" charset="0"/>
                              </a:rPr>
                              <m:t>𝐵𝑇𝑈</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sub>
                        <m:r>
                          <a:rPr lang="es-ES" sz="1100" b="0" i="1">
                            <a:latin typeface="Cambria Math" panose="02040503050406030204" pitchFamily="18" charset="0"/>
                          </a:rPr>
                          <m:t>(1 </m:t>
                        </m:r>
                        <m:r>
                          <a:rPr lang="es-ES" sz="1100" b="0" i="1">
                            <a:latin typeface="Cambria Math" panose="02040503050406030204" pitchFamily="18" charset="0"/>
                          </a:rPr>
                          <m:t>𝑞𝑢𝑒𝑚𝑎𝑑𝑜𝑟</m:t>
                        </m:r>
                        <m:r>
                          <a:rPr lang="es-ES" sz="1100" b="0" i="1">
                            <a:latin typeface="Cambria Math" panose="02040503050406030204" pitchFamily="18" charset="0"/>
                          </a:rPr>
                          <m:t>)</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770.000 </m:t>
                        </m:r>
                        <m:r>
                          <a:rPr lang="es-ES" sz="1100" b="0" i="1">
                            <a:latin typeface="Cambria Math" panose="02040503050406030204" pitchFamily="18" charset="0"/>
                          </a:rPr>
                          <m:t>𝐵𝑇𝑈</m:t>
                        </m:r>
                      </m:num>
                      <m:den>
                        <m:r>
                          <a:rPr lang="es-ES" sz="1100" b="0" i="1">
                            <a:latin typeface="Cambria Math" panose="02040503050406030204" pitchFamily="18" charset="0"/>
                          </a:rPr>
                          <m:t>h𝑜𝑟𝑎</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216 </m:t>
                        </m:r>
                        <m:r>
                          <a:rPr lang="es-ES" sz="1100" b="0" i="1">
                            <a:latin typeface="Cambria Math" panose="02040503050406030204" pitchFamily="18" charset="0"/>
                          </a:rPr>
                          <m:t>h𝑜𝑟𝑎𝑠</m:t>
                        </m:r>
                      </m:num>
                      <m:den>
                        <m:r>
                          <a:rPr lang="es-ES" sz="1100" b="0" i="1">
                            <a:latin typeface="Cambria Math" panose="02040503050406030204" pitchFamily="18" charset="0"/>
                          </a:rPr>
                          <m:t>1 </m:t>
                        </m:r>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=166.320.000 </m:t>
                    </m:r>
                    <m:f>
                      <m:fPr>
                        <m:ctrlPr>
                          <a:rPr lang="es-ES" sz="1100" b="0" i="1">
                            <a:latin typeface="Cambria Math" panose="02040503050406030204" pitchFamily="18" charset="0"/>
                          </a:rPr>
                        </m:ctrlPr>
                      </m:fPr>
                      <m:num>
                        <m:r>
                          <a:rPr lang="es-ES" sz="1100" b="0" i="1">
                            <a:latin typeface="Cambria Math" panose="02040503050406030204" pitchFamily="18" charset="0"/>
                          </a:rPr>
                          <m:t>𝐵𝑇𝑈</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46" name="CuadroTexto 45">
              <a:extLst>
                <a:ext uri="{FF2B5EF4-FFF2-40B4-BE49-F238E27FC236}">
                  <a16:creationId xmlns:a16="http://schemas.microsoft.com/office/drawing/2014/main" id="{EF32D4B3-3774-4929-8946-E7105DC85AFD}"/>
                </a:ext>
              </a:extLst>
            </xdr:cNvPr>
            <xdr:cNvSpPr txBox="1"/>
          </xdr:nvSpPr>
          <xdr:spPr>
            <a:xfrm>
              <a:off x="1690177" y="93560445"/>
              <a:ext cx="4147481" cy="366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𝐵𝑇𝑈</a:t>
              </a:r>
              <a:r>
                <a:rPr lang="es-CL" sz="1100" b="0" i="0">
                  <a:latin typeface="Cambria Math" panose="02040503050406030204" pitchFamily="18" charset="0"/>
                </a:rPr>
                <a:t>/</a:t>
              </a:r>
              <a:r>
                <a:rPr lang="es-ES" sz="1100" b="0" i="0">
                  <a:latin typeface="Cambria Math" panose="02040503050406030204" pitchFamily="18" charset="0"/>
                </a:rPr>
                <a:t>𝑎ñ𝑜</a:t>
              </a:r>
              <a:r>
                <a:rPr lang="es-CL" sz="1100" b="0" i="0">
                  <a:latin typeface="Cambria Math" panose="02040503050406030204" pitchFamily="18" charset="0"/>
                </a:rPr>
                <a:t>〗_(</a:t>
              </a:r>
              <a:r>
                <a:rPr lang="es-ES" sz="1100" b="0" i="0">
                  <a:latin typeface="Cambria Math" panose="02040503050406030204" pitchFamily="18" charset="0"/>
                </a:rPr>
                <a:t>(1 𝑞𝑢𝑒𝑚𝑎𝑑𝑜𝑟)</a:t>
              </a:r>
              <a:r>
                <a:rPr lang="es-CL" sz="1100" b="0" i="0">
                  <a:latin typeface="Cambria Math" panose="02040503050406030204" pitchFamily="18" charset="0"/>
                </a:rPr>
                <a:t>)</a:t>
              </a:r>
              <a:r>
                <a:rPr lang="es-ES" sz="1100" b="0" i="0">
                  <a:latin typeface="Cambria Math" panose="02040503050406030204" pitchFamily="18" charset="0"/>
                </a:rPr>
                <a:t>=(770.000 𝐵𝑇𝑈)/ℎ𝑜𝑟𝑎∗(216 ℎ𝑜𝑟𝑎𝑠)/(1 𝑎ñ𝑜)=166.320.000  𝐵𝑇𝑈/𝑎ñ𝑜</a:t>
              </a:r>
              <a:endParaRPr lang="es-CL" sz="1100"/>
            </a:p>
          </xdr:txBody>
        </xdr:sp>
      </mc:Fallback>
    </mc:AlternateContent>
    <xdr:clientData/>
  </xdr:oneCellAnchor>
  <xdr:oneCellAnchor>
    <xdr:from>
      <xdr:col>1</xdr:col>
      <xdr:colOff>535781</xdr:colOff>
      <xdr:row>482</xdr:row>
      <xdr:rowOff>32262</xdr:rowOff>
    </xdr:from>
    <xdr:ext cx="4039760" cy="395878"/>
    <mc:AlternateContent xmlns:mc="http://schemas.openxmlformats.org/markup-compatibility/2006" xmlns:a14="http://schemas.microsoft.com/office/drawing/2010/main">
      <mc:Choice Requires="a14">
        <xdr:sp macro="" textlink="">
          <xdr:nvSpPr>
            <xdr:cNvPr id="47" name="CuadroTexto 46">
              <a:extLst>
                <a:ext uri="{FF2B5EF4-FFF2-40B4-BE49-F238E27FC236}">
                  <a16:creationId xmlns:a16="http://schemas.microsoft.com/office/drawing/2014/main" id="{00000000-0008-0000-0B00-00002F000000}"/>
                </a:ext>
              </a:extLst>
            </xdr:cNvPr>
            <xdr:cNvSpPr txBox="1"/>
          </xdr:nvSpPr>
          <xdr:spPr>
            <a:xfrm>
              <a:off x="1760424" y="94511191"/>
              <a:ext cx="4039760" cy="395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f>
                          <m:fPr>
                            <m:ctrlPr>
                              <a:rPr lang="es-CL" sz="1100" i="1">
                                <a:latin typeface="Cambria Math" panose="02040503050406030204" pitchFamily="18" charset="0"/>
                              </a:rPr>
                            </m:ctrlPr>
                          </m:fPr>
                          <m:num>
                            <m:r>
                              <a:rPr lang="es-ES" sz="1100" b="0" i="1">
                                <a:latin typeface="Cambria Math" panose="02040503050406030204" pitchFamily="18" charset="0"/>
                              </a:rPr>
                              <m:t>𝐵𝑇𝑈</m:t>
                            </m:r>
                          </m:num>
                          <m:den>
                            <m:r>
                              <a:rPr lang="es-ES" sz="1100" b="0" i="1">
                                <a:latin typeface="Cambria Math" panose="02040503050406030204" pitchFamily="18" charset="0"/>
                              </a:rPr>
                              <m:t>𝑔𝑎𝑙</m:t>
                            </m:r>
                            <m:r>
                              <a:rPr lang="es-ES" sz="1100" b="0" i="1">
                                <a:latin typeface="Cambria Math" panose="02040503050406030204" pitchFamily="18" charset="0"/>
                              </a:rPr>
                              <m:t>ó</m:t>
                            </m:r>
                            <m:r>
                              <a:rPr lang="es-ES" sz="1100" b="0" i="1">
                                <a:latin typeface="Cambria Math" panose="02040503050406030204" pitchFamily="18" charset="0"/>
                              </a:rPr>
                              <m:t>𝑛</m:t>
                            </m:r>
                          </m:den>
                        </m:f>
                      </m:e>
                      <m:sub>
                        <m:r>
                          <a:rPr lang="es-ES" sz="1100" b="0" i="1">
                            <a:latin typeface="Cambria Math" panose="02040503050406030204" pitchFamily="18" charset="0"/>
                          </a:rPr>
                          <m:t>(1 </m:t>
                        </m:r>
                        <m:r>
                          <a:rPr lang="es-ES" sz="1100" b="0" i="1">
                            <a:latin typeface="Cambria Math" panose="02040503050406030204" pitchFamily="18" charset="0"/>
                          </a:rPr>
                          <m:t>𝑞𝑢𝑒𝑚𝑎𝑑𝑜𝑟</m:t>
                        </m:r>
                        <m:r>
                          <a:rPr lang="es-ES" sz="1100" b="0" i="1">
                            <a:latin typeface="Cambria Math" panose="02040503050406030204" pitchFamily="18" charset="0"/>
                          </a:rPr>
                          <m:t>)</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770.000 </m:t>
                        </m:r>
                        <m:r>
                          <a:rPr lang="es-ES" sz="1100" b="0" i="1">
                            <a:latin typeface="Cambria Math" panose="02040503050406030204" pitchFamily="18" charset="0"/>
                          </a:rPr>
                          <m:t>𝐵𝑇𝑈</m:t>
                        </m:r>
                      </m:num>
                      <m:den>
                        <m:r>
                          <a:rPr lang="es-ES" sz="1100" b="0" i="1">
                            <a:latin typeface="Cambria Math" panose="02040503050406030204" pitchFamily="18" charset="0"/>
                          </a:rPr>
                          <m:t>h𝑜𝑟𝑎</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1 </m:t>
                        </m:r>
                        <m:r>
                          <a:rPr lang="es-ES" sz="1100" b="0" i="1">
                            <a:latin typeface="Cambria Math" panose="02040503050406030204" pitchFamily="18" charset="0"/>
                          </a:rPr>
                          <m:t>h𝑜𝑟𝑎</m:t>
                        </m:r>
                      </m:num>
                      <m:den>
                        <m:r>
                          <a:rPr lang="es-ES" sz="1100" b="0" i="1">
                            <a:latin typeface="Cambria Math" panose="02040503050406030204" pitchFamily="18" charset="0"/>
                          </a:rPr>
                          <m:t>5,5 </m:t>
                        </m:r>
                        <m:r>
                          <a:rPr lang="es-ES" sz="1100" b="0" i="1">
                            <a:latin typeface="Cambria Math" panose="02040503050406030204" pitchFamily="18" charset="0"/>
                          </a:rPr>
                          <m:t>𝑔𝑎𝑙𝑜𝑛𝑒𝑠</m:t>
                        </m:r>
                      </m:den>
                    </m:f>
                    <m:r>
                      <a:rPr lang="es-ES" sz="1100" b="0" i="1">
                        <a:latin typeface="Cambria Math" panose="02040503050406030204" pitchFamily="18" charset="0"/>
                      </a:rPr>
                      <m:t>=140.000 </m:t>
                    </m:r>
                    <m:f>
                      <m:fPr>
                        <m:ctrlPr>
                          <a:rPr lang="es-ES" sz="1100" b="0" i="1">
                            <a:latin typeface="Cambria Math" panose="02040503050406030204" pitchFamily="18" charset="0"/>
                          </a:rPr>
                        </m:ctrlPr>
                      </m:fPr>
                      <m:num>
                        <m:r>
                          <a:rPr lang="es-ES" sz="1100" b="0" i="1">
                            <a:latin typeface="Cambria Math" panose="02040503050406030204" pitchFamily="18" charset="0"/>
                          </a:rPr>
                          <m:t>𝐵𝑇𝑈</m:t>
                        </m:r>
                      </m:num>
                      <m:den>
                        <m:r>
                          <a:rPr lang="es-ES" sz="1100" b="0" i="1">
                            <a:latin typeface="Cambria Math" panose="02040503050406030204" pitchFamily="18" charset="0"/>
                          </a:rPr>
                          <m:t>𝑔𝑎𝑙</m:t>
                        </m:r>
                        <m:r>
                          <a:rPr lang="es-ES" sz="1100" b="0" i="1">
                            <a:latin typeface="Cambria Math" panose="02040503050406030204" pitchFamily="18" charset="0"/>
                          </a:rPr>
                          <m:t>ó</m:t>
                        </m:r>
                        <m:r>
                          <a:rPr lang="es-ES" sz="1100" b="0" i="1">
                            <a:latin typeface="Cambria Math" panose="02040503050406030204" pitchFamily="18" charset="0"/>
                          </a:rPr>
                          <m:t>𝑛</m:t>
                        </m:r>
                      </m:den>
                    </m:f>
                  </m:oMath>
                </m:oMathPara>
              </a14:m>
              <a:endParaRPr lang="es-CL" sz="1100"/>
            </a:p>
          </xdr:txBody>
        </xdr:sp>
      </mc:Choice>
      <mc:Fallback xmlns="">
        <xdr:sp macro="" textlink="">
          <xdr:nvSpPr>
            <xdr:cNvPr id="47" name="CuadroTexto 46">
              <a:extLst>
                <a:ext uri="{FF2B5EF4-FFF2-40B4-BE49-F238E27FC236}">
                  <a16:creationId xmlns:a16="http://schemas.microsoft.com/office/drawing/2014/main" id="{8FCC4FD8-8440-413D-B271-33B8CFF25887}"/>
                </a:ext>
              </a:extLst>
            </xdr:cNvPr>
            <xdr:cNvSpPr txBox="1"/>
          </xdr:nvSpPr>
          <xdr:spPr>
            <a:xfrm>
              <a:off x="1760424" y="94511191"/>
              <a:ext cx="4039760" cy="395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𝐵𝑇𝑈</a:t>
              </a:r>
              <a:r>
                <a:rPr lang="es-CL" sz="1100" b="0" i="0">
                  <a:latin typeface="Cambria Math" panose="02040503050406030204" pitchFamily="18" charset="0"/>
                </a:rPr>
                <a:t>/</a:t>
              </a:r>
              <a:r>
                <a:rPr lang="es-ES" sz="1100" b="0" i="0">
                  <a:latin typeface="Cambria Math" panose="02040503050406030204" pitchFamily="18" charset="0"/>
                </a:rPr>
                <a:t>𝑔𝑎𝑙ó𝑛</a:t>
              </a:r>
              <a:r>
                <a:rPr lang="es-CL" sz="1100" b="0" i="0">
                  <a:latin typeface="Cambria Math" panose="02040503050406030204" pitchFamily="18" charset="0"/>
                </a:rPr>
                <a:t>〗_(</a:t>
              </a:r>
              <a:r>
                <a:rPr lang="es-ES" sz="1100" b="0" i="0">
                  <a:latin typeface="Cambria Math" panose="02040503050406030204" pitchFamily="18" charset="0"/>
                </a:rPr>
                <a:t>(1 𝑞𝑢𝑒𝑚𝑎𝑑𝑜𝑟)</a:t>
              </a:r>
              <a:r>
                <a:rPr lang="es-CL" sz="1100" b="0" i="0">
                  <a:latin typeface="Cambria Math" panose="02040503050406030204" pitchFamily="18" charset="0"/>
                </a:rPr>
                <a:t>)</a:t>
              </a:r>
              <a:r>
                <a:rPr lang="es-ES" sz="1100" b="0" i="0">
                  <a:latin typeface="Cambria Math" panose="02040503050406030204" pitchFamily="18" charset="0"/>
                </a:rPr>
                <a:t>=(770.000 𝐵𝑇𝑈)/ℎ𝑜𝑟𝑎∗(1 ℎ𝑜𝑟𝑎)/(5,5 𝑔𝑎𝑙𝑜𝑛𝑒𝑠)=140.000  𝐵𝑇𝑈/𝑔𝑎𝑙ó𝑛</a:t>
              </a:r>
              <a:endParaRPr lang="es-CL" sz="1100"/>
            </a:p>
          </xdr:txBody>
        </xdr:sp>
      </mc:Fallback>
    </mc:AlternateContent>
    <xdr:clientData/>
  </xdr:oneCellAnchor>
  <xdr:oneCellAnchor>
    <xdr:from>
      <xdr:col>1</xdr:col>
      <xdr:colOff>0</xdr:colOff>
      <xdr:row>486</xdr:row>
      <xdr:rowOff>67981</xdr:rowOff>
    </xdr:from>
    <xdr:ext cx="4839465" cy="322332"/>
    <mc:AlternateContent xmlns:mc="http://schemas.openxmlformats.org/markup-compatibility/2006" xmlns:a14="http://schemas.microsoft.com/office/drawing/2010/main">
      <mc:Choice Requires="a14">
        <xdr:sp macro="" textlink="">
          <xdr:nvSpPr>
            <xdr:cNvPr id="48" name="CuadroTexto 47">
              <a:extLst>
                <a:ext uri="{FF2B5EF4-FFF2-40B4-BE49-F238E27FC236}">
                  <a16:creationId xmlns:a16="http://schemas.microsoft.com/office/drawing/2014/main" id="{00000000-0008-0000-0B00-000030000000}"/>
                </a:ext>
              </a:extLst>
            </xdr:cNvPr>
            <xdr:cNvSpPr txBox="1"/>
          </xdr:nvSpPr>
          <xdr:spPr>
            <a:xfrm>
              <a:off x="1224643" y="95317981"/>
              <a:ext cx="4839465" cy="322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s-ES" sz="1100" b="0" i="1">
                            <a:latin typeface="Cambria Math" panose="02040503050406030204" pitchFamily="18" charset="0"/>
                          </a:rPr>
                        </m:ctrlPr>
                      </m:fPr>
                      <m:num>
                        <m:r>
                          <a:rPr lang="es-ES" sz="1100" b="0" i="1">
                            <a:latin typeface="Cambria Math" panose="02040503050406030204" pitchFamily="18" charset="0"/>
                          </a:rPr>
                          <m:t>𝐺𝑎𝑙𝑜𝑛𝑒𝑠</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166.320.000 </m:t>
                        </m:r>
                        <m:r>
                          <a:rPr lang="es-ES" sz="1100" b="0" i="1">
                            <a:latin typeface="Cambria Math" panose="02040503050406030204" pitchFamily="18" charset="0"/>
                          </a:rPr>
                          <m:t>𝐵𝑇𝑈</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1 </m:t>
                        </m:r>
                        <m:r>
                          <a:rPr lang="es-ES" sz="1100" b="0" i="1">
                            <a:latin typeface="Cambria Math" panose="02040503050406030204" pitchFamily="18" charset="0"/>
                          </a:rPr>
                          <m:t>𝑔𝑎𝑙</m:t>
                        </m:r>
                        <m:r>
                          <a:rPr lang="es-ES" sz="1100" b="0" i="1">
                            <a:latin typeface="Cambria Math" panose="02040503050406030204" pitchFamily="18" charset="0"/>
                          </a:rPr>
                          <m:t>ó</m:t>
                        </m:r>
                        <m:r>
                          <a:rPr lang="es-ES" sz="1100" b="0" i="1">
                            <a:latin typeface="Cambria Math" panose="02040503050406030204" pitchFamily="18" charset="0"/>
                          </a:rPr>
                          <m:t>𝑛</m:t>
                        </m:r>
                      </m:num>
                      <m:den>
                        <m:r>
                          <a:rPr lang="es-ES" sz="1100" b="0" i="1">
                            <a:latin typeface="Cambria Math" panose="02040503050406030204" pitchFamily="18" charset="0"/>
                          </a:rPr>
                          <m:t>140.000 </m:t>
                        </m:r>
                        <m:r>
                          <a:rPr lang="es-ES" sz="1100" b="0" i="1">
                            <a:latin typeface="Cambria Math" panose="02040503050406030204" pitchFamily="18" charset="0"/>
                          </a:rPr>
                          <m:t>𝐵𝑇𝑈</m:t>
                        </m:r>
                      </m:den>
                    </m:f>
                    <m:r>
                      <a:rPr lang="es-ES" sz="1100" b="0" i="1">
                        <a:latin typeface="Cambria Math" panose="02040503050406030204" pitchFamily="18" charset="0"/>
                      </a:rPr>
                      <m:t>∗5 </m:t>
                    </m:r>
                    <m:r>
                      <a:rPr lang="es-ES" sz="1100" b="0" i="1">
                        <a:latin typeface="Cambria Math" panose="02040503050406030204" pitchFamily="18" charset="0"/>
                      </a:rPr>
                      <m:t>𝑞𝑢𝑒𝑚𝑎𝑑𝑜𝑟𝑒𝑠</m:t>
                    </m:r>
                    <m:r>
                      <a:rPr lang="es-ES" sz="1100" b="0" i="1">
                        <a:latin typeface="Cambria Math" panose="02040503050406030204" pitchFamily="18" charset="0"/>
                      </a:rPr>
                      <m:t>=5.940 </m:t>
                    </m:r>
                    <m:f>
                      <m:fPr>
                        <m:ctrlPr>
                          <a:rPr lang="es-ES" sz="1100" b="0" i="1">
                            <a:latin typeface="Cambria Math" panose="02040503050406030204" pitchFamily="18" charset="0"/>
                          </a:rPr>
                        </m:ctrlPr>
                      </m:fPr>
                      <m:num>
                        <m:r>
                          <a:rPr lang="es-ES" sz="1100" b="0" i="1">
                            <a:latin typeface="Cambria Math" panose="02040503050406030204" pitchFamily="18" charset="0"/>
                          </a:rPr>
                          <m:t>𝑔𝑎𝑙𝑜𝑛𝑒𝑠</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48" name="CuadroTexto 47">
              <a:extLst>
                <a:ext uri="{FF2B5EF4-FFF2-40B4-BE49-F238E27FC236}">
                  <a16:creationId xmlns:a16="http://schemas.microsoft.com/office/drawing/2014/main" id="{EDC21050-0C3A-4898-84A1-2027F051B9B2}"/>
                </a:ext>
              </a:extLst>
            </xdr:cNvPr>
            <xdr:cNvSpPr txBox="1"/>
          </xdr:nvSpPr>
          <xdr:spPr>
            <a:xfrm>
              <a:off x="1224643" y="95317981"/>
              <a:ext cx="4839465" cy="3223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𝐺𝑎𝑙𝑜𝑛𝑒𝑠/𝑎ñ𝑜=(166.320.000 𝐵𝑇𝑈)/𝑎ñ𝑜∗(1 𝑔𝑎𝑙ó𝑛)/(140.000 𝐵𝑇𝑈)∗5 𝑞𝑢𝑒𝑚𝑎𝑑𝑜𝑟𝑒𝑠=5.940  𝑔𝑎𝑙𝑜𝑛𝑒𝑠/𝑎ñ𝑜</a:t>
              </a:r>
              <a:endParaRPr lang="es-CL" sz="1100"/>
            </a:p>
          </xdr:txBody>
        </xdr:sp>
      </mc:Fallback>
    </mc:AlternateContent>
    <xdr:clientData/>
  </xdr:oneCellAnchor>
  <xdr:oneCellAnchor>
    <xdr:from>
      <xdr:col>1</xdr:col>
      <xdr:colOff>0</xdr:colOff>
      <xdr:row>513</xdr:row>
      <xdr:rowOff>0</xdr:rowOff>
    </xdr:from>
    <xdr:ext cx="4824269" cy="328231"/>
    <mc:AlternateContent xmlns:mc="http://schemas.openxmlformats.org/markup-compatibility/2006" xmlns:a14="http://schemas.microsoft.com/office/drawing/2010/main">
      <mc:Choice Requires="a14">
        <xdr:sp macro="" textlink="">
          <xdr:nvSpPr>
            <xdr:cNvPr id="49" name="CuadroTexto 48">
              <a:extLst>
                <a:ext uri="{FF2B5EF4-FFF2-40B4-BE49-F238E27FC236}">
                  <a16:creationId xmlns:a16="http://schemas.microsoft.com/office/drawing/2014/main" id="{00000000-0008-0000-0B00-000031000000}"/>
                </a:ext>
              </a:extLst>
            </xdr:cNvPr>
            <xdr:cNvSpPr txBox="1"/>
          </xdr:nvSpPr>
          <xdr:spPr>
            <a:xfrm>
              <a:off x="1224643" y="100454732"/>
              <a:ext cx="4824269"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𝐴h𝑜𝑟𝑟𝑜</m:t>
                    </m:r>
                    <m:r>
                      <a:rPr lang="es-ES" sz="1100" b="0" i="1">
                        <a:latin typeface="Cambria Math" panose="02040503050406030204" pitchFamily="18" charset="0"/>
                      </a:rPr>
                      <m:t> </m:t>
                    </m:r>
                    <m:r>
                      <a:rPr lang="es-ES" sz="1100" b="0" i="1">
                        <a:latin typeface="Cambria Math" panose="02040503050406030204" pitchFamily="18" charset="0"/>
                      </a:rPr>
                      <m:t>𝑝𝑜𝑟</m:t>
                    </m:r>
                    <m:r>
                      <a:rPr lang="es-ES" sz="1100" b="0" i="1">
                        <a:latin typeface="Cambria Math" panose="02040503050406030204" pitchFamily="18" charset="0"/>
                      </a:rPr>
                      <m:t> </m:t>
                    </m:r>
                    <m:r>
                      <a:rPr lang="es-ES" sz="1100" b="0" i="1">
                        <a:latin typeface="Cambria Math" panose="02040503050406030204" pitchFamily="18" charset="0"/>
                      </a:rPr>
                      <m:t>𝑢𝑠𝑜</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𝐺𝐿𝑃</m:t>
                    </m:r>
                    <m:r>
                      <a:rPr lang="es-ES" sz="1100" b="0" i="1">
                        <a:latin typeface="Cambria Math" panose="02040503050406030204" pitchFamily="18" charset="0"/>
                      </a:rPr>
                      <m:t>=24.531.501</m:t>
                    </m:r>
                    <m:f>
                      <m:fPr>
                        <m:ctrlPr>
                          <a:rPr lang="es-ES" sz="1100" b="0" i="1">
                            <a:latin typeface="Cambria Math" panose="02040503050406030204" pitchFamily="18" charset="0"/>
                          </a:rPr>
                        </m:ctrlPr>
                      </m:fPr>
                      <m:num>
                        <m:r>
                          <a:rPr lang="es-ES" sz="1100" b="0" i="1">
                            <a:latin typeface="Cambria Math" panose="02040503050406030204" pitchFamily="18" charset="0"/>
                          </a:rPr>
                          <m:t>$</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−11.049.862</m:t>
                    </m:r>
                    <m:f>
                      <m:fPr>
                        <m:ctrlPr>
                          <a:rPr lang="es-ES" sz="1100" b="0" i="1">
                            <a:latin typeface="Cambria Math" panose="02040503050406030204" pitchFamily="18" charset="0"/>
                          </a:rPr>
                        </m:ctrlPr>
                      </m:fPr>
                      <m:num>
                        <m:r>
                          <a:rPr lang="es-ES" sz="1100" b="0" i="1">
                            <a:latin typeface="Cambria Math" panose="02040503050406030204" pitchFamily="18" charset="0"/>
                          </a:rPr>
                          <m:t>$</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=13.481.639</m:t>
                    </m:r>
                    <m:f>
                      <m:fPr>
                        <m:ctrlPr>
                          <a:rPr lang="es-ES" sz="1100" b="0" i="1">
                            <a:latin typeface="Cambria Math" panose="02040503050406030204" pitchFamily="18" charset="0"/>
                          </a:rPr>
                        </m:ctrlPr>
                      </m:fPr>
                      <m:num>
                        <m:r>
                          <a:rPr lang="es-ES" sz="1100" b="0" i="1">
                            <a:latin typeface="Cambria Math" panose="02040503050406030204" pitchFamily="18" charset="0"/>
                          </a:rPr>
                          <m:t>$</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49" name="CuadroTexto 48">
              <a:extLst>
                <a:ext uri="{FF2B5EF4-FFF2-40B4-BE49-F238E27FC236}">
                  <a16:creationId xmlns:a16="http://schemas.microsoft.com/office/drawing/2014/main" id="{1D44C4B2-A390-4A90-959F-E96FC17D6EE7}"/>
                </a:ext>
              </a:extLst>
            </xdr:cNvPr>
            <xdr:cNvSpPr txBox="1"/>
          </xdr:nvSpPr>
          <xdr:spPr>
            <a:xfrm>
              <a:off x="1224643" y="100454732"/>
              <a:ext cx="4824269"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𝐴ℎ𝑜𝑟𝑟𝑜 𝑝𝑜𝑟 𝑢𝑠𝑜 𝑑𝑒 𝐺𝐿𝑃=24.531.501 $/𝑎ñ𝑜−11.049.862 $/𝑎ñ𝑜=13.481.639 $/𝑎ñ𝑜</a:t>
              </a:r>
              <a:endParaRPr lang="es-CL" sz="1100"/>
            </a:p>
          </xdr:txBody>
        </xdr:sp>
      </mc:Fallback>
    </mc:AlternateContent>
    <xdr:clientData/>
  </xdr:oneCellAnchor>
  <xdr:oneCellAnchor>
    <xdr:from>
      <xdr:col>3</xdr:col>
      <xdr:colOff>206994</xdr:colOff>
      <xdr:row>536</xdr:row>
      <xdr:rowOff>90775</xdr:rowOff>
    </xdr:from>
    <xdr:ext cx="4033027" cy="343556"/>
    <mc:AlternateContent xmlns:mc="http://schemas.openxmlformats.org/markup-compatibility/2006" xmlns:a14="http://schemas.microsoft.com/office/drawing/2010/main">
      <mc:Choice Requires="a14">
        <xdr:sp macro="" textlink="">
          <xdr:nvSpPr>
            <xdr:cNvPr id="50" name="CuadroTexto 49">
              <a:extLst>
                <a:ext uri="{FF2B5EF4-FFF2-40B4-BE49-F238E27FC236}">
                  <a16:creationId xmlns:a16="http://schemas.microsoft.com/office/drawing/2014/main" id="{00000000-0008-0000-0B00-000032000000}"/>
                </a:ext>
              </a:extLst>
            </xdr:cNvPr>
            <xdr:cNvSpPr txBox="1"/>
          </xdr:nvSpPr>
          <xdr:spPr>
            <a:xfrm>
              <a:off x="5944673" y="105001846"/>
              <a:ext cx="4033027" cy="343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𝑇𝑜𝑛</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r>
                      <a:rPr lang="es-ES" sz="1100" b="0" i="1">
                        <a:latin typeface="Cambria Math" panose="02040503050406030204" pitchFamily="18" charset="0"/>
                      </a:rPr>
                      <m:t> </m:t>
                    </m:r>
                    <m:r>
                      <a:rPr lang="es-ES" sz="1100" b="0" i="1">
                        <a:latin typeface="Cambria Math" panose="02040503050406030204" pitchFamily="18" charset="0"/>
                      </a:rPr>
                      <m:t>𝑔𝑒𝑛𝑒𝑟𝑎𝑑𝑜𝑠</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=0,88</m:t>
                    </m:r>
                    <m:f>
                      <m:fPr>
                        <m:ctrlPr>
                          <a:rPr lang="es-ES" sz="1100" b="0" i="1">
                            <a:latin typeface="Cambria Math" panose="02040503050406030204" pitchFamily="18" charset="0"/>
                          </a:rPr>
                        </m:ctrlPr>
                      </m:fPr>
                      <m:num>
                        <m:r>
                          <a:rPr lang="es-ES" sz="1100" b="0" i="1">
                            <a:latin typeface="Cambria Math" panose="02040503050406030204" pitchFamily="18" charset="0"/>
                          </a:rPr>
                          <m:t>𝑇𝐽</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∗65,7 </m:t>
                    </m:r>
                    <m:r>
                      <a:rPr lang="es-ES" sz="1100" b="0" i="1">
                        <a:latin typeface="Cambria Math" panose="02040503050406030204" pitchFamily="18" charset="0"/>
                      </a:rPr>
                      <m:t>𝑇𝑜𝑛</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num>
                      <m:den>
                        <m:r>
                          <a:rPr lang="es-ES" sz="1100" b="0" i="1">
                            <a:latin typeface="Cambria Math" panose="02040503050406030204" pitchFamily="18" charset="0"/>
                          </a:rPr>
                          <m:t>𝑇𝐽</m:t>
                        </m:r>
                      </m:den>
                    </m:f>
                    <m:r>
                      <a:rPr lang="es-ES" sz="1100" b="0" i="1">
                        <a:latin typeface="Cambria Math" panose="02040503050406030204" pitchFamily="18" charset="0"/>
                      </a:rPr>
                      <m:t>=57,8</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50" name="CuadroTexto 49">
              <a:extLst>
                <a:ext uri="{FF2B5EF4-FFF2-40B4-BE49-F238E27FC236}">
                  <a16:creationId xmlns:a16="http://schemas.microsoft.com/office/drawing/2014/main" id="{F8845B3E-8286-4D5E-9954-3B8D42D8785D}"/>
                </a:ext>
              </a:extLst>
            </xdr:cNvPr>
            <xdr:cNvSpPr txBox="1"/>
          </xdr:nvSpPr>
          <xdr:spPr>
            <a:xfrm>
              <a:off x="5944673" y="105001846"/>
              <a:ext cx="4033027" cy="343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𝑇𝑜𝑛 〖𝐶𝑂〗_2  𝑔𝑒𝑛𝑒𝑟𝑎𝑑𝑜𝑠 𝑎𝑛𝑢𝑎𝑙=0,88 𝑇𝐽/𝑎ñ𝑜∗65,7 𝑇𝑜𝑛 〖𝐶𝑂〗_2/𝑇𝐽=57,8 〖𝐶𝑂〗_2/𝑎ñ𝑜</a:t>
              </a:r>
              <a:endParaRPr lang="es-CL" sz="1100"/>
            </a:p>
          </xdr:txBody>
        </xdr:sp>
      </mc:Fallback>
    </mc:AlternateContent>
    <xdr:clientData/>
  </xdr:oneCellAnchor>
  <xdr:oneCellAnchor>
    <xdr:from>
      <xdr:col>3</xdr:col>
      <xdr:colOff>170085</xdr:colOff>
      <xdr:row>529</xdr:row>
      <xdr:rowOff>113396</xdr:rowOff>
    </xdr:from>
    <xdr:ext cx="3991734" cy="343556"/>
    <mc:AlternateContent xmlns:mc="http://schemas.openxmlformats.org/markup-compatibility/2006" xmlns:a14="http://schemas.microsoft.com/office/drawing/2010/main">
      <mc:Choice Requires="a14">
        <xdr:sp macro="" textlink="">
          <xdr:nvSpPr>
            <xdr:cNvPr id="51" name="CuadroTexto 50">
              <a:extLst>
                <a:ext uri="{FF2B5EF4-FFF2-40B4-BE49-F238E27FC236}">
                  <a16:creationId xmlns:a16="http://schemas.microsoft.com/office/drawing/2014/main" id="{00000000-0008-0000-0B00-000033000000}"/>
                </a:ext>
              </a:extLst>
            </xdr:cNvPr>
            <xdr:cNvSpPr txBox="1"/>
          </xdr:nvSpPr>
          <xdr:spPr>
            <a:xfrm>
              <a:off x="5907764" y="103675092"/>
              <a:ext cx="3991734" cy="343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𝑇𝑜𝑛</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r>
                      <a:rPr lang="es-ES" sz="1100" b="0" i="1">
                        <a:latin typeface="Cambria Math" panose="02040503050406030204" pitchFamily="18" charset="0"/>
                      </a:rPr>
                      <m:t> </m:t>
                    </m:r>
                    <m:r>
                      <a:rPr lang="es-ES" sz="1100" b="0" i="1">
                        <a:latin typeface="Cambria Math" panose="02040503050406030204" pitchFamily="18" charset="0"/>
                      </a:rPr>
                      <m:t>𝑔𝑒𝑛𝑒𝑟𝑎𝑑𝑜𝑠</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=0,88</m:t>
                    </m:r>
                    <m:f>
                      <m:fPr>
                        <m:ctrlPr>
                          <a:rPr lang="es-ES" sz="1100" b="0" i="1">
                            <a:latin typeface="Cambria Math" panose="02040503050406030204" pitchFamily="18" charset="0"/>
                          </a:rPr>
                        </m:ctrlPr>
                      </m:fPr>
                      <m:num>
                        <m:r>
                          <a:rPr lang="es-ES" sz="1100" b="0" i="1">
                            <a:latin typeface="Cambria Math" panose="02040503050406030204" pitchFamily="18" charset="0"/>
                          </a:rPr>
                          <m:t>𝑇𝐽</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∗71,9 </m:t>
                    </m:r>
                    <m:r>
                      <a:rPr lang="es-ES" sz="1100" b="0" i="1">
                        <a:latin typeface="Cambria Math" panose="02040503050406030204" pitchFamily="18" charset="0"/>
                      </a:rPr>
                      <m:t>𝑇𝑜𝑛</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num>
                      <m:den>
                        <m:r>
                          <a:rPr lang="es-ES" sz="1100" b="0" i="1">
                            <a:latin typeface="Cambria Math" panose="02040503050406030204" pitchFamily="18" charset="0"/>
                          </a:rPr>
                          <m:t>𝑇𝐽</m:t>
                        </m:r>
                      </m:den>
                    </m:f>
                    <m:r>
                      <a:rPr lang="es-ES" sz="1100" b="0" i="1">
                        <a:latin typeface="Cambria Math" panose="02040503050406030204" pitchFamily="18" charset="0"/>
                      </a:rPr>
                      <m:t>=63,3</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51" name="CuadroTexto 50">
              <a:extLst>
                <a:ext uri="{FF2B5EF4-FFF2-40B4-BE49-F238E27FC236}">
                  <a16:creationId xmlns:a16="http://schemas.microsoft.com/office/drawing/2014/main" id="{082DEC41-477A-4C66-A61F-513F4145A8EE}"/>
                </a:ext>
              </a:extLst>
            </xdr:cNvPr>
            <xdr:cNvSpPr txBox="1"/>
          </xdr:nvSpPr>
          <xdr:spPr>
            <a:xfrm>
              <a:off x="5907764" y="103675092"/>
              <a:ext cx="3991734" cy="343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𝑇𝑜𝑛 〖𝐶𝑂〗_2  𝑔𝑒𝑛𝑒𝑟𝑎𝑑𝑜𝑠 𝑎𝑛𝑢𝑎𝑙=0,88 𝑇𝐽/𝑎ñ𝑜∗71,9 𝑇𝑜𝑛 〖𝐶𝑂〗_2/𝑇𝐽=63,3 〖𝐶𝑂〗_2/𝑎ñ𝑜</a:t>
              </a:r>
              <a:endParaRPr lang="es-CL" sz="1100"/>
            </a:p>
          </xdr:txBody>
        </xdr:sp>
      </mc:Fallback>
    </mc:AlternateContent>
    <xdr:clientData/>
  </xdr:oneCellAnchor>
  <xdr:oneCellAnchor>
    <xdr:from>
      <xdr:col>1</xdr:col>
      <xdr:colOff>476250</xdr:colOff>
      <xdr:row>543</xdr:row>
      <xdr:rowOff>22678</xdr:rowOff>
    </xdr:from>
    <xdr:ext cx="3295389" cy="318036"/>
    <mc:AlternateContent xmlns:mc="http://schemas.openxmlformats.org/markup-compatibility/2006" xmlns:a14="http://schemas.microsoft.com/office/drawing/2010/main">
      <mc:Choice Requires="a14">
        <xdr:sp macro="" textlink="">
          <xdr:nvSpPr>
            <xdr:cNvPr id="52" name="CuadroTexto 51">
              <a:extLst>
                <a:ext uri="{FF2B5EF4-FFF2-40B4-BE49-F238E27FC236}">
                  <a16:creationId xmlns:a16="http://schemas.microsoft.com/office/drawing/2014/main" id="{00000000-0008-0000-0B00-000034000000}"/>
                </a:ext>
              </a:extLst>
            </xdr:cNvPr>
            <xdr:cNvSpPr txBox="1"/>
          </xdr:nvSpPr>
          <xdr:spPr>
            <a:xfrm>
              <a:off x="1700893" y="106283124"/>
              <a:ext cx="3295389"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𝐸𝑚𝑖𝑠𝑖𝑜𝑛𝑒𝑠</m:t>
                    </m:r>
                    <m:r>
                      <a:rPr lang="es-ES" sz="1100" b="0" i="1">
                        <a:latin typeface="Cambria Math" panose="02040503050406030204" pitchFamily="18" charset="0"/>
                      </a:rPr>
                      <m:t> </m:t>
                    </m:r>
                    <m:r>
                      <a:rPr lang="es-ES" sz="1100" b="0" i="1">
                        <a:latin typeface="Cambria Math" panose="02040503050406030204" pitchFamily="18" charset="0"/>
                      </a:rPr>
                      <m:t>𝑒𝑣𝑖𝑡𝑎𝑑𝑎𝑠</m:t>
                    </m:r>
                    <m:r>
                      <a:rPr lang="es-ES" sz="1100" b="0" i="1">
                        <a:latin typeface="Cambria Math" panose="02040503050406030204" pitchFamily="18" charset="0"/>
                      </a:rPr>
                      <m:t>=63,3</m:t>
                    </m:r>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m:t>
                    </m:r>
                    <m:r>
                      <a:rPr lang="es-ES" sz="1100" b="0" i="1">
                        <a:latin typeface="Cambria Math" panose="02040503050406030204" pitchFamily="18" charset="0"/>
                      </a:rPr>
                      <m:t>57,8</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m:t>
                    </m:r>
                    <m:r>
                      <a:rPr lang="es-ES" sz="1100" b="0" i="1">
                        <a:solidFill>
                          <a:schemeClr val="tx1"/>
                        </a:solidFill>
                        <a:effectLst/>
                        <a:latin typeface="Cambria Math" panose="02040503050406030204" pitchFamily="18" charset="0"/>
                        <a:ea typeface="+mn-ea"/>
                        <a:cs typeface="+mn-cs"/>
                      </a:rPr>
                      <m:t>5,5</m:t>
                    </m:r>
                    <m:f>
                      <m:fPr>
                        <m:ctrlPr>
                          <a:rPr lang="es-ES" sz="1100" b="0" i="1">
                            <a:solidFill>
                              <a:schemeClr val="tx1"/>
                            </a:solidFill>
                            <a:effectLst/>
                            <a:latin typeface="Cambria Math" panose="02040503050406030204" pitchFamily="18" charset="0"/>
                            <a:ea typeface="+mn-ea"/>
                            <a:cs typeface="+mn-cs"/>
                          </a:rPr>
                        </m:ctrlPr>
                      </m:fPr>
                      <m:num>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𝐶𝑂</m:t>
                            </m:r>
                          </m:e>
                          <m:sub>
                            <m:r>
                              <a:rPr lang="es-ES" sz="1100" b="0" i="1">
                                <a:solidFill>
                                  <a:schemeClr val="tx1"/>
                                </a:solidFill>
                                <a:effectLst/>
                                <a:latin typeface="Cambria Math" panose="02040503050406030204" pitchFamily="18" charset="0"/>
                                <a:ea typeface="+mn-ea"/>
                                <a:cs typeface="+mn-cs"/>
                              </a:rPr>
                              <m:t>2</m:t>
                            </m:r>
                          </m:sub>
                        </m:sSub>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oMath>
                </m:oMathPara>
              </a14:m>
              <a:endParaRPr lang="es-CL" sz="1100"/>
            </a:p>
          </xdr:txBody>
        </xdr:sp>
      </mc:Choice>
      <mc:Fallback xmlns="">
        <xdr:sp macro="" textlink="">
          <xdr:nvSpPr>
            <xdr:cNvPr id="52" name="CuadroTexto 51">
              <a:extLst>
                <a:ext uri="{FF2B5EF4-FFF2-40B4-BE49-F238E27FC236}">
                  <a16:creationId xmlns:a16="http://schemas.microsoft.com/office/drawing/2014/main" id="{1B409740-DF54-4304-9AC8-88F4805C0AAD}"/>
                </a:ext>
              </a:extLst>
            </xdr:cNvPr>
            <xdr:cNvSpPr txBox="1"/>
          </xdr:nvSpPr>
          <xdr:spPr>
            <a:xfrm>
              <a:off x="1700893" y="106283124"/>
              <a:ext cx="3295389"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𝐸𝑚𝑖𝑠𝑖𝑜𝑛𝑒𝑠 𝑒𝑣𝑖𝑡𝑎𝑑𝑎𝑠=63,3</a:t>
              </a:r>
              <a:r>
                <a:rPr lang="es-ES" sz="1100" b="0" i="0">
                  <a:solidFill>
                    <a:schemeClr val="tx1"/>
                  </a:solidFill>
                  <a:effectLst/>
                  <a:latin typeface="Cambria Math" panose="02040503050406030204" pitchFamily="18" charset="0"/>
                  <a:ea typeface="+mn-ea"/>
                  <a:cs typeface="+mn-cs"/>
                </a:rPr>
                <a:t> 〖𝐶𝑂〗_2/𝑎ñ𝑜−</a:t>
              </a:r>
              <a:r>
                <a:rPr lang="es-ES" sz="1100" b="0" i="0">
                  <a:latin typeface="Cambria Math" panose="02040503050406030204" pitchFamily="18" charset="0"/>
                </a:rPr>
                <a:t>57,8 〖𝐶𝑂〗_2/𝑎ñ𝑜=</a:t>
              </a:r>
              <a:r>
                <a:rPr lang="es-ES" sz="1100" b="0" i="0">
                  <a:solidFill>
                    <a:schemeClr val="tx1"/>
                  </a:solidFill>
                  <a:effectLst/>
                  <a:latin typeface="Cambria Math" panose="02040503050406030204" pitchFamily="18" charset="0"/>
                  <a:ea typeface="+mn-ea"/>
                  <a:cs typeface="+mn-cs"/>
                </a:rPr>
                <a:t>5,5 〖𝐶𝑂〗_2/𝑎ñ𝑜</a:t>
              </a:r>
              <a:endParaRPr lang="es-CL" sz="1100"/>
            </a:p>
          </xdr:txBody>
        </xdr:sp>
      </mc:Fallback>
    </mc:AlternateContent>
    <xdr:clientData/>
  </xdr:oneCellAnchor>
  <xdr:oneCellAnchor>
    <xdr:from>
      <xdr:col>1</xdr:col>
      <xdr:colOff>295554</xdr:colOff>
      <xdr:row>606</xdr:row>
      <xdr:rowOff>158748</xdr:rowOff>
    </xdr:from>
    <xdr:ext cx="1011944" cy="173766"/>
    <mc:AlternateContent xmlns:mc="http://schemas.openxmlformats.org/markup-compatibility/2006" xmlns:a14="http://schemas.microsoft.com/office/drawing/2010/main">
      <mc:Choice Requires="a14">
        <xdr:sp macro="" textlink="">
          <xdr:nvSpPr>
            <xdr:cNvPr id="53" name="CuadroTexto 52">
              <a:extLst>
                <a:ext uri="{FF2B5EF4-FFF2-40B4-BE49-F238E27FC236}">
                  <a16:creationId xmlns:a16="http://schemas.microsoft.com/office/drawing/2014/main" id="{00000000-0008-0000-0B00-000035000000}"/>
                </a:ext>
              </a:extLst>
            </xdr:cNvPr>
            <xdr:cNvSpPr txBox="1"/>
          </xdr:nvSpPr>
          <xdr:spPr>
            <a:xfrm>
              <a:off x="1520197" y="11984490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r>
                    <a:rPr lang="es-ES" sz="1100" b="0" i="1">
                      <a:latin typeface="Cambria Math" panose="02040503050406030204" pitchFamily="18" charset="0"/>
                    </a:rPr>
                    <m:t>+2</m:t>
                  </m:r>
                </m:oMath>
              </a14:m>
              <a:r>
                <a:rPr lang="es-CL" sz="1100"/>
                <a:t>*Esp</a:t>
              </a:r>
            </a:p>
          </xdr:txBody>
        </xdr:sp>
      </mc:Choice>
      <mc:Fallback xmlns="">
        <xdr:sp macro="" textlink="">
          <xdr:nvSpPr>
            <xdr:cNvPr id="53" name="CuadroTexto 52">
              <a:extLst>
                <a:ext uri="{FF2B5EF4-FFF2-40B4-BE49-F238E27FC236}">
                  <a16:creationId xmlns:a16="http://schemas.microsoft.com/office/drawing/2014/main" id="{0162F7DB-2908-4F94-88A6-1A57EB30DF93}"/>
                </a:ext>
              </a:extLst>
            </xdr:cNvPr>
            <xdr:cNvSpPr txBox="1"/>
          </xdr:nvSpPr>
          <xdr:spPr>
            <a:xfrm>
              <a:off x="1520197" y="11984490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𝑎=𝑑_𝑜+2</a:t>
              </a:r>
              <a:r>
                <a:rPr lang="es-CL" sz="1100"/>
                <a:t>*Esp</a:t>
              </a:r>
            </a:p>
          </xdr:txBody>
        </xdr:sp>
      </mc:Fallback>
    </mc:AlternateContent>
    <xdr:clientData/>
  </xdr:oneCellAnchor>
  <xdr:oneCellAnchor>
    <xdr:from>
      <xdr:col>1</xdr:col>
      <xdr:colOff>284840</xdr:colOff>
      <xdr:row>608</xdr:row>
      <xdr:rowOff>140889</xdr:rowOff>
    </xdr:from>
    <xdr:ext cx="1145570" cy="173766"/>
    <mc:AlternateContent xmlns:mc="http://schemas.openxmlformats.org/markup-compatibility/2006" xmlns:a14="http://schemas.microsoft.com/office/drawing/2010/main">
      <mc:Choice Requires="a14">
        <xdr:sp macro="" textlink="">
          <xdr:nvSpPr>
            <xdr:cNvPr id="54" name="CuadroTexto 53">
              <a:extLst>
                <a:ext uri="{FF2B5EF4-FFF2-40B4-BE49-F238E27FC236}">
                  <a16:creationId xmlns:a16="http://schemas.microsoft.com/office/drawing/2014/main" id="{00000000-0008-0000-0B00-000036000000}"/>
                </a:ext>
              </a:extLst>
            </xdr:cNvPr>
            <xdr:cNvSpPr txBox="1"/>
          </xdr:nvSpPr>
          <xdr:spPr>
            <a:xfrm>
              <a:off x="1509483" y="12021258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=0,0762+2</m:t>
                  </m:r>
                </m:oMath>
              </a14:m>
              <a:r>
                <a:rPr lang="es-CL" sz="1100"/>
                <a:t>*0</a:t>
              </a:r>
            </a:p>
          </xdr:txBody>
        </xdr:sp>
      </mc:Choice>
      <mc:Fallback xmlns="">
        <xdr:sp macro="" textlink="">
          <xdr:nvSpPr>
            <xdr:cNvPr id="54" name="CuadroTexto 53">
              <a:extLst>
                <a:ext uri="{FF2B5EF4-FFF2-40B4-BE49-F238E27FC236}">
                  <a16:creationId xmlns:a16="http://schemas.microsoft.com/office/drawing/2014/main" id="{5AF76A8A-BF9F-4C81-BD99-389AFF627DF9}"/>
                </a:ext>
              </a:extLst>
            </xdr:cNvPr>
            <xdr:cNvSpPr txBox="1"/>
          </xdr:nvSpPr>
          <xdr:spPr>
            <a:xfrm>
              <a:off x="1509483" y="12021258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𝑎=0,0762+2</a:t>
              </a:r>
              <a:r>
                <a:rPr lang="es-CL" sz="1100"/>
                <a:t>*0</a:t>
              </a:r>
            </a:p>
          </xdr:txBody>
        </xdr:sp>
      </mc:Fallback>
    </mc:AlternateContent>
    <xdr:clientData/>
  </xdr:oneCellAnchor>
  <xdr:oneCellAnchor>
    <xdr:from>
      <xdr:col>1</xdr:col>
      <xdr:colOff>272140</xdr:colOff>
      <xdr:row>610</xdr:row>
      <xdr:rowOff>128189</xdr:rowOff>
    </xdr:from>
    <xdr:ext cx="783933" cy="173766"/>
    <mc:AlternateContent xmlns:mc="http://schemas.openxmlformats.org/markup-compatibility/2006" xmlns:a14="http://schemas.microsoft.com/office/drawing/2010/main">
      <mc:Choice Requires="a14">
        <xdr:sp macro="" textlink="">
          <xdr:nvSpPr>
            <xdr:cNvPr id="55" name="CuadroTexto 54">
              <a:extLst>
                <a:ext uri="{FF2B5EF4-FFF2-40B4-BE49-F238E27FC236}">
                  <a16:creationId xmlns:a16="http://schemas.microsoft.com/office/drawing/2014/main" id="{00000000-0008-0000-0B00-000037000000}"/>
                </a:ext>
              </a:extLst>
            </xdr:cNvPr>
            <xdr:cNvSpPr txBox="1"/>
          </xdr:nvSpPr>
          <xdr:spPr>
            <a:xfrm>
              <a:off x="1496783" y="120585421"/>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m:t>
                    </m:r>
                  </m:oMath>
                </m:oMathPara>
              </a14:m>
              <a:endParaRPr lang="es-CL" sz="1100"/>
            </a:p>
          </xdr:txBody>
        </xdr:sp>
      </mc:Choice>
      <mc:Fallback xmlns="">
        <xdr:sp macro="" textlink="">
          <xdr:nvSpPr>
            <xdr:cNvPr id="55" name="CuadroTexto 54">
              <a:extLst>
                <a:ext uri="{FF2B5EF4-FFF2-40B4-BE49-F238E27FC236}">
                  <a16:creationId xmlns:a16="http://schemas.microsoft.com/office/drawing/2014/main" id="{8D568537-A9A3-41F6-83A3-03D00586559F}"/>
                </a:ext>
              </a:extLst>
            </xdr:cNvPr>
            <xdr:cNvSpPr txBox="1"/>
          </xdr:nvSpPr>
          <xdr:spPr>
            <a:xfrm>
              <a:off x="1496783" y="120585421"/>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a:t>
              </a:r>
              <a:endParaRPr lang="es-CL" sz="1100"/>
            </a:p>
          </xdr:txBody>
        </xdr:sp>
      </mc:Fallback>
    </mc:AlternateContent>
    <xdr:clientData/>
  </xdr:oneCellAnchor>
  <xdr:oneCellAnchor>
    <xdr:from>
      <xdr:col>1</xdr:col>
      <xdr:colOff>15386</xdr:colOff>
      <xdr:row>619</xdr:row>
      <xdr:rowOff>0</xdr:rowOff>
    </xdr:from>
    <xdr:ext cx="6500690" cy="415050"/>
    <mc:AlternateContent xmlns:mc="http://schemas.openxmlformats.org/markup-compatibility/2006" xmlns:a14="http://schemas.microsoft.com/office/drawing/2010/main">
      <mc:Choice Requires="a14">
        <xdr:sp macro="" textlink="">
          <xdr:nvSpPr>
            <xdr:cNvPr id="56" name="CuadroTexto 55">
              <a:extLst>
                <a:ext uri="{FF2B5EF4-FFF2-40B4-BE49-F238E27FC236}">
                  <a16:creationId xmlns:a16="http://schemas.microsoft.com/office/drawing/2014/main" id="{00000000-0008-0000-0B00-000038000000}"/>
                </a:ext>
              </a:extLst>
            </xdr:cNvPr>
            <xdr:cNvSpPr txBox="1"/>
          </xdr:nvSpPr>
          <xdr:spPr>
            <a:xfrm>
              <a:off x="1240029" y="122237500"/>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m:t>
                        </m:r>
                        <m:r>
                          <a:rPr lang="es-ES" sz="1100" b="0" i="1">
                            <a:latin typeface="Cambria Math" panose="02040503050406030204" pitchFamily="18" charset="0"/>
                          </a:rPr>
                          <m:t>𝐶</m:t>
                        </m:r>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latin typeface="Cambria Math" panose="02040503050406030204" pitchFamily="18" charset="0"/>
                                  </a:rPr>
                                </m:ctrlPr>
                              </m:dPr>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Sub>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56" name="CuadroTexto 55">
              <a:extLst>
                <a:ext uri="{FF2B5EF4-FFF2-40B4-BE49-F238E27FC236}">
                  <a16:creationId xmlns:a16="http://schemas.microsoft.com/office/drawing/2014/main" id="{E8478761-2BED-4CB6-8929-855C433B3AB5}"/>
                </a:ext>
              </a:extLst>
            </xdr:cNvPr>
            <xdr:cNvSpPr txBox="1"/>
          </xdr:nvSpPr>
          <xdr:spPr>
            <a:xfrm>
              <a:off x="1240029" y="122237500"/>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𝑐=[2,7241∗𝐶∗(𝑑_𝑎 )^(−0,2) ]∗[1,11/(𝑇_𝑠𝑢𝑝+𝑇_𝑎−510,44)]^0,181∗[1,8∗(</a:t>
              </a:r>
              <a:r>
                <a:rPr lang="es-ES" sz="1100" b="0" i="0">
                  <a:solidFill>
                    <a:schemeClr val="tx1"/>
                  </a:solidFill>
                  <a:effectLst/>
                  <a:latin typeface="Cambria Math" panose="02040503050406030204" pitchFamily="18" charset="0"/>
                  <a:ea typeface="+mn-ea"/>
                  <a:cs typeface="+mn-cs"/>
                </a:rPr>
                <a:t>𝑇_𝑠𝑢𝑝−𝑇_𝑎 )]^</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1</xdr:col>
      <xdr:colOff>0</xdr:colOff>
      <xdr:row>622</xdr:row>
      <xdr:rowOff>27180</xdr:rowOff>
    </xdr:from>
    <xdr:ext cx="8985665" cy="410177"/>
    <mc:AlternateContent xmlns:mc="http://schemas.openxmlformats.org/markup-compatibility/2006" xmlns:a14="http://schemas.microsoft.com/office/drawing/2010/main">
      <mc:Choice Requires="a14">
        <xdr:sp macro="" textlink="">
          <xdr:nvSpPr>
            <xdr:cNvPr id="57" name="CuadroTexto 56">
              <a:extLst>
                <a:ext uri="{FF2B5EF4-FFF2-40B4-BE49-F238E27FC236}">
                  <a16:creationId xmlns:a16="http://schemas.microsoft.com/office/drawing/2014/main" id="{00000000-0008-0000-0B00-000039000000}"/>
                </a:ext>
              </a:extLst>
            </xdr:cNvPr>
            <xdr:cNvSpPr txBox="1"/>
          </xdr:nvSpPr>
          <xdr:spPr>
            <a:xfrm>
              <a:off x="1224643" y="122842984"/>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2,7241∗1,016∗</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0,0762 </m:t>
                                </m:r>
                                <m:r>
                                  <a:rPr lang="es-ES" sz="1100" b="0" i="1">
                                    <a:latin typeface="Cambria Math" panose="02040503050406030204" pitchFamily="18" charset="0"/>
                                  </a:rPr>
                                  <m:t>𝑚</m:t>
                                </m:r>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𝑊</m:t>
                                </m:r>
                                <m:r>
                                  <a:rPr lang="es-ES" sz="1100" b="0" i="1">
                                    <a:latin typeface="Cambria Math" panose="02040503050406030204" pitchFamily="18" charset="0"/>
                                  </a:rPr>
                                  <m:t>/</m:t>
                                </m:r>
                                <m:r>
                                  <a:rPr lang="es-ES" sz="1100" b="0" i="1">
                                    <a:latin typeface="Cambria Math" panose="02040503050406030204" pitchFamily="18" charset="0"/>
                                  </a:rPr>
                                  <m:t>𝑚𝐾</m:t>
                                </m:r>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latin typeface="Cambria Math" panose="02040503050406030204" pitchFamily="18" charset="0"/>
                                  </a:rPr>
                                </m:ctrlPr>
                              </m:dPr>
                              <m:e>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solidFill>
                                      <a:schemeClr val="tx1"/>
                                    </a:solidFill>
                                    <a:effectLst/>
                                    <a:latin typeface="Cambria Math" panose="02040503050406030204" pitchFamily="18" charset="0"/>
                                    <a:ea typeface="+mn-ea"/>
                                    <a:cs typeface="+mn-cs"/>
                                  </a:rPr>
                                  <m:t>−303,15 </m:t>
                                </m:r>
                                <m:r>
                                  <a:rPr lang="es-ES" sz="1100" b="0" i="1">
                                    <a:solidFill>
                                      <a:schemeClr val="tx1"/>
                                    </a:solidFill>
                                    <a:effectLst/>
                                    <a:latin typeface="Cambria Math" panose="02040503050406030204" pitchFamily="18" charset="0"/>
                                    <a:ea typeface="+mn-ea"/>
                                    <a:cs typeface="+mn-cs"/>
                                  </a:rPr>
                                  <m:t>𝐾</m:t>
                                </m:r>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57" name="CuadroTexto 56">
              <a:extLst>
                <a:ext uri="{FF2B5EF4-FFF2-40B4-BE49-F238E27FC236}">
                  <a16:creationId xmlns:a16="http://schemas.microsoft.com/office/drawing/2014/main" id="{00C2C624-B3AC-42F9-9653-8D26F08560F5}"/>
                </a:ext>
              </a:extLst>
            </xdr:cNvPr>
            <xdr:cNvSpPr txBox="1"/>
          </xdr:nvSpPr>
          <xdr:spPr>
            <a:xfrm>
              <a:off x="1224643" y="122842984"/>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𝑐=[2,7241∗1,016∗(0,0762 𝑚)^(−0,2) ]∗[1,11/(418,15 𝐾+303,15 𝑊/𝑚𝐾−510,44)]^0,181∗[1,8∗(418,15 𝐾</a:t>
              </a:r>
              <a:r>
                <a:rPr lang="es-ES" sz="1100" b="0" i="0">
                  <a:solidFill>
                    <a:schemeClr val="tx1"/>
                  </a:solidFill>
                  <a:effectLst/>
                  <a:latin typeface="Cambria Math" panose="02040503050406030204" pitchFamily="18" charset="0"/>
                  <a:ea typeface="+mn-ea"/>
                  <a:cs typeface="+mn-cs"/>
                </a:rPr>
                <a:t>−303,15 𝐾)]^</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1</xdr:col>
      <xdr:colOff>871903</xdr:colOff>
      <xdr:row>625</xdr:row>
      <xdr:rowOff>41833</xdr:rowOff>
    </xdr:from>
    <xdr:ext cx="877997" cy="316882"/>
    <mc:AlternateContent xmlns:mc="http://schemas.openxmlformats.org/markup-compatibility/2006" xmlns:a14="http://schemas.microsoft.com/office/drawing/2010/main">
      <mc:Choice Requires="a14">
        <xdr:sp macro="" textlink="">
          <xdr:nvSpPr>
            <xdr:cNvPr id="58" name="CuadroTexto 57">
              <a:extLst>
                <a:ext uri="{FF2B5EF4-FFF2-40B4-BE49-F238E27FC236}">
                  <a16:creationId xmlns:a16="http://schemas.microsoft.com/office/drawing/2014/main" id="{00000000-0008-0000-0B00-00003A000000}"/>
                </a:ext>
              </a:extLst>
            </xdr:cNvPr>
            <xdr:cNvSpPr txBox="1"/>
          </xdr:nvSpPr>
          <xdr:spPr>
            <a:xfrm>
              <a:off x="2096546" y="123435940"/>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=7,4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58" name="CuadroTexto 57">
              <a:extLst>
                <a:ext uri="{FF2B5EF4-FFF2-40B4-BE49-F238E27FC236}">
                  <a16:creationId xmlns:a16="http://schemas.microsoft.com/office/drawing/2014/main" id="{002D09C4-F23F-4F92-BA3C-2BCBD39389A3}"/>
                </a:ext>
              </a:extLst>
            </xdr:cNvPr>
            <xdr:cNvSpPr txBox="1"/>
          </xdr:nvSpPr>
          <xdr:spPr>
            <a:xfrm>
              <a:off x="2096546" y="123435940"/>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𝑐=7,4  𝑊/(𝑚^2 𝐾)</a:t>
              </a:r>
              <a:endParaRPr lang="es-CL" sz="1100"/>
            </a:p>
          </xdr:txBody>
        </xdr:sp>
      </mc:Fallback>
    </mc:AlternateContent>
    <xdr:clientData/>
  </xdr:oneCellAnchor>
  <xdr:oneCellAnchor>
    <xdr:from>
      <xdr:col>1</xdr:col>
      <xdr:colOff>15386</xdr:colOff>
      <xdr:row>633</xdr:row>
      <xdr:rowOff>0</xdr:rowOff>
    </xdr:from>
    <xdr:ext cx="2466701" cy="397096"/>
    <mc:AlternateContent xmlns:mc="http://schemas.openxmlformats.org/markup-compatibility/2006" xmlns:a14="http://schemas.microsoft.com/office/drawing/2010/main">
      <mc:Choice Requires="a14">
        <xdr:sp macro="" textlink="">
          <xdr:nvSpPr>
            <xdr:cNvPr id="59" name="CuadroTexto 58">
              <a:extLst>
                <a:ext uri="{FF2B5EF4-FFF2-40B4-BE49-F238E27FC236}">
                  <a16:creationId xmlns:a16="http://schemas.microsoft.com/office/drawing/2014/main" id="{00000000-0008-0000-0B00-00003B000000}"/>
                </a:ext>
              </a:extLst>
            </xdr:cNvPr>
            <xdr:cNvSpPr txBox="1"/>
          </xdr:nvSpPr>
          <xdr:spPr>
            <a:xfrm>
              <a:off x="1240029" y="124936250"/>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m:t>
                    </m:r>
                    <m:r>
                      <a:rPr lang="es-ES" sz="1100" b="0" i="1">
                        <a:latin typeface="Cambria Math" panose="02040503050406030204" pitchFamily="18" charset="0"/>
                      </a:rPr>
                      <m:t>𝐸𝑚𝑠𝑠</m:t>
                    </m:r>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up>
                                <m:r>
                                  <a:rPr lang="es-ES" sz="1100" b="0" i="1">
                                    <a:solidFill>
                                      <a:schemeClr val="tx1"/>
                                    </a:solidFill>
                                    <a:effectLst/>
                                    <a:latin typeface="Cambria Math" panose="02040503050406030204" pitchFamily="18" charset="0"/>
                                    <a:ea typeface="+mn-ea"/>
                                    <a:cs typeface="+mn-cs"/>
                                  </a:rPr>
                                  <m:t>4</m:t>
                                </m:r>
                              </m:sup>
                            </m:sSubSup>
                            <m:r>
                              <a:rPr lang="es-ES" sz="1100" b="0" i="1">
                                <a:solidFill>
                                  <a:schemeClr val="tx1"/>
                                </a:solidFill>
                                <a:effectLst/>
                                <a:latin typeface="Cambria Math" panose="02040503050406030204" pitchFamily="18" charset="0"/>
                                <a:ea typeface="+mn-ea"/>
                                <a:cs typeface="+mn-cs"/>
                              </a:rPr>
                              <m:t>−</m:t>
                            </m:r>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up>
                                <m:r>
                                  <a:rPr lang="es-ES" sz="1100" b="0" i="1">
                                    <a:solidFill>
                                      <a:schemeClr val="tx1"/>
                                    </a:solidFill>
                                    <a:effectLst/>
                                    <a:latin typeface="Cambria Math" panose="02040503050406030204" pitchFamily="18" charset="0"/>
                                    <a:ea typeface="+mn-ea"/>
                                    <a:cs typeface="+mn-cs"/>
                                  </a:rPr>
                                  <m:t>4</m:t>
                                </m:r>
                              </m:sup>
                            </m:sSubSup>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den>
                        </m:f>
                      </m:e>
                    </m:d>
                  </m:oMath>
                </m:oMathPara>
              </a14:m>
              <a:endParaRPr lang="es-CL" sz="1100"/>
            </a:p>
          </xdr:txBody>
        </xdr:sp>
      </mc:Choice>
      <mc:Fallback xmlns="">
        <xdr:sp macro="" textlink="">
          <xdr:nvSpPr>
            <xdr:cNvPr id="59" name="CuadroTexto 58">
              <a:extLst>
                <a:ext uri="{FF2B5EF4-FFF2-40B4-BE49-F238E27FC236}">
                  <a16:creationId xmlns:a16="http://schemas.microsoft.com/office/drawing/2014/main" id="{7324B4D0-E2A9-44F4-884F-D47EFEA775CD}"/>
                </a:ext>
              </a:extLst>
            </xdr:cNvPr>
            <xdr:cNvSpPr txBox="1"/>
          </xdr:nvSpPr>
          <xdr:spPr>
            <a:xfrm>
              <a:off x="1240029" y="124936250"/>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𝑟=0,9824∗10^(−8)∗𝐸𝑚𝑠𝑠∗[(</a:t>
              </a:r>
              <a:r>
                <a:rPr lang="es-ES" sz="1100" b="0" i="0">
                  <a:solidFill>
                    <a:schemeClr val="tx1"/>
                  </a:solidFill>
                  <a:effectLst/>
                  <a:latin typeface="Cambria Math" panose="02040503050406030204" pitchFamily="18" charset="0"/>
                  <a:ea typeface="+mn-ea"/>
                  <a:cs typeface="+mn-cs"/>
                </a:rPr>
                <a:t>𝑇_𝑎^4−𝑇_𝑠𝑢𝑝^4)/(</a:t>
              </a:r>
              <a:r>
                <a:rPr lang="es-ES" sz="1100" b="0" i="0">
                  <a:latin typeface="Cambria Math" panose="02040503050406030204" pitchFamily="18" charset="0"/>
                </a:rPr>
                <a:t>𝑇_𝑎−𝑇_𝑠𝑢𝑝 )]</a:t>
              </a:r>
              <a:endParaRPr lang="es-CL" sz="1100"/>
            </a:p>
          </xdr:txBody>
        </xdr:sp>
      </mc:Fallback>
    </mc:AlternateContent>
    <xdr:clientData/>
  </xdr:oneCellAnchor>
  <xdr:oneCellAnchor>
    <xdr:from>
      <xdr:col>1</xdr:col>
      <xdr:colOff>0</xdr:colOff>
      <xdr:row>635</xdr:row>
      <xdr:rowOff>142142</xdr:rowOff>
    </xdr:from>
    <xdr:ext cx="3243260" cy="386196"/>
    <mc:AlternateContent xmlns:mc="http://schemas.openxmlformats.org/markup-compatibility/2006" xmlns:a14="http://schemas.microsoft.com/office/drawing/2010/main">
      <mc:Choice Requires="a14">
        <xdr:sp macro="" textlink="">
          <xdr:nvSpPr>
            <xdr:cNvPr id="60" name="CuadroTexto 59">
              <a:extLst>
                <a:ext uri="{FF2B5EF4-FFF2-40B4-BE49-F238E27FC236}">
                  <a16:creationId xmlns:a16="http://schemas.microsoft.com/office/drawing/2014/main" id="{00000000-0008-0000-0B00-00003C000000}"/>
                </a:ext>
              </a:extLst>
            </xdr:cNvPr>
            <xdr:cNvSpPr txBox="1"/>
          </xdr:nvSpPr>
          <xdr:spPr>
            <a:xfrm>
              <a:off x="1224643" y="125463928"/>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∗0,79∗</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303,15 </m:t>
                                </m:r>
                                <m:r>
                                  <a:rPr lang="es-ES" sz="1100" b="0" i="1">
                                    <a:latin typeface="Cambria Math" panose="02040503050406030204" pitchFamily="18" charset="0"/>
                                  </a:rPr>
                                  <m:t>𝐾</m:t>
                                </m:r>
                              </m:e>
                              <m:sup>
                                <m:r>
                                  <a:rPr lang="es-ES" sz="1100" b="0" i="1">
                                    <a:latin typeface="Cambria Math" panose="02040503050406030204" pitchFamily="18" charset="0"/>
                                  </a:rPr>
                                  <m:t>4</m:t>
                                </m:r>
                              </m:sup>
                            </m:sSup>
                            <m:r>
                              <a:rPr lang="es-ES" sz="1100" b="0" i="1">
                                <a:solidFill>
                                  <a:schemeClr val="tx1"/>
                                </a:solidFill>
                                <a:effectLst/>
                                <a:latin typeface="Cambria Math" panose="02040503050406030204" pitchFamily="18" charset="0"/>
                                <a:ea typeface="+mn-ea"/>
                                <a:cs typeface="+mn-cs"/>
                              </a:rPr>
                              <m:t>−</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418,15 </m:t>
                                </m:r>
                                <m:r>
                                  <a:rPr lang="es-ES" sz="1100" b="0" i="1">
                                    <a:solidFill>
                                      <a:schemeClr val="tx1"/>
                                    </a:solidFill>
                                    <a:effectLst/>
                                    <a:latin typeface="Cambria Math" panose="02040503050406030204" pitchFamily="18" charset="0"/>
                                    <a:ea typeface="+mn-ea"/>
                                    <a:cs typeface="+mn-cs"/>
                                  </a:rPr>
                                  <m:t>𝐾</m:t>
                                </m:r>
                              </m:e>
                              <m:sup>
                                <m:r>
                                  <a:rPr lang="es-ES" sz="1100" b="0" i="1">
                                    <a:solidFill>
                                      <a:schemeClr val="tx1"/>
                                    </a:solidFill>
                                    <a:effectLst/>
                                    <a:latin typeface="Cambria Math" panose="02040503050406030204" pitchFamily="18" charset="0"/>
                                    <a:ea typeface="+mn-ea"/>
                                    <a:cs typeface="+mn-cs"/>
                                  </a:rPr>
                                  <m:t>4</m:t>
                                </m:r>
                              </m:sup>
                            </m:sSup>
                          </m:num>
                          <m:den>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−418,15 </m:t>
                            </m:r>
                            <m:r>
                              <a:rPr lang="es-ES" sz="1100" b="0" i="1">
                                <a:latin typeface="Cambria Math" panose="02040503050406030204" pitchFamily="18" charset="0"/>
                              </a:rPr>
                              <m:t>𝐾</m:t>
                            </m:r>
                          </m:den>
                        </m:f>
                      </m:e>
                    </m:d>
                  </m:oMath>
                </m:oMathPara>
              </a14:m>
              <a:endParaRPr lang="es-CL" sz="1100"/>
            </a:p>
          </xdr:txBody>
        </xdr:sp>
      </mc:Choice>
      <mc:Fallback xmlns="">
        <xdr:sp macro="" textlink="">
          <xdr:nvSpPr>
            <xdr:cNvPr id="60" name="CuadroTexto 59">
              <a:extLst>
                <a:ext uri="{FF2B5EF4-FFF2-40B4-BE49-F238E27FC236}">
                  <a16:creationId xmlns:a16="http://schemas.microsoft.com/office/drawing/2014/main" id="{5E12A619-3AB6-4BE6-A2FA-988A8A235DE2}"/>
                </a:ext>
              </a:extLst>
            </xdr:cNvPr>
            <xdr:cNvSpPr txBox="1"/>
          </xdr:nvSpPr>
          <xdr:spPr>
            <a:xfrm>
              <a:off x="1224643" y="125463928"/>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𝑟=0,9824∗10^(−8)∗0,79∗[(〖303,15 𝐾〗^4</a:t>
              </a:r>
              <a:r>
                <a:rPr lang="es-ES" sz="1100" b="0" i="0">
                  <a:solidFill>
                    <a:schemeClr val="tx1"/>
                  </a:solidFill>
                  <a:effectLst/>
                  <a:latin typeface="Cambria Math" panose="02040503050406030204" pitchFamily="18" charset="0"/>
                  <a:ea typeface="+mn-ea"/>
                  <a:cs typeface="+mn-cs"/>
                </a:rPr>
                <a:t>−〖418,15 𝐾〗^4)/(</a:t>
              </a:r>
              <a:r>
                <a:rPr lang="es-ES" sz="1100" b="0" i="0">
                  <a:latin typeface="Cambria Math" panose="02040503050406030204" pitchFamily="18" charset="0"/>
                </a:rPr>
                <a:t>303,15 𝐾−418,15 𝐾)]</a:t>
              </a:r>
              <a:endParaRPr lang="es-CL" sz="1100"/>
            </a:p>
          </xdr:txBody>
        </xdr:sp>
      </mc:Fallback>
    </mc:AlternateContent>
    <xdr:clientData/>
  </xdr:oneCellAnchor>
  <xdr:oneCellAnchor>
    <xdr:from>
      <xdr:col>1</xdr:col>
      <xdr:colOff>681403</xdr:colOff>
      <xdr:row>638</xdr:row>
      <xdr:rowOff>120162</xdr:rowOff>
    </xdr:from>
    <xdr:ext cx="880497" cy="316882"/>
    <mc:AlternateContent xmlns:mc="http://schemas.openxmlformats.org/markup-compatibility/2006" xmlns:a14="http://schemas.microsoft.com/office/drawing/2010/main">
      <mc:Choice Requires="a14">
        <xdr:sp macro="" textlink="">
          <xdr:nvSpPr>
            <xdr:cNvPr id="61" name="CuadroTexto 60">
              <a:extLst>
                <a:ext uri="{FF2B5EF4-FFF2-40B4-BE49-F238E27FC236}">
                  <a16:creationId xmlns:a16="http://schemas.microsoft.com/office/drawing/2014/main" id="{00000000-0008-0000-0B00-00003D000000}"/>
                </a:ext>
              </a:extLst>
            </xdr:cNvPr>
            <xdr:cNvSpPr txBox="1"/>
          </xdr:nvSpPr>
          <xdr:spPr>
            <a:xfrm>
              <a:off x="1906046" y="126020251"/>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r>
                      <a:rPr lang="es-ES" sz="1100" b="0" i="1">
                        <a:latin typeface="Cambria Math" panose="02040503050406030204" pitchFamily="18" charset="0"/>
                      </a:rPr>
                      <m:t>=1,5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61" name="CuadroTexto 60">
              <a:extLst>
                <a:ext uri="{FF2B5EF4-FFF2-40B4-BE49-F238E27FC236}">
                  <a16:creationId xmlns:a16="http://schemas.microsoft.com/office/drawing/2014/main" id="{0245E055-6CE1-4C07-8638-6402445217AD}"/>
                </a:ext>
              </a:extLst>
            </xdr:cNvPr>
            <xdr:cNvSpPr txBox="1"/>
          </xdr:nvSpPr>
          <xdr:spPr>
            <a:xfrm>
              <a:off x="1906046" y="126020251"/>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𝑟=1,5  𝑊/(𝑚^2 𝐾)</a:t>
              </a:r>
              <a:endParaRPr lang="es-CL" sz="1100"/>
            </a:p>
          </xdr:txBody>
        </xdr:sp>
      </mc:Fallback>
    </mc:AlternateContent>
    <xdr:clientData/>
  </xdr:oneCellAnchor>
  <xdr:oneCellAnchor>
    <xdr:from>
      <xdr:col>1</xdr:col>
      <xdr:colOff>306894</xdr:colOff>
      <xdr:row>647</xdr:row>
      <xdr:rowOff>0</xdr:rowOff>
    </xdr:from>
    <xdr:ext cx="795411" cy="173766"/>
    <mc:AlternateContent xmlns:mc="http://schemas.openxmlformats.org/markup-compatibility/2006" xmlns:a14="http://schemas.microsoft.com/office/drawing/2010/main">
      <mc:Choice Requires="a14">
        <xdr:sp macro="" textlink="">
          <xdr:nvSpPr>
            <xdr:cNvPr id="62" name="CuadroTexto 61">
              <a:extLst>
                <a:ext uri="{FF2B5EF4-FFF2-40B4-BE49-F238E27FC236}">
                  <a16:creationId xmlns:a16="http://schemas.microsoft.com/office/drawing/2014/main" id="{00000000-0008-0000-0B00-00003E000000}"/>
                </a:ext>
              </a:extLst>
            </xdr:cNvPr>
            <xdr:cNvSpPr txBox="1"/>
          </xdr:nvSpPr>
          <xdr:spPr>
            <a:xfrm>
              <a:off x="1531537" y="1276350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oMath>
                </m:oMathPara>
              </a14:m>
              <a:endParaRPr lang="es-CL" sz="1100"/>
            </a:p>
          </xdr:txBody>
        </xdr:sp>
      </mc:Choice>
      <mc:Fallback xmlns="">
        <xdr:sp macro="" textlink="">
          <xdr:nvSpPr>
            <xdr:cNvPr id="62" name="CuadroTexto 61">
              <a:extLst>
                <a:ext uri="{FF2B5EF4-FFF2-40B4-BE49-F238E27FC236}">
                  <a16:creationId xmlns:a16="http://schemas.microsoft.com/office/drawing/2014/main" id="{EF2231DD-16B6-4AD1-81D9-A95E34C0E517}"/>
                </a:ext>
              </a:extLst>
            </xdr:cNvPr>
            <xdr:cNvSpPr txBox="1"/>
          </xdr:nvSpPr>
          <xdr:spPr>
            <a:xfrm>
              <a:off x="1531537" y="1276350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𝑠=ℎ_𝑐+ℎ_𝑟</a:t>
              </a:r>
              <a:endParaRPr lang="es-CL" sz="1100"/>
            </a:p>
          </xdr:txBody>
        </xdr:sp>
      </mc:Fallback>
    </mc:AlternateContent>
    <xdr:clientData/>
  </xdr:oneCellAnchor>
  <xdr:oneCellAnchor>
    <xdr:from>
      <xdr:col>1</xdr:col>
      <xdr:colOff>306161</xdr:colOff>
      <xdr:row>648</xdr:row>
      <xdr:rowOff>142143</xdr:rowOff>
    </xdr:from>
    <xdr:ext cx="2185406" cy="316882"/>
    <mc:AlternateContent xmlns:mc="http://schemas.openxmlformats.org/markup-compatibility/2006" xmlns:a14="http://schemas.microsoft.com/office/drawing/2010/main">
      <mc:Choice Requires="a14">
        <xdr:sp macro="" textlink="">
          <xdr:nvSpPr>
            <xdr:cNvPr id="63" name="CuadroTexto 62">
              <a:extLst>
                <a:ext uri="{FF2B5EF4-FFF2-40B4-BE49-F238E27FC236}">
                  <a16:creationId xmlns:a16="http://schemas.microsoft.com/office/drawing/2014/main" id="{00000000-0008-0000-0B00-00003F000000}"/>
                </a:ext>
              </a:extLst>
            </xdr:cNvPr>
            <xdr:cNvSpPr txBox="1"/>
          </xdr:nvSpPr>
          <xdr:spPr>
            <a:xfrm>
              <a:off x="1530804" y="1279699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𝑠</m:t>
                        </m:r>
                      </m:sub>
                    </m:sSub>
                    <m:r>
                      <a:rPr lang="es-ES" sz="1100" b="0" i="1">
                        <a:latin typeface="Cambria Math" panose="02040503050406030204" pitchFamily="18" charset="0"/>
                      </a:rPr>
                      <m:t>=7,4</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solidFill>
                          <a:schemeClr val="tx1"/>
                        </a:solidFill>
                        <a:effectLst/>
                        <a:latin typeface="Cambria Math" panose="02040503050406030204" pitchFamily="18" charset="0"/>
                        <a:ea typeface="+mn-ea"/>
                        <a:cs typeface="+mn-cs"/>
                      </a:rPr>
                      <m:t>+1,5</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=8,9</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63" name="CuadroTexto 62">
              <a:extLst>
                <a:ext uri="{FF2B5EF4-FFF2-40B4-BE49-F238E27FC236}">
                  <a16:creationId xmlns:a16="http://schemas.microsoft.com/office/drawing/2014/main" id="{D6C24924-C373-458C-95DF-91A6D87C76E6}"/>
                </a:ext>
              </a:extLst>
            </xdr:cNvPr>
            <xdr:cNvSpPr txBox="1"/>
          </xdr:nvSpPr>
          <xdr:spPr>
            <a:xfrm>
              <a:off x="1530804" y="1279699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𝑠=7,4</a:t>
              </a:r>
              <a:r>
                <a:rPr lang="es-ES" sz="1100" b="0" i="0">
                  <a:solidFill>
                    <a:schemeClr val="tx1"/>
                  </a:solidFill>
                  <a:effectLst/>
                  <a:latin typeface="Cambria Math" panose="02040503050406030204" pitchFamily="18" charset="0"/>
                  <a:ea typeface="+mn-ea"/>
                  <a:cs typeface="+mn-cs"/>
                </a:rPr>
                <a:t> 𝑊/(𝑚^2 𝐾)+1,5 𝑊/(𝑚^2 𝐾)</a:t>
              </a:r>
              <a:r>
                <a:rPr lang="es-ES" sz="1100" b="0" i="0">
                  <a:latin typeface="Cambria Math" panose="02040503050406030204" pitchFamily="18" charset="0"/>
                </a:rPr>
                <a:t>=8,9 𝑊/(𝑚^2 𝐾)</a:t>
              </a:r>
              <a:endParaRPr lang="es-CL" sz="1100"/>
            </a:p>
          </xdr:txBody>
        </xdr:sp>
      </mc:Fallback>
    </mc:AlternateContent>
    <xdr:clientData/>
  </xdr:oneCellAnchor>
  <xdr:oneCellAnchor>
    <xdr:from>
      <xdr:col>1</xdr:col>
      <xdr:colOff>0</xdr:colOff>
      <xdr:row>657</xdr:row>
      <xdr:rowOff>0</xdr:rowOff>
    </xdr:from>
    <xdr:ext cx="2609881" cy="504369"/>
    <mc:AlternateContent xmlns:mc="http://schemas.openxmlformats.org/markup-compatibility/2006" xmlns:a14="http://schemas.microsoft.com/office/drawing/2010/main">
      <mc:Choice Requires="a14">
        <xdr:sp macro="" textlink="">
          <xdr:nvSpPr>
            <xdr:cNvPr id="64" name="CuadroTexto 63">
              <a:extLst>
                <a:ext uri="{FF2B5EF4-FFF2-40B4-BE49-F238E27FC236}">
                  <a16:creationId xmlns:a16="http://schemas.microsoft.com/office/drawing/2014/main" id="{00000000-0008-0000-0B00-000040000000}"/>
                </a:ext>
              </a:extLst>
            </xdr:cNvPr>
            <xdr:cNvSpPr txBox="1"/>
          </xdr:nvSpPr>
          <xdr:spPr>
            <a:xfrm>
              <a:off x="1224643" y="129562679"/>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𝑜𝑝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𝑘</m:t>
                                        </m:r>
                                      </m:e>
                                      <m:sub>
                                        <m:r>
                                          <a:rPr lang="es-ES" sz="1100" b="0" i="1">
                                            <a:latin typeface="Cambria Math" panose="02040503050406030204" pitchFamily="18" charset="0"/>
                                          </a:rPr>
                                          <m:t>𝑎𝑖𝑠</m:t>
                                        </m:r>
                                      </m:sub>
                                    </m:sSub>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d>
                      </m:den>
                    </m:f>
                  </m:oMath>
                </m:oMathPara>
              </a14:m>
              <a:endParaRPr lang="es-CL" sz="1100"/>
            </a:p>
          </xdr:txBody>
        </xdr:sp>
      </mc:Choice>
      <mc:Fallback xmlns="">
        <xdr:sp macro="" textlink="">
          <xdr:nvSpPr>
            <xdr:cNvPr id="64" name="CuadroTexto 63">
              <a:extLst>
                <a:ext uri="{FF2B5EF4-FFF2-40B4-BE49-F238E27FC236}">
                  <a16:creationId xmlns:a16="http://schemas.microsoft.com/office/drawing/2014/main" id="{7E606207-353A-4654-920B-B12BE8B6379A}"/>
                </a:ext>
              </a:extLst>
            </xdr:cNvPr>
            <xdr:cNvSpPr txBox="1"/>
          </xdr:nvSpPr>
          <xdr:spPr>
            <a:xfrm>
              <a:off x="1224643" y="129562679"/>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𝑞=(3,1416∗(𝑇_𝑜𝑝−𝑇_𝑎))/((1/((2∗𝑘_𝑎𝑖𝑠 ) ))∗(𝑙𝑛 𝑑_𝑎/𝑑_𝑜 )+(1∗(ℎ_𝑠∗𝑑_𝑎 )) )</a:t>
              </a:r>
              <a:endParaRPr lang="es-CL" sz="1100"/>
            </a:p>
          </xdr:txBody>
        </xdr:sp>
      </mc:Fallback>
    </mc:AlternateContent>
    <xdr:clientData/>
  </xdr:oneCellAnchor>
  <xdr:oneCellAnchor>
    <xdr:from>
      <xdr:col>1</xdr:col>
      <xdr:colOff>94518</xdr:colOff>
      <xdr:row>661</xdr:row>
      <xdr:rowOff>32238</xdr:rowOff>
    </xdr:from>
    <xdr:ext cx="3879844" cy="678455"/>
    <mc:AlternateContent xmlns:mc="http://schemas.openxmlformats.org/markup-compatibility/2006" xmlns:a14="http://schemas.microsoft.com/office/drawing/2010/main">
      <mc:Choice Requires="a14">
        <xdr:sp macro="" textlink="">
          <xdr:nvSpPr>
            <xdr:cNvPr id="65" name="CuadroTexto 64">
              <a:extLst>
                <a:ext uri="{FF2B5EF4-FFF2-40B4-BE49-F238E27FC236}">
                  <a16:creationId xmlns:a16="http://schemas.microsoft.com/office/drawing/2014/main" id="{00000000-0008-0000-0B00-000041000000}"/>
                </a:ext>
              </a:extLst>
            </xdr:cNvPr>
            <xdr:cNvSpPr txBox="1"/>
          </xdr:nvSpPr>
          <xdr:spPr>
            <a:xfrm>
              <a:off x="1319161" y="130365988"/>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2∗50,2</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r>
                                          <a:rPr lang="es-ES" sz="1100" b="0" i="1">
                                            <a:latin typeface="Cambria Math" panose="02040503050406030204" pitchFamily="18" charset="0"/>
                                          </a:rPr>
                                          <m:t>𝑚𝐾</m:t>
                                        </m:r>
                                      </m:den>
                                    </m:f>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r>
                                  <a:rPr lang="es-ES" sz="1100" b="0" i="1">
                                    <a:latin typeface="Cambria Math" panose="02040503050406030204" pitchFamily="18" charset="0"/>
                                  </a:rPr>
                                  <m:t>0,0762</m:t>
                                </m:r>
                              </m:num>
                              <m:den>
                                <m:r>
                                  <a:rPr lang="es-ES" sz="1100" b="0" i="1">
                                    <a:latin typeface="Cambria Math" panose="02040503050406030204" pitchFamily="18" charset="0"/>
                                  </a:rPr>
                                  <m:t>0,0762</m:t>
                                </m:r>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r>
                              <a:rPr lang="es-ES" sz="1100" b="0" i="1">
                                <a:solidFill>
                                  <a:srgbClr val="FF0000"/>
                                </a:solidFill>
                                <a:latin typeface="Cambria Math" panose="02040503050406030204" pitchFamily="18" charset="0"/>
                              </a:rPr>
                              <m:t>+</m:t>
                            </m:r>
                            <m:d>
                              <m:dPr>
                                <m:ctrlPr>
                                  <a:rPr lang="es-ES" sz="1100" b="0" i="1">
                                    <a:latin typeface="Cambria Math" panose="02040503050406030204" pitchFamily="18" charset="0"/>
                                  </a:rPr>
                                </m:ctrlPr>
                              </m:dPr>
                              <m:e>
                                <m:r>
                                  <a:rPr lang="es-ES" sz="1100" b="0" i="1">
                                    <a:solidFill>
                                      <a:schemeClr val="tx1"/>
                                    </a:solidFill>
                                    <a:effectLst/>
                                    <a:latin typeface="Cambria Math" panose="02040503050406030204" pitchFamily="18" charset="0"/>
                                    <a:ea typeface="+mn-ea"/>
                                    <a:cs typeface="+mn-cs"/>
                                  </a:rPr>
                                  <m:t>8,9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∗0,0762</m:t>
                                </m:r>
                              </m:e>
                            </m:d>
                          </m:e>
                        </m:d>
                      </m:den>
                    </m:f>
                  </m:oMath>
                </m:oMathPara>
              </a14:m>
              <a:endParaRPr lang="es-CL" sz="1100"/>
            </a:p>
          </xdr:txBody>
        </xdr:sp>
      </mc:Choice>
      <mc:Fallback xmlns="">
        <xdr:sp macro="" textlink="">
          <xdr:nvSpPr>
            <xdr:cNvPr id="65" name="CuadroTexto 64">
              <a:extLst>
                <a:ext uri="{FF2B5EF4-FFF2-40B4-BE49-F238E27FC236}">
                  <a16:creationId xmlns:a16="http://schemas.microsoft.com/office/drawing/2014/main" id="{56494AB1-4469-479F-89E1-435E91BA383F}"/>
                </a:ext>
              </a:extLst>
            </xdr:cNvPr>
            <xdr:cNvSpPr txBox="1"/>
          </xdr:nvSpPr>
          <xdr:spPr>
            <a:xfrm>
              <a:off x="1319161" y="130365988"/>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𝑞=(3,1416∗(418,15 𝐾−303,15 𝐾))/((1/((2∗50,2 𝑊/𝑚𝐾) ))∗(𝑙𝑛 0,0762/0,0762)+(1</a:t>
              </a:r>
              <a:r>
                <a:rPr lang="es-ES" sz="1100" b="0" i="0">
                  <a:solidFill>
                    <a:srgbClr val="FF0000"/>
                  </a:solidFill>
                  <a:latin typeface="Cambria Math" panose="02040503050406030204" pitchFamily="18" charset="0"/>
                </a:rPr>
                <a:t>+(</a:t>
              </a:r>
              <a:r>
                <a:rPr lang="es-ES" sz="1100" b="0" i="0">
                  <a:solidFill>
                    <a:schemeClr val="tx1"/>
                  </a:solidFill>
                  <a:effectLst/>
                  <a:latin typeface="Cambria Math" panose="02040503050406030204" pitchFamily="18" charset="0"/>
                  <a:ea typeface="+mn-ea"/>
                  <a:cs typeface="+mn-cs"/>
                </a:rPr>
                <a:t>8,9 𝑊/(𝑚^2 𝐾)</a:t>
              </a:r>
              <a:r>
                <a:rPr lang="es-ES" sz="1100" b="0" i="0">
                  <a:latin typeface="Cambria Math" panose="02040503050406030204" pitchFamily="18" charset="0"/>
                </a:rPr>
                <a:t>∗0,0762)) )</a:t>
              </a:r>
              <a:endParaRPr lang="es-CL" sz="1100"/>
            </a:p>
          </xdr:txBody>
        </xdr:sp>
      </mc:Fallback>
    </mc:AlternateContent>
    <xdr:clientData/>
  </xdr:oneCellAnchor>
  <xdr:oneCellAnchor>
    <xdr:from>
      <xdr:col>1</xdr:col>
      <xdr:colOff>608135</xdr:colOff>
      <xdr:row>666</xdr:row>
      <xdr:rowOff>14654</xdr:rowOff>
    </xdr:from>
    <xdr:ext cx="841064" cy="316946"/>
    <mc:AlternateContent xmlns:mc="http://schemas.openxmlformats.org/markup-compatibility/2006" xmlns:a14="http://schemas.microsoft.com/office/drawing/2010/main">
      <mc:Choice Requires="a14">
        <xdr:sp macro="" textlink="">
          <xdr:nvSpPr>
            <xdr:cNvPr id="66" name="CuadroTexto 65">
              <a:extLst>
                <a:ext uri="{FF2B5EF4-FFF2-40B4-BE49-F238E27FC236}">
                  <a16:creationId xmlns:a16="http://schemas.microsoft.com/office/drawing/2014/main" id="{00000000-0008-0000-0B00-000042000000}"/>
                </a:ext>
              </a:extLst>
            </xdr:cNvPr>
            <xdr:cNvSpPr txBox="1"/>
          </xdr:nvSpPr>
          <xdr:spPr>
            <a:xfrm>
              <a:off x="1832778" y="131312243"/>
              <a:ext cx="841064"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=247,7</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oMath>
                </m:oMathPara>
              </a14:m>
              <a:endParaRPr lang="es-CL" sz="1100"/>
            </a:p>
          </xdr:txBody>
        </xdr:sp>
      </mc:Choice>
      <mc:Fallback xmlns="">
        <xdr:sp macro="" textlink="">
          <xdr:nvSpPr>
            <xdr:cNvPr id="66" name="CuadroTexto 65">
              <a:extLst>
                <a:ext uri="{FF2B5EF4-FFF2-40B4-BE49-F238E27FC236}">
                  <a16:creationId xmlns:a16="http://schemas.microsoft.com/office/drawing/2014/main" id="{9E0C7506-4079-489F-BB6B-1FEB0F908488}"/>
                </a:ext>
              </a:extLst>
            </xdr:cNvPr>
            <xdr:cNvSpPr txBox="1"/>
          </xdr:nvSpPr>
          <xdr:spPr>
            <a:xfrm>
              <a:off x="1832778" y="131312243"/>
              <a:ext cx="841064"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𝑞=247,7 𝐽/𝑠𝑚</a:t>
              </a:r>
              <a:endParaRPr lang="es-CL" sz="1100"/>
            </a:p>
          </xdr:txBody>
        </xdr:sp>
      </mc:Fallback>
    </mc:AlternateContent>
    <xdr:clientData/>
  </xdr:oneCellAnchor>
  <xdr:oneCellAnchor>
    <xdr:from>
      <xdr:col>1</xdr:col>
      <xdr:colOff>181429</xdr:colOff>
      <xdr:row>674</xdr:row>
      <xdr:rowOff>0</xdr:rowOff>
    </xdr:from>
    <xdr:ext cx="3159519" cy="455317"/>
    <mc:AlternateContent xmlns:mc="http://schemas.openxmlformats.org/markup-compatibility/2006" xmlns:a14="http://schemas.microsoft.com/office/drawing/2010/main">
      <mc:Choice Requires="a14">
        <xdr:sp macro="" textlink="">
          <xdr:nvSpPr>
            <xdr:cNvPr id="67" name="CuadroTexto 66">
              <a:extLst>
                <a:ext uri="{FF2B5EF4-FFF2-40B4-BE49-F238E27FC236}">
                  <a16:creationId xmlns:a16="http://schemas.microsoft.com/office/drawing/2014/main" id="{00000000-0008-0000-0B00-000043000000}"/>
                </a:ext>
              </a:extLst>
            </xdr:cNvPr>
            <xdr:cNvSpPr txBox="1"/>
          </xdr:nvSpPr>
          <xdr:spPr>
            <a:xfrm>
              <a:off x="1406072" y="132839732"/>
              <a:ext cx="3159519"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=247,7</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r>
                      <a:rPr lang="es-ES" sz="1100" b="0" i="1">
                        <a:latin typeface="Cambria Math" panose="02040503050406030204" pitchFamily="18" charset="0"/>
                      </a:rPr>
                      <m:t>∗0,2388</m:t>
                    </m:r>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1</m:t>
                        </m:r>
                        <m:r>
                          <a:rPr lang="es-ES" sz="1100" b="0" i="1">
                            <a:latin typeface="Cambria Math" panose="02040503050406030204" pitchFamily="18" charset="0"/>
                          </a:rPr>
                          <m:t>𝐽</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f>
                          <m:fPr>
                            <m:ctrlPr>
                              <a:rPr lang="es-ES" sz="1100" b="0" i="1">
                                <a:latin typeface="Cambria Math" panose="02040503050406030204" pitchFamily="18" charset="0"/>
                              </a:rPr>
                            </m:ctrlPr>
                          </m:fPr>
                          <m:num>
                            <m:r>
                              <a:rPr lang="es-ES" sz="1100" b="0" i="1">
                                <a:latin typeface="Cambria Math" panose="02040503050406030204" pitchFamily="18" charset="0"/>
                              </a:rPr>
                              <m:t>3600 </m:t>
                            </m:r>
                            <m:r>
                              <a:rPr lang="es-ES" sz="1100" b="0" i="1">
                                <a:latin typeface="Cambria Math" panose="02040503050406030204" pitchFamily="18" charset="0"/>
                              </a:rPr>
                              <m:t>𝑠</m:t>
                            </m:r>
                          </m:num>
                          <m:den>
                            <m:r>
                              <a:rPr lang="es-ES" sz="1100" b="0" i="1">
                                <a:latin typeface="Cambria Math" panose="02040503050406030204" pitchFamily="18" charset="0"/>
                              </a:rPr>
                              <m:t>1 </m:t>
                            </m:r>
                            <m:r>
                              <a:rPr lang="es-ES" sz="1100" b="0" i="1">
                                <a:latin typeface="Cambria Math" panose="02040503050406030204" pitchFamily="18" charset="0"/>
                              </a:rPr>
                              <m:t>h𝑜𝑟𝑎</m:t>
                            </m:r>
                          </m:den>
                        </m:f>
                      </m:num>
                      <m:den>
                        <m:r>
                          <a:rPr lang="es-ES" sz="1100" b="0" i="1">
                            <a:latin typeface="Cambria Math" panose="02040503050406030204" pitchFamily="18" charset="0"/>
                          </a:rPr>
                          <m:t>1000</m:t>
                        </m:r>
                      </m:den>
                    </m:f>
                    <m:r>
                      <a:rPr lang="es-ES" sz="1100" b="0" i="1">
                        <a:latin typeface="Cambria Math" panose="02040503050406030204" pitchFamily="18" charset="0"/>
                      </a:rPr>
                      <m:t>=212,96</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𝑚h</m:t>
                        </m:r>
                      </m:den>
                    </m:f>
                  </m:oMath>
                </m:oMathPara>
              </a14:m>
              <a:endParaRPr lang="es-CL" sz="1100"/>
            </a:p>
          </xdr:txBody>
        </xdr:sp>
      </mc:Choice>
      <mc:Fallback xmlns="">
        <xdr:sp macro="" textlink="">
          <xdr:nvSpPr>
            <xdr:cNvPr id="67" name="CuadroTexto 66">
              <a:extLst>
                <a:ext uri="{FF2B5EF4-FFF2-40B4-BE49-F238E27FC236}">
                  <a16:creationId xmlns:a16="http://schemas.microsoft.com/office/drawing/2014/main" id="{ED774194-68AE-4B26-BDB0-FC62BC40795C}"/>
                </a:ext>
              </a:extLst>
            </xdr:cNvPr>
            <xdr:cNvSpPr txBox="1"/>
          </xdr:nvSpPr>
          <xdr:spPr>
            <a:xfrm>
              <a:off x="1406072" y="132839732"/>
              <a:ext cx="3159519"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𝑞=247,7 𝐽/𝑠𝑚∗0,2388 𝑘𝑐𝑎𝑙/1𝐽∗((3600 𝑠)/(1 ℎ𝑜𝑟𝑎))/1000=212,96 𝐾𝑐𝑎𝑙/𝑚ℎ</a:t>
              </a:r>
              <a:endParaRPr lang="es-CL" sz="1100"/>
            </a:p>
          </xdr:txBody>
        </xdr:sp>
      </mc:Fallback>
    </mc:AlternateContent>
    <xdr:clientData/>
  </xdr:oneCellAnchor>
  <xdr:oneCellAnchor>
    <xdr:from>
      <xdr:col>1</xdr:col>
      <xdr:colOff>238125</xdr:colOff>
      <xdr:row>681</xdr:row>
      <xdr:rowOff>170090</xdr:rowOff>
    </xdr:from>
    <xdr:ext cx="2721964" cy="321370"/>
    <mc:AlternateContent xmlns:mc="http://schemas.openxmlformats.org/markup-compatibility/2006" xmlns:a14="http://schemas.microsoft.com/office/drawing/2010/main">
      <mc:Choice Requires="a14">
        <xdr:sp macro="" textlink="">
          <xdr:nvSpPr>
            <xdr:cNvPr id="68" name="CuadroTexto 67">
              <a:extLst>
                <a:ext uri="{FF2B5EF4-FFF2-40B4-BE49-F238E27FC236}">
                  <a16:creationId xmlns:a16="http://schemas.microsoft.com/office/drawing/2014/main" id="{00000000-0008-0000-0B00-000044000000}"/>
                </a:ext>
              </a:extLst>
            </xdr:cNvPr>
            <xdr:cNvSpPr txBox="1"/>
          </xdr:nvSpPr>
          <xdr:spPr>
            <a:xfrm>
              <a:off x="1462768" y="134359197"/>
              <a:ext cx="2721964"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=212,96</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𝑚h</m:t>
                        </m:r>
                      </m:den>
                    </m:f>
                    <m:r>
                      <a:rPr lang="es-ES" sz="1100" b="0" i="1">
                        <a:latin typeface="Cambria Math" panose="02040503050406030204" pitchFamily="18" charset="0"/>
                      </a:rPr>
                      <m:t>∗12,27 </m:t>
                    </m:r>
                    <m:r>
                      <a:rPr lang="es-ES" sz="1100" b="0" i="1">
                        <a:latin typeface="Cambria Math" panose="02040503050406030204" pitchFamily="18" charset="0"/>
                      </a:rPr>
                      <m:t>𝑚</m:t>
                    </m:r>
                    <m:r>
                      <a:rPr lang="es-ES" sz="1100" b="0" i="1">
                        <a:latin typeface="Cambria Math" panose="02040503050406030204" pitchFamily="18" charset="0"/>
                      </a:rPr>
                      <m:t>=2613,04</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h</m:t>
                        </m:r>
                      </m:den>
                    </m:f>
                    <m:r>
                      <a:rPr lang="es-ES" sz="1100" b="0" i="1">
                        <a:latin typeface="Cambria Math" panose="02040503050406030204" pitchFamily="18" charset="0"/>
                      </a:rPr>
                      <m:t> </m:t>
                    </m:r>
                  </m:oMath>
                </m:oMathPara>
              </a14:m>
              <a:endParaRPr lang="es-CL" sz="1100"/>
            </a:p>
          </xdr:txBody>
        </xdr:sp>
      </mc:Choice>
      <mc:Fallback xmlns="">
        <xdr:sp macro="" textlink="">
          <xdr:nvSpPr>
            <xdr:cNvPr id="68" name="CuadroTexto 67">
              <a:extLst>
                <a:ext uri="{FF2B5EF4-FFF2-40B4-BE49-F238E27FC236}">
                  <a16:creationId xmlns:a16="http://schemas.microsoft.com/office/drawing/2014/main" id="{A5C74371-9349-4563-8584-A29951599291}"/>
                </a:ext>
              </a:extLst>
            </xdr:cNvPr>
            <xdr:cNvSpPr txBox="1"/>
          </xdr:nvSpPr>
          <xdr:spPr>
            <a:xfrm>
              <a:off x="1462768" y="134359197"/>
              <a:ext cx="2721964"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a:t>
              </a:r>
              <a:r>
                <a:rPr lang="es-CL" sz="1100" b="0" i="0">
                  <a:latin typeface="Cambria Math" panose="02040503050406030204" pitchFamily="18" charset="0"/>
                </a:rPr>
                <a:t>_</a:t>
              </a:r>
              <a:r>
                <a:rPr lang="es-ES" sz="1100" b="0" i="0">
                  <a:latin typeface="Cambria Math" panose="02040503050406030204" pitchFamily="18" charset="0"/>
                </a:rPr>
                <a:t>𝑡=212,96 𝐾𝑐𝑎𝑙/𝑚ℎ∗12,27 𝑚=2613,04</a:t>
              </a:r>
              <a:r>
                <a:rPr lang="es-ES" sz="1100" b="0" i="0">
                  <a:solidFill>
                    <a:schemeClr val="tx1"/>
                  </a:solidFill>
                  <a:effectLst/>
                  <a:latin typeface="Cambria Math" panose="02040503050406030204" pitchFamily="18" charset="0"/>
                  <a:ea typeface="+mn-ea"/>
                  <a:cs typeface="+mn-cs"/>
                </a:rPr>
                <a:t> 𝐾𝑐𝑎𝑙/ℎ </a:t>
              </a:r>
              <a:r>
                <a:rPr lang="es-ES" sz="1100" b="0" i="0">
                  <a:latin typeface="Cambria Math" panose="02040503050406030204" pitchFamily="18" charset="0"/>
                </a:rPr>
                <a:t> </a:t>
              </a:r>
              <a:endParaRPr lang="es-CL" sz="1100"/>
            </a:p>
          </xdr:txBody>
        </xdr:sp>
      </mc:Fallback>
    </mc:AlternateContent>
    <xdr:clientData/>
  </xdr:oneCellAnchor>
  <xdr:oneCellAnchor>
    <xdr:from>
      <xdr:col>1</xdr:col>
      <xdr:colOff>215446</xdr:colOff>
      <xdr:row>689</xdr:row>
      <xdr:rowOff>181424</xdr:rowOff>
    </xdr:from>
    <xdr:ext cx="3309817" cy="173766"/>
    <mc:AlternateContent xmlns:mc="http://schemas.openxmlformats.org/markup-compatibility/2006" xmlns:a14="http://schemas.microsoft.com/office/drawing/2010/main">
      <mc:Choice Requires="a14">
        <xdr:sp macro="" textlink="">
          <xdr:nvSpPr>
            <xdr:cNvPr id="69" name="CuadroTexto 68">
              <a:extLst>
                <a:ext uri="{FF2B5EF4-FFF2-40B4-BE49-F238E27FC236}">
                  <a16:creationId xmlns:a16="http://schemas.microsoft.com/office/drawing/2014/main" id="{00000000-0008-0000-0B00-000045000000}"/>
                </a:ext>
              </a:extLst>
            </xdr:cNvPr>
            <xdr:cNvSpPr txBox="1"/>
          </xdr:nvSpPr>
          <xdr:spPr>
            <a:xfrm>
              <a:off x="1440089" y="135912674"/>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m:t>
                    </m:r>
                    <m:r>
                      <a:rPr lang="es-ES" sz="1100" b="0" i="1">
                        <a:latin typeface="Cambria Math" panose="02040503050406030204" pitchFamily="18" charset="0"/>
                      </a:rPr>
                      <m:t>h𝑜𝑟𝑎𝑠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𝑜𝑝𝑒𝑟𝑎𝑐𝑖</m:t>
                    </m:r>
                    <m:r>
                      <a:rPr lang="es-ES" sz="1100" b="0" i="1">
                        <a:latin typeface="Cambria Math" panose="02040503050406030204" pitchFamily="18" charset="0"/>
                      </a:rPr>
                      <m:t>ó</m:t>
                    </m:r>
                    <m:r>
                      <a:rPr lang="es-ES" sz="1100" b="0" i="1">
                        <a:latin typeface="Cambria Math" panose="02040503050406030204" pitchFamily="18" charset="0"/>
                      </a:rPr>
                      <m:t>𝑛</m:t>
                    </m:r>
                  </m:oMath>
                </m:oMathPara>
              </a14:m>
              <a:endParaRPr lang="es-CL" sz="1100"/>
            </a:p>
          </xdr:txBody>
        </xdr:sp>
      </mc:Choice>
      <mc:Fallback xmlns="">
        <xdr:sp macro="" textlink="">
          <xdr:nvSpPr>
            <xdr:cNvPr id="69" name="CuadroTexto 68">
              <a:extLst>
                <a:ext uri="{FF2B5EF4-FFF2-40B4-BE49-F238E27FC236}">
                  <a16:creationId xmlns:a16="http://schemas.microsoft.com/office/drawing/2014/main" id="{530DBE48-2253-486D-9AFB-50B0ACA351D9}"/>
                </a:ext>
              </a:extLst>
            </xdr:cNvPr>
            <xdr:cNvSpPr txBox="1"/>
          </xdr:nvSpPr>
          <xdr:spPr>
            <a:xfrm>
              <a:off x="1440089" y="135912674"/>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𝑃é𝑟𝑑𝑖𝑑𝑎𝑠 𝑡𝑜𝑡𝑎𝑙𝑒𝑠 𝑎𝑛𝑢𝑎𝑙𝑒𝑠= 𝑞_𝑡∗ℎ𝑜𝑟𝑎𝑠 𝑑𝑒 𝑜𝑝𝑒𝑟𝑎𝑐𝑖ó𝑛</a:t>
              </a:r>
              <a:endParaRPr lang="es-CL" sz="1100"/>
            </a:p>
          </xdr:txBody>
        </xdr:sp>
      </mc:Fallback>
    </mc:AlternateContent>
    <xdr:clientData/>
  </xdr:oneCellAnchor>
  <xdr:oneCellAnchor>
    <xdr:from>
      <xdr:col>1</xdr:col>
      <xdr:colOff>236694</xdr:colOff>
      <xdr:row>691</xdr:row>
      <xdr:rowOff>103759</xdr:rowOff>
    </xdr:from>
    <xdr:ext cx="4489562" cy="243785"/>
    <mc:AlternateContent xmlns:mc="http://schemas.openxmlformats.org/markup-compatibility/2006" xmlns:a14="http://schemas.microsoft.com/office/drawing/2010/main">
      <mc:Choice Requires="a14">
        <xdr:sp macro="" textlink="">
          <xdr:nvSpPr>
            <xdr:cNvPr id="70" name="CuadroTexto 69">
              <a:extLst>
                <a:ext uri="{FF2B5EF4-FFF2-40B4-BE49-F238E27FC236}">
                  <a16:creationId xmlns:a16="http://schemas.microsoft.com/office/drawing/2014/main" id="{00000000-0008-0000-0B00-000046000000}"/>
                </a:ext>
              </a:extLst>
            </xdr:cNvPr>
            <xdr:cNvSpPr txBox="1"/>
          </xdr:nvSpPr>
          <xdr:spPr>
            <a:xfrm>
              <a:off x="1461337" y="136220545"/>
              <a:ext cx="4489562" cy="243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=2613,04</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h</m:t>
                      </m:r>
                    </m:den>
                  </m:f>
                  <m:r>
                    <a:rPr lang="es-ES" sz="1100" b="0" i="1">
                      <a:latin typeface="Cambria Math" panose="02040503050406030204" pitchFamily="18" charset="0"/>
                    </a:rPr>
                    <m:t>∗1.040</m:t>
                  </m:r>
                  <m:f>
                    <m:fPr>
                      <m:ctrlPr>
                        <a:rPr lang="es-ES" sz="1100" b="0" i="1">
                          <a:latin typeface="Cambria Math" panose="02040503050406030204" pitchFamily="18" charset="0"/>
                        </a:rPr>
                      </m:ctrlPr>
                    </m:fPr>
                    <m:num>
                      <m:r>
                        <a:rPr lang="es-ES" sz="1100" b="0" i="1">
                          <a:latin typeface="Cambria Math" panose="02040503050406030204" pitchFamily="18" charset="0"/>
                        </a:rPr>
                        <m:t>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=2.717.564,56</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 </m:t>
                  </m:r>
                </m:oMath>
              </a14:m>
              <a:r>
                <a:rPr lang="es-CL" sz="1100"/>
                <a:t> </a:t>
              </a:r>
            </a:p>
          </xdr:txBody>
        </xdr:sp>
      </mc:Choice>
      <mc:Fallback xmlns="">
        <xdr:sp macro="" textlink="">
          <xdr:nvSpPr>
            <xdr:cNvPr id="70" name="CuadroTexto 69">
              <a:extLst>
                <a:ext uri="{FF2B5EF4-FFF2-40B4-BE49-F238E27FC236}">
                  <a16:creationId xmlns:a16="http://schemas.microsoft.com/office/drawing/2014/main" id="{5BDC5E98-2A96-4603-AF50-86C426C9931E}"/>
                </a:ext>
              </a:extLst>
            </xdr:cNvPr>
            <xdr:cNvSpPr txBox="1"/>
          </xdr:nvSpPr>
          <xdr:spPr>
            <a:xfrm>
              <a:off x="1461337" y="136220545"/>
              <a:ext cx="4489562" cy="243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𝑃é𝑟𝑑𝑖𝑑𝑎𝑠 𝑡𝑜𝑡𝑎𝑙𝑒𝑠 𝑎𝑛𝑢𝑎𝑙𝑒𝑠=2613,04 𝐾𝑐𝑎𝑙/ℎ∗1.040 ℎ/𝑎ñ𝑜=2.717.564,56</a:t>
              </a:r>
              <a:r>
                <a:rPr lang="es-ES" sz="1100" b="0" i="0">
                  <a:solidFill>
                    <a:schemeClr val="tx1"/>
                  </a:solidFill>
                  <a:effectLst/>
                  <a:latin typeface="Cambria Math" panose="02040503050406030204" pitchFamily="18" charset="0"/>
                  <a:ea typeface="+mn-ea"/>
                  <a:cs typeface="+mn-cs"/>
                </a:rPr>
                <a:t> 𝐾𝑐𝑎𝑙/𝑎ñ𝑜  </a:t>
              </a:r>
              <a:r>
                <a:rPr lang="es-CL" sz="1100"/>
                <a:t> </a:t>
              </a:r>
            </a:p>
          </xdr:txBody>
        </xdr:sp>
      </mc:Fallback>
    </mc:AlternateContent>
    <xdr:clientData/>
  </xdr:oneCellAnchor>
  <xdr:oneCellAnchor>
    <xdr:from>
      <xdr:col>1</xdr:col>
      <xdr:colOff>23414</xdr:colOff>
      <xdr:row>722</xdr:row>
      <xdr:rowOff>0</xdr:rowOff>
    </xdr:from>
    <xdr:ext cx="1011944" cy="173766"/>
    <mc:AlternateContent xmlns:mc="http://schemas.openxmlformats.org/markup-compatibility/2006" xmlns:a14="http://schemas.microsoft.com/office/drawing/2010/main">
      <mc:Choice Requires="a14">
        <xdr:sp macro="" textlink="">
          <xdr:nvSpPr>
            <xdr:cNvPr id="71" name="CuadroTexto 70">
              <a:extLst>
                <a:ext uri="{FF2B5EF4-FFF2-40B4-BE49-F238E27FC236}">
                  <a16:creationId xmlns:a16="http://schemas.microsoft.com/office/drawing/2014/main" id="{00000000-0008-0000-0B00-000047000000}"/>
                </a:ext>
              </a:extLst>
            </xdr:cNvPr>
            <xdr:cNvSpPr txBox="1"/>
          </xdr:nvSpPr>
          <xdr:spPr>
            <a:xfrm>
              <a:off x="1248057" y="14305642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r>
                    <a:rPr lang="es-ES" sz="1100" b="0" i="1">
                      <a:latin typeface="Cambria Math" panose="02040503050406030204" pitchFamily="18" charset="0"/>
                    </a:rPr>
                    <m:t>+2</m:t>
                  </m:r>
                </m:oMath>
              </a14:m>
              <a:r>
                <a:rPr lang="es-CL" sz="1100"/>
                <a:t>*Esp</a:t>
              </a:r>
            </a:p>
          </xdr:txBody>
        </xdr:sp>
      </mc:Choice>
      <mc:Fallback xmlns="">
        <xdr:sp macro="" textlink="">
          <xdr:nvSpPr>
            <xdr:cNvPr id="71" name="CuadroTexto 70">
              <a:extLst>
                <a:ext uri="{FF2B5EF4-FFF2-40B4-BE49-F238E27FC236}">
                  <a16:creationId xmlns:a16="http://schemas.microsoft.com/office/drawing/2014/main" id="{2F04E03B-78AF-4E94-8980-8E95F086C073}"/>
                </a:ext>
              </a:extLst>
            </xdr:cNvPr>
            <xdr:cNvSpPr txBox="1"/>
          </xdr:nvSpPr>
          <xdr:spPr>
            <a:xfrm>
              <a:off x="1248057" y="14305642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𝑎=𝑑_𝑜+2</a:t>
              </a:r>
              <a:r>
                <a:rPr lang="es-CL" sz="1100"/>
                <a:t>*Esp</a:t>
              </a:r>
            </a:p>
          </xdr:txBody>
        </xdr:sp>
      </mc:Fallback>
    </mc:AlternateContent>
    <xdr:clientData/>
  </xdr:oneCellAnchor>
  <xdr:oneCellAnchor>
    <xdr:from>
      <xdr:col>1</xdr:col>
      <xdr:colOff>12700</xdr:colOff>
      <xdr:row>723</xdr:row>
      <xdr:rowOff>174909</xdr:rowOff>
    </xdr:from>
    <xdr:ext cx="1145570" cy="173766"/>
    <mc:AlternateContent xmlns:mc="http://schemas.openxmlformats.org/markup-compatibility/2006" xmlns:a14="http://schemas.microsoft.com/office/drawing/2010/main">
      <mc:Choice Requires="a14">
        <xdr:sp macro="" textlink="">
          <xdr:nvSpPr>
            <xdr:cNvPr id="72" name="CuadroTexto 71">
              <a:extLst>
                <a:ext uri="{FF2B5EF4-FFF2-40B4-BE49-F238E27FC236}">
                  <a16:creationId xmlns:a16="http://schemas.microsoft.com/office/drawing/2014/main" id="{00000000-0008-0000-0B00-000048000000}"/>
                </a:ext>
              </a:extLst>
            </xdr:cNvPr>
            <xdr:cNvSpPr txBox="1"/>
          </xdr:nvSpPr>
          <xdr:spPr>
            <a:xfrm>
              <a:off x="1237343" y="14342410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=0,0762+2</m:t>
                  </m:r>
                </m:oMath>
              </a14:m>
              <a:r>
                <a:rPr lang="es-CL" sz="1100"/>
                <a:t>*0</a:t>
              </a:r>
            </a:p>
          </xdr:txBody>
        </xdr:sp>
      </mc:Choice>
      <mc:Fallback xmlns="">
        <xdr:sp macro="" textlink="">
          <xdr:nvSpPr>
            <xdr:cNvPr id="72" name="CuadroTexto 71">
              <a:extLst>
                <a:ext uri="{FF2B5EF4-FFF2-40B4-BE49-F238E27FC236}">
                  <a16:creationId xmlns:a16="http://schemas.microsoft.com/office/drawing/2014/main" id="{FF22C346-109C-4665-B2C8-FAEEAC85B037}"/>
                </a:ext>
              </a:extLst>
            </xdr:cNvPr>
            <xdr:cNvSpPr txBox="1"/>
          </xdr:nvSpPr>
          <xdr:spPr>
            <a:xfrm>
              <a:off x="1237343" y="14342410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𝑎=0,0762+2</a:t>
              </a:r>
              <a:r>
                <a:rPr lang="es-CL" sz="1100"/>
                <a:t>*0</a:t>
              </a:r>
            </a:p>
          </xdr:txBody>
        </xdr:sp>
      </mc:Fallback>
    </mc:AlternateContent>
    <xdr:clientData/>
  </xdr:oneCellAnchor>
  <xdr:oneCellAnchor>
    <xdr:from>
      <xdr:col>1</xdr:col>
      <xdr:colOff>0</xdr:colOff>
      <xdr:row>725</xdr:row>
      <xdr:rowOff>162209</xdr:rowOff>
    </xdr:from>
    <xdr:ext cx="783933" cy="173766"/>
    <mc:AlternateContent xmlns:mc="http://schemas.openxmlformats.org/markup-compatibility/2006" xmlns:a14="http://schemas.microsoft.com/office/drawing/2010/main">
      <mc:Choice Requires="a14">
        <xdr:sp macro="" textlink="">
          <xdr:nvSpPr>
            <xdr:cNvPr id="73" name="CuadroTexto 72">
              <a:extLst>
                <a:ext uri="{FF2B5EF4-FFF2-40B4-BE49-F238E27FC236}">
                  <a16:creationId xmlns:a16="http://schemas.microsoft.com/office/drawing/2014/main" id="{00000000-0008-0000-0B00-000049000000}"/>
                </a:ext>
              </a:extLst>
            </xdr:cNvPr>
            <xdr:cNvSpPr txBox="1"/>
          </xdr:nvSpPr>
          <xdr:spPr>
            <a:xfrm>
              <a:off x="1224643" y="143796941"/>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m:t>
                    </m:r>
                  </m:oMath>
                </m:oMathPara>
              </a14:m>
              <a:endParaRPr lang="es-CL" sz="1100"/>
            </a:p>
          </xdr:txBody>
        </xdr:sp>
      </mc:Choice>
      <mc:Fallback xmlns="">
        <xdr:sp macro="" textlink="">
          <xdr:nvSpPr>
            <xdr:cNvPr id="73" name="CuadroTexto 72">
              <a:extLst>
                <a:ext uri="{FF2B5EF4-FFF2-40B4-BE49-F238E27FC236}">
                  <a16:creationId xmlns:a16="http://schemas.microsoft.com/office/drawing/2014/main" id="{ED329E3B-25A7-4B6D-8A95-20D350D6AB92}"/>
                </a:ext>
              </a:extLst>
            </xdr:cNvPr>
            <xdr:cNvSpPr txBox="1"/>
          </xdr:nvSpPr>
          <xdr:spPr>
            <a:xfrm>
              <a:off x="1224643" y="143796941"/>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a:t>
              </a:r>
              <a:endParaRPr lang="es-CL" sz="1100"/>
            </a:p>
          </xdr:txBody>
        </xdr:sp>
      </mc:Fallback>
    </mc:AlternateContent>
    <xdr:clientData/>
  </xdr:oneCellAnchor>
  <xdr:oneCellAnchor>
    <xdr:from>
      <xdr:col>1</xdr:col>
      <xdr:colOff>15386</xdr:colOff>
      <xdr:row>734</xdr:row>
      <xdr:rowOff>0</xdr:rowOff>
    </xdr:from>
    <xdr:ext cx="6500690" cy="415050"/>
    <mc:AlternateContent xmlns:mc="http://schemas.openxmlformats.org/markup-compatibility/2006" xmlns:a14="http://schemas.microsoft.com/office/drawing/2010/main">
      <mc:Choice Requires="a14">
        <xdr:sp macro="" textlink="">
          <xdr:nvSpPr>
            <xdr:cNvPr id="74" name="CuadroTexto 73">
              <a:extLst>
                <a:ext uri="{FF2B5EF4-FFF2-40B4-BE49-F238E27FC236}">
                  <a16:creationId xmlns:a16="http://schemas.microsoft.com/office/drawing/2014/main" id="{00000000-0008-0000-0B00-00004A000000}"/>
                </a:ext>
              </a:extLst>
            </xdr:cNvPr>
            <xdr:cNvSpPr txBox="1"/>
          </xdr:nvSpPr>
          <xdr:spPr>
            <a:xfrm>
              <a:off x="1240029" y="145415000"/>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m:t>
                        </m:r>
                        <m:r>
                          <a:rPr lang="es-ES" sz="1100" b="0" i="1">
                            <a:latin typeface="Cambria Math" panose="02040503050406030204" pitchFamily="18" charset="0"/>
                          </a:rPr>
                          <m:t>𝐶</m:t>
                        </m:r>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latin typeface="Cambria Math" panose="02040503050406030204" pitchFamily="18" charset="0"/>
                                  </a:rPr>
                                </m:ctrlPr>
                              </m:dPr>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Sub>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74" name="CuadroTexto 73">
              <a:extLst>
                <a:ext uri="{FF2B5EF4-FFF2-40B4-BE49-F238E27FC236}">
                  <a16:creationId xmlns:a16="http://schemas.microsoft.com/office/drawing/2014/main" id="{08854E56-4E53-4C49-862A-146078B8BCE4}"/>
                </a:ext>
              </a:extLst>
            </xdr:cNvPr>
            <xdr:cNvSpPr txBox="1"/>
          </xdr:nvSpPr>
          <xdr:spPr>
            <a:xfrm>
              <a:off x="1240029" y="145415000"/>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𝑐=[2,7241∗𝐶∗(𝑑_𝑎 )^(−0,2) ]∗[1,11/(𝑇_𝑠𝑢𝑝+𝑇_𝑎−510,44)]^0,181∗[1,8∗(</a:t>
              </a:r>
              <a:r>
                <a:rPr lang="es-ES" sz="1100" b="0" i="0">
                  <a:solidFill>
                    <a:schemeClr val="tx1"/>
                  </a:solidFill>
                  <a:effectLst/>
                  <a:latin typeface="Cambria Math" panose="02040503050406030204" pitchFamily="18" charset="0"/>
                  <a:ea typeface="+mn-ea"/>
                  <a:cs typeface="+mn-cs"/>
                </a:rPr>
                <a:t>𝑇_𝑠𝑢𝑝−𝑇_𝑎 )]^</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1</xdr:col>
      <xdr:colOff>0</xdr:colOff>
      <xdr:row>737</xdr:row>
      <xdr:rowOff>27180</xdr:rowOff>
    </xdr:from>
    <xdr:ext cx="8985665" cy="410177"/>
    <mc:AlternateContent xmlns:mc="http://schemas.openxmlformats.org/markup-compatibility/2006" xmlns:a14="http://schemas.microsoft.com/office/drawing/2010/main">
      <mc:Choice Requires="a14">
        <xdr:sp macro="" textlink="">
          <xdr:nvSpPr>
            <xdr:cNvPr id="75" name="CuadroTexto 74">
              <a:extLst>
                <a:ext uri="{FF2B5EF4-FFF2-40B4-BE49-F238E27FC236}">
                  <a16:creationId xmlns:a16="http://schemas.microsoft.com/office/drawing/2014/main" id="{00000000-0008-0000-0B00-00004B000000}"/>
                </a:ext>
              </a:extLst>
            </xdr:cNvPr>
            <xdr:cNvSpPr txBox="1"/>
          </xdr:nvSpPr>
          <xdr:spPr>
            <a:xfrm>
              <a:off x="1224643" y="146020484"/>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2,7241∗1,016∗</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0,0762 </m:t>
                                </m:r>
                                <m:r>
                                  <a:rPr lang="es-ES" sz="1100" b="0" i="1">
                                    <a:latin typeface="Cambria Math" panose="02040503050406030204" pitchFamily="18" charset="0"/>
                                  </a:rPr>
                                  <m:t>𝑚</m:t>
                                </m:r>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𝑊</m:t>
                                </m:r>
                                <m:r>
                                  <a:rPr lang="es-ES" sz="1100" b="0" i="1">
                                    <a:latin typeface="Cambria Math" panose="02040503050406030204" pitchFamily="18" charset="0"/>
                                  </a:rPr>
                                  <m:t>/</m:t>
                                </m:r>
                                <m:r>
                                  <a:rPr lang="es-ES" sz="1100" b="0" i="1">
                                    <a:latin typeface="Cambria Math" panose="02040503050406030204" pitchFamily="18" charset="0"/>
                                  </a:rPr>
                                  <m:t>𝑚𝐾</m:t>
                                </m:r>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latin typeface="Cambria Math" panose="02040503050406030204" pitchFamily="18" charset="0"/>
                                  </a:rPr>
                                </m:ctrlPr>
                              </m:dPr>
                              <m:e>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solidFill>
                                      <a:schemeClr val="tx1"/>
                                    </a:solidFill>
                                    <a:effectLst/>
                                    <a:latin typeface="Cambria Math" panose="02040503050406030204" pitchFamily="18" charset="0"/>
                                    <a:ea typeface="+mn-ea"/>
                                    <a:cs typeface="+mn-cs"/>
                                  </a:rPr>
                                  <m:t>−303,15 </m:t>
                                </m:r>
                                <m:r>
                                  <a:rPr lang="es-ES" sz="1100" b="0" i="1">
                                    <a:solidFill>
                                      <a:schemeClr val="tx1"/>
                                    </a:solidFill>
                                    <a:effectLst/>
                                    <a:latin typeface="Cambria Math" panose="02040503050406030204" pitchFamily="18" charset="0"/>
                                    <a:ea typeface="+mn-ea"/>
                                    <a:cs typeface="+mn-cs"/>
                                  </a:rPr>
                                  <m:t>𝐾</m:t>
                                </m:r>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75" name="CuadroTexto 74">
              <a:extLst>
                <a:ext uri="{FF2B5EF4-FFF2-40B4-BE49-F238E27FC236}">
                  <a16:creationId xmlns:a16="http://schemas.microsoft.com/office/drawing/2014/main" id="{6FA20A57-AD41-4E67-9C15-61315BFCF944}"/>
                </a:ext>
              </a:extLst>
            </xdr:cNvPr>
            <xdr:cNvSpPr txBox="1"/>
          </xdr:nvSpPr>
          <xdr:spPr>
            <a:xfrm>
              <a:off x="1224643" y="146020484"/>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𝑐=[2,7241∗1,016∗(0,0762 𝑚)^(−0,2) ]∗[1,11/(418,15 𝐾+303,15 𝑊/𝑚𝐾−510,44)]^0,181∗[1,8∗(418,15 𝐾</a:t>
              </a:r>
              <a:r>
                <a:rPr lang="es-ES" sz="1100" b="0" i="0">
                  <a:solidFill>
                    <a:schemeClr val="tx1"/>
                  </a:solidFill>
                  <a:effectLst/>
                  <a:latin typeface="Cambria Math" panose="02040503050406030204" pitchFamily="18" charset="0"/>
                  <a:ea typeface="+mn-ea"/>
                  <a:cs typeface="+mn-cs"/>
                </a:rPr>
                <a:t>−303,15 𝐾)]^</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1</xdr:col>
      <xdr:colOff>871903</xdr:colOff>
      <xdr:row>740</xdr:row>
      <xdr:rowOff>41833</xdr:rowOff>
    </xdr:from>
    <xdr:ext cx="877997" cy="316882"/>
    <mc:AlternateContent xmlns:mc="http://schemas.openxmlformats.org/markup-compatibility/2006" xmlns:a14="http://schemas.microsoft.com/office/drawing/2010/main">
      <mc:Choice Requires="a14">
        <xdr:sp macro="" textlink="">
          <xdr:nvSpPr>
            <xdr:cNvPr id="76" name="CuadroTexto 75">
              <a:extLst>
                <a:ext uri="{FF2B5EF4-FFF2-40B4-BE49-F238E27FC236}">
                  <a16:creationId xmlns:a16="http://schemas.microsoft.com/office/drawing/2014/main" id="{00000000-0008-0000-0B00-00004C000000}"/>
                </a:ext>
              </a:extLst>
            </xdr:cNvPr>
            <xdr:cNvSpPr txBox="1"/>
          </xdr:nvSpPr>
          <xdr:spPr>
            <a:xfrm>
              <a:off x="2096546" y="146613440"/>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=7,4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76" name="CuadroTexto 75">
              <a:extLst>
                <a:ext uri="{FF2B5EF4-FFF2-40B4-BE49-F238E27FC236}">
                  <a16:creationId xmlns:a16="http://schemas.microsoft.com/office/drawing/2014/main" id="{A10E7156-272B-4B87-97A5-00BE33090D8A}"/>
                </a:ext>
              </a:extLst>
            </xdr:cNvPr>
            <xdr:cNvSpPr txBox="1"/>
          </xdr:nvSpPr>
          <xdr:spPr>
            <a:xfrm>
              <a:off x="2096546" y="146613440"/>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𝑐=7,4  𝑊/(𝑚^2 𝐾)</a:t>
              </a:r>
              <a:endParaRPr lang="es-CL" sz="1100"/>
            </a:p>
          </xdr:txBody>
        </xdr:sp>
      </mc:Fallback>
    </mc:AlternateContent>
    <xdr:clientData/>
  </xdr:oneCellAnchor>
  <xdr:oneCellAnchor>
    <xdr:from>
      <xdr:col>1</xdr:col>
      <xdr:colOff>15386</xdr:colOff>
      <xdr:row>748</xdr:row>
      <xdr:rowOff>0</xdr:rowOff>
    </xdr:from>
    <xdr:ext cx="2466701" cy="397096"/>
    <mc:AlternateContent xmlns:mc="http://schemas.openxmlformats.org/markup-compatibility/2006" xmlns:a14="http://schemas.microsoft.com/office/drawing/2010/main">
      <mc:Choice Requires="a14">
        <xdr:sp macro="" textlink="">
          <xdr:nvSpPr>
            <xdr:cNvPr id="77" name="CuadroTexto 76">
              <a:extLst>
                <a:ext uri="{FF2B5EF4-FFF2-40B4-BE49-F238E27FC236}">
                  <a16:creationId xmlns:a16="http://schemas.microsoft.com/office/drawing/2014/main" id="{00000000-0008-0000-0B00-00004D000000}"/>
                </a:ext>
              </a:extLst>
            </xdr:cNvPr>
            <xdr:cNvSpPr txBox="1"/>
          </xdr:nvSpPr>
          <xdr:spPr>
            <a:xfrm>
              <a:off x="1240029" y="148113750"/>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m:t>
                    </m:r>
                    <m:r>
                      <a:rPr lang="es-ES" sz="1100" b="0" i="1">
                        <a:latin typeface="Cambria Math" panose="02040503050406030204" pitchFamily="18" charset="0"/>
                      </a:rPr>
                      <m:t>𝐸𝑚𝑠𝑠</m:t>
                    </m:r>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up>
                                <m:r>
                                  <a:rPr lang="es-ES" sz="1100" b="0" i="1">
                                    <a:solidFill>
                                      <a:schemeClr val="tx1"/>
                                    </a:solidFill>
                                    <a:effectLst/>
                                    <a:latin typeface="Cambria Math" panose="02040503050406030204" pitchFamily="18" charset="0"/>
                                    <a:ea typeface="+mn-ea"/>
                                    <a:cs typeface="+mn-cs"/>
                                  </a:rPr>
                                  <m:t>4</m:t>
                                </m:r>
                              </m:sup>
                            </m:sSubSup>
                            <m:r>
                              <a:rPr lang="es-ES" sz="1100" b="0" i="1">
                                <a:solidFill>
                                  <a:schemeClr val="tx1"/>
                                </a:solidFill>
                                <a:effectLst/>
                                <a:latin typeface="Cambria Math" panose="02040503050406030204" pitchFamily="18" charset="0"/>
                                <a:ea typeface="+mn-ea"/>
                                <a:cs typeface="+mn-cs"/>
                              </a:rPr>
                              <m:t>−</m:t>
                            </m:r>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up>
                                <m:r>
                                  <a:rPr lang="es-ES" sz="1100" b="0" i="1">
                                    <a:solidFill>
                                      <a:schemeClr val="tx1"/>
                                    </a:solidFill>
                                    <a:effectLst/>
                                    <a:latin typeface="Cambria Math" panose="02040503050406030204" pitchFamily="18" charset="0"/>
                                    <a:ea typeface="+mn-ea"/>
                                    <a:cs typeface="+mn-cs"/>
                                  </a:rPr>
                                  <m:t>4</m:t>
                                </m:r>
                              </m:sup>
                            </m:sSubSup>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den>
                        </m:f>
                      </m:e>
                    </m:d>
                  </m:oMath>
                </m:oMathPara>
              </a14:m>
              <a:endParaRPr lang="es-CL" sz="1100"/>
            </a:p>
          </xdr:txBody>
        </xdr:sp>
      </mc:Choice>
      <mc:Fallback xmlns="">
        <xdr:sp macro="" textlink="">
          <xdr:nvSpPr>
            <xdr:cNvPr id="77" name="CuadroTexto 76">
              <a:extLst>
                <a:ext uri="{FF2B5EF4-FFF2-40B4-BE49-F238E27FC236}">
                  <a16:creationId xmlns:a16="http://schemas.microsoft.com/office/drawing/2014/main" id="{3E44BE15-F503-46F9-A299-9D66ECC8A1CB}"/>
                </a:ext>
              </a:extLst>
            </xdr:cNvPr>
            <xdr:cNvSpPr txBox="1"/>
          </xdr:nvSpPr>
          <xdr:spPr>
            <a:xfrm>
              <a:off x="1240029" y="148113750"/>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𝑟=0,9824∗10^(−8)∗𝐸𝑚𝑠𝑠∗[(</a:t>
              </a:r>
              <a:r>
                <a:rPr lang="es-ES" sz="1100" b="0" i="0">
                  <a:solidFill>
                    <a:schemeClr val="tx1"/>
                  </a:solidFill>
                  <a:effectLst/>
                  <a:latin typeface="Cambria Math" panose="02040503050406030204" pitchFamily="18" charset="0"/>
                  <a:ea typeface="+mn-ea"/>
                  <a:cs typeface="+mn-cs"/>
                </a:rPr>
                <a:t>𝑇_𝑎^4−𝑇_𝑠𝑢𝑝^4)/(</a:t>
              </a:r>
              <a:r>
                <a:rPr lang="es-ES" sz="1100" b="0" i="0">
                  <a:latin typeface="Cambria Math" panose="02040503050406030204" pitchFamily="18" charset="0"/>
                </a:rPr>
                <a:t>𝑇_𝑎−𝑇_𝑠𝑢𝑝 )]</a:t>
              </a:r>
              <a:endParaRPr lang="es-CL" sz="1100"/>
            </a:p>
          </xdr:txBody>
        </xdr:sp>
      </mc:Fallback>
    </mc:AlternateContent>
    <xdr:clientData/>
  </xdr:oneCellAnchor>
  <xdr:oneCellAnchor>
    <xdr:from>
      <xdr:col>1</xdr:col>
      <xdr:colOff>0</xdr:colOff>
      <xdr:row>750</xdr:row>
      <xdr:rowOff>142142</xdr:rowOff>
    </xdr:from>
    <xdr:ext cx="3243260" cy="386196"/>
    <mc:AlternateContent xmlns:mc="http://schemas.openxmlformats.org/markup-compatibility/2006" xmlns:a14="http://schemas.microsoft.com/office/drawing/2010/main">
      <mc:Choice Requires="a14">
        <xdr:sp macro="" textlink="">
          <xdr:nvSpPr>
            <xdr:cNvPr id="78" name="CuadroTexto 77">
              <a:extLst>
                <a:ext uri="{FF2B5EF4-FFF2-40B4-BE49-F238E27FC236}">
                  <a16:creationId xmlns:a16="http://schemas.microsoft.com/office/drawing/2014/main" id="{00000000-0008-0000-0B00-00004E000000}"/>
                </a:ext>
              </a:extLst>
            </xdr:cNvPr>
            <xdr:cNvSpPr txBox="1"/>
          </xdr:nvSpPr>
          <xdr:spPr>
            <a:xfrm>
              <a:off x="1224643" y="148641428"/>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∗0,79∗</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303,15 </m:t>
                                </m:r>
                                <m:r>
                                  <a:rPr lang="es-ES" sz="1100" b="0" i="1">
                                    <a:latin typeface="Cambria Math" panose="02040503050406030204" pitchFamily="18" charset="0"/>
                                  </a:rPr>
                                  <m:t>𝐾</m:t>
                                </m:r>
                              </m:e>
                              <m:sup>
                                <m:r>
                                  <a:rPr lang="es-ES" sz="1100" b="0" i="1">
                                    <a:latin typeface="Cambria Math" panose="02040503050406030204" pitchFamily="18" charset="0"/>
                                  </a:rPr>
                                  <m:t>4</m:t>
                                </m:r>
                              </m:sup>
                            </m:sSup>
                            <m:r>
                              <a:rPr lang="es-ES" sz="1100" b="0" i="1">
                                <a:solidFill>
                                  <a:schemeClr val="tx1"/>
                                </a:solidFill>
                                <a:effectLst/>
                                <a:latin typeface="Cambria Math" panose="02040503050406030204" pitchFamily="18" charset="0"/>
                                <a:ea typeface="+mn-ea"/>
                                <a:cs typeface="+mn-cs"/>
                              </a:rPr>
                              <m:t>−</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418,15 </m:t>
                                </m:r>
                                <m:r>
                                  <a:rPr lang="es-ES" sz="1100" b="0" i="1">
                                    <a:solidFill>
                                      <a:schemeClr val="tx1"/>
                                    </a:solidFill>
                                    <a:effectLst/>
                                    <a:latin typeface="Cambria Math" panose="02040503050406030204" pitchFamily="18" charset="0"/>
                                    <a:ea typeface="+mn-ea"/>
                                    <a:cs typeface="+mn-cs"/>
                                  </a:rPr>
                                  <m:t>𝐾</m:t>
                                </m:r>
                              </m:e>
                              <m:sup>
                                <m:r>
                                  <a:rPr lang="es-ES" sz="1100" b="0" i="1">
                                    <a:solidFill>
                                      <a:schemeClr val="tx1"/>
                                    </a:solidFill>
                                    <a:effectLst/>
                                    <a:latin typeface="Cambria Math" panose="02040503050406030204" pitchFamily="18" charset="0"/>
                                    <a:ea typeface="+mn-ea"/>
                                    <a:cs typeface="+mn-cs"/>
                                  </a:rPr>
                                  <m:t>4</m:t>
                                </m:r>
                              </m:sup>
                            </m:sSup>
                          </m:num>
                          <m:den>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−418,15 </m:t>
                            </m:r>
                            <m:r>
                              <a:rPr lang="es-ES" sz="1100" b="0" i="1">
                                <a:latin typeface="Cambria Math" panose="02040503050406030204" pitchFamily="18" charset="0"/>
                              </a:rPr>
                              <m:t>𝐾</m:t>
                            </m:r>
                          </m:den>
                        </m:f>
                      </m:e>
                    </m:d>
                  </m:oMath>
                </m:oMathPara>
              </a14:m>
              <a:endParaRPr lang="es-CL" sz="1100"/>
            </a:p>
          </xdr:txBody>
        </xdr:sp>
      </mc:Choice>
      <mc:Fallback xmlns="">
        <xdr:sp macro="" textlink="">
          <xdr:nvSpPr>
            <xdr:cNvPr id="78" name="CuadroTexto 77">
              <a:extLst>
                <a:ext uri="{FF2B5EF4-FFF2-40B4-BE49-F238E27FC236}">
                  <a16:creationId xmlns:a16="http://schemas.microsoft.com/office/drawing/2014/main" id="{35F4E52F-287D-454E-8624-68B5621294B0}"/>
                </a:ext>
              </a:extLst>
            </xdr:cNvPr>
            <xdr:cNvSpPr txBox="1"/>
          </xdr:nvSpPr>
          <xdr:spPr>
            <a:xfrm>
              <a:off x="1224643" y="148641428"/>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𝑟=0,9824∗10^(−8)∗0,79∗[(〖303,15 𝐾〗^4</a:t>
              </a:r>
              <a:r>
                <a:rPr lang="es-ES" sz="1100" b="0" i="0">
                  <a:solidFill>
                    <a:schemeClr val="tx1"/>
                  </a:solidFill>
                  <a:effectLst/>
                  <a:latin typeface="Cambria Math" panose="02040503050406030204" pitchFamily="18" charset="0"/>
                  <a:ea typeface="+mn-ea"/>
                  <a:cs typeface="+mn-cs"/>
                </a:rPr>
                <a:t>−〖418,15 𝐾〗^4)/(</a:t>
              </a:r>
              <a:r>
                <a:rPr lang="es-ES" sz="1100" b="0" i="0">
                  <a:latin typeface="Cambria Math" panose="02040503050406030204" pitchFamily="18" charset="0"/>
                </a:rPr>
                <a:t>303,15 𝐾−418,15 𝐾)]</a:t>
              </a:r>
              <a:endParaRPr lang="es-CL" sz="1100"/>
            </a:p>
          </xdr:txBody>
        </xdr:sp>
      </mc:Fallback>
    </mc:AlternateContent>
    <xdr:clientData/>
  </xdr:oneCellAnchor>
  <xdr:oneCellAnchor>
    <xdr:from>
      <xdr:col>1</xdr:col>
      <xdr:colOff>681403</xdr:colOff>
      <xdr:row>753</xdr:row>
      <xdr:rowOff>120162</xdr:rowOff>
    </xdr:from>
    <xdr:ext cx="880497" cy="316882"/>
    <mc:AlternateContent xmlns:mc="http://schemas.openxmlformats.org/markup-compatibility/2006" xmlns:a14="http://schemas.microsoft.com/office/drawing/2010/main">
      <mc:Choice Requires="a14">
        <xdr:sp macro="" textlink="">
          <xdr:nvSpPr>
            <xdr:cNvPr id="79" name="CuadroTexto 78">
              <a:extLst>
                <a:ext uri="{FF2B5EF4-FFF2-40B4-BE49-F238E27FC236}">
                  <a16:creationId xmlns:a16="http://schemas.microsoft.com/office/drawing/2014/main" id="{00000000-0008-0000-0B00-00004F000000}"/>
                </a:ext>
              </a:extLst>
            </xdr:cNvPr>
            <xdr:cNvSpPr txBox="1"/>
          </xdr:nvSpPr>
          <xdr:spPr>
            <a:xfrm>
              <a:off x="1906046" y="149197751"/>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r>
                      <a:rPr lang="es-ES" sz="1100" b="0" i="1">
                        <a:latin typeface="Cambria Math" panose="02040503050406030204" pitchFamily="18" charset="0"/>
                      </a:rPr>
                      <m:t>=1,5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79" name="CuadroTexto 78">
              <a:extLst>
                <a:ext uri="{FF2B5EF4-FFF2-40B4-BE49-F238E27FC236}">
                  <a16:creationId xmlns:a16="http://schemas.microsoft.com/office/drawing/2014/main" id="{4014FBAA-AE2B-4060-ADD7-BE0CBC6F137F}"/>
                </a:ext>
              </a:extLst>
            </xdr:cNvPr>
            <xdr:cNvSpPr txBox="1"/>
          </xdr:nvSpPr>
          <xdr:spPr>
            <a:xfrm>
              <a:off x="1906046" y="149197751"/>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𝑟=1,5  𝑊/(𝑚^2 𝐾)</a:t>
              </a:r>
              <a:endParaRPr lang="es-CL" sz="1100"/>
            </a:p>
          </xdr:txBody>
        </xdr:sp>
      </mc:Fallback>
    </mc:AlternateContent>
    <xdr:clientData/>
  </xdr:oneCellAnchor>
  <xdr:oneCellAnchor>
    <xdr:from>
      <xdr:col>1</xdr:col>
      <xdr:colOff>91446</xdr:colOff>
      <xdr:row>762</xdr:row>
      <xdr:rowOff>0</xdr:rowOff>
    </xdr:from>
    <xdr:ext cx="795411" cy="173766"/>
    <mc:AlternateContent xmlns:mc="http://schemas.openxmlformats.org/markup-compatibility/2006" xmlns:a14="http://schemas.microsoft.com/office/drawing/2010/main">
      <mc:Choice Requires="a14">
        <xdr:sp macro="" textlink="">
          <xdr:nvSpPr>
            <xdr:cNvPr id="80" name="CuadroTexto 79">
              <a:extLst>
                <a:ext uri="{FF2B5EF4-FFF2-40B4-BE49-F238E27FC236}">
                  <a16:creationId xmlns:a16="http://schemas.microsoft.com/office/drawing/2014/main" id="{00000000-0008-0000-0B00-000050000000}"/>
                </a:ext>
              </a:extLst>
            </xdr:cNvPr>
            <xdr:cNvSpPr txBox="1"/>
          </xdr:nvSpPr>
          <xdr:spPr>
            <a:xfrm>
              <a:off x="1316089" y="1508125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oMath>
                </m:oMathPara>
              </a14:m>
              <a:endParaRPr lang="es-CL" sz="1100"/>
            </a:p>
          </xdr:txBody>
        </xdr:sp>
      </mc:Choice>
      <mc:Fallback xmlns="">
        <xdr:sp macro="" textlink="">
          <xdr:nvSpPr>
            <xdr:cNvPr id="80" name="CuadroTexto 79">
              <a:extLst>
                <a:ext uri="{FF2B5EF4-FFF2-40B4-BE49-F238E27FC236}">
                  <a16:creationId xmlns:a16="http://schemas.microsoft.com/office/drawing/2014/main" id="{369A8EF8-645F-40B6-9136-3D9FB7CE675D}"/>
                </a:ext>
              </a:extLst>
            </xdr:cNvPr>
            <xdr:cNvSpPr txBox="1"/>
          </xdr:nvSpPr>
          <xdr:spPr>
            <a:xfrm>
              <a:off x="1316089" y="1508125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𝑠=ℎ_𝑐+ℎ_𝑟</a:t>
              </a:r>
              <a:endParaRPr lang="es-CL" sz="1100"/>
            </a:p>
          </xdr:txBody>
        </xdr:sp>
      </mc:Fallback>
    </mc:AlternateContent>
    <xdr:clientData/>
  </xdr:oneCellAnchor>
  <xdr:oneCellAnchor>
    <xdr:from>
      <xdr:col>1</xdr:col>
      <xdr:colOff>90713</xdr:colOff>
      <xdr:row>763</xdr:row>
      <xdr:rowOff>142143</xdr:rowOff>
    </xdr:from>
    <xdr:ext cx="2185406" cy="316882"/>
    <mc:AlternateContent xmlns:mc="http://schemas.openxmlformats.org/markup-compatibility/2006" xmlns:a14="http://schemas.microsoft.com/office/drawing/2010/main">
      <mc:Choice Requires="a14">
        <xdr:sp macro="" textlink="">
          <xdr:nvSpPr>
            <xdr:cNvPr id="81" name="CuadroTexto 80">
              <a:extLst>
                <a:ext uri="{FF2B5EF4-FFF2-40B4-BE49-F238E27FC236}">
                  <a16:creationId xmlns:a16="http://schemas.microsoft.com/office/drawing/2014/main" id="{00000000-0008-0000-0B00-000051000000}"/>
                </a:ext>
              </a:extLst>
            </xdr:cNvPr>
            <xdr:cNvSpPr txBox="1"/>
          </xdr:nvSpPr>
          <xdr:spPr>
            <a:xfrm>
              <a:off x="1315356" y="1511474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𝑠</m:t>
                        </m:r>
                      </m:sub>
                    </m:sSub>
                    <m:r>
                      <a:rPr lang="es-ES" sz="1100" b="0" i="1">
                        <a:latin typeface="Cambria Math" panose="02040503050406030204" pitchFamily="18" charset="0"/>
                      </a:rPr>
                      <m:t>=7,4</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solidFill>
                          <a:schemeClr val="tx1"/>
                        </a:solidFill>
                        <a:effectLst/>
                        <a:latin typeface="Cambria Math" panose="02040503050406030204" pitchFamily="18" charset="0"/>
                        <a:ea typeface="+mn-ea"/>
                        <a:cs typeface="+mn-cs"/>
                      </a:rPr>
                      <m:t>+1,5</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=8,9</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81" name="CuadroTexto 80">
              <a:extLst>
                <a:ext uri="{FF2B5EF4-FFF2-40B4-BE49-F238E27FC236}">
                  <a16:creationId xmlns:a16="http://schemas.microsoft.com/office/drawing/2014/main" id="{D8ED802F-3BC5-49E0-A733-EDF1B510A249}"/>
                </a:ext>
              </a:extLst>
            </xdr:cNvPr>
            <xdr:cNvSpPr txBox="1"/>
          </xdr:nvSpPr>
          <xdr:spPr>
            <a:xfrm>
              <a:off x="1315356" y="1511474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𝑠=7,4</a:t>
              </a:r>
              <a:r>
                <a:rPr lang="es-ES" sz="1100" b="0" i="0">
                  <a:solidFill>
                    <a:schemeClr val="tx1"/>
                  </a:solidFill>
                  <a:effectLst/>
                  <a:latin typeface="Cambria Math" panose="02040503050406030204" pitchFamily="18" charset="0"/>
                  <a:ea typeface="+mn-ea"/>
                  <a:cs typeface="+mn-cs"/>
                </a:rPr>
                <a:t> 𝑊/(𝑚^2 𝐾)+1,5 𝑊/(𝑚^2 𝐾)</a:t>
              </a:r>
              <a:r>
                <a:rPr lang="es-ES" sz="1100" b="0" i="0">
                  <a:latin typeface="Cambria Math" panose="02040503050406030204" pitchFamily="18" charset="0"/>
                </a:rPr>
                <a:t>=8,9 𝑊/(𝑚^2 𝐾)</a:t>
              </a:r>
              <a:endParaRPr lang="es-CL" sz="1100"/>
            </a:p>
          </xdr:txBody>
        </xdr:sp>
      </mc:Fallback>
    </mc:AlternateContent>
    <xdr:clientData/>
  </xdr:oneCellAnchor>
  <xdr:oneCellAnchor>
    <xdr:from>
      <xdr:col>1</xdr:col>
      <xdr:colOff>0</xdr:colOff>
      <xdr:row>772</xdr:row>
      <xdr:rowOff>136072</xdr:rowOff>
    </xdr:from>
    <xdr:ext cx="2609881" cy="504369"/>
    <mc:AlternateContent xmlns:mc="http://schemas.openxmlformats.org/markup-compatibility/2006" xmlns:a14="http://schemas.microsoft.com/office/drawing/2010/main">
      <mc:Choice Requires="a14">
        <xdr:sp macro="" textlink="">
          <xdr:nvSpPr>
            <xdr:cNvPr id="82" name="CuadroTexto 81">
              <a:extLst>
                <a:ext uri="{FF2B5EF4-FFF2-40B4-BE49-F238E27FC236}">
                  <a16:creationId xmlns:a16="http://schemas.microsoft.com/office/drawing/2014/main" id="{00000000-0008-0000-0B00-000052000000}"/>
                </a:ext>
              </a:extLst>
            </xdr:cNvPr>
            <xdr:cNvSpPr txBox="1"/>
          </xdr:nvSpPr>
          <xdr:spPr>
            <a:xfrm>
              <a:off x="1224643" y="152876251"/>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𝑜𝑝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𝑘</m:t>
                                        </m:r>
                                      </m:e>
                                      <m:sub>
                                        <m:r>
                                          <a:rPr lang="es-ES" sz="1100" b="0" i="1">
                                            <a:latin typeface="Cambria Math" panose="02040503050406030204" pitchFamily="18" charset="0"/>
                                          </a:rPr>
                                          <m:t>𝑎𝑖𝑠</m:t>
                                        </m:r>
                                      </m:sub>
                                    </m:sSub>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d>
                      </m:den>
                    </m:f>
                  </m:oMath>
                </m:oMathPara>
              </a14:m>
              <a:endParaRPr lang="es-CL" sz="1100"/>
            </a:p>
          </xdr:txBody>
        </xdr:sp>
      </mc:Choice>
      <mc:Fallback xmlns="">
        <xdr:sp macro="" textlink="">
          <xdr:nvSpPr>
            <xdr:cNvPr id="82" name="CuadroTexto 81">
              <a:extLst>
                <a:ext uri="{FF2B5EF4-FFF2-40B4-BE49-F238E27FC236}">
                  <a16:creationId xmlns:a16="http://schemas.microsoft.com/office/drawing/2014/main" id="{2A149725-A450-4024-87D5-60C7AE1F6B7A}"/>
                </a:ext>
              </a:extLst>
            </xdr:cNvPr>
            <xdr:cNvSpPr txBox="1"/>
          </xdr:nvSpPr>
          <xdr:spPr>
            <a:xfrm>
              <a:off x="1224643" y="152876251"/>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𝑞=(3,1416∗(𝑇_𝑜𝑝−𝑇_𝑎))/((1/((2∗𝑘_𝑎𝑖𝑠 ) ))∗(𝑙𝑛 𝑑_𝑎/𝑑_𝑜 )+(1∗(ℎ_𝑠∗𝑑_𝑎 )) )</a:t>
              </a:r>
              <a:endParaRPr lang="es-CL" sz="1100"/>
            </a:p>
          </xdr:txBody>
        </xdr:sp>
      </mc:Fallback>
    </mc:AlternateContent>
    <xdr:clientData/>
  </xdr:oneCellAnchor>
  <xdr:oneCellAnchor>
    <xdr:from>
      <xdr:col>1</xdr:col>
      <xdr:colOff>94518</xdr:colOff>
      <xdr:row>776</xdr:row>
      <xdr:rowOff>168310</xdr:rowOff>
    </xdr:from>
    <xdr:ext cx="3879844" cy="678455"/>
    <mc:AlternateContent xmlns:mc="http://schemas.openxmlformats.org/markup-compatibility/2006" xmlns:a14="http://schemas.microsoft.com/office/drawing/2010/main">
      <mc:Choice Requires="a14">
        <xdr:sp macro="" textlink="">
          <xdr:nvSpPr>
            <xdr:cNvPr id="83" name="CuadroTexto 82">
              <a:extLst>
                <a:ext uri="{FF2B5EF4-FFF2-40B4-BE49-F238E27FC236}">
                  <a16:creationId xmlns:a16="http://schemas.microsoft.com/office/drawing/2014/main" id="{00000000-0008-0000-0B00-000053000000}"/>
                </a:ext>
              </a:extLst>
            </xdr:cNvPr>
            <xdr:cNvSpPr txBox="1"/>
          </xdr:nvSpPr>
          <xdr:spPr>
            <a:xfrm>
              <a:off x="1319161" y="153679560"/>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2∗50,2</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r>
                                          <a:rPr lang="es-ES" sz="1100" b="0" i="1">
                                            <a:latin typeface="Cambria Math" panose="02040503050406030204" pitchFamily="18" charset="0"/>
                                          </a:rPr>
                                          <m:t>𝑚𝐾</m:t>
                                        </m:r>
                                      </m:den>
                                    </m:f>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r>
                                  <a:rPr lang="es-ES" sz="1100" b="0" i="1">
                                    <a:latin typeface="Cambria Math" panose="02040503050406030204" pitchFamily="18" charset="0"/>
                                  </a:rPr>
                                  <m:t>0,0762</m:t>
                                </m:r>
                              </m:num>
                              <m:den>
                                <m:r>
                                  <a:rPr lang="es-ES" sz="1100" b="0" i="1">
                                    <a:latin typeface="Cambria Math" panose="02040503050406030204" pitchFamily="18" charset="0"/>
                                  </a:rPr>
                                  <m:t>0,0762</m:t>
                                </m:r>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r>
                              <a:rPr lang="es-ES" sz="1100" b="0" i="1">
                                <a:solidFill>
                                  <a:srgbClr val="FF0000"/>
                                </a:solidFill>
                                <a:latin typeface="Cambria Math" panose="02040503050406030204" pitchFamily="18" charset="0"/>
                              </a:rPr>
                              <m:t>+</m:t>
                            </m:r>
                            <m:d>
                              <m:dPr>
                                <m:ctrlPr>
                                  <a:rPr lang="es-ES" sz="1100" b="0" i="1">
                                    <a:latin typeface="Cambria Math" panose="02040503050406030204" pitchFamily="18" charset="0"/>
                                  </a:rPr>
                                </m:ctrlPr>
                              </m:dPr>
                              <m:e>
                                <m:r>
                                  <a:rPr lang="es-ES" sz="1100" b="0" i="1">
                                    <a:solidFill>
                                      <a:schemeClr val="tx1"/>
                                    </a:solidFill>
                                    <a:effectLst/>
                                    <a:latin typeface="Cambria Math" panose="02040503050406030204" pitchFamily="18" charset="0"/>
                                    <a:ea typeface="+mn-ea"/>
                                    <a:cs typeface="+mn-cs"/>
                                  </a:rPr>
                                  <m:t>8,9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∗0,0762</m:t>
                                </m:r>
                              </m:e>
                            </m:d>
                          </m:e>
                        </m:d>
                      </m:den>
                    </m:f>
                  </m:oMath>
                </m:oMathPara>
              </a14:m>
              <a:endParaRPr lang="es-CL" sz="1100"/>
            </a:p>
          </xdr:txBody>
        </xdr:sp>
      </mc:Choice>
      <mc:Fallback xmlns="">
        <xdr:sp macro="" textlink="">
          <xdr:nvSpPr>
            <xdr:cNvPr id="83" name="CuadroTexto 82">
              <a:extLst>
                <a:ext uri="{FF2B5EF4-FFF2-40B4-BE49-F238E27FC236}">
                  <a16:creationId xmlns:a16="http://schemas.microsoft.com/office/drawing/2014/main" id="{CE87A463-932C-4DBB-9B99-724FCFA61A3A}"/>
                </a:ext>
              </a:extLst>
            </xdr:cNvPr>
            <xdr:cNvSpPr txBox="1"/>
          </xdr:nvSpPr>
          <xdr:spPr>
            <a:xfrm>
              <a:off x="1319161" y="153679560"/>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𝑞=(3,1416∗(418,15 𝐾−303,15 𝐾))/((1/((2∗50,2 𝑊/𝑚𝐾) ))∗(𝑙𝑛 0,0762/0,0762)+(1</a:t>
              </a:r>
              <a:r>
                <a:rPr lang="es-ES" sz="1100" b="0" i="0">
                  <a:solidFill>
                    <a:srgbClr val="FF0000"/>
                  </a:solidFill>
                  <a:latin typeface="Cambria Math" panose="02040503050406030204" pitchFamily="18" charset="0"/>
                </a:rPr>
                <a:t>+(</a:t>
              </a:r>
              <a:r>
                <a:rPr lang="es-ES" sz="1100" b="0" i="0">
                  <a:solidFill>
                    <a:schemeClr val="tx1"/>
                  </a:solidFill>
                  <a:effectLst/>
                  <a:latin typeface="Cambria Math" panose="02040503050406030204" pitchFamily="18" charset="0"/>
                  <a:ea typeface="+mn-ea"/>
                  <a:cs typeface="+mn-cs"/>
                </a:rPr>
                <a:t>8,9 𝑊/(𝑚^2 𝐾)</a:t>
              </a:r>
              <a:r>
                <a:rPr lang="es-ES" sz="1100" b="0" i="0">
                  <a:latin typeface="Cambria Math" panose="02040503050406030204" pitchFamily="18" charset="0"/>
                </a:rPr>
                <a:t>∗0,0762)) )</a:t>
              </a:r>
              <a:endParaRPr lang="es-CL" sz="1100"/>
            </a:p>
          </xdr:txBody>
        </xdr:sp>
      </mc:Fallback>
    </mc:AlternateContent>
    <xdr:clientData/>
  </xdr:oneCellAnchor>
  <xdr:oneCellAnchor>
    <xdr:from>
      <xdr:col>1</xdr:col>
      <xdr:colOff>608135</xdr:colOff>
      <xdr:row>781</xdr:row>
      <xdr:rowOff>150726</xdr:rowOff>
    </xdr:from>
    <xdr:ext cx="841064" cy="316946"/>
    <mc:AlternateContent xmlns:mc="http://schemas.openxmlformats.org/markup-compatibility/2006" xmlns:a14="http://schemas.microsoft.com/office/drawing/2010/main">
      <mc:Choice Requires="a14">
        <xdr:sp macro="" textlink="">
          <xdr:nvSpPr>
            <xdr:cNvPr id="84" name="CuadroTexto 83">
              <a:extLst>
                <a:ext uri="{FF2B5EF4-FFF2-40B4-BE49-F238E27FC236}">
                  <a16:creationId xmlns:a16="http://schemas.microsoft.com/office/drawing/2014/main" id="{00000000-0008-0000-0B00-000054000000}"/>
                </a:ext>
              </a:extLst>
            </xdr:cNvPr>
            <xdr:cNvSpPr txBox="1"/>
          </xdr:nvSpPr>
          <xdr:spPr>
            <a:xfrm>
              <a:off x="1832778" y="154625815"/>
              <a:ext cx="841064"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=247,7</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oMath>
                </m:oMathPara>
              </a14:m>
              <a:endParaRPr lang="es-CL" sz="1100"/>
            </a:p>
          </xdr:txBody>
        </xdr:sp>
      </mc:Choice>
      <mc:Fallback xmlns="">
        <xdr:sp macro="" textlink="">
          <xdr:nvSpPr>
            <xdr:cNvPr id="84" name="CuadroTexto 83">
              <a:extLst>
                <a:ext uri="{FF2B5EF4-FFF2-40B4-BE49-F238E27FC236}">
                  <a16:creationId xmlns:a16="http://schemas.microsoft.com/office/drawing/2014/main" id="{6D219ED9-777D-4C2D-8963-91370D8C2E43}"/>
                </a:ext>
              </a:extLst>
            </xdr:cNvPr>
            <xdr:cNvSpPr txBox="1"/>
          </xdr:nvSpPr>
          <xdr:spPr>
            <a:xfrm>
              <a:off x="1832778" y="154625815"/>
              <a:ext cx="841064"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𝑞=247,7 𝐽/𝑠𝑚</a:t>
              </a:r>
              <a:endParaRPr lang="es-CL" sz="1100"/>
            </a:p>
          </xdr:txBody>
        </xdr:sp>
      </mc:Fallback>
    </mc:AlternateContent>
    <xdr:clientData/>
  </xdr:oneCellAnchor>
  <xdr:oneCellAnchor>
    <xdr:from>
      <xdr:col>1</xdr:col>
      <xdr:colOff>520211</xdr:colOff>
      <xdr:row>789</xdr:row>
      <xdr:rowOff>0</xdr:rowOff>
    </xdr:from>
    <xdr:ext cx="3159519" cy="455317"/>
    <mc:AlternateContent xmlns:mc="http://schemas.openxmlformats.org/markup-compatibility/2006" xmlns:a14="http://schemas.microsoft.com/office/drawing/2010/main">
      <mc:Choice Requires="a14">
        <xdr:sp macro="" textlink="">
          <xdr:nvSpPr>
            <xdr:cNvPr id="85" name="CuadroTexto 84">
              <a:extLst>
                <a:ext uri="{FF2B5EF4-FFF2-40B4-BE49-F238E27FC236}">
                  <a16:creationId xmlns:a16="http://schemas.microsoft.com/office/drawing/2014/main" id="{00000000-0008-0000-0B00-000055000000}"/>
                </a:ext>
              </a:extLst>
            </xdr:cNvPr>
            <xdr:cNvSpPr txBox="1"/>
          </xdr:nvSpPr>
          <xdr:spPr>
            <a:xfrm>
              <a:off x="1744854" y="156017232"/>
              <a:ext cx="3159519"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=247,7</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r>
                      <a:rPr lang="es-ES" sz="1100" b="0" i="1">
                        <a:latin typeface="Cambria Math" panose="02040503050406030204" pitchFamily="18" charset="0"/>
                      </a:rPr>
                      <m:t>∗0,2388</m:t>
                    </m:r>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1</m:t>
                        </m:r>
                        <m:r>
                          <a:rPr lang="es-ES" sz="1100" b="0" i="1">
                            <a:latin typeface="Cambria Math" panose="02040503050406030204" pitchFamily="18" charset="0"/>
                          </a:rPr>
                          <m:t>𝐽</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f>
                          <m:fPr>
                            <m:ctrlPr>
                              <a:rPr lang="es-ES" sz="1100" b="0" i="1">
                                <a:latin typeface="Cambria Math" panose="02040503050406030204" pitchFamily="18" charset="0"/>
                              </a:rPr>
                            </m:ctrlPr>
                          </m:fPr>
                          <m:num>
                            <m:r>
                              <a:rPr lang="es-ES" sz="1100" b="0" i="1">
                                <a:latin typeface="Cambria Math" panose="02040503050406030204" pitchFamily="18" charset="0"/>
                              </a:rPr>
                              <m:t>3600 </m:t>
                            </m:r>
                            <m:r>
                              <a:rPr lang="es-ES" sz="1100" b="0" i="1">
                                <a:latin typeface="Cambria Math" panose="02040503050406030204" pitchFamily="18" charset="0"/>
                              </a:rPr>
                              <m:t>𝑠</m:t>
                            </m:r>
                          </m:num>
                          <m:den>
                            <m:r>
                              <a:rPr lang="es-ES" sz="1100" b="0" i="1">
                                <a:latin typeface="Cambria Math" panose="02040503050406030204" pitchFamily="18" charset="0"/>
                              </a:rPr>
                              <m:t>1 </m:t>
                            </m:r>
                            <m:r>
                              <a:rPr lang="es-ES" sz="1100" b="0" i="1">
                                <a:latin typeface="Cambria Math" panose="02040503050406030204" pitchFamily="18" charset="0"/>
                              </a:rPr>
                              <m:t>h𝑜𝑟𝑎</m:t>
                            </m:r>
                          </m:den>
                        </m:f>
                      </m:num>
                      <m:den>
                        <m:r>
                          <a:rPr lang="es-ES" sz="1100" b="0" i="1">
                            <a:latin typeface="Cambria Math" panose="02040503050406030204" pitchFamily="18" charset="0"/>
                          </a:rPr>
                          <m:t>1000</m:t>
                        </m:r>
                      </m:den>
                    </m:f>
                    <m:r>
                      <a:rPr lang="es-ES" sz="1100" b="0" i="1">
                        <a:latin typeface="Cambria Math" panose="02040503050406030204" pitchFamily="18" charset="0"/>
                      </a:rPr>
                      <m:t>=212,96</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𝑚h</m:t>
                        </m:r>
                      </m:den>
                    </m:f>
                  </m:oMath>
                </m:oMathPara>
              </a14:m>
              <a:endParaRPr lang="es-CL" sz="1100"/>
            </a:p>
          </xdr:txBody>
        </xdr:sp>
      </mc:Choice>
      <mc:Fallback xmlns="">
        <xdr:sp macro="" textlink="">
          <xdr:nvSpPr>
            <xdr:cNvPr id="85" name="CuadroTexto 84">
              <a:extLst>
                <a:ext uri="{FF2B5EF4-FFF2-40B4-BE49-F238E27FC236}">
                  <a16:creationId xmlns:a16="http://schemas.microsoft.com/office/drawing/2014/main" id="{CDA0BCDC-F11C-4409-A57B-1ECC5E501641}"/>
                </a:ext>
              </a:extLst>
            </xdr:cNvPr>
            <xdr:cNvSpPr txBox="1"/>
          </xdr:nvSpPr>
          <xdr:spPr>
            <a:xfrm>
              <a:off x="1744854" y="156017232"/>
              <a:ext cx="3159519"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𝑞=247,7 𝐽/𝑠𝑚∗0,2388 𝑘𝑐𝑎𝑙/1𝐽∗((3600 𝑠)/(1 ℎ𝑜𝑟𝑎))/1000=212,96 𝐾𝑐𝑎𝑙/𝑚ℎ</a:t>
              </a:r>
              <a:endParaRPr lang="es-CL" sz="1100"/>
            </a:p>
          </xdr:txBody>
        </xdr:sp>
      </mc:Fallback>
    </mc:AlternateContent>
    <xdr:clientData/>
  </xdr:oneCellAnchor>
  <xdr:oneCellAnchor>
    <xdr:from>
      <xdr:col>1</xdr:col>
      <xdr:colOff>534865</xdr:colOff>
      <xdr:row>797</xdr:row>
      <xdr:rowOff>7327</xdr:rowOff>
    </xdr:from>
    <xdr:ext cx="2721964" cy="321370"/>
    <mc:AlternateContent xmlns:mc="http://schemas.openxmlformats.org/markup-compatibility/2006" xmlns:a14="http://schemas.microsoft.com/office/drawing/2010/main">
      <mc:Choice Requires="a14">
        <xdr:sp macro="" textlink="">
          <xdr:nvSpPr>
            <xdr:cNvPr id="86" name="CuadroTexto 85">
              <a:extLst>
                <a:ext uri="{FF2B5EF4-FFF2-40B4-BE49-F238E27FC236}">
                  <a16:creationId xmlns:a16="http://schemas.microsoft.com/office/drawing/2014/main" id="{00000000-0008-0000-0B00-000056000000}"/>
                </a:ext>
              </a:extLst>
            </xdr:cNvPr>
            <xdr:cNvSpPr txBox="1"/>
          </xdr:nvSpPr>
          <xdr:spPr>
            <a:xfrm>
              <a:off x="1759508" y="157566702"/>
              <a:ext cx="2721964"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=212,96</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𝑚h</m:t>
                        </m:r>
                      </m:den>
                    </m:f>
                    <m:r>
                      <a:rPr lang="es-ES" sz="1100" b="0" i="1">
                        <a:latin typeface="Cambria Math" panose="02040503050406030204" pitchFamily="18" charset="0"/>
                      </a:rPr>
                      <m:t>∗13,65 </m:t>
                    </m:r>
                    <m:r>
                      <a:rPr lang="es-ES" sz="1100" b="0" i="1">
                        <a:latin typeface="Cambria Math" panose="02040503050406030204" pitchFamily="18" charset="0"/>
                      </a:rPr>
                      <m:t>𝑚</m:t>
                    </m:r>
                    <m:r>
                      <a:rPr lang="es-ES" sz="1100" b="0" i="1">
                        <a:latin typeface="Cambria Math" panose="02040503050406030204" pitchFamily="18" charset="0"/>
                      </a:rPr>
                      <m:t>=2613,04</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h</m:t>
                        </m:r>
                      </m:den>
                    </m:f>
                    <m:r>
                      <a:rPr lang="es-ES" sz="1100" b="0" i="1">
                        <a:latin typeface="Cambria Math" panose="02040503050406030204" pitchFamily="18" charset="0"/>
                      </a:rPr>
                      <m:t> </m:t>
                    </m:r>
                  </m:oMath>
                </m:oMathPara>
              </a14:m>
              <a:endParaRPr lang="es-CL" sz="1100"/>
            </a:p>
          </xdr:txBody>
        </xdr:sp>
      </mc:Choice>
      <mc:Fallback xmlns="">
        <xdr:sp macro="" textlink="">
          <xdr:nvSpPr>
            <xdr:cNvPr id="86" name="CuadroTexto 85">
              <a:extLst>
                <a:ext uri="{FF2B5EF4-FFF2-40B4-BE49-F238E27FC236}">
                  <a16:creationId xmlns:a16="http://schemas.microsoft.com/office/drawing/2014/main" id="{3E25BC20-D0BA-4603-B0B3-7D805AA7CCDF}"/>
                </a:ext>
              </a:extLst>
            </xdr:cNvPr>
            <xdr:cNvSpPr txBox="1"/>
          </xdr:nvSpPr>
          <xdr:spPr>
            <a:xfrm>
              <a:off x="1759508" y="157566702"/>
              <a:ext cx="2721964"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a:t>
              </a:r>
              <a:r>
                <a:rPr lang="es-CL" sz="1100" b="0" i="0">
                  <a:latin typeface="Cambria Math" panose="02040503050406030204" pitchFamily="18" charset="0"/>
                </a:rPr>
                <a:t>_</a:t>
              </a:r>
              <a:r>
                <a:rPr lang="es-ES" sz="1100" b="0" i="0">
                  <a:latin typeface="Cambria Math" panose="02040503050406030204" pitchFamily="18" charset="0"/>
                </a:rPr>
                <a:t>𝑡=212,96 𝐾𝑐𝑎𝑙/𝑚ℎ∗13,65 𝑚=2613,04</a:t>
              </a:r>
              <a:r>
                <a:rPr lang="es-ES" sz="1100" b="0" i="0">
                  <a:solidFill>
                    <a:schemeClr val="tx1"/>
                  </a:solidFill>
                  <a:effectLst/>
                  <a:latin typeface="Cambria Math" panose="02040503050406030204" pitchFamily="18" charset="0"/>
                  <a:ea typeface="+mn-ea"/>
                  <a:cs typeface="+mn-cs"/>
                </a:rPr>
                <a:t> 𝐾𝑐𝑎𝑙/ℎ </a:t>
              </a:r>
              <a:r>
                <a:rPr lang="es-ES" sz="1100" b="0" i="0">
                  <a:latin typeface="Cambria Math" panose="02040503050406030204" pitchFamily="18" charset="0"/>
                </a:rPr>
                <a:t> </a:t>
              </a:r>
              <a:endParaRPr lang="es-CL" sz="1100"/>
            </a:p>
          </xdr:txBody>
        </xdr:sp>
      </mc:Fallback>
    </mc:AlternateContent>
    <xdr:clientData/>
  </xdr:oneCellAnchor>
  <xdr:oneCellAnchor>
    <xdr:from>
      <xdr:col>1</xdr:col>
      <xdr:colOff>0</xdr:colOff>
      <xdr:row>804</xdr:row>
      <xdr:rowOff>183173</xdr:rowOff>
    </xdr:from>
    <xdr:ext cx="3309817" cy="173766"/>
    <mc:AlternateContent xmlns:mc="http://schemas.openxmlformats.org/markup-compatibility/2006" xmlns:a14="http://schemas.microsoft.com/office/drawing/2010/main">
      <mc:Choice Requires="a14">
        <xdr:sp macro="" textlink="">
          <xdr:nvSpPr>
            <xdr:cNvPr id="87" name="CuadroTexto 86">
              <a:extLst>
                <a:ext uri="{FF2B5EF4-FFF2-40B4-BE49-F238E27FC236}">
                  <a16:creationId xmlns:a16="http://schemas.microsoft.com/office/drawing/2014/main" id="{00000000-0008-0000-0B00-000057000000}"/>
                </a:ext>
              </a:extLst>
            </xdr:cNvPr>
            <xdr:cNvSpPr txBox="1"/>
          </xdr:nvSpPr>
          <xdr:spPr>
            <a:xfrm>
              <a:off x="1224643" y="159091923"/>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m:t>
                    </m:r>
                    <m:r>
                      <a:rPr lang="es-ES" sz="1100" b="0" i="1">
                        <a:latin typeface="Cambria Math" panose="02040503050406030204" pitchFamily="18" charset="0"/>
                      </a:rPr>
                      <m:t>h𝑜𝑟𝑎𝑠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𝑜𝑝𝑒𝑟𝑎𝑐𝑖</m:t>
                    </m:r>
                    <m:r>
                      <a:rPr lang="es-ES" sz="1100" b="0" i="1">
                        <a:latin typeface="Cambria Math" panose="02040503050406030204" pitchFamily="18" charset="0"/>
                      </a:rPr>
                      <m:t>ó</m:t>
                    </m:r>
                    <m:r>
                      <a:rPr lang="es-ES" sz="1100" b="0" i="1">
                        <a:latin typeface="Cambria Math" panose="02040503050406030204" pitchFamily="18" charset="0"/>
                      </a:rPr>
                      <m:t>𝑛</m:t>
                    </m:r>
                  </m:oMath>
                </m:oMathPara>
              </a14:m>
              <a:endParaRPr lang="es-CL" sz="1100"/>
            </a:p>
          </xdr:txBody>
        </xdr:sp>
      </mc:Choice>
      <mc:Fallback xmlns="">
        <xdr:sp macro="" textlink="">
          <xdr:nvSpPr>
            <xdr:cNvPr id="87" name="CuadroTexto 86">
              <a:extLst>
                <a:ext uri="{FF2B5EF4-FFF2-40B4-BE49-F238E27FC236}">
                  <a16:creationId xmlns:a16="http://schemas.microsoft.com/office/drawing/2014/main" id="{B4EB9F0E-1C57-4E25-B72C-3074630098A4}"/>
                </a:ext>
              </a:extLst>
            </xdr:cNvPr>
            <xdr:cNvSpPr txBox="1"/>
          </xdr:nvSpPr>
          <xdr:spPr>
            <a:xfrm>
              <a:off x="1224643" y="159091923"/>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𝑃é𝑟𝑑𝑖𝑑𝑎𝑠 𝑡𝑜𝑡𝑎𝑙𝑒𝑠 𝑎𝑛𝑢𝑎𝑙𝑒𝑠= 𝑞_𝑡∗ℎ𝑜𝑟𝑎𝑠 𝑑𝑒 𝑜𝑝𝑒𝑟𝑎𝑐𝑖ó𝑛</a:t>
              </a:r>
              <a:endParaRPr lang="es-CL" sz="1100"/>
            </a:p>
          </xdr:txBody>
        </xdr:sp>
      </mc:Fallback>
    </mc:AlternateContent>
    <xdr:clientData/>
  </xdr:oneCellAnchor>
  <xdr:oneCellAnchor>
    <xdr:from>
      <xdr:col>1</xdr:col>
      <xdr:colOff>21248</xdr:colOff>
      <xdr:row>806</xdr:row>
      <xdr:rowOff>105508</xdr:rowOff>
    </xdr:from>
    <xdr:ext cx="4489562" cy="243785"/>
    <mc:AlternateContent xmlns:mc="http://schemas.openxmlformats.org/markup-compatibility/2006" xmlns:a14="http://schemas.microsoft.com/office/drawing/2010/main">
      <mc:Choice Requires="a14">
        <xdr:sp macro="" textlink="">
          <xdr:nvSpPr>
            <xdr:cNvPr id="88" name="CuadroTexto 87">
              <a:extLst>
                <a:ext uri="{FF2B5EF4-FFF2-40B4-BE49-F238E27FC236}">
                  <a16:creationId xmlns:a16="http://schemas.microsoft.com/office/drawing/2014/main" id="{00000000-0008-0000-0B00-000058000000}"/>
                </a:ext>
              </a:extLst>
            </xdr:cNvPr>
            <xdr:cNvSpPr txBox="1"/>
          </xdr:nvSpPr>
          <xdr:spPr>
            <a:xfrm>
              <a:off x="1245891" y="159399794"/>
              <a:ext cx="4489562" cy="243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=2906,93</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h</m:t>
                      </m:r>
                    </m:den>
                  </m:f>
                  <m:r>
                    <a:rPr lang="es-ES" sz="1100" b="0" i="1">
                      <a:latin typeface="Cambria Math" panose="02040503050406030204" pitchFamily="18" charset="0"/>
                    </a:rPr>
                    <m:t>∗1.040</m:t>
                  </m:r>
                  <m:f>
                    <m:fPr>
                      <m:ctrlPr>
                        <a:rPr lang="es-ES" sz="1100" b="0" i="1">
                          <a:latin typeface="Cambria Math" panose="02040503050406030204" pitchFamily="18" charset="0"/>
                        </a:rPr>
                      </m:ctrlPr>
                    </m:fPr>
                    <m:num>
                      <m:r>
                        <a:rPr lang="es-ES" sz="1100" b="0" i="1">
                          <a:latin typeface="Cambria Math" panose="02040503050406030204" pitchFamily="18" charset="0"/>
                        </a:rPr>
                        <m:t>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=2.717.564,56</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 </m:t>
                  </m:r>
                </m:oMath>
              </a14:m>
              <a:r>
                <a:rPr lang="es-CL" sz="1100"/>
                <a:t> </a:t>
              </a:r>
            </a:p>
          </xdr:txBody>
        </xdr:sp>
      </mc:Choice>
      <mc:Fallback xmlns="">
        <xdr:sp macro="" textlink="">
          <xdr:nvSpPr>
            <xdr:cNvPr id="88" name="CuadroTexto 87">
              <a:extLst>
                <a:ext uri="{FF2B5EF4-FFF2-40B4-BE49-F238E27FC236}">
                  <a16:creationId xmlns:a16="http://schemas.microsoft.com/office/drawing/2014/main" id="{1D713C07-4F70-44D4-B194-177ACF9C7A0C}"/>
                </a:ext>
              </a:extLst>
            </xdr:cNvPr>
            <xdr:cNvSpPr txBox="1"/>
          </xdr:nvSpPr>
          <xdr:spPr>
            <a:xfrm>
              <a:off x="1245891" y="159399794"/>
              <a:ext cx="4489562" cy="243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𝑃é𝑟𝑑𝑖𝑑𝑎𝑠 𝑡𝑜𝑡𝑎𝑙𝑒𝑠 𝑎𝑛𝑢𝑎𝑙𝑒𝑠=2906,93 𝐾𝑐𝑎𝑙/ℎ∗1.040 ℎ/𝑎ñ𝑜=2.717.564,56</a:t>
              </a:r>
              <a:r>
                <a:rPr lang="es-ES" sz="1100" b="0" i="0">
                  <a:solidFill>
                    <a:schemeClr val="tx1"/>
                  </a:solidFill>
                  <a:effectLst/>
                  <a:latin typeface="Cambria Math" panose="02040503050406030204" pitchFamily="18" charset="0"/>
                  <a:ea typeface="+mn-ea"/>
                  <a:cs typeface="+mn-cs"/>
                </a:rPr>
                <a:t> 𝐾𝑐𝑎𝑙/𝑎ñ𝑜  </a:t>
              </a:r>
              <a:r>
                <a:rPr lang="es-CL" sz="1100"/>
                <a:t> </a:t>
              </a:r>
            </a:p>
          </xdr:txBody>
        </xdr:sp>
      </mc:Fallback>
    </mc:AlternateContent>
    <xdr:clientData/>
  </xdr:oneCellAnchor>
  <xdr:oneCellAnchor>
    <xdr:from>
      <xdr:col>2</xdr:col>
      <xdr:colOff>912680</xdr:colOff>
      <xdr:row>843</xdr:row>
      <xdr:rowOff>22678</xdr:rowOff>
    </xdr:from>
    <xdr:ext cx="1849674" cy="344453"/>
    <mc:AlternateContent xmlns:mc="http://schemas.openxmlformats.org/markup-compatibility/2006" xmlns:a14="http://schemas.microsoft.com/office/drawing/2010/main">
      <mc:Choice Requires="a14">
        <xdr:sp macro="" textlink="">
          <xdr:nvSpPr>
            <xdr:cNvPr id="89" name="CuadroTexto 88">
              <a:extLst>
                <a:ext uri="{FF2B5EF4-FFF2-40B4-BE49-F238E27FC236}">
                  <a16:creationId xmlns:a16="http://schemas.microsoft.com/office/drawing/2014/main" id="{00000000-0008-0000-0B00-000059000000}"/>
                </a:ext>
              </a:extLst>
            </xdr:cNvPr>
            <xdr:cNvSpPr txBox="1"/>
          </xdr:nvSpPr>
          <xdr:spPr>
            <a:xfrm>
              <a:off x="4597948" y="166449374"/>
              <a:ext cx="1849674"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f>
                          <m:fPr>
                            <m:ctrlPr>
                              <a:rPr lang="es-CL" sz="110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sub>
                        <m:r>
                          <a:rPr lang="es-ES" sz="1100" b="0" i="1">
                            <a:latin typeface="Cambria Math" panose="02040503050406030204" pitchFamily="18" charset="0"/>
                          </a:rPr>
                          <m:t>𝑡𝑜𝑡𝑎𝑙𝑒𝑠</m:t>
                        </m:r>
                      </m:sub>
                    </m:sSub>
                    <m:r>
                      <a:rPr lang="es-ES" sz="1100" b="0" i="1">
                        <a:latin typeface="Cambria Math" panose="02040503050406030204" pitchFamily="18" charset="0"/>
                      </a:rPr>
                      <m:t>=</m:t>
                    </m:r>
                    <m:sSub>
                      <m:sSubPr>
                        <m:ctrlPr>
                          <a:rPr lang="es-CL" sz="1100" i="1">
                            <a:solidFill>
                              <a:schemeClr val="tx1"/>
                            </a:solidFill>
                            <a:effectLst/>
                            <a:latin typeface="Cambria Math" panose="02040503050406030204" pitchFamily="18" charset="0"/>
                            <a:ea typeface="+mn-ea"/>
                            <a:cs typeface="+mn-cs"/>
                          </a:rPr>
                        </m:ctrlPr>
                      </m:sSubPr>
                      <m:e>
                        <m:f>
                          <m:fPr>
                            <m:ctrlPr>
                              <a:rPr lang="es-CL" sz="110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𝑘𝑐𝑎𝑙</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sub>
                        <m:r>
                          <a:rPr lang="es-ES" sz="1100" b="0" i="1">
                            <a:solidFill>
                              <a:schemeClr val="tx1"/>
                            </a:solidFill>
                            <a:effectLst/>
                            <a:latin typeface="Cambria Math" panose="02040503050406030204" pitchFamily="18" charset="0"/>
                            <a:ea typeface="+mn-ea"/>
                            <a:cs typeface="+mn-cs"/>
                          </a:rPr>
                          <m:t>3"</m:t>
                        </m:r>
                      </m:sub>
                    </m:sSub>
                    <m:r>
                      <a:rPr lang="es-ES" sz="1100" b="0" i="1">
                        <a:solidFill>
                          <a:schemeClr val="tx1"/>
                        </a:solidFill>
                        <a:effectLst/>
                        <a:latin typeface="Cambria Math" panose="02040503050406030204" pitchFamily="18" charset="0"/>
                        <a:ea typeface="+mn-ea"/>
                        <a:cs typeface="+mn-cs"/>
                      </a:rPr>
                      <m:t>+ </m:t>
                    </m:r>
                    <m:sSub>
                      <m:sSubPr>
                        <m:ctrlPr>
                          <a:rPr lang="es-CL" sz="1100" i="1">
                            <a:solidFill>
                              <a:schemeClr val="tx1"/>
                            </a:solidFill>
                            <a:effectLst/>
                            <a:latin typeface="Cambria Math" panose="02040503050406030204" pitchFamily="18" charset="0"/>
                            <a:ea typeface="+mn-ea"/>
                            <a:cs typeface="+mn-cs"/>
                          </a:rPr>
                        </m:ctrlPr>
                      </m:sSubPr>
                      <m:e>
                        <m:f>
                          <m:fPr>
                            <m:ctrlPr>
                              <a:rPr lang="es-CL" sz="110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𝑘𝑐𝑎𝑙</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e>
                      <m:sub>
                        <m:r>
                          <a:rPr lang="es-ES" sz="1100" b="0" i="1">
                            <a:solidFill>
                              <a:schemeClr val="tx1"/>
                            </a:solidFill>
                            <a:effectLst/>
                            <a:latin typeface="Cambria Math" panose="02040503050406030204" pitchFamily="18" charset="0"/>
                            <a:ea typeface="+mn-ea"/>
                            <a:cs typeface="+mn-cs"/>
                          </a:rPr>
                          <m:t>4"</m:t>
                        </m:r>
                      </m:sub>
                    </m:sSub>
                  </m:oMath>
                </m:oMathPara>
              </a14:m>
              <a:endParaRPr lang="es-CL" sz="1100"/>
            </a:p>
          </xdr:txBody>
        </xdr:sp>
      </mc:Choice>
      <mc:Fallback xmlns="">
        <xdr:sp macro="" textlink="">
          <xdr:nvSpPr>
            <xdr:cNvPr id="89" name="CuadroTexto 88">
              <a:extLst>
                <a:ext uri="{FF2B5EF4-FFF2-40B4-BE49-F238E27FC236}">
                  <a16:creationId xmlns:a16="http://schemas.microsoft.com/office/drawing/2014/main" id="{2F404205-F723-4E66-BB7C-19782DB20061}"/>
                </a:ext>
              </a:extLst>
            </xdr:cNvPr>
            <xdr:cNvSpPr txBox="1"/>
          </xdr:nvSpPr>
          <xdr:spPr>
            <a:xfrm>
              <a:off x="4597948" y="166449374"/>
              <a:ext cx="1849674"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𝑘𝑐𝑎𝑙</a:t>
              </a:r>
              <a:r>
                <a:rPr lang="es-CL" sz="1100" b="0" i="0">
                  <a:latin typeface="Cambria Math" panose="02040503050406030204" pitchFamily="18" charset="0"/>
                </a:rPr>
                <a:t>/</a:t>
              </a:r>
              <a:r>
                <a:rPr lang="es-ES" sz="1100" b="0" i="0">
                  <a:latin typeface="Cambria Math" panose="02040503050406030204" pitchFamily="18" charset="0"/>
                </a:rPr>
                <a:t>𝑎ñ𝑜</a:t>
              </a:r>
              <a:r>
                <a:rPr lang="es-CL" sz="1100" b="0" i="0">
                  <a:latin typeface="Cambria Math" panose="02040503050406030204" pitchFamily="18" charset="0"/>
                </a:rPr>
                <a:t>〗_</a:t>
              </a:r>
              <a:r>
                <a:rPr lang="es-ES" sz="1100" b="0" i="0">
                  <a:latin typeface="Cambria Math" panose="02040503050406030204" pitchFamily="18" charset="0"/>
                </a:rPr>
                <a:t>𝑡𝑜𝑡𝑎𝑙𝑒𝑠=</a:t>
              </a:r>
              <a:r>
                <a:rPr lang="es-CL" sz="110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panose="02040503050406030204" pitchFamily="18" charset="0"/>
                  <a:ea typeface="+mn-ea"/>
                  <a:cs typeface="+mn-cs"/>
                </a:rPr>
                <a:t>𝑘𝑐𝑎𝑙</a:t>
              </a:r>
              <a:r>
                <a:rPr lang="es-CL"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panose="02040503050406030204" pitchFamily="18" charset="0"/>
                  <a:ea typeface="+mn-ea"/>
                  <a:cs typeface="+mn-cs"/>
                </a:rPr>
                <a:t>𝑎ñ𝑜</a:t>
              </a:r>
              <a:r>
                <a:rPr lang="es-CL" sz="1100" b="0" i="0">
                  <a:solidFill>
                    <a:schemeClr val="tx1"/>
                  </a:solidFill>
                  <a:effectLst/>
                  <a:latin typeface="Cambria Math" panose="02040503050406030204" pitchFamily="18" charset="0"/>
                  <a:ea typeface="+mn-ea"/>
                  <a:cs typeface="+mn-cs"/>
                </a:rPr>
                <a:t>〗_</a:t>
              </a:r>
              <a:r>
                <a:rPr lang="es-ES" sz="1100" b="0" i="0">
                  <a:solidFill>
                    <a:schemeClr val="tx1"/>
                  </a:solidFill>
                  <a:effectLst/>
                  <a:latin typeface="Cambria Math" panose="02040503050406030204" pitchFamily="18" charset="0"/>
                  <a:ea typeface="+mn-ea"/>
                  <a:cs typeface="+mn-cs"/>
                </a:rPr>
                <a:t>3"+ </a:t>
              </a:r>
              <a:r>
                <a:rPr lang="es-CL" sz="110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panose="02040503050406030204" pitchFamily="18" charset="0"/>
                  <a:ea typeface="+mn-ea"/>
                  <a:cs typeface="+mn-cs"/>
                </a:rPr>
                <a:t>𝑘𝑐𝑎𝑙</a:t>
              </a:r>
              <a:r>
                <a:rPr lang="es-CL"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Cambria Math" panose="02040503050406030204" pitchFamily="18" charset="0"/>
                  <a:ea typeface="+mn-ea"/>
                  <a:cs typeface="+mn-cs"/>
                </a:rPr>
                <a:t>𝑎ñ𝑜</a:t>
              </a:r>
              <a:r>
                <a:rPr lang="es-CL" sz="1100" b="0" i="0">
                  <a:solidFill>
                    <a:schemeClr val="tx1"/>
                  </a:solidFill>
                  <a:effectLst/>
                  <a:latin typeface="Cambria Math" panose="02040503050406030204" pitchFamily="18" charset="0"/>
                  <a:ea typeface="+mn-ea"/>
                  <a:cs typeface="+mn-cs"/>
                </a:rPr>
                <a:t>〗_</a:t>
              </a:r>
              <a:r>
                <a:rPr lang="es-ES" sz="1100" b="0" i="0">
                  <a:solidFill>
                    <a:schemeClr val="tx1"/>
                  </a:solidFill>
                  <a:effectLst/>
                  <a:latin typeface="Cambria Math" panose="02040503050406030204" pitchFamily="18" charset="0"/>
                  <a:ea typeface="+mn-ea"/>
                  <a:cs typeface="+mn-cs"/>
                </a:rPr>
                <a:t>4"</a:t>
              </a:r>
              <a:endParaRPr lang="es-CL" sz="1100"/>
            </a:p>
          </xdr:txBody>
        </xdr:sp>
      </mc:Fallback>
    </mc:AlternateContent>
    <xdr:clientData/>
  </xdr:oneCellAnchor>
  <xdr:oneCellAnchor>
    <xdr:from>
      <xdr:col>2</xdr:col>
      <xdr:colOff>842434</xdr:colOff>
      <xdr:row>846</xdr:row>
      <xdr:rowOff>71495</xdr:rowOff>
    </xdr:from>
    <xdr:ext cx="3212354" cy="344453"/>
    <mc:AlternateContent xmlns:mc="http://schemas.openxmlformats.org/markup-compatibility/2006" xmlns:a14="http://schemas.microsoft.com/office/drawing/2010/main">
      <mc:Choice Requires="a14">
        <xdr:sp macro="" textlink="">
          <xdr:nvSpPr>
            <xdr:cNvPr id="90" name="CuadroTexto 89">
              <a:extLst>
                <a:ext uri="{FF2B5EF4-FFF2-40B4-BE49-F238E27FC236}">
                  <a16:creationId xmlns:a16="http://schemas.microsoft.com/office/drawing/2014/main" id="{00000000-0008-0000-0B00-00005A000000}"/>
                </a:ext>
              </a:extLst>
            </xdr:cNvPr>
            <xdr:cNvSpPr txBox="1"/>
          </xdr:nvSpPr>
          <xdr:spPr>
            <a:xfrm>
              <a:off x="4527702" y="167076495"/>
              <a:ext cx="3212354"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f>
                          <m:fPr>
                            <m:ctrlPr>
                              <a:rPr lang="es-CL" sz="110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sub>
                        <m:r>
                          <a:rPr lang="es-ES" sz="1100" b="0" i="1">
                            <a:latin typeface="Cambria Math" panose="02040503050406030204" pitchFamily="18" charset="0"/>
                          </a:rPr>
                          <m:t>𝑡𝑜𝑡𝑎𝑙𝑒𝑠</m:t>
                        </m:r>
                      </m:sub>
                    </m:sSub>
                    <m:r>
                      <a:rPr lang="es-ES" sz="1100" b="0" i="1">
                        <a:latin typeface="Cambria Math" panose="02040503050406030204" pitchFamily="18" charset="0"/>
                      </a:rPr>
                      <m:t>=2.176.290,17</m:t>
                    </m:r>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solidFill>
                          <a:schemeClr val="tx1"/>
                        </a:solidFill>
                        <a:effectLst/>
                        <a:latin typeface="Cambria Math" panose="02040503050406030204" pitchFamily="18" charset="0"/>
                        <a:ea typeface="+mn-ea"/>
                        <a:cs typeface="+mn-cs"/>
                      </a:rPr>
                      <m:t>+ 2.421.056,30</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𝑘𝑐𝑎𝑙</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oMath>
                </m:oMathPara>
              </a14:m>
              <a:endParaRPr lang="es-CL" sz="1100"/>
            </a:p>
          </xdr:txBody>
        </xdr:sp>
      </mc:Choice>
      <mc:Fallback xmlns="">
        <xdr:sp macro="" textlink="">
          <xdr:nvSpPr>
            <xdr:cNvPr id="90" name="CuadroTexto 89">
              <a:extLst>
                <a:ext uri="{FF2B5EF4-FFF2-40B4-BE49-F238E27FC236}">
                  <a16:creationId xmlns:a16="http://schemas.microsoft.com/office/drawing/2014/main" id="{C449B1E9-9E9D-409B-8924-0463598EBC85}"/>
                </a:ext>
              </a:extLst>
            </xdr:cNvPr>
            <xdr:cNvSpPr txBox="1"/>
          </xdr:nvSpPr>
          <xdr:spPr>
            <a:xfrm>
              <a:off x="4527702" y="167076495"/>
              <a:ext cx="3212354"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𝑘𝑐𝑎𝑙</a:t>
              </a:r>
              <a:r>
                <a:rPr lang="es-CL" sz="1100" b="0" i="0">
                  <a:latin typeface="Cambria Math" panose="02040503050406030204" pitchFamily="18" charset="0"/>
                </a:rPr>
                <a:t>/</a:t>
              </a:r>
              <a:r>
                <a:rPr lang="es-ES" sz="1100" b="0" i="0">
                  <a:latin typeface="Cambria Math" panose="02040503050406030204" pitchFamily="18" charset="0"/>
                </a:rPr>
                <a:t>𝑎ñ𝑜</a:t>
              </a:r>
              <a:r>
                <a:rPr lang="es-CL" sz="1100" b="0" i="0">
                  <a:latin typeface="Cambria Math" panose="02040503050406030204" pitchFamily="18" charset="0"/>
                </a:rPr>
                <a:t>〗_</a:t>
              </a:r>
              <a:r>
                <a:rPr lang="es-ES" sz="1100" b="0" i="0">
                  <a:latin typeface="Cambria Math" panose="02040503050406030204" pitchFamily="18" charset="0"/>
                </a:rPr>
                <a:t>𝑡𝑜𝑡𝑎𝑙𝑒𝑠=2.176.290,17 𝑘𝑐𝑎𝑙/𝑎ñ𝑜</a:t>
              </a:r>
              <a:r>
                <a:rPr lang="es-ES" sz="1100" b="0" i="0">
                  <a:solidFill>
                    <a:schemeClr val="tx1"/>
                  </a:solidFill>
                  <a:effectLst/>
                  <a:latin typeface="Cambria Math" panose="02040503050406030204" pitchFamily="18" charset="0"/>
                  <a:ea typeface="+mn-ea"/>
                  <a:cs typeface="+mn-cs"/>
                </a:rPr>
                <a:t>+ 2.421.056,30 𝑘𝑐𝑎𝑙/𝑎ñ𝑜</a:t>
              </a:r>
              <a:endParaRPr lang="es-CL" sz="1100"/>
            </a:p>
          </xdr:txBody>
        </xdr:sp>
      </mc:Fallback>
    </mc:AlternateContent>
    <xdr:clientData/>
  </xdr:oneCellAnchor>
  <xdr:oneCellAnchor>
    <xdr:from>
      <xdr:col>2</xdr:col>
      <xdr:colOff>794809</xdr:colOff>
      <xdr:row>849</xdr:row>
      <xdr:rowOff>52445</xdr:rowOff>
    </xdr:from>
    <xdr:ext cx="1929631" cy="344453"/>
    <mc:AlternateContent xmlns:mc="http://schemas.openxmlformats.org/markup-compatibility/2006" xmlns:a14="http://schemas.microsoft.com/office/drawing/2010/main">
      <mc:Choice Requires="a14">
        <xdr:sp macro="" textlink="">
          <xdr:nvSpPr>
            <xdr:cNvPr id="91" name="CuadroTexto 90">
              <a:extLst>
                <a:ext uri="{FF2B5EF4-FFF2-40B4-BE49-F238E27FC236}">
                  <a16:creationId xmlns:a16="http://schemas.microsoft.com/office/drawing/2014/main" id="{00000000-0008-0000-0B00-00005B000000}"/>
                </a:ext>
              </a:extLst>
            </xdr:cNvPr>
            <xdr:cNvSpPr txBox="1"/>
          </xdr:nvSpPr>
          <xdr:spPr>
            <a:xfrm>
              <a:off x="4480077" y="167635749"/>
              <a:ext cx="1929631"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f>
                          <m:fPr>
                            <m:ctrlPr>
                              <a:rPr lang="es-CL" sz="110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e>
                      <m:sub>
                        <m:r>
                          <a:rPr lang="es-ES" sz="1100" b="0" i="1">
                            <a:latin typeface="Cambria Math" panose="02040503050406030204" pitchFamily="18" charset="0"/>
                          </a:rPr>
                          <m:t>𝑡𝑜𝑡𝑎𝑙𝑒𝑠</m:t>
                        </m:r>
                      </m:sub>
                    </m:sSub>
                    <m:r>
                      <a:rPr lang="es-ES" sz="1100" b="0" i="1">
                        <a:latin typeface="Cambria Math" panose="02040503050406030204" pitchFamily="18" charset="0"/>
                      </a:rPr>
                      <m:t>=4.597.346,47</m:t>
                    </m:r>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91" name="CuadroTexto 90">
              <a:extLst>
                <a:ext uri="{FF2B5EF4-FFF2-40B4-BE49-F238E27FC236}">
                  <a16:creationId xmlns:a16="http://schemas.microsoft.com/office/drawing/2014/main" id="{31DE24E7-97F2-4287-BFA8-F4B55F1CB12F}"/>
                </a:ext>
              </a:extLst>
            </xdr:cNvPr>
            <xdr:cNvSpPr txBox="1"/>
          </xdr:nvSpPr>
          <xdr:spPr>
            <a:xfrm>
              <a:off x="4480077" y="167635749"/>
              <a:ext cx="1929631"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L" sz="1100" i="0">
                  <a:latin typeface="Cambria Math" panose="02040503050406030204" pitchFamily="18" charset="0"/>
                </a:rPr>
                <a:t>〖</a:t>
              </a:r>
              <a:r>
                <a:rPr lang="es-ES" sz="1100" b="0" i="0">
                  <a:latin typeface="Cambria Math" panose="02040503050406030204" pitchFamily="18" charset="0"/>
                </a:rPr>
                <a:t>𝑘𝑐𝑎𝑙</a:t>
              </a:r>
              <a:r>
                <a:rPr lang="es-CL" sz="1100" b="0" i="0">
                  <a:latin typeface="Cambria Math" panose="02040503050406030204" pitchFamily="18" charset="0"/>
                </a:rPr>
                <a:t>/</a:t>
              </a:r>
              <a:r>
                <a:rPr lang="es-ES" sz="1100" b="0" i="0">
                  <a:latin typeface="Cambria Math" panose="02040503050406030204" pitchFamily="18" charset="0"/>
                </a:rPr>
                <a:t>𝑎ñ𝑜</a:t>
              </a:r>
              <a:r>
                <a:rPr lang="es-CL" sz="1100" b="0" i="0">
                  <a:latin typeface="Cambria Math" panose="02040503050406030204" pitchFamily="18" charset="0"/>
                </a:rPr>
                <a:t>〗_</a:t>
              </a:r>
              <a:r>
                <a:rPr lang="es-ES" sz="1100" b="0" i="0">
                  <a:latin typeface="Cambria Math" panose="02040503050406030204" pitchFamily="18" charset="0"/>
                </a:rPr>
                <a:t>𝑡𝑜𝑡𝑎𝑙𝑒𝑠=4.597.346,47 𝑘𝑐𝑎𝑙/𝑎ñ𝑜</a:t>
              </a:r>
              <a:endParaRPr lang="es-CL" sz="1100"/>
            </a:p>
          </xdr:txBody>
        </xdr:sp>
      </mc:Fallback>
    </mc:AlternateContent>
    <xdr:clientData/>
  </xdr:oneCellAnchor>
  <xdr:oneCellAnchor>
    <xdr:from>
      <xdr:col>2</xdr:col>
      <xdr:colOff>0</xdr:colOff>
      <xdr:row>859</xdr:row>
      <xdr:rowOff>32865</xdr:rowOff>
    </xdr:from>
    <xdr:ext cx="3264676" cy="321435"/>
    <mc:AlternateContent xmlns:mc="http://schemas.openxmlformats.org/markup-compatibility/2006" xmlns:a14="http://schemas.microsoft.com/office/drawing/2010/main">
      <mc:Choice Requires="a14">
        <xdr:sp macro="" textlink="">
          <xdr:nvSpPr>
            <xdr:cNvPr id="92" name="CuadroTexto 91">
              <a:extLst>
                <a:ext uri="{FF2B5EF4-FFF2-40B4-BE49-F238E27FC236}">
                  <a16:creationId xmlns:a16="http://schemas.microsoft.com/office/drawing/2014/main" id="{00000000-0008-0000-0B00-00005C000000}"/>
                </a:ext>
              </a:extLst>
            </xdr:cNvPr>
            <xdr:cNvSpPr txBox="1"/>
          </xdr:nvSpPr>
          <xdr:spPr>
            <a:xfrm>
              <a:off x="3685268" y="169543847"/>
              <a:ext cx="3264676"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4.594.346,47</m:t>
                    </m:r>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∗4,184</m:t>
                    </m:r>
                    <m:f>
                      <m:fPr>
                        <m:ctrlPr>
                          <a:rPr lang="es-ES" sz="1100" b="0" i="1">
                            <a:latin typeface="Cambria Math" panose="02040503050406030204" pitchFamily="18" charset="0"/>
                          </a:rPr>
                        </m:ctrlPr>
                      </m:fPr>
                      <m:num>
                        <m:r>
                          <a:rPr lang="es-ES" sz="1100" b="0" i="1">
                            <a:latin typeface="Cambria Math" panose="02040503050406030204" pitchFamily="18" charset="0"/>
                          </a:rPr>
                          <m:t>𝑘𝐽</m:t>
                        </m:r>
                      </m:num>
                      <m:den>
                        <m:r>
                          <a:rPr lang="es-ES" sz="1100" b="0" i="1">
                            <a:latin typeface="Cambria Math" panose="02040503050406030204" pitchFamily="18" charset="0"/>
                          </a:rPr>
                          <m:t>1</m:t>
                        </m:r>
                        <m:r>
                          <a:rPr lang="es-ES" sz="1100" b="0" i="1">
                            <a:latin typeface="Cambria Math" panose="02040503050406030204" pitchFamily="18" charset="0"/>
                          </a:rPr>
                          <m:t>𝑘𝑐𝑎𝑙</m:t>
                        </m:r>
                      </m:den>
                    </m:f>
                    <m:r>
                      <a:rPr lang="es-ES" sz="1100" b="0" i="1">
                        <a:latin typeface="Cambria Math" panose="02040503050406030204" pitchFamily="18" charset="0"/>
                      </a:rPr>
                      <m:t>=19.235.298,62</m:t>
                    </m:r>
                    <m:f>
                      <m:fPr>
                        <m:ctrlPr>
                          <a:rPr lang="es-ES" sz="1100" b="0" i="1">
                            <a:latin typeface="Cambria Math" panose="02040503050406030204" pitchFamily="18" charset="0"/>
                          </a:rPr>
                        </m:ctrlPr>
                      </m:fPr>
                      <m:num>
                        <m:r>
                          <a:rPr lang="es-ES" sz="1100" b="0" i="1">
                            <a:latin typeface="Cambria Math" panose="02040503050406030204" pitchFamily="18" charset="0"/>
                          </a:rPr>
                          <m:t>𝑘𝐽</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92" name="CuadroTexto 91">
              <a:extLst>
                <a:ext uri="{FF2B5EF4-FFF2-40B4-BE49-F238E27FC236}">
                  <a16:creationId xmlns:a16="http://schemas.microsoft.com/office/drawing/2014/main" id="{E9768445-E048-4B2A-A823-E438C27B775A}"/>
                </a:ext>
              </a:extLst>
            </xdr:cNvPr>
            <xdr:cNvSpPr txBox="1"/>
          </xdr:nvSpPr>
          <xdr:spPr>
            <a:xfrm>
              <a:off x="3685268" y="169543847"/>
              <a:ext cx="3264676"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4.594.346,47 𝑘𝑐𝑎𝑙/𝑎ñ𝑜∗4,184 𝑘𝐽/1𝑘𝑐𝑎𝑙=19.235.298,62 𝑘𝐽/𝑎ñ𝑜</a:t>
              </a:r>
              <a:endParaRPr lang="es-CL" sz="1100"/>
            </a:p>
          </xdr:txBody>
        </xdr:sp>
      </mc:Fallback>
    </mc:AlternateContent>
    <xdr:clientData/>
  </xdr:oneCellAnchor>
  <xdr:oneCellAnchor>
    <xdr:from>
      <xdr:col>2</xdr:col>
      <xdr:colOff>136072</xdr:colOff>
      <xdr:row>874</xdr:row>
      <xdr:rowOff>79375</xdr:rowOff>
    </xdr:from>
    <xdr:ext cx="2157450" cy="357855"/>
    <mc:AlternateContent xmlns:mc="http://schemas.openxmlformats.org/markup-compatibility/2006" xmlns:a14="http://schemas.microsoft.com/office/drawing/2010/main">
      <mc:Choice Requires="a14">
        <xdr:sp macro="" textlink="">
          <xdr:nvSpPr>
            <xdr:cNvPr id="93" name="CuadroTexto 92">
              <a:extLst>
                <a:ext uri="{FF2B5EF4-FFF2-40B4-BE49-F238E27FC236}">
                  <a16:creationId xmlns:a16="http://schemas.microsoft.com/office/drawing/2014/main" id="{00000000-0008-0000-0B00-00005D000000}"/>
                </a:ext>
              </a:extLst>
            </xdr:cNvPr>
            <xdr:cNvSpPr txBox="1"/>
          </xdr:nvSpPr>
          <xdr:spPr>
            <a:xfrm>
              <a:off x="3821340" y="172481875"/>
              <a:ext cx="2157450" cy="3578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118,7</m:t>
                    </m:r>
                    <m:f>
                      <m:fPr>
                        <m:ctrlPr>
                          <a:rPr lang="es-ES" sz="1100" b="0" i="1">
                            <a:latin typeface="Cambria Math" panose="02040503050406030204" pitchFamily="18" charset="0"/>
                          </a:rPr>
                        </m:ctrlPr>
                      </m:fPr>
                      <m:num>
                        <m:r>
                          <a:rPr lang="es-ES" sz="1100" b="0" i="1">
                            <a:latin typeface="Cambria Math" panose="02040503050406030204" pitchFamily="18" charset="0"/>
                          </a:rPr>
                          <m:t>𝑔𝑎𝑙</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∗4,27</m:t>
                    </m:r>
                    <m:f>
                      <m:fPr>
                        <m:ctrlPr>
                          <a:rPr lang="es-ES" sz="1100" b="0" i="1">
                            <a:latin typeface="Cambria Math" panose="02040503050406030204" pitchFamily="18" charset="0"/>
                          </a:rPr>
                        </m:ctrlPr>
                      </m:fPr>
                      <m:num>
                        <m:r>
                          <a:rPr lang="es-ES" sz="1100" b="0" i="1">
                            <a:latin typeface="Cambria Math" panose="02040503050406030204" pitchFamily="18" charset="0"/>
                          </a:rPr>
                          <m:t>𝑈𝑆</m:t>
                        </m:r>
                        <m:r>
                          <a:rPr lang="es-ES" sz="1100" b="0" i="1">
                            <a:latin typeface="Cambria Math" panose="02040503050406030204" pitchFamily="18" charset="0"/>
                          </a:rPr>
                          <m:t>$</m:t>
                        </m:r>
                      </m:num>
                      <m:den>
                        <m:r>
                          <a:rPr lang="es-ES" sz="1100" b="0" i="1">
                            <a:latin typeface="Cambria Math" panose="02040503050406030204" pitchFamily="18" charset="0"/>
                          </a:rPr>
                          <m:t>𝑔𝑎𝑙</m:t>
                        </m:r>
                      </m:den>
                    </m:f>
                    <m:r>
                      <a:rPr lang="es-ES" sz="1100" b="0" i="1">
                        <a:latin typeface="Cambria Math" panose="02040503050406030204" pitchFamily="18" charset="0"/>
                      </a:rPr>
                      <m:t>=507,50</m:t>
                    </m:r>
                    <m:f>
                      <m:fPr>
                        <m:ctrlPr>
                          <a:rPr lang="es-ES" sz="1100" b="0" i="1">
                            <a:latin typeface="Cambria Math" panose="02040503050406030204" pitchFamily="18" charset="0"/>
                          </a:rPr>
                        </m:ctrlPr>
                      </m:fPr>
                      <m:num>
                        <m:r>
                          <a:rPr lang="es-ES" sz="1100" b="0" i="1">
                            <a:latin typeface="Cambria Math" panose="02040503050406030204" pitchFamily="18" charset="0"/>
                          </a:rPr>
                          <m:t>𝑈𝑆</m:t>
                        </m:r>
                        <m:r>
                          <a:rPr lang="es-ES" sz="1100" b="0" i="1">
                            <a:latin typeface="Cambria Math" panose="02040503050406030204" pitchFamily="18" charset="0"/>
                          </a:rPr>
                          <m:t>$</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93" name="CuadroTexto 92">
              <a:extLst>
                <a:ext uri="{FF2B5EF4-FFF2-40B4-BE49-F238E27FC236}">
                  <a16:creationId xmlns:a16="http://schemas.microsoft.com/office/drawing/2014/main" id="{38C51F91-920E-43BD-A45D-789B8F60EBF6}"/>
                </a:ext>
              </a:extLst>
            </xdr:cNvPr>
            <xdr:cNvSpPr txBox="1"/>
          </xdr:nvSpPr>
          <xdr:spPr>
            <a:xfrm>
              <a:off x="3821340" y="172481875"/>
              <a:ext cx="2157450" cy="3578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118,7 𝑔𝑎𝑙/𝑎ñ𝑜∗4,27 𝑈𝑆$/𝑔𝑎𝑙=507,50 𝑈𝑆$/𝑎ñ𝑜</a:t>
              </a:r>
              <a:endParaRPr lang="es-CL" sz="1100"/>
            </a:p>
          </xdr:txBody>
        </xdr:sp>
      </mc:Fallback>
    </mc:AlternateContent>
    <xdr:clientData/>
  </xdr:oneCellAnchor>
  <xdr:oneCellAnchor>
    <xdr:from>
      <xdr:col>1</xdr:col>
      <xdr:colOff>22678</xdr:colOff>
      <xdr:row>890</xdr:row>
      <xdr:rowOff>147411</xdr:rowOff>
    </xdr:from>
    <xdr:ext cx="5891164" cy="346954"/>
    <mc:AlternateContent xmlns:mc="http://schemas.openxmlformats.org/markup-compatibility/2006" xmlns:a14="http://schemas.microsoft.com/office/drawing/2010/main">
      <mc:Choice Requires="a14">
        <xdr:sp macro="" textlink="">
          <xdr:nvSpPr>
            <xdr:cNvPr id="94" name="CuadroTexto 93">
              <a:extLst>
                <a:ext uri="{FF2B5EF4-FFF2-40B4-BE49-F238E27FC236}">
                  <a16:creationId xmlns:a16="http://schemas.microsoft.com/office/drawing/2014/main" id="{00000000-0008-0000-0B00-00005E000000}"/>
                </a:ext>
              </a:extLst>
            </xdr:cNvPr>
            <xdr:cNvSpPr txBox="1"/>
          </xdr:nvSpPr>
          <xdr:spPr>
            <a:xfrm>
              <a:off x="1247321" y="175656875"/>
              <a:ext cx="5891164" cy="346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𝑇𝑜𝑛</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r>
                      <a:rPr lang="es-ES" sz="1100" b="0" i="1">
                        <a:latin typeface="Cambria Math" panose="02040503050406030204" pitchFamily="18" charset="0"/>
                      </a:rPr>
                      <m:t> </m:t>
                    </m:r>
                    <m:r>
                      <a:rPr lang="es-ES" sz="1100" b="0" i="1">
                        <a:latin typeface="Cambria Math" panose="02040503050406030204" pitchFamily="18" charset="0"/>
                      </a:rPr>
                      <m:t>𝑔𝑒𝑛𝑒𝑟𝑎𝑑𝑜𝑠</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=19.235.500,4</m:t>
                    </m:r>
                    <m:f>
                      <m:fPr>
                        <m:ctrlPr>
                          <a:rPr lang="es-ES" sz="1100" b="0" i="1">
                            <a:latin typeface="Cambria Math" panose="02040503050406030204" pitchFamily="18" charset="0"/>
                          </a:rPr>
                        </m:ctrlPr>
                      </m:fPr>
                      <m:num>
                        <m:r>
                          <a:rPr lang="es-ES" sz="1100" b="0" i="1">
                            <a:latin typeface="Cambria Math" panose="02040503050406030204" pitchFamily="18" charset="0"/>
                          </a:rPr>
                          <m:t>𝑘𝐽</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1 </m:t>
                        </m:r>
                        <m:r>
                          <a:rPr lang="es-ES" sz="1100" b="0" i="1">
                            <a:latin typeface="Cambria Math" panose="02040503050406030204" pitchFamily="18" charset="0"/>
                          </a:rPr>
                          <m:t>𝑇𝐽</m:t>
                        </m:r>
                      </m:num>
                      <m:den>
                        <m:r>
                          <a:rPr lang="es-ES" sz="1100" b="0" i="1">
                            <a:latin typeface="Cambria Math" panose="02040503050406030204" pitchFamily="18" charset="0"/>
                          </a:rPr>
                          <m:t>1.000.000.000</m:t>
                        </m:r>
                        <m:r>
                          <a:rPr lang="es-ES" sz="1100" b="0" i="1">
                            <a:latin typeface="Cambria Math" panose="02040503050406030204" pitchFamily="18" charset="0"/>
                          </a:rPr>
                          <m:t>𝑘𝐽</m:t>
                        </m:r>
                      </m:den>
                    </m:f>
                    <m:r>
                      <a:rPr lang="es-ES" sz="1100" b="0" i="1">
                        <a:latin typeface="Cambria Math" panose="02040503050406030204" pitchFamily="18" charset="0"/>
                      </a:rPr>
                      <m:t>∗71,9 </m:t>
                    </m:r>
                    <m:r>
                      <a:rPr lang="es-ES" sz="1100" b="0" i="1">
                        <a:latin typeface="Cambria Math" panose="02040503050406030204" pitchFamily="18" charset="0"/>
                      </a:rPr>
                      <m:t>𝑇𝑜𝑛</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𝐶𝑂</m:t>
                            </m:r>
                          </m:e>
                          <m:sub>
                            <m:r>
                              <a:rPr lang="es-ES" sz="1100" b="0" i="1">
                                <a:latin typeface="Cambria Math" panose="02040503050406030204" pitchFamily="18" charset="0"/>
                              </a:rPr>
                              <m:t>2</m:t>
                            </m:r>
                          </m:sub>
                        </m:sSub>
                      </m:num>
                      <m:den>
                        <m:r>
                          <a:rPr lang="es-ES" sz="1100" b="0" i="1">
                            <a:latin typeface="Cambria Math" panose="02040503050406030204" pitchFamily="18" charset="0"/>
                          </a:rPr>
                          <m:t>𝑇𝐽</m:t>
                        </m:r>
                      </m:den>
                    </m:f>
                    <m:r>
                      <a:rPr lang="es-ES" sz="1100" b="0" i="1">
                        <a:latin typeface="Cambria Math" panose="02040503050406030204" pitchFamily="18" charset="0"/>
                      </a:rPr>
                      <m:t>=1,38</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𝑇𝑜𝑛</m:t>
                            </m:r>
                            <m:r>
                              <a:rPr lang="es-ES" sz="1100" b="0" i="1">
                                <a:latin typeface="Cambria Math" panose="02040503050406030204" pitchFamily="18" charset="0"/>
                              </a:rPr>
                              <m:t> </m:t>
                            </m:r>
                            <m:r>
                              <a:rPr lang="es-ES" sz="1100" b="0" i="1">
                                <a:latin typeface="Cambria Math" panose="02040503050406030204" pitchFamily="18" charset="0"/>
                              </a:rPr>
                              <m:t>𝐶𝑂</m:t>
                            </m:r>
                          </m:e>
                          <m:sub>
                            <m:r>
                              <a:rPr lang="es-ES" sz="1100" b="0" i="1">
                                <a:latin typeface="Cambria Math" panose="02040503050406030204" pitchFamily="18" charset="0"/>
                              </a:rPr>
                              <m:t>2</m:t>
                            </m:r>
                          </m:sub>
                        </m:sSub>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oMath>
                </m:oMathPara>
              </a14:m>
              <a:endParaRPr lang="es-CL" sz="1100"/>
            </a:p>
          </xdr:txBody>
        </xdr:sp>
      </mc:Choice>
      <mc:Fallback xmlns="">
        <xdr:sp macro="" textlink="">
          <xdr:nvSpPr>
            <xdr:cNvPr id="94" name="CuadroTexto 93">
              <a:extLst>
                <a:ext uri="{FF2B5EF4-FFF2-40B4-BE49-F238E27FC236}">
                  <a16:creationId xmlns:a16="http://schemas.microsoft.com/office/drawing/2014/main" id="{1995975E-3FFE-4C03-8806-6C71DBE9528C}"/>
                </a:ext>
              </a:extLst>
            </xdr:cNvPr>
            <xdr:cNvSpPr txBox="1"/>
          </xdr:nvSpPr>
          <xdr:spPr>
            <a:xfrm>
              <a:off x="1247321" y="175656875"/>
              <a:ext cx="5891164" cy="346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𝑇𝑜𝑛 〖𝐶𝑂〗_2  𝑔𝑒𝑛𝑒𝑟𝑎𝑑𝑜𝑠 𝑎𝑛𝑢𝑎𝑙=19.235.500,4 𝑘𝐽/𝑎ñ𝑜∗(1 𝑇𝐽)/1.000.000.000𝑘𝐽∗71,9 𝑇𝑜𝑛 〖𝐶𝑂〗_2/𝑇𝐽=1,38 〖𝑇𝑜𝑛 𝐶𝑂〗_2/𝑎ñ𝑜</a:t>
              </a:r>
              <a:endParaRPr lang="es-CL" sz="1100"/>
            </a:p>
          </xdr:txBody>
        </xdr:sp>
      </mc:Fallback>
    </mc:AlternateContent>
    <xdr:clientData/>
  </xdr:oneCellAnchor>
  <xdr:oneCellAnchor>
    <xdr:from>
      <xdr:col>9</xdr:col>
      <xdr:colOff>23414</xdr:colOff>
      <xdr:row>607</xdr:row>
      <xdr:rowOff>0</xdr:rowOff>
    </xdr:from>
    <xdr:ext cx="1011944" cy="173766"/>
    <mc:AlternateContent xmlns:mc="http://schemas.openxmlformats.org/markup-compatibility/2006" xmlns:a14="http://schemas.microsoft.com/office/drawing/2010/main">
      <mc:Choice Requires="a14">
        <xdr:sp macro="" textlink="">
          <xdr:nvSpPr>
            <xdr:cNvPr id="95" name="CuadroTexto 94">
              <a:extLst>
                <a:ext uri="{FF2B5EF4-FFF2-40B4-BE49-F238E27FC236}">
                  <a16:creationId xmlns:a16="http://schemas.microsoft.com/office/drawing/2014/main" id="{00000000-0008-0000-0B00-00005F000000}"/>
                </a:ext>
              </a:extLst>
            </xdr:cNvPr>
            <xdr:cNvSpPr txBox="1"/>
          </xdr:nvSpPr>
          <xdr:spPr>
            <a:xfrm>
              <a:off x="13426450" y="11987892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r>
                    <a:rPr lang="es-ES" sz="1100" b="0" i="1">
                      <a:latin typeface="Cambria Math" panose="02040503050406030204" pitchFamily="18" charset="0"/>
                    </a:rPr>
                    <m:t>+2</m:t>
                  </m:r>
                </m:oMath>
              </a14:m>
              <a:r>
                <a:rPr lang="es-CL" sz="1100"/>
                <a:t>*Esp</a:t>
              </a:r>
            </a:p>
          </xdr:txBody>
        </xdr:sp>
      </mc:Choice>
      <mc:Fallback xmlns="">
        <xdr:sp macro="" textlink="">
          <xdr:nvSpPr>
            <xdr:cNvPr id="95" name="CuadroTexto 94">
              <a:extLst>
                <a:ext uri="{FF2B5EF4-FFF2-40B4-BE49-F238E27FC236}">
                  <a16:creationId xmlns:a16="http://schemas.microsoft.com/office/drawing/2014/main" id="{E20A5132-834C-44B3-80AD-AFC54DF55E70}"/>
                </a:ext>
              </a:extLst>
            </xdr:cNvPr>
            <xdr:cNvSpPr txBox="1"/>
          </xdr:nvSpPr>
          <xdr:spPr>
            <a:xfrm>
              <a:off x="13426450" y="11987892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𝑎=𝑑_𝑜+2</a:t>
              </a:r>
              <a:r>
                <a:rPr lang="es-CL" sz="1100"/>
                <a:t>*Esp</a:t>
              </a:r>
            </a:p>
          </xdr:txBody>
        </xdr:sp>
      </mc:Fallback>
    </mc:AlternateContent>
    <xdr:clientData/>
  </xdr:oneCellAnchor>
  <xdr:oneCellAnchor>
    <xdr:from>
      <xdr:col>9</xdr:col>
      <xdr:colOff>12700</xdr:colOff>
      <xdr:row>608</xdr:row>
      <xdr:rowOff>174909</xdr:rowOff>
    </xdr:from>
    <xdr:ext cx="1145570" cy="173766"/>
    <mc:AlternateContent xmlns:mc="http://schemas.openxmlformats.org/markup-compatibility/2006" xmlns:a14="http://schemas.microsoft.com/office/drawing/2010/main">
      <mc:Choice Requires="a14">
        <xdr:sp macro="" textlink="">
          <xdr:nvSpPr>
            <xdr:cNvPr id="96" name="CuadroTexto 95">
              <a:extLst>
                <a:ext uri="{FF2B5EF4-FFF2-40B4-BE49-F238E27FC236}">
                  <a16:creationId xmlns:a16="http://schemas.microsoft.com/office/drawing/2014/main" id="{00000000-0008-0000-0B00-000060000000}"/>
                </a:ext>
              </a:extLst>
            </xdr:cNvPr>
            <xdr:cNvSpPr txBox="1"/>
          </xdr:nvSpPr>
          <xdr:spPr>
            <a:xfrm>
              <a:off x="13415736" y="12024660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=0,0762+2</m:t>
                  </m:r>
                </m:oMath>
              </a14:m>
              <a:r>
                <a:rPr lang="es-CL" sz="1100"/>
                <a:t>*0</a:t>
              </a:r>
            </a:p>
          </xdr:txBody>
        </xdr:sp>
      </mc:Choice>
      <mc:Fallback xmlns="">
        <xdr:sp macro="" textlink="">
          <xdr:nvSpPr>
            <xdr:cNvPr id="96" name="CuadroTexto 95">
              <a:extLst>
                <a:ext uri="{FF2B5EF4-FFF2-40B4-BE49-F238E27FC236}">
                  <a16:creationId xmlns:a16="http://schemas.microsoft.com/office/drawing/2014/main" id="{A21FB536-B0B2-45B9-AFFA-807C1CF48404}"/>
                </a:ext>
              </a:extLst>
            </xdr:cNvPr>
            <xdr:cNvSpPr txBox="1"/>
          </xdr:nvSpPr>
          <xdr:spPr>
            <a:xfrm>
              <a:off x="13415736" y="12024660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𝑎=0,0762+2</a:t>
              </a:r>
              <a:r>
                <a:rPr lang="es-CL" sz="1100"/>
                <a:t>*0</a:t>
              </a:r>
            </a:p>
          </xdr:txBody>
        </xdr:sp>
      </mc:Fallback>
    </mc:AlternateContent>
    <xdr:clientData/>
  </xdr:oneCellAnchor>
  <xdr:oneCellAnchor>
    <xdr:from>
      <xdr:col>9</xdr:col>
      <xdr:colOff>0</xdr:colOff>
      <xdr:row>610</xdr:row>
      <xdr:rowOff>116852</xdr:rowOff>
    </xdr:from>
    <xdr:ext cx="783933" cy="173766"/>
    <mc:AlternateContent xmlns:mc="http://schemas.openxmlformats.org/markup-compatibility/2006" xmlns:a14="http://schemas.microsoft.com/office/drawing/2010/main">
      <mc:Choice Requires="a14">
        <xdr:sp macro="" textlink="">
          <xdr:nvSpPr>
            <xdr:cNvPr id="97" name="CuadroTexto 96">
              <a:extLst>
                <a:ext uri="{FF2B5EF4-FFF2-40B4-BE49-F238E27FC236}">
                  <a16:creationId xmlns:a16="http://schemas.microsoft.com/office/drawing/2014/main" id="{00000000-0008-0000-0B00-000061000000}"/>
                </a:ext>
              </a:extLst>
            </xdr:cNvPr>
            <xdr:cNvSpPr txBox="1"/>
          </xdr:nvSpPr>
          <xdr:spPr>
            <a:xfrm>
              <a:off x="13403036" y="120574084"/>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m:t>
                    </m:r>
                  </m:oMath>
                </m:oMathPara>
              </a14:m>
              <a:endParaRPr lang="es-CL" sz="1100"/>
            </a:p>
          </xdr:txBody>
        </xdr:sp>
      </mc:Choice>
      <mc:Fallback xmlns="">
        <xdr:sp macro="" textlink="">
          <xdr:nvSpPr>
            <xdr:cNvPr id="97" name="CuadroTexto 96">
              <a:extLst>
                <a:ext uri="{FF2B5EF4-FFF2-40B4-BE49-F238E27FC236}">
                  <a16:creationId xmlns:a16="http://schemas.microsoft.com/office/drawing/2014/main" id="{F66E5C2C-2C3E-4495-8F38-39A244D92B88}"/>
                </a:ext>
              </a:extLst>
            </xdr:cNvPr>
            <xdr:cNvSpPr txBox="1"/>
          </xdr:nvSpPr>
          <xdr:spPr>
            <a:xfrm>
              <a:off x="13403036" y="120574084"/>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a:t>
              </a:r>
              <a:endParaRPr lang="es-CL" sz="1100"/>
            </a:p>
          </xdr:txBody>
        </xdr:sp>
      </mc:Fallback>
    </mc:AlternateContent>
    <xdr:clientData/>
  </xdr:oneCellAnchor>
  <xdr:oneCellAnchor>
    <xdr:from>
      <xdr:col>9</xdr:col>
      <xdr:colOff>15386</xdr:colOff>
      <xdr:row>619</xdr:row>
      <xdr:rowOff>0</xdr:rowOff>
    </xdr:from>
    <xdr:ext cx="6500690" cy="415050"/>
    <mc:AlternateContent xmlns:mc="http://schemas.openxmlformats.org/markup-compatibility/2006" xmlns:a14="http://schemas.microsoft.com/office/drawing/2010/main">
      <mc:Choice Requires="a14">
        <xdr:sp macro="" textlink="">
          <xdr:nvSpPr>
            <xdr:cNvPr id="98" name="CuadroTexto 97">
              <a:extLst>
                <a:ext uri="{FF2B5EF4-FFF2-40B4-BE49-F238E27FC236}">
                  <a16:creationId xmlns:a16="http://schemas.microsoft.com/office/drawing/2014/main" id="{00000000-0008-0000-0B00-000062000000}"/>
                </a:ext>
              </a:extLst>
            </xdr:cNvPr>
            <xdr:cNvSpPr txBox="1"/>
          </xdr:nvSpPr>
          <xdr:spPr>
            <a:xfrm>
              <a:off x="13418422" y="122237500"/>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m:t>
                        </m:r>
                        <m:r>
                          <a:rPr lang="es-ES" sz="1100" b="0" i="1">
                            <a:latin typeface="Cambria Math" panose="02040503050406030204" pitchFamily="18" charset="0"/>
                          </a:rPr>
                          <m:t>𝐶</m:t>
                        </m:r>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latin typeface="Cambria Math" panose="02040503050406030204" pitchFamily="18" charset="0"/>
                                  </a:rPr>
                                </m:ctrlPr>
                              </m:dPr>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Sub>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98" name="CuadroTexto 97">
              <a:extLst>
                <a:ext uri="{FF2B5EF4-FFF2-40B4-BE49-F238E27FC236}">
                  <a16:creationId xmlns:a16="http://schemas.microsoft.com/office/drawing/2014/main" id="{91009AF6-F5B3-492C-9CA0-EB4123B58C03}"/>
                </a:ext>
              </a:extLst>
            </xdr:cNvPr>
            <xdr:cNvSpPr txBox="1"/>
          </xdr:nvSpPr>
          <xdr:spPr>
            <a:xfrm>
              <a:off x="13418422" y="122237500"/>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𝑐=[2,7241∗𝐶∗(𝑑_𝑎 )^(−0,2) ]∗[1,11/(𝑇_𝑠𝑢𝑝+𝑇_𝑎−510,44)]^0,181∗[1,8∗(</a:t>
              </a:r>
              <a:r>
                <a:rPr lang="es-ES" sz="1100" b="0" i="0">
                  <a:solidFill>
                    <a:schemeClr val="tx1"/>
                  </a:solidFill>
                  <a:effectLst/>
                  <a:latin typeface="Cambria Math" panose="02040503050406030204" pitchFamily="18" charset="0"/>
                  <a:ea typeface="+mn-ea"/>
                  <a:cs typeface="+mn-cs"/>
                </a:rPr>
                <a:t>𝑇_𝑠𝑢𝑝−𝑇_𝑎 )]^</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9</xdr:col>
      <xdr:colOff>0</xdr:colOff>
      <xdr:row>622</xdr:row>
      <xdr:rowOff>27180</xdr:rowOff>
    </xdr:from>
    <xdr:ext cx="8985665" cy="410177"/>
    <mc:AlternateContent xmlns:mc="http://schemas.openxmlformats.org/markup-compatibility/2006" xmlns:a14="http://schemas.microsoft.com/office/drawing/2010/main">
      <mc:Choice Requires="a14">
        <xdr:sp macro="" textlink="">
          <xdr:nvSpPr>
            <xdr:cNvPr id="99" name="CuadroTexto 98">
              <a:extLst>
                <a:ext uri="{FF2B5EF4-FFF2-40B4-BE49-F238E27FC236}">
                  <a16:creationId xmlns:a16="http://schemas.microsoft.com/office/drawing/2014/main" id="{00000000-0008-0000-0B00-000063000000}"/>
                </a:ext>
              </a:extLst>
            </xdr:cNvPr>
            <xdr:cNvSpPr txBox="1"/>
          </xdr:nvSpPr>
          <xdr:spPr>
            <a:xfrm>
              <a:off x="13403036" y="122842984"/>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2,7241∗1,016∗</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0,0762 </m:t>
                                </m:r>
                                <m:r>
                                  <a:rPr lang="es-ES" sz="1100" b="0" i="1">
                                    <a:latin typeface="Cambria Math" panose="02040503050406030204" pitchFamily="18" charset="0"/>
                                  </a:rPr>
                                  <m:t>𝑚</m:t>
                                </m:r>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𝑊</m:t>
                                </m:r>
                                <m:r>
                                  <a:rPr lang="es-ES" sz="1100" b="0" i="1">
                                    <a:latin typeface="Cambria Math" panose="02040503050406030204" pitchFamily="18" charset="0"/>
                                  </a:rPr>
                                  <m:t>/</m:t>
                                </m:r>
                                <m:r>
                                  <a:rPr lang="es-ES" sz="1100" b="0" i="1">
                                    <a:latin typeface="Cambria Math" panose="02040503050406030204" pitchFamily="18" charset="0"/>
                                  </a:rPr>
                                  <m:t>𝑚𝐾</m:t>
                                </m:r>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latin typeface="Cambria Math" panose="02040503050406030204" pitchFamily="18" charset="0"/>
                                  </a:rPr>
                                </m:ctrlPr>
                              </m:dPr>
                              <m:e>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solidFill>
                                      <a:schemeClr val="tx1"/>
                                    </a:solidFill>
                                    <a:effectLst/>
                                    <a:latin typeface="Cambria Math" panose="02040503050406030204" pitchFamily="18" charset="0"/>
                                    <a:ea typeface="+mn-ea"/>
                                    <a:cs typeface="+mn-cs"/>
                                  </a:rPr>
                                  <m:t>−303,15 </m:t>
                                </m:r>
                                <m:r>
                                  <a:rPr lang="es-ES" sz="1100" b="0" i="1">
                                    <a:solidFill>
                                      <a:schemeClr val="tx1"/>
                                    </a:solidFill>
                                    <a:effectLst/>
                                    <a:latin typeface="Cambria Math" panose="02040503050406030204" pitchFamily="18" charset="0"/>
                                    <a:ea typeface="+mn-ea"/>
                                    <a:cs typeface="+mn-cs"/>
                                  </a:rPr>
                                  <m:t>𝐾</m:t>
                                </m:r>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99" name="CuadroTexto 98">
              <a:extLst>
                <a:ext uri="{FF2B5EF4-FFF2-40B4-BE49-F238E27FC236}">
                  <a16:creationId xmlns:a16="http://schemas.microsoft.com/office/drawing/2014/main" id="{4299332C-4C3C-46C6-A776-76F712B206F4}"/>
                </a:ext>
              </a:extLst>
            </xdr:cNvPr>
            <xdr:cNvSpPr txBox="1"/>
          </xdr:nvSpPr>
          <xdr:spPr>
            <a:xfrm>
              <a:off x="13403036" y="122842984"/>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𝑐=[2,7241∗1,016∗(0,0762 𝑚)^(−0,2) ]∗[1,11/(418,15 𝐾+303,15 𝑊/𝑚𝐾−510,44)]^0,181∗[1,8∗(418,15 𝐾</a:t>
              </a:r>
              <a:r>
                <a:rPr lang="es-ES" sz="1100" b="0" i="0">
                  <a:solidFill>
                    <a:schemeClr val="tx1"/>
                  </a:solidFill>
                  <a:effectLst/>
                  <a:latin typeface="Cambria Math" panose="02040503050406030204" pitchFamily="18" charset="0"/>
                  <a:ea typeface="+mn-ea"/>
                  <a:cs typeface="+mn-cs"/>
                </a:rPr>
                <a:t>−303,15 𝐾)]^</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9</xdr:col>
      <xdr:colOff>871903</xdr:colOff>
      <xdr:row>625</xdr:row>
      <xdr:rowOff>41833</xdr:rowOff>
    </xdr:from>
    <xdr:ext cx="877997" cy="316882"/>
    <mc:AlternateContent xmlns:mc="http://schemas.openxmlformats.org/markup-compatibility/2006" xmlns:a14="http://schemas.microsoft.com/office/drawing/2010/main">
      <mc:Choice Requires="a14">
        <xdr:sp macro="" textlink="">
          <xdr:nvSpPr>
            <xdr:cNvPr id="100" name="CuadroTexto 99">
              <a:extLst>
                <a:ext uri="{FF2B5EF4-FFF2-40B4-BE49-F238E27FC236}">
                  <a16:creationId xmlns:a16="http://schemas.microsoft.com/office/drawing/2014/main" id="{00000000-0008-0000-0B00-000064000000}"/>
                </a:ext>
              </a:extLst>
            </xdr:cNvPr>
            <xdr:cNvSpPr txBox="1"/>
          </xdr:nvSpPr>
          <xdr:spPr>
            <a:xfrm>
              <a:off x="14274939" y="123435940"/>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=7,4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100" name="CuadroTexto 99">
              <a:extLst>
                <a:ext uri="{FF2B5EF4-FFF2-40B4-BE49-F238E27FC236}">
                  <a16:creationId xmlns:a16="http://schemas.microsoft.com/office/drawing/2014/main" id="{65E4E9B5-016D-4ACD-9ED3-043ACB1125EF}"/>
                </a:ext>
              </a:extLst>
            </xdr:cNvPr>
            <xdr:cNvSpPr txBox="1"/>
          </xdr:nvSpPr>
          <xdr:spPr>
            <a:xfrm>
              <a:off x="14274939" y="123435940"/>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𝑐=7,4  𝑊/(𝑚^2 𝐾)</a:t>
              </a:r>
              <a:endParaRPr lang="es-CL" sz="1100"/>
            </a:p>
          </xdr:txBody>
        </xdr:sp>
      </mc:Fallback>
    </mc:AlternateContent>
    <xdr:clientData/>
  </xdr:oneCellAnchor>
  <xdr:oneCellAnchor>
    <xdr:from>
      <xdr:col>9</xdr:col>
      <xdr:colOff>81329</xdr:colOff>
      <xdr:row>633</xdr:row>
      <xdr:rowOff>24249</xdr:rowOff>
    </xdr:from>
    <xdr:ext cx="2466701" cy="397096"/>
    <mc:AlternateContent xmlns:mc="http://schemas.openxmlformats.org/markup-compatibility/2006" xmlns:a14="http://schemas.microsoft.com/office/drawing/2010/main">
      <mc:Choice Requires="a14">
        <xdr:sp macro="" textlink="">
          <xdr:nvSpPr>
            <xdr:cNvPr id="101" name="CuadroTexto 100">
              <a:extLst>
                <a:ext uri="{FF2B5EF4-FFF2-40B4-BE49-F238E27FC236}">
                  <a16:creationId xmlns:a16="http://schemas.microsoft.com/office/drawing/2014/main" id="{00000000-0008-0000-0B00-000065000000}"/>
                </a:ext>
              </a:extLst>
            </xdr:cNvPr>
            <xdr:cNvSpPr txBox="1"/>
          </xdr:nvSpPr>
          <xdr:spPr>
            <a:xfrm>
              <a:off x="13484365" y="124960499"/>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m:t>
                    </m:r>
                    <m:r>
                      <a:rPr lang="es-ES" sz="1100" b="0" i="1">
                        <a:latin typeface="Cambria Math" panose="02040503050406030204" pitchFamily="18" charset="0"/>
                      </a:rPr>
                      <m:t>𝐸𝑚𝑠𝑠</m:t>
                    </m:r>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up>
                                <m:r>
                                  <a:rPr lang="es-ES" sz="1100" b="0" i="1">
                                    <a:solidFill>
                                      <a:schemeClr val="tx1"/>
                                    </a:solidFill>
                                    <a:effectLst/>
                                    <a:latin typeface="Cambria Math" panose="02040503050406030204" pitchFamily="18" charset="0"/>
                                    <a:ea typeface="+mn-ea"/>
                                    <a:cs typeface="+mn-cs"/>
                                  </a:rPr>
                                  <m:t>4</m:t>
                                </m:r>
                              </m:sup>
                            </m:sSubSup>
                            <m:r>
                              <a:rPr lang="es-ES" sz="1100" b="0" i="1">
                                <a:solidFill>
                                  <a:schemeClr val="tx1"/>
                                </a:solidFill>
                                <a:effectLst/>
                                <a:latin typeface="Cambria Math" panose="02040503050406030204" pitchFamily="18" charset="0"/>
                                <a:ea typeface="+mn-ea"/>
                                <a:cs typeface="+mn-cs"/>
                              </a:rPr>
                              <m:t>−</m:t>
                            </m:r>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up>
                                <m:r>
                                  <a:rPr lang="es-ES" sz="1100" b="0" i="1">
                                    <a:solidFill>
                                      <a:schemeClr val="tx1"/>
                                    </a:solidFill>
                                    <a:effectLst/>
                                    <a:latin typeface="Cambria Math" panose="02040503050406030204" pitchFamily="18" charset="0"/>
                                    <a:ea typeface="+mn-ea"/>
                                    <a:cs typeface="+mn-cs"/>
                                  </a:rPr>
                                  <m:t>4</m:t>
                                </m:r>
                              </m:sup>
                            </m:sSubSup>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den>
                        </m:f>
                      </m:e>
                    </m:d>
                  </m:oMath>
                </m:oMathPara>
              </a14:m>
              <a:endParaRPr lang="es-CL" sz="1100"/>
            </a:p>
          </xdr:txBody>
        </xdr:sp>
      </mc:Choice>
      <mc:Fallback xmlns="">
        <xdr:sp macro="" textlink="">
          <xdr:nvSpPr>
            <xdr:cNvPr id="101" name="CuadroTexto 100">
              <a:extLst>
                <a:ext uri="{FF2B5EF4-FFF2-40B4-BE49-F238E27FC236}">
                  <a16:creationId xmlns:a16="http://schemas.microsoft.com/office/drawing/2014/main" id="{60BF48E1-EB21-4237-8FD7-D6F284E7ACA4}"/>
                </a:ext>
              </a:extLst>
            </xdr:cNvPr>
            <xdr:cNvSpPr txBox="1"/>
          </xdr:nvSpPr>
          <xdr:spPr>
            <a:xfrm>
              <a:off x="13484365" y="124960499"/>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𝑟=0,9824∗10^(−8)∗𝐸𝑚𝑠𝑠∗[(</a:t>
              </a:r>
              <a:r>
                <a:rPr lang="es-ES" sz="1100" b="0" i="0">
                  <a:solidFill>
                    <a:schemeClr val="tx1"/>
                  </a:solidFill>
                  <a:effectLst/>
                  <a:latin typeface="Cambria Math" panose="02040503050406030204" pitchFamily="18" charset="0"/>
                  <a:ea typeface="+mn-ea"/>
                  <a:cs typeface="+mn-cs"/>
                </a:rPr>
                <a:t>𝑇_𝑎^4−𝑇_𝑠𝑢𝑝^4)/(</a:t>
              </a:r>
              <a:r>
                <a:rPr lang="es-ES" sz="1100" b="0" i="0">
                  <a:latin typeface="Cambria Math" panose="02040503050406030204" pitchFamily="18" charset="0"/>
                </a:rPr>
                <a:t>𝑇_𝑎−𝑇_𝑠𝑢𝑝 )]</a:t>
              </a:r>
              <a:endParaRPr lang="es-CL" sz="1100"/>
            </a:p>
          </xdr:txBody>
        </xdr:sp>
      </mc:Fallback>
    </mc:AlternateContent>
    <xdr:clientData/>
  </xdr:oneCellAnchor>
  <xdr:oneCellAnchor>
    <xdr:from>
      <xdr:col>9</xdr:col>
      <xdr:colOff>65943</xdr:colOff>
      <xdr:row>635</xdr:row>
      <xdr:rowOff>166391</xdr:rowOff>
    </xdr:from>
    <xdr:ext cx="3243260" cy="386196"/>
    <mc:AlternateContent xmlns:mc="http://schemas.openxmlformats.org/markup-compatibility/2006" xmlns:a14="http://schemas.microsoft.com/office/drawing/2010/main">
      <mc:Choice Requires="a14">
        <xdr:sp macro="" textlink="">
          <xdr:nvSpPr>
            <xdr:cNvPr id="102" name="CuadroTexto 101">
              <a:extLst>
                <a:ext uri="{FF2B5EF4-FFF2-40B4-BE49-F238E27FC236}">
                  <a16:creationId xmlns:a16="http://schemas.microsoft.com/office/drawing/2014/main" id="{00000000-0008-0000-0B00-000066000000}"/>
                </a:ext>
              </a:extLst>
            </xdr:cNvPr>
            <xdr:cNvSpPr txBox="1"/>
          </xdr:nvSpPr>
          <xdr:spPr>
            <a:xfrm>
              <a:off x="13468979" y="125488177"/>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∗0,79∗</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303,15 </m:t>
                                </m:r>
                                <m:r>
                                  <a:rPr lang="es-ES" sz="1100" b="0" i="1">
                                    <a:latin typeface="Cambria Math" panose="02040503050406030204" pitchFamily="18" charset="0"/>
                                  </a:rPr>
                                  <m:t>𝐾</m:t>
                                </m:r>
                              </m:e>
                              <m:sup>
                                <m:r>
                                  <a:rPr lang="es-ES" sz="1100" b="0" i="1">
                                    <a:latin typeface="Cambria Math" panose="02040503050406030204" pitchFamily="18" charset="0"/>
                                  </a:rPr>
                                  <m:t>4</m:t>
                                </m:r>
                              </m:sup>
                            </m:sSup>
                            <m:r>
                              <a:rPr lang="es-ES" sz="1100" b="0" i="1">
                                <a:solidFill>
                                  <a:schemeClr val="tx1"/>
                                </a:solidFill>
                                <a:effectLst/>
                                <a:latin typeface="Cambria Math" panose="02040503050406030204" pitchFamily="18" charset="0"/>
                                <a:ea typeface="+mn-ea"/>
                                <a:cs typeface="+mn-cs"/>
                              </a:rPr>
                              <m:t>−</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418,15 </m:t>
                                </m:r>
                                <m:r>
                                  <a:rPr lang="es-ES" sz="1100" b="0" i="1">
                                    <a:solidFill>
                                      <a:schemeClr val="tx1"/>
                                    </a:solidFill>
                                    <a:effectLst/>
                                    <a:latin typeface="Cambria Math" panose="02040503050406030204" pitchFamily="18" charset="0"/>
                                    <a:ea typeface="+mn-ea"/>
                                    <a:cs typeface="+mn-cs"/>
                                  </a:rPr>
                                  <m:t>𝐾</m:t>
                                </m:r>
                              </m:e>
                              <m:sup>
                                <m:r>
                                  <a:rPr lang="es-ES" sz="1100" b="0" i="1">
                                    <a:solidFill>
                                      <a:schemeClr val="tx1"/>
                                    </a:solidFill>
                                    <a:effectLst/>
                                    <a:latin typeface="Cambria Math" panose="02040503050406030204" pitchFamily="18" charset="0"/>
                                    <a:ea typeface="+mn-ea"/>
                                    <a:cs typeface="+mn-cs"/>
                                  </a:rPr>
                                  <m:t>4</m:t>
                                </m:r>
                              </m:sup>
                            </m:sSup>
                          </m:num>
                          <m:den>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−418,15 </m:t>
                            </m:r>
                            <m:r>
                              <a:rPr lang="es-ES" sz="1100" b="0" i="1">
                                <a:latin typeface="Cambria Math" panose="02040503050406030204" pitchFamily="18" charset="0"/>
                              </a:rPr>
                              <m:t>𝐾</m:t>
                            </m:r>
                          </m:den>
                        </m:f>
                      </m:e>
                    </m:d>
                  </m:oMath>
                </m:oMathPara>
              </a14:m>
              <a:endParaRPr lang="es-CL" sz="1100"/>
            </a:p>
          </xdr:txBody>
        </xdr:sp>
      </mc:Choice>
      <mc:Fallback xmlns="">
        <xdr:sp macro="" textlink="">
          <xdr:nvSpPr>
            <xdr:cNvPr id="102" name="CuadroTexto 101">
              <a:extLst>
                <a:ext uri="{FF2B5EF4-FFF2-40B4-BE49-F238E27FC236}">
                  <a16:creationId xmlns:a16="http://schemas.microsoft.com/office/drawing/2014/main" id="{04B17DC0-BA47-4224-BC3D-34321AE5D61A}"/>
                </a:ext>
              </a:extLst>
            </xdr:cNvPr>
            <xdr:cNvSpPr txBox="1"/>
          </xdr:nvSpPr>
          <xdr:spPr>
            <a:xfrm>
              <a:off x="13468979" y="125488177"/>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𝑟=0,9824∗10^(−8)∗0,79∗[(〖303,15 𝐾〗^4</a:t>
              </a:r>
              <a:r>
                <a:rPr lang="es-ES" sz="1100" b="0" i="0">
                  <a:solidFill>
                    <a:schemeClr val="tx1"/>
                  </a:solidFill>
                  <a:effectLst/>
                  <a:latin typeface="Cambria Math" panose="02040503050406030204" pitchFamily="18" charset="0"/>
                  <a:ea typeface="+mn-ea"/>
                  <a:cs typeface="+mn-cs"/>
                </a:rPr>
                <a:t>−〖418,15 𝐾〗^4)/(</a:t>
              </a:r>
              <a:r>
                <a:rPr lang="es-ES" sz="1100" b="0" i="0">
                  <a:latin typeface="Cambria Math" panose="02040503050406030204" pitchFamily="18" charset="0"/>
                </a:rPr>
                <a:t>303,15 𝐾−418,15 𝐾)]</a:t>
              </a:r>
              <a:endParaRPr lang="es-CL" sz="1100"/>
            </a:p>
          </xdr:txBody>
        </xdr:sp>
      </mc:Fallback>
    </mc:AlternateContent>
    <xdr:clientData/>
  </xdr:oneCellAnchor>
  <xdr:oneCellAnchor>
    <xdr:from>
      <xdr:col>9</xdr:col>
      <xdr:colOff>747346</xdr:colOff>
      <xdr:row>638</xdr:row>
      <xdr:rowOff>144411</xdr:rowOff>
    </xdr:from>
    <xdr:ext cx="880497" cy="316882"/>
    <mc:AlternateContent xmlns:mc="http://schemas.openxmlformats.org/markup-compatibility/2006" xmlns:a14="http://schemas.microsoft.com/office/drawing/2010/main">
      <mc:Choice Requires="a14">
        <xdr:sp macro="" textlink="">
          <xdr:nvSpPr>
            <xdr:cNvPr id="103" name="CuadroTexto 102">
              <a:extLst>
                <a:ext uri="{FF2B5EF4-FFF2-40B4-BE49-F238E27FC236}">
                  <a16:creationId xmlns:a16="http://schemas.microsoft.com/office/drawing/2014/main" id="{00000000-0008-0000-0B00-000067000000}"/>
                </a:ext>
              </a:extLst>
            </xdr:cNvPr>
            <xdr:cNvSpPr txBox="1"/>
          </xdr:nvSpPr>
          <xdr:spPr>
            <a:xfrm>
              <a:off x="14150382" y="126044500"/>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r>
                      <a:rPr lang="es-ES" sz="1100" b="0" i="1">
                        <a:latin typeface="Cambria Math" panose="02040503050406030204" pitchFamily="18" charset="0"/>
                      </a:rPr>
                      <m:t>=1,5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103" name="CuadroTexto 102">
              <a:extLst>
                <a:ext uri="{FF2B5EF4-FFF2-40B4-BE49-F238E27FC236}">
                  <a16:creationId xmlns:a16="http://schemas.microsoft.com/office/drawing/2014/main" id="{6F60827D-28FB-4E32-8C4A-77E0C4AA82AA}"/>
                </a:ext>
              </a:extLst>
            </xdr:cNvPr>
            <xdr:cNvSpPr txBox="1"/>
          </xdr:nvSpPr>
          <xdr:spPr>
            <a:xfrm>
              <a:off x="14150382" y="126044500"/>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𝑟=1,5  𝑊/(𝑚^2 𝐾)</a:t>
              </a:r>
              <a:endParaRPr lang="es-CL" sz="1100"/>
            </a:p>
          </xdr:txBody>
        </xdr:sp>
      </mc:Fallback>
    </mc:AlternateContent>
    <xdr:clientData/>
  </xdr:oneCellAnchor>
  <xdr:oneCellAnchor>
    <xdr:from>
      <xdr:col>9</xdr:col>
      <xdr:colOff>234462</xdr:colOff>
      <xdr:row>647</xdr:row>
      <xdr:rowOff>0</xdr:rowOff>
    </xdr:from>
    <xdr:ext cx="795411" cy="173766"/>
    <mc:AlternateContent xmlns:mc="http://schemas.openxmlformats.org/markup-compatibility/2006" xmlns:a14="http://schemas.microsoft.com/office/drawing/2010/main">
      <mc:Choice Requires="a14">
        <xdr:sp macro="" textlink="">
          <xdr:nvSpPr>
            <xdr:cNvPr id="104" name="CuadroTexto 103">
              <a:extLst>
                <a:ext uri="{FF2B5EF4-FFF2-40B4-BE49-F238E27FC236}">
                  <a16:creationId xmlns:a16="http://schemas.microsoft.com/office/drawing/2014/main" id="{00000000-0008-0000-0B00-000068000000}"/>
                </a:ext>
              </a:extLst>
            </xdr:cNvPr>
            <xdr:cNvSpPr txBox="1"/>
          </xdr:nvSpPr>
          <xdr:spPr>
            <a:xfrm>
              <a:off x="13637498" y="1276350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oMath>
                </m:oMathPara>
              </a14:m>
              <a:endParaRPr lang="es-CL" sz="1100"/>
            </a:p>
          </xdr:txBody>
        </xdr:sp>
      </mc:Choice>
      <mc:Fallback xmlns="">
        <xdr:sp macro="" textlink="">
          <xdr:nvSpPr>
            <xdr:cNvPr id="104" name="CuadroTexto 103">
              <a:extLst>
                <a:ext uri="{FF2B5EF4-FFF2-40B4-BE49-F238E27FC236}">
                  <a16:creationId xmlns:a16="http://schemas.microsoft.com/office/drawing/2014/main" id="{58097D9B-C2C9-4AD1-B0E1-210590490A4E}"/>
                </a:ext>
              </a:extLst>
            </xdr:cNvPr>
            <xdr:cNvSpPr txBox="1"/>
          </xdr:nvSpPr>
          <xdr:spPr>
            <a:xfrm>
              <a:off x="13637498" y="1276350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𝑠=ℎ_𝑐+ℎ_𝑟</a:t>
              </a:r>
              <a:endParaRPr lang="es-CL" sz="1100"/>
            </a:p>
          </xdr:txBody>
        </xdr:sp>
      </mc:Fallback>
    </mc:AlternateContent>
    <xdr:clientData/>
  </xdr:oneCellAnchor>
  <xdr:oneCellAnchor>
    <xdr:from>
      <xdr:col>9</xdr:col>
      <xdr:colOff>233729</xdr:colOff>
      <xdr:row>648</xdr:row>
      <xdr:rowOff>142143</xdr:rowOff>
    </xdr:from>
    <xdr:ext cx="2185406" cy="316882"/>
    <mc:AlternateContent xmlns:mc="http://schemas.openxmlformats.org/markup-compatibility/2006" xmlns:a14="http://schemas.microsoft.com/office/drawing/2010/main">
      <mc:Choice Requires="a14">
        <xdr:sp macro="" textlink="">
          <xdr:nvSpPr>
            <xdr:cNvPr id="105" name="CuadroTexto 104">
              <a:extLst>
                <a:ext uri="{FF2B5EF4-FFF2-40B4-BE49-F238E27FC236}">
                  <a16:creationId xmlns:a16="http://schemas.microsoft.com/office/drawing/2014/main" id="{00000000-0008-0000-0B00-000069000000}"/>
                </a:ext>
              </a:extLst>
            </xdr:cNvPr>
            <xdr:cNvSpPr txBox="1"/>
          </xdr:nvSpPr>
          <xdr:spPr>
            <a:xfrm>
              <a:off x="13636765" y="1279699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𝑠</m:t>
                        </m:r>
                      </m:sub>
                    </m:sSub>
                    <m:r>
                      <a:rPr lang="es-ES" sz="1100" b="0" i="1">
                        <a:latin typeface="Cambria Math" panose="02040503050406030204" pitchFamily="18" charset="0"/>
                      </a:rPr>
                      <m:t>=7,4</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solidFill>
                          <a:schemeClr val="tx1"/>
                        </a:solidFill>
                        <a:effectLst/>
                        <a:latin typeface="Cambria Math" panose="02040503050406030204" pitchFamily="18" charset="0"/>
                        <a:ea typeface="+mn-ea"/>
                        <a:cs typeface="+mn-cs"/>
                      </a:rPr>
                      <m:t>+1,5</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=8,9</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105" name="CuadroTexto 104">
              <a:extLst>
                <a:ext uri="{FF2B5EF4-FFF2-40B4-BE49-F238E27FC236}">
                  <a16:creationId xmlns:a16="http://schemas.microsoft.com/office/drawing/2014/main" id="{4A8ECF23-5459-474E-B557-DB0CB21FA518}"/>
                </a:ext>
              </a:extLst>
            </xdr:cNvPr>
            <xdr:cNvSpPr txBox="1"/>
          </xdr:nvSpPr>
          <xdr:spPr>
            <a:xfrm>
              <a:off x="13636765" y="1279699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𝑠=7,4</a:t>
              </a:r>
              <a:r>
                <a:rPr lang="es-ES" sz="1100" b="0" i="0">
                  <a:solidFill>
                    <a:schemeClr val="tx1"/>
                  </a:solidFill>
                  <a:effectLst/>
                  <a:latin typeface="Cambria Math" panose="02040503050406030204" pitchFamily="18" charset="0"/>
                  <a:ea typeface="+mn-ea"/>
                  <a:cs typeface="+mn-cs"/>
                </a:rPr>
                <a:t> 𝑊/(𝑚^2 𝐾)+1,5 𝑊/(𝑚^2 𝐾)</a:t>
              </a:r>
              <a:r>
                <a:rPr lang="es-ES" sz="1100" b="0" i="0">
                  <a:latin typeface="Cambria Math" panose="02040503050406030204" pitchFamily="18" charset="0"/>
                </a:rPr>
                <a:t>=8,9 𝑊/(𝑚^2 𝐾)</a:t>
              </a:r>
              <a:endParaRPr lang="es-CL" sz="1100"/>
            </a:p>
          </xdr:txBody>
        </xdr:sp>
      </mc:Fallback>
    </mc:AlternateContent>
    <xdr:clientData/>
  </xdr:oneCellAnchor>
  <xdr:oneCellAnchor>
    <xdr:from>
      <xdr:col>9</xdr:col>
      <xdr:colOff>0</xdr:colOff>
      <xdr:row>656</xdr:row>
      <xdr:rowOff>170788</xdr:rowOff>
    </xdr:from>
    <xdr:ext cx="2609881" cy="504369"/>
    <mc:AlternateContent xmlns:mc="http://schemas.openxmlformats.org/markup-compatibility/2006" xmlns:a14="http://schemas.microsoft.com/office/drawing/2010/main">
      <mc:Choice Requires="a14">
        <xdr:sp macro="" textlink="">
          <xdr:nvSpPr>
            <xdr:cNvPr id="106" name="CuadroTexto 105">
              <a:extLst>
                <a:ext uri="{FF2B5EF4-FFF2-40B4-BE49-F238E27FC236}">
                  <a16:creationId xmlns:a16="http://schemas.microsoft.com/office/drawing/2014/main" id="{00000000-0008-0000-0B00-00006A000000}"/>
                </a:ext>
              </a:extLst>
            </xdr:cNvPr>
            <xdr:cNvSpPr txBox="1"/>
          </xdr:nvSpPr>
          <xdr:spPr>
            <a:xfrm>
              <a:off x="13403036" y="129540699"/>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𝑜𝑝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𝑘</m:t>
                                        </m:r>
                                      </m:e>
                                      <m:sub>
                                        <m:r>
                                          <a:rPr lang="es-ES" sz="1100" b="0" i="1">
                                            <a:latin typeface="Cambria Math" panose="02040503050406030204" pitchFamily="18" charset="0"/>
                                          </a:rPr>
                                          <m:t>𝑎𝑖𝑠</m:t>
                                        </m:r>
                                      </m:sub>
                                    </m:sSub>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d>
                      </m:den>
                    </m:f>
                  </m:oMath>
                </m:oMathPara>
              </a14:m>
              <a:endParaRPr lang="es-CL" sz="1100"/>
            </a:p>
          </xdr:txBody>
        </xdr:sp>
      </mc:Choice>
      <mc:Fallback xmlns="">
        <xdr:sp macro="" textlink="">
          <xdr:nvSpPr>
            <xdr:cNvPr id="106" name="CuadroTexto 105">
              <a:extLst>
                <a:ext uri="{FF2B5EF4-FFF2-40B4-BE49-F238E27FC236}">
                  <a16:creationId xmlns:a16="http://schemas.microsoft.com/office/drawing/2014/main" id="{AB361306-C16C-49F1-A39F-7F4D23F9C59B}"/>
                </a:ext>
              </a:extLst>
            </xdr:cNvPr>
            <xdr:cNvSpPr txBox="1"/>
          </xdr:nvSpPr>
          <xdr:spPr>
            <a:xfrm>
              <a:off x="13403036" y="129540699"/>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𝑞=(3,1416∗(𝑇_𝑜𝑝−𝑇_𝑎))/((1/((2∗𝑘_𝑎𝑖𝑠 ) ))∗(𝑙𝑛 𝑑_𝑎/𝑑_𝑜 )+(1∗(ℎ_𝑠∗𝑑_𝑎 )) )</a:t>
              </a:r>
              <a:endParaRPr lang="es-CL" sz="1100"/>
            </a:p>
          </xdr:txBody>
        </xdr:sp>
      </mc:Fallback>
    </mc:AlternateContent>
    <xdr:clientData/>
  </xdr:oneCellAnchor>
  <xdr:oneCellAnchor>
    <xdr:from>
      <xdr:col>9</xdr:col>
      <xdr:colOff>94518</xdr:colOff>
      <xdr:row>661</xdr:row>
      <xdr:rowOff>10258</xdr:rowOff>
    </xdr:from>
    <xdr:ext cx="3879844" cy="678455"/>
    <mc:AlternateContent xmlns:mc="http://schemas.openxmlformats.org/markup-compatibility/2006" xmlns:a14="http://schemas.microsoft.com/office/drawing/2010/main">
      <mc:Choice Requires="a14">
        <xdr:sp macro="" textlink="">
          <xdr:nvSpPr>
            <xdr:cNvPr id="107" name="CuadroTexto 106">
              <a:extLst>
                <a:ext uri="{FF2B5EF4-FFF2-40B4-BE49-F238E27FC236}">
                  <a16:creationId xmlns:a16="http://schemas.microsoft.com/office/drawing/2014/main" id="{00000000-0008-0000-0B00-00006B000000}"/>
                </a:ext>
              </a:extLst>
            </xdr:cNvPr>
            <xdr:cNvSpPr txBox="1"/>
          </xdr:nvSpPr>
          <xdr:spPr>
            <a:xfrm>
              <a:off x="13497554" y="130344008"/>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2∗50,2</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r>
                                          <a:rPr lang="es-ES" sz="1100" b="0" i="1">
                                            <a:latin typeface="Cambria Math" panose="02040503050406030204" pitchFamily="18" charset="0"/>
                                          </a:rPr>
                                          <m:t>𝑚𝐾</m:t>
                                        </m:r>
                                      </m:den>
                                    </m:f>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r>
                                  <a:rPr lang="es-ES" sz="1100" b="0" i="1">
                                    <a:latin typeface="Cambria Math" panose="02040503050406030204" pitchFamily="18" charset="0"/>
                                  </a:rPr>
                                  <m:t>0,0762</m:t>
                                </m:r>
                              </m:num>
                              <m:den>
                                <m:r>
                                  <a:rPr lang="es-ES" sz="1100" b="0" i="1">
                                    <a:latin typeface="Cambria Math" panose="02040503050406030204" pitchFamily="18" charset="0"/>
                                  </a:rPr>
                                  <m:t>0,0762</m:t>
                                </m:r>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r>
                              <a:rPr lang="es-ES" sz="1100" b="0" i="1">
                                <a:solidFill>
                                  <a:srgbClr val="FF0000"/>
                                </a:solidFill>
                                <a:latin typeface="Cambria Math" panose="02040503050406030204" pitchFamily="18" charset="0"/>
                              </a:rPr>
                              <m:t>+</m:t>
                            </m:r>
                            <m:d>
                              <m:dPr>
                                <m:ctrlPr>
                                  <a:rPr lang="es-ES" sz="1100" b="0" i="1">
                                    <a:latin typeface="Cambria Math" panose="02040503050406030204" pitchFamily="18" charset="0"/>
                                  </a:rPr>
                                </m:ctrlPr>
                              </m:dPr>
                              <m:e>
                                <m:r>
                                  <a:rPr lang="es-ES" sz="1100" b="0" i="1">
                                    <a:solidFill>
                                      <a:schemeClr val="tx1"/>
                                    </a:solidFill>
                                    <a:effectLst/>
                                    <a:latin typeface="Cambria Math" panose="02040503050406030204" pitchFamily="18" charset="0"/>
                                    <a:ea typeface="+mn-ea"/>
                                    <a:cs typeface="+mn-cs"/>
                                  </a:rPr>
                                  <m:t>8,9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∗0,0762</m:t>
                                </m:r>
                              </m:e>
                            </m:d>
                          </m:e>
                        </m:d>
                      </m:den>
                    </m:f>
                  </m:oMath>
                </m:oMathPara>
              </a14:m>
              <a:endParaRPr lang="es-CL" sz="1100"/>
            </a:p>
          </xdr:txBody>
        </xdr:sp>
      </mc:Choice>
      <mc:Fallback xmlns="">
        <xdr:sp macro="" textlink="">
          <xdr:nvSpPr>
            <xdr:cNvPr id="107" name="CuadroTexto 106">
              <a:extLst>
                <a:ext uri="{FF2B5EF4-FFF2-40B4-BE49-F238E27FC236}">
                  <a16:creationId xmlns:a16="http://schemas.microsoft.com/office/drawing/2014/main" id="{78E90EE0-BA80-42F7-B932-946C483D5D75}"/>
                </a:ext>
              </a:extLst>
            </xdr:cNvPr>
            <xdr:cNvSpPr txBox="1"/>
          </xdr:nvSpPr>
          <xdr:spPr>
            <a:xfrm>
              <a:off x="13497554" y="130344008"/>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𝑞=(3,1416∗(418,15 𝐾−303,15 𝐾))/((1/((2∗50,2 𝑊/𝑚𝐾) ))∗(𝑙𝑛 0,0762/0,0762)+(1</a:t>
              </a:r>
              <a:r>
                <a:rPr lang="es-ES" sz="1100" b="0" i="0">
                  <a:solidFill>
                    <a:srgbClr val="FF0000"/>
                  </a:solidFill>
                  <a:latin typeface="Cambria Math" panose="02040503050406030204" pitchFamily="18" charset="0"/>
                </a:rPr>
                <a:t>+(</a:t>
              </a:r>
              <a:r>
                <a:rPr lang="es-ES" sz="1100" b="0" i="0">
                  <a:solidFill>
                    <a:schemeClr val="tx1"/>
                  </a:solidFill>
                  <a:effectLst/>
                  <a:latin typeface="Cambria Math" panose="02040503050406030204" pitchFamily="18" charset="0"/>
                  <a:ea typeface="+mn-ea"/>
                  <a:cs typeface="+mn-cs"/>
                </a:rPr>
                <a:t>8,9 𝑊/(𝑚^2 𝐾)</a:t>
              </a:r>
              <a:r>
                <a:rPr lang="es-ES" sz="1100" b="0" i="0">
                  <a:latin typeface="Cambria Math" panose="02040503050406030204" pitchFamily="18" charset="0"/>
                </a:rPr>
                <a:t>∗0,0762)) )</a:t>
              </a:r>
              <a:endParaRPr lang="es-CL" sz="1100"/>
            </a:p>
          </xdr:txBody>
        </xdr:sp>
      </mc:Fallback>
    </mc:AlternateContent>
    <xdr:clientData/>
  </xdr:oneCellAnchor>
  <xdr:oneCellAnchor>
    <xdr:from>
      <xdr:col>9</xdr:col>
      <xdr:colOff>608135</xdr:colOff>
      <xdr:row>665</xdr:row>
      <xdr:rowOff>185442</xdr:rowOff>
    </xdr:from>
    <xdr:ext cx="762966" cy="316946"/>
    <mc:AlternateContent xmlns:mc="http://schemas.openxmlformats.org/markup-compatibility/2006" xmlns:a14="http://schemas.microsoft.com/office/drawing/2010/main">
      <mc:Choice Requires="a14">
        <xdr:sp macro="" textlink="">
          <xdr:nvSpPr>
            <xdr:cNvPr id="108" name="CuadroTexto 107">
              <a:extLst>
                <a:ext uri="{FF2B5EF4-FFF2-40B4-BE49-F238E27FC236}">
                  <a16:creationId xmlns:a16="http://schemas.microsoft.com/office/drawing/2014/main" id="{00000000-0008-0000-0B00-00006C000000}"/>
                </a:ext>
              </a:extLst>
            </xdr:cNvPr>
            <xdr:cNvSpPr txBox="1"/>
          </xdr:nvSpPr>
          <xdr:spPr>
            <a:xfrm>
              <a:off x="14011171" y="131290263"/>
              <a:ext cx="762966"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=49,3</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oMath>
                </m:oMathPara>
              </a14:m>
              <a:endParaRPr lang="es-CL" sz="1100"/>
            </a:p>
          </xdr:txBody>
        </xdr:sp>
      </mc:Choice>
      <mc:Fallback xmlns="">
        <xdr:sp macro="" textlink="">
          <xdr:nvSpPr>
            <xdr:cNvPr id="108" name="CuadroTexto 107">
              <a:extLst>
                <a:ext uri="{FF2B5EF4-FFF2-40B4-BE49-F238E27FC236}">
                  <a16:creationId xmlns:a16="http://schemas.microsoft.com/office/drawing/2014/main" id="{C6C46AA1-6100-4D67-B634-8D5CF10CAF5E}"/>
                </a:ext>
              </a:extLst>
            </xdr:cNvPr>
            <xdr:cNvSpPr txBox="1"/>
          </xdr:nvSpPr>
          <xdr:spPr>
            <a:xfrm>
              <a:off x="14011171" y="131290263"/>
              <a:ext cx="762966"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𝑞=49,3 𝐽/𝑠𝑚</a:t>
              </a:r>
              <a:endParaRPr lang="es-CL" sz="1100"/>
            </a:p>
          </xdr:txBody>
        </xdr:sp>
      </mc:Fallback>
    </mc:AlternateContent>
    <xdr:clientData/>
  </xdr:oneCellAnchor>
  <xdr:oneCellAnchor>
    <xdr:from>
      <xdr:col>9</xdr:col>
      <xdr:colOff>300404</xdr:colOff>
      <xdr:row>673</xdr:row>
      <xdr:rowOff>170788</xdr:rowOff>
    </xdr:from>
    <xdr:ext cx="3003323" cy="455317"/>
    <mc:AlternateContent xmlns:mc="http://schemas.openxmlformats.org/markup-compatibility/2006" xmlns:a14="http://schemas.microsoft.com/office/drawing/2010/main">
      <mc:Choice Requires="a14">
        <xdr:sp macro="" textlink="">
          <xdr:nvSpPr>
            <xdr:cNvPr id="109" name="CuadroTexto 108">
              <a:extLst>
                <a:ext uri="{FF2B5EF4-FFF2-40B4-BE49-F238E27FC236}">
                  <a16:creationId xmlns:a16="http://schemas.microsoft.com/office/drawing/2014/main" id="{00000000-0008-0000-0B00-00006D000000}"/>
                </a:ext>
              </a:extLst>
            </xdr:cNvPr>
            <xdr:cNvSpPr txBox="1"/>
          </xdr:nvSpPr>
          <xdr:spPr>
            <a:xfrm>
              <a:off x="13703440" y="132817752"/>
              <a:ext cx="3003323"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=49,3</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r>
                      <a:rPr lang="es-ES" sz="1100" b="0" i="1">
                        <a:latin typeface="Cambria Math" panose="02040503050406030204" pitchFamily="18" charset="0"/>
                      </a:rPr>
                      <m:t>∗0,2388</m:t>
                    </m:r>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1</m:t>
                        </m:r>
                        <m:r>
                          <a:rPr lang="es-ES" sz="1100" b="0" i="1">
                            <a:latin typeface="Cambria Math" panose="02040503050406030204" pitchFamily="18" charset="0"/>
                          </a:rPr>
                          <m:t>𝐽</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f>
                          <m:fPr>
                            <m:ctrlPr>
                              <a:rPr lang="es-ES" sz="1100" b="0" i="1">
                                <a:latin typeface="Cambria Math" panose="02040503050406030204" pitchFamily="18" charset="0"/>
                              </a:rPr>
                            </m:ctrlPr>
                          </m:fPr>
                          <m:num>
                            <m:r>
                              <a:rPr lang="es-ES" sz="1100" b="0" i="1">
                                <a:latin typeface="Cambria Math" panose="02040503050406030204" pitchFamily="18" charset="0"/>
                              </a:rPr>
                              <m:t>3600 </m:t>
                            </m:r>
                            <m:r>
                              <a:rPr lang="es-ES" sz="1100" b="0" i="1">
                                <a:latin typeface="Cambria Math" panose="02040503050406030204" pitchFamily="18" charset="0"/>
                              </a:rPr>
                              <m:t>𝑠</m:t>
                            </m:r>
                          </m:num>
                          <m:den>
                            <m:r>
                              <a:rPr lang="es-ES" sz="1100" b="0" i="1">
                                <a:latin typeface="Cambria Math" panose="02040503050406030204" pitchFamily="18" charset="0"/>
                              </a:rPr>
                              <m:t>1 </m:t>
                            </m:r>
                            <m:r>
                              <a:rPr lang="es-ES" sz="1100" b="0" i="1">
                                <a:latin typeface="Cambria Math" panose="02040503050406030204" pitchFamily="18" charset="0"/>
                              </a:rPr>
                              <m:t>h𝑜𝑟𝑎</m:t>
                            </m:r>
                          </m:den>
                        </m:f>
                      </m:num>
                      <m:den>
                        <m:r>
                          <a:rPr lang="es-ES" sz="1100" b="0" i="1">
                            <a:latin typeface="Cambria Math" panose="02040503050406030204" pitchFamily="18" charset="0"/>
                          </a:rPr>
                          <m:t>1000</m:t>
                        </m:r>
                      </m:den>
                    </m:f>
                    <m:r>
                      <a:rPr lang="es-ES" sz="1100" b="0" i="1">
                        <a:latin typeface="Cambria Math" panose="02040503050406030204" pitchFamily="18" charset="0"/>
                      </a:rPr>
                      <m:t>=42,42</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𝑚h</m:t>
                        </m:r>
                      </m:den>
                    </m:f>
                  </m:oMath>
                </m:oMathPara>
              </a14:m>
              <a:endParaRPr lang="es-CL" sz="1100"/>
            </a:p>
          </xdr:txBody>
        </xdr:sp>
      </mc:Choice>
      <mc:Fallback xmlns="">
        <xdr:sp macro="" textlink="">
          <xdr:nvSpPr>
            <xdr:cNvPr id="109" name="CuadroTexto 108">
              <a:extLst>
                <a:ext uri="{FF2B5EF4-FFF2-40B4-BE49-F238E27FC236}">
                  <a16:creationId xmlns:a16="http://schemas.microsoft.com/office/drawing/2014/main" id="{DDBE9BAB-D698-4854-A331-FEDEBDCC2956}"/>
                </a:ext>
              </a:extLst>
            </xdr:cNvPr>
            <xdr:cNvSpPr txBox="1"/>
          </xdr:nvSpPr>
          <xdr:spPr>
            <a:xfrm>
              <a:off x="13703440" y="132817752"/>
              <a:ext cx="3003323"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𝑞=49,3 𝐽/𝑠𝑚∗0,2388 𝑘𝑐𝑎𝑙/1𝐽∗((3600 𝑠)/(1 ℎ𝑜𝑟𝑎))/1000=42,42 𝐾𝑐𝑎𝑙/𝑚ℎ</a:t>
              </a:r>
              <a:endParaRPr lang="es-CL" sz="1100"/>
            </a:p>
          </xdr:txBody>
        </xdr:sp>
      </mc:Fallback>
    </mc:AlternateContent>
    <xdr:clientData/>
  </xdr:oneCellAnchor>
  <xdr:oneCellAnchor>
    <xdr:from>
      <xdr:col>9</xdr:col>
      <xdr:colOff>534865</xdr:colOff>
      <xdr:row>682</xdr:row>
      <xdr:rowOff>0</xdr:rowOff>
    </xdr:from>
    <xdr:ext cx="2643864" cy="321370"/>
    <mc:AlternateContent xmlns:mc="http://schemas.openxmlformats.org/markup-compatibility/2006" xmlns:a14="http://schemas.microsoft.com/office/drawing/2010/main">
      <mc:Choice Requires="a14">
        <xdr:sp macro="" textlink="">
          <xdr:nvSpPr>
            <xdr:cNvPr id="110" name="CuadroTexto 109">
              <a:extLst>
                <a:ext uri="{FF2B5EF4-FFF2-40B4-BE49-F238E27FC236}">
                  <a16:creationId xmlns:a16="http://schemas.microsoft.com/office/drawing/2014/main" id="{00000000-0008-0000-0B00-00006E000000}"/>
                </a:ext>
              </a:extLst>
            </xdr:cNvPr>
            <xdr:cNvSpPr txBox="1"/>
          </xdr:nvSpPr>
          <xdr:spPr>
            <a:xfrm>
              <a:off x="13937901" y="134381875"/>
              <a:ext cx="2643864"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=42,42</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𝑚h</m:t>
                        </m:r>
                      </m:den>
                    </m:f>
                    <m:r>
                      <a:rPr lang="es-ES" sz="1100" b="0" i="1">
                        <a:latin typeface="Cambria Math" panose="02040503050406030204" pitchFamily="18" charset="0"/>
                      </a:rPr>
                      <m:t>∗12,27 </m:t>
                    </m:r>
                    <m:r>
                      <a:rPr lang="es-ES" sz="1100" b="0" i="1">
                        <a:latin typeface="Cambria Math" panose="02040503050406030204" pitchFamily="18" charset="0"/>
                      </a:rPr>
                      <m:t>𝑚</m:t>
                    </m:r>
                    <m:r>
                      <a:rPr lang="es-ES" sz="1100" b="0" i="1">
                        <a:latin typeface="Cambria Math" panose="02040503050406030204" pitchFamily="18" charset="0"/>
                      </a:rPr>
                      <m:t>=520,46</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h</m:t>
                        </m:r>
                      </m:den>
                    </m:f>
                    <m:r>
                      <a:rPr lang="es-ES" sz="1100" b="0" i="1">
                        <a:latin typeface="Cambria Math" panose="02040503050406030204" pitchFamily="18" charset="0"/>
                      </a:rPr>
                      <m:t> </m:t>
                    </m:r>
                  </m:oMath>
                </m:oMathPara>
              </a14:m>
              <a:endParaRPr lang="es-CL" sz="1100"/>
            </a:p>
          </xdr:txBody>
        </xdr:sp>
      </mc:Choice>
      <mc:Fallback xmlns="">
        <xdr:sp macro="" textlink="">
          <xdr:nvSpPr>
            <xdr:cNvPr id="110" name="CuadroTexto 109">
              <a:extLst>
                <a:ext uri="{FF2B5EF4-FFF2-40B4-BE49-F238E27FC236}">
                  <a16:creationId xmlns:a16="http://schemas.microsoft.com/office/drawing/2014/main" id="{5542C80A-72A3-4ECC-980A-29542AF2A944}"/>
                </a:ext>
              </a:extLst>
            </xdr:cNvPr>
            <xdr:cNvSpPr txBox="1"/>
          </xdr:nvSpPr>
          <xdr:spPr>
            <a:xfrm>
              <a:off x="13937901" y="134381875"/>
              <a:ext cx="2643864"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a:t>
              </a:r>
              <a:r>
                <a:rPr lang="es-CL" sz="1100" b="0" i="0">
                  <a:latin typeface="Cambria Math" panose="02040503050406030204" pitchFamily="18" charset="0"/>
                </a:rPr>
                <a:t>_</a:t>
              </a:r>
              <a:r>
                <a:rPr lang="es-ES" sz="1100" b="0" i="0">
                  <a:latin typeface="Cambria Math" panose="02040503050406030204" pitchFamily="18" charset="0"/>
                </a:rPr>
                <a:t>𝑡=42,42 𝐾𝑐𝑎𝑙/𝑚ℎ∗12,27 𝑚=520,46</a:t>
              </a:r>
              <a:r>
                <a:rPr lang="es-ES" sz="1100" b="0" i="0">
                  <a:solidFill>
                    <a:schemeClr val="tx1"/>
                  </a:solidFill>
                  <a:effectLst/>
                  <a:latin typeface="Cambria Math" panose="02040503050406030204" pitchFamily="18" charset="0"/>
                  <a:ea typeface="+mn-ea"/>
                  <a:cs typeface="+mn-cs"/>
                </a:rPr>
                <a:t> 𝐾𝑐𝑎𝑙/ℎ </a:t>
              </a:r>
              <a:r>
                <a:rPr lang="es-ES" sz="1100" b="0" i="0">
                  <a:latin typeface="Cambria Math" panose="02040503050406030204" pitchFamily="18" charset="0"/>
                </a:rPr>
                <a:t> </a:t>
              </a:r>
              <a:endParaRPr lang="es-CL" sz="1100"/>
            </a:p>
          </xdr:txBody>
        </xdr:sp>
      </mc:Fallback>
    </mc:AlternateContent>
    <xdr:clientData/>
  </xdr:oneCellAnchor>
  <xdr:oneCellAnchor>
    <xdr:from>
      <xdr:col>9</xdr:col>
      <xdr:colOff>0</xdr:colOff>
      <xdr:row>689</xdr:row>
      <xdr:rowOff>175846</xdr:rowOff>
    </xdr:from>
    <xdr:ext cx="3309817" cy="173766"/>
    <mc:AlternateContent xmlns:mc="http://schemas.openxmlformats.org/markup-compatibility/2006" xmlns:a14="http://schemas.microsoft.com/office/drawing/2010/main">
      <mc:Choice Requires="a14">
        <xdr:sp macro="" textlink="">
          <xdr:nvSpPr>
            <xdr:cNvPr id="111" name="CuadroTexto 110">
              <a:extLst>
                <a:ext uri="{FF2B5EF4-FFF2-40B4-BE49-F238E27FC236}">
                  <a16:creationId xmlns:a16="http://schemas.microsoft.com/office/drawing/2014/main" id="{00000000-0008-0000-0B00-00006F000000}"/>
                </a:ext>
              </a:extLst>
            </xdr:cNvPr>
            <xdr:cNvSpPr txBox="1"/>
          </xdr:nvSpPr>
          <xdr:spPr>
            <a:xfrm>
              <a:off x="13403036" y="135907096"/>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m:t>
                    </m:r>
                    <m:r>
                      <a:rPr lang="es-ES" sz="1100" b="0" i="1">
                        <a:latin typeface="Cambria Math" panose="02040503050406030204" pitchFamily="18" charset="0"/>
                      </a:rPr>
                      <m:t>h𝑜𝑟𝑎𝑠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𝑜𝑝𝑒𝑟𝑎𝑐𝑖</m:t>
                    </m:r>
                    <m:r>
                      <a:rPr lang="es-ES" sz="1100" b="0" i="1">
                        <a:latin typeface="Cambria Math" panose="02040503050406030204" pitchFamily="18" charset="0"/>
                      </a:rPr>
                      <m:t>ó</m:t>
                    </m:r>
                    <m:r>
                      <a:rPr lang="es-ES" sz="1100" b="0" i="1">
                        <a:latin typeface="Cambria Math" panose="02040503050406030204" pitchFamily="18" charset="0"/>
                      </a:rPr>
                      <m:t>𝑛</m:t>
                    </m:r>
                  </m:oMath>
                </m:oMathPara>
              </a14:m>
              <a:endParaRPr lang="es-CL" sz="1100"/>
            </a:p>
          </xdr:txBody>
        </xdr:sp>
      </mc:Choice>
      <mc:Fallback xmlns="">
        <xdr:sp macro="" textlink="">
          <xdr:nvSpPr>
            <xdr:cNvPr id="111" name="CuadroTexto 110">
              <a:extLst>
                <a:ext uri="{FF2B5EF4-FFF2-40B4-BE49-F238E27FC236}">
                  <a16:creationId xmlns:a16="http://schemas.microsoft.com/office/drawing/2014/main" id="{23195D7E-50FE-4915-8ACA-A351B69FA1E8}"/>
                </a:ext>
              </a:extLst>
            </xdr:cNvPr>
            <xdr:cNvSpPr txBox="1"/>
          </xdr:nvSpPr>
          <xdr:spPr>
            <a:xfrm>
              <a:off x="13403036" y="135907096"/>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𝑃é𝑟𝑑𝑖𝑑𝑎𝑠 𝑡𝑜𝑡𝑎𝑙𝑒𝑠 𝑎𝑛𝑢𝑎𝑙𝑒𝑠= 𝑞_𝑡∗ℎ𝑜𝑟𝑎𝑠 𝑑𝑒 𝑜𝑝𝑒𝑟𝑎𝑐𝑖ó𝑛</a:t>
              </a:r>
              <a:endParaRPr lang="es-CL" sz="1100"/>
            </a:p>
          </xdr:txBody>
        </xdr:sp>
      </mc:Fallback>
    </mc:AlternateContent>
    <xdr:clientData/>
  </xdr:oneCellAnchor>
  <xdr:oneCellAnchor>
    <xdr:from>
      <xdr:col>9</xdr:col>
      <xdr:colOff>21248</xdr:colOff>
      <xdr:row>691</xdr:row>
      <xdr:rowOff>98181</xdr:rowOff>
    </xdr:from>
    <xdr:ext cx="4304448" cy="243785"/>
    <mc:AlternateContent xmlns:mc="http://schemas.openxmlformats.org/markup-compatibility/2006" xmlns:a14="http://schemas.microsoft.com/office/drawing/2010/main">
      <mc:Choice Requires="a14">
        <xdr:sp macro="" textlink="">
          <xdr:nvSpPr>
            <xdr:cNvPr id="112" name="CuadroTexto 111">
              <a:extLst>
                <a:ext uri="{FF2B5EF4-FFF2-40B4-BE49-F238E27FC236}">
                  <a16:creationId xmlns:a16="http://schemas.microsoft.com/office/drawing/2014/main" id="{00000000-0008-0000-0B00-000070000000}"/>
                </a:ext>
              </a:extLst>
            </xdr:cNvPr>
            <xdr:cNvSpPr txBox="1"/>
          </xdr:nvSpPr>
          <xdr:spPr>
            <a:xfrm>
              <a:off x="13424284" y="136214967"/>
              <a:ext cx="4304448" cy="243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=520,46</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h</m:t>
                      </m:r>
                    </m:den>
                  </m:f>
                  <m:r>
                    <a:rPr lang="es-ES" sz="1100" b="0" i="1">
                      <a:latin typeface="Cambria Math" panose="02040503050406030204" pitchFamily="18" charset="0"/>
                    </a:rPr>
                    <m:t>∗1.040</m:t>
                  </m:r>
                  <m:f>
                    <m:fPr>
                      <m:ctrlPr>
                        <a:rPr lang="es-ES" sz="1100" b="0" i="1">
                          <a:latin typeface="Cambria Math" panose="02040503050406030204" pitchFamily="18" charset="0"/>
                        </a:rPr>
                      </m:ctrlPr>
                    </m:fPr>
                    <m:num>
                      <m:r>
                        <a:rPr lang="es-ES" sz="1100" b="0" i="1">
                          <a:latin typeface="Cambria Math" panose="02040503050406030204" pitchFamily="18" charset="0"/>
                        </a:rPr>
                        <m:t>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=541.274,39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 </m:t>
                  </m:r>
                </m:oMath>
              </a14:m>
              <a:r>
                <a:rPr lang="es-CL" sz="1100"/>
                <a:t> </a:t>
              </a:r>
            </a:p>
          </xdr:txBody>
        </xdr:sp>
      </mc:Choice>
      <mc:Fallback xmlns="">
        <xdr:sp macro="" textlink="">
          <xdr:nvSpPr>
            <xdr:cNvPr id="112" name="CuadroTexto 111">
              <a:extLst>
                <a:ext uri="{FF2B5EF4-FFF2-40B4-BE49-F238E27FC236}">
                  <a16:creationId xmlns:a16="http://schemas.microsoft.com/office/drawing/2014/main" id="{C862CE13-1302-472C-8DB7-672705416023}"/>
                </a:ext>
              </a:extLst>
            </xdr:cNvPr>
            <xdr:cNvSpPr txBox="1"/>
          </xdr:nvSpPr>
          <xdr:spPr>
            <a:xfrm>
              <a:off x="13424284" y="136214967"/>
              <a:ext cx="4304448" cy="243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𝑃é𝑟𝑑𝑖𝑑𝑎𝑠 𝑡𝑜𝑡𝑎𝑙𝑒𝑠 𝑎𝑛𝑢𝑎𝑙𝑒𝑠=520,46 𝐾𝑐𝑎𝑙/ℎ∗1.040 ℎ/𝑎ñ𝑜=541.274,39</a:t>
              </a:r>
              <a:r>
                <a:rPr lang="es-ES" sz="1100" b="0" i="0">
                  <a:solidFill>
                    <a:schemeClr val="tx1"/>
                  </a:solidFill>
                  <a:effectLst/>
                  <a:latin typeface="Cambria Math" panose="02040503050406030204" pitchFamily="18" charset="0"/>
                  <a:ea typeface="+mn-ea"/>
                  <a:cs typeface="+mn-cs"/>
                </a:rPr>
                <a:t> 𝐾𝑐𝑎𝑙/𝑎ñ𝑜  </a:t>
              </a:r>
              <a:r>
                <a:rPr lang="es-CL" sz="1100"/>
                <a:t> </a:t>
              </a:r>
            </a:p>
          </xdr:txBody>
        </xdr:sp>
      </mc:Fallback>
    </mc:AlternateContent>
    <xdr:clientData/>
  </xdr:oneCellAnchor>
  <xdr:oneCellAnchor>
    <xdr:from>
      <xdr:col>9</xdr:col>
      <xdr:colOff>129410</xdr:colOff>
      <xdr:row>722</xdr:row>
      <xdr:rowOff>0</xdr:rowOff>
    </xdr:from>
    <xdr:ext cx="1011944" cy="173766"/>
    <mc:AlternateContent xmlns:mc="http://schemas.openxmlformats.org/markup-compatibility/2006" xmlns:a14="http://schemas.microsoft.com/office/drawing/2010/main">
      <mc:Choice Requires="a14">
        <xdr:sp macro="" textlink="">
          <xdr:nvSpPr>
            <xdr:cNvPr id="113" name="CuadroTexto 112">
              <a:extLst>
                <a:ext uri="{FF2B5EF4-FFF2-40B4-BE49-F238E27FC236}">
                  <a16:creationId xmlns:a16="http://schemas.microsoft.com/office/drawing/2014/main" id="{00000000-0008-0000-0B00-000071000000}"/>
                </a:ext>
              </a:extLst>
            </xdr:cNvPr>
            <xdr:cNvSpPr txBox="1"/>
          </xdr:nvSpPr>
          <xdr:spPr>
            <a:xfrm>
              <a:off x="13532446" y="14305642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r>
                    <a:rPr lang="es-ES" sz="1100" b="0" i="1">
                      <a:latin typeface="Cambria Math" panose="02040503050406030204" pitchFamily="18" charset="0"/>
                    </a:rPr>
                    <m:t>+2</m:t>
                  </m:r>
                </m:oMath>
              </a14:m>
              <a:r>
                <a:rPr lang="es-CL" sz="1100"/>
                <a:t>*Esp</a:t>
              </a:r>
            </a:p>
          </xdr:txBody>
        </xdr:sp>
      </mc:Choice>
      <mc:Fallback xmlns="">
        <xdr:sp macro="" textlink="">
          <xdr:nvSpPr>
            <xdr:cNvPr id="113" name="CuadroTexto 112">
              <a:extLst>
                <a:ext uri="{FF2B5EF4-FFF2-40B4-BE49-F238E27FC236}">
                  <a16:creationId xmlns:a16="http://schemas.microsoft.com/office/drawing/2014/main" id="{AF5A8DC3-1F90-4F6A-9668-448845F5CC49}"/>
                </a:ext>
              </a:extLst>
            </xdr:cNvPr>
            <xdr:cNvSpPr txBox="1"/>
          </xdr:nvSpPr>
          <xdr:spPr>
            <a:xfrm>
              <a:off x="13532446" y="143056429"/>
              <a:ext cx="101194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𝑎=𝑑_𝑜+2</a:t>
              </a:r>
              <a:r>
                <a:rPr lang="es-CL" sz="1100"/>
                <a:t>*Esp</a:t>
              </a:r>
            </a:p>
          </xdr:txBody>
        </xdr:sp>
      </mc:Fallback>
    </mc:AlternateContent>
    <xdr:clientData/>
  </xdr:oneCellAnchor>
  <xdr:oneCellAnchor>
    <xdr:from>
      <xdr:col>9</xdr:col>
      <xdr:colOff>118696</xdr:colOff>
      <xdr:row>723</xdr:row>
      <xdr:rowOff>174909</xdr:rowOff>
    </xdr:from>
    <xdr:ext cx="1145570" cy="173766"/>
    <mc:AlternateContent xmlns:mc="http://schemas.openxmlformats.org/markup-compatibility/2006" xmlns:a14="http://schemas.microsoft.com/office/drawing/2010/main">
      <mc:Choice Requires="a14">
        <xdr:sp macro="" textlink="">
          <xdr:nvSpPr>
            <xdr:cNvPr id="114" name="CuadroTexto 113">
              <a:extLst>
                <a:ext uri="{FF2B5EF4-FFF2-40B4-BE49-F238E27FC236}">
                  <a16:creationId xmlns:a16="http://schemas.microsoft.com/office/drawing/2014/main" id="{00000000-0008-0000-0B00-000072000000}"/>
                </a:ext>
              </a:extLst>
            </xdr:cNvPr>
            <xdr:cNvSpPr txBox="1"/>
          </xdr:nvSpPr>
          <xdr:spPr>
            <a:xfrm>
              <a:off x="13521732" y="14342410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=0,0762+2</m:t>
                  </m:r>
                </m:oMath>
              </a14:m>
              <a:r>
                <a:rPr lang="es-CL" sz="1100"/>
                <a:t>*0</a:t>
              </a:r>
            </a:p>
          </xdr:txBody>
        </xdr:sp>
      </mc:Choice>
      <mc:Fallback xmlns="">
        <xdr:sp macro="" textlink="">
          <xdr:nvSpPr>
            <xdr:cNvPr id="114" name="CuadroTexto 113">
              <a:extLst>
                <a:ext uri="{FF2B5EF4-FFF2-40B4-BE49-F238E27FC236}">
                  <a16:creationId xmlns:a16="http://schemas.microsoft.com/office/drawing/2014/main" id="{D9AB0279-C336-458C-B847-542078DB18CC}"/>
                </a:ext>
              </a:extLst>
            </xdr:cNvPr>
            <xdr:cNvSpPr txBox="1"/>
          </xdr:nvSpPr>
          <xdr:spPr>
            <a:xfrm>
              <a:off x="13521732" y="143424105"/>
              <a:ext cx="114557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𝑎=0,0762+2</a:t>
              </a:r>
              <a:r>
                <a:rPr lang="es-CL" sz="1100"/>
                <a:t>*0</a:t>
              </a:r>
            </a:p>
          </xdr:txBody>
        </xdr:sp>
      </mc:Fallback>
    </mc:AlternateContent>
    <xdr:clientData/>
  </xdr:oneCellAnchor>
  <xdr:oneCellAnchor>
    <xdr:from>
      <xdr:col>9</xdr:col>
      <xdr:colOff>105996</xdr:colOff>
      <xdr:row>725</xdr:row>
      <xdr:rowOff>162209</xdr:rowOff>
    </xdr:from>
    <xdr:ext cx="783933" cy="173766"/>
    <mc:AlternateContent xmlns:mc="http://schemas.openxmlformats.org/markup-compatibility/2006" xmlns:a14="http://schemas.microsoft.com/office/drawing/2010/main">
      <mc:Choice Requires="a14">
        <xdr:sp macro="" textlink="">
          <xdr:nvSpPr>
            <xdr:cNvPr id="115" name="CuadroTexto 114">
              <a:extLst>
                <a:ext uri="{FF2B5EF4-FFF2-40B4-BE49-F238E27FC236}">
                  <a16:creationId xmlns:a16="http://schemas.microsoft.com/office/drawing/2014/main" id="{00000000-0008-0000-0B00-000073000000}"/>
                </a:ext>
              </a:extLst>
            </xdr:cNvPr>
            <xdr:cNvSpPr txBox="1"/>
          </xdr:nvSpPr>
          <xdr:spPr>
            <a:xfrm>
              <a:off x="13509032" y="143796941"/>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r>
                      <a:rPr lang="es-ES" sz="1100" b="0" i="1">
                        <a:latin typeface="Cambria Math" panose="02040503050406030204" pitchFamily="18" charset="0"/>
                      </a:rPr>
                      <m:t>=0,0762</m:t>
                    </m:r>
                  </m:oMath>
                </m:oMathPara>
              </a14:m>
              <a:endParaRPr lang="es-CL" sz="1100"/>
            </a:p>
          </xdr:txBody>
        </xdr:sp>
      </mc:Choice>
      <mc:Fallback xmlns="">
        <xdr:sp macro="" textlink="">
          <xdr:nvSpPr>
            <xdr:cNvPr id="115" name="CuadroTexto 114">
              <a:extLst>
                <a:ext uri="{FF2B5EF4-FFF2-40B4-BE49-F238E27FC236}">
                  <a16:creationId xmlns:a16="http://schemas.microsoft.com/office/drawing/2014/main" id="{2329FBCC-AD7D-4071-B0AA-AFB11D1FC633}"/>
                </a:ext>
              </a:extLst>
            </xdr:cNvPr>
            <xdr:cNvSpPr txBox="1"/>
          </xdr:nvSpPr>
          <xdr:spPr>
            <a:xfrm>
              <a:off x="13509032" y="143796941"/>
              <a:ext cx="78393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𝑑</a:t>
              </a:r>
              <a:r>
                <a:rPr lang="es-CL" sz="1100" b="0" i="0">
                  <a:latin typeface="Cambria Math" panose="02040503050406030204" pitchFamily="18" charset="0"/>
                </a:rPr>
                <a:t>_</a:t>
              </a:r>
              <a:r>
                <a:rPr lang="es-ES" sz="1100" b="0" i="0">
                  <a:latin typeface="Cambria Math" panose="02040503050406030204" pitchFamily="18" charset="0"/>
                </a:rPr>
                <a:t>𝑎=0,0762</a:t>
              </a:r>
              <a:endParaRPr lang="es-CL" sz="1100"/>
            </a:p>
          </xdr:txBody>
        </xdr:sp>
      </mc:Fallback>
    </mc:AlternateContent>
    <xdr:clientData/>
  </xdr:oneCellAnchor>
  <xdr:oneCellAnchor>
    <xdr:from>
      <xdr:col>9</xdr:col>
      <xdr:colOff>15386</xdr:colOff>
      <xdr:row>733</xdr:row>
      <xdr:rowOff>136006</xdr:rowOff>
    </xdr:from>
    <xdr:ext cx="6500690" cy="415050"/>
    <mc:AlternateContent xmlns:mc="http://schemas.openxmlformats.org/markup-compatibility/2006" xmlns:a14="http://schemas.microsoft.com/office/drawing/2010/main">
      <mc:Choice Requires="a14">
        <xdr:sp macro="" textlink="">
          <xdr:nvSpPr>
            <xdr:cNvPr id="116" name="CuadroTexto 115">
              <a:extLst>
                <a:ext uri="{FF2B5EF4-FFF2-40B4-BE49-F238E27FC236}">
                  <a16:creationId xmlns:a16="http://schemas.microsoft.com/office/drawing/2014/main" id="{00000000-0008-0000-0B00-000074000000}"/>
                </a:ext>
              </a:extLst>
            </xdr:cNvPr>
            <xdr:cNvSpPr txBox="1"/>
          </xdr:nvSpPr>
          <xdr:spPr>
            <a:xfrm>
              <a:off x="13418422" y="145358238"/>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m:t>
                        </m:r>
                        <m:r>
                          <a:rPr lang="es-ES" sz="1100" b="0" i="1">
                            <a:latin typeface="Cambria Math" panose="02040503050406030204" pitchFamily="18" charset="0"/>
                          </a:rPr>
                          <m:t>𝐶</m:t>
                        </m:r>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latin typeface="Cambria Math" panose="02040503050406030204" pitchFamily="18" charset="0"/>
                                  </a:rPr>
                                </m:ctrlPr>
                              </m:dPr>
                              <m:e>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Sub>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116" name="CuadroTexto 115">
              <a:extLst>
                <a:ext uri="{FF2B5EF4-FFF2-40B4-BE49-F238E27FC236}">
                  <a16:creationId xmlns:a16="http://schemas.microsoft.com/office/drawing/2014/main" id="{CD4ACEC1-8294-44A3-B8E6-B29E8B616290}"/>
                </a:ext>
              </a:extLst>
            </xdr:cNvPr>
            <xdr:cNvSpPr txBox="1"/>
          </xdr:nvSpPr>
          <xdr:spPr>
            <a:xfrm>
              <a:off x="13418422" y="145358238"/>
              <a:ext cx="6500690" cy="415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𝑐=[2,7241∗𝐶∗(𝑑_𝑎 )^(−0,2) ]∗[1,11/(𝑇_𝑠𝑢𝑝+𝑇_𝑎−510,44)]^0,181∗[1,8∗(</a:t>
              </a:r>
              <a:r>
                <a:rPr lang="es-ES" sz="1100" b="0" i="0">
                  <a:solidFill>
                    <a:schemeClr val="tx1"/>
                  </a:solidFill>
                  <a:effectLst/>
                  <a:latin typeface="Cambria Math" panose="02040503050406030204" pitchFamily="18" charset="0"/>
                  <a:ea typeface="+mn-ea"/>
                  <a:cs typeface="+mn-cs"/>
                </a:rPr>
                <a:t>𝑇_𝑠𝑢𝑝−𝑇_𝑎 )]^</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9</xdr:col>
      <xdr:colOff>0</xdr:colOff>
      <xdr:row>736</xdr:row>
      <xdr:rowOff>163186</xdr:rowOff>
    </xdr:from>
    <xdr:ext cx="8985665" cy="410177"/>
    <mc:AlternateContent xmlns:mc="http://schemas.openxmlformats.org/markup-compatibility/2006" xmlns:a14="http://schemas.microsoft.com/office/drawing/2010/main">
      <mc:Choice Requires="a14">
        <xdr:sp macro="" textlink="">
          <xdr:nvSpPr>
            <xdr:cNvPr id="117" name="CuadroTexto 116">
              <a:extLst>
                <a:ext uri="{FF2B5EF4-FFF2-40B4-BE49-F238E27FC236}">
                  <a16:creationId xmlns:a16="http://schemas.microsoft.com/office/drawing/2014/main" id="{00000000-0008-0000-0B00-000075000000}"/>
                </a:ext>
              </a:extLst>
            </xdr:cNvPr>
            <xdr:cNvSpPr txBox="1"/>
          </xdr:nvSpPr>
          <xdr:spPr>
            <a:xfrm>
              <a:off x="13403036" y="145963722"/>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2,7241∗1,016∗</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0,0762 </m:t>
                                </m:r>
                                <m:r>
                                  <a:rPr lang="es-ES" sz="1100" b="0" i="1">
                                    <a:latin typeface="Cambria Math" panose="02040503050406030204" pitchFamily="18" charset="0"/>
                                  </a:rPr>
                                  <m:t>𝑚</m:t>
                                </m:r>
                              </m:e>
                            </m:d>
                          </m:e>
                          <m:sup>
                            <m:r>
                              <a:rPr lang="es-ES" sz="1100" b="0" i="1">
                                <a:latin typeface="Cambria Math" panose="02040503050406030204" pitchFamily="18" charset="0"/>
                              </a:rPr>
                              <m:t>−0,2</m:t>
                            </m:r>
                          </m:sup>
                        </m:sSup>
                      </m:e>
                    </m:d>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1,11</m:t>
                                </m:r>
                              </m:num>
                              <m:den>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𝑊</m:t>
                                </m:r>
                                <m:r>
                                  <a:rPr lang="es-ES" sz="1100" b="0" i="1">
                                    <a:latin typeface="Cambria Math" panose="02040503050406030204" pitchFamily="18" charset="0"/>
                                  </a:rPr>
                                  <m:t>/</m:t>
                                </m:r>
                                <m:r>
                                  <a:rPr lang="es-ES" sz="1100" b="0" i="1">
                                    <a:latin typeface="Cambria Math" panose="02040503050406030204" pitchFamily="18" charset="0"/>
                                  </a:rPr>
                                  <m:t>𝑚𝐾</m:t>
                                </m:r>
                                <m:r>
                                  <a:rPr lang="es-ES" sz="1100" b="0" i="1">
                                    <a:latin typeface="Cambria Math" panose="02040503050406030204" pitchFamily="18" charset="0"/>
                                  </a:rPr>
                                  <m:t>−510,44</m:t>
                                </m:r>
                              </m:den>
                            </m:f>
                          </m:e>
                        </m:d>
                      </m:e>
                      <m:sup>
                        <m:r>
                          <a:rPr lang="es-ES" sz="1100" b="0" i="1">
                            <a:latin typeface="Cambria Math" panose="02040503050406030204" pitchFamily="18" charset="0"/>
                          </a:rPr>
                          <m:t>0,181</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begChr m:val="["/>
                            <m:endChr m:val="]"/>
                            <m:ctrlPr>
                              <a:rPr lang="es-ES" sz="1100" b="0" i="1">
                                <a:latin typeface="Cambria Math" panose="02040503050406030204" pitchFamily="18" charset="0"/>
                              </a:rPr>
                            </m:ctrlPr>
                          </m:dPr>
                          <m:e>
                            <m:r>
                              <a:rPr lang="es-ES" sz="1100" b="0" i="1">
                                <a:latin typeface="Cambria Math" panose="02040503050406030204" pitchFamily="18" charset="0"/>
                              </a:rPr>
                              <m:t>1,8∗</m:t>
                            </m:r>
                            <m:d>
                              <m:dPr>
                                <m:ctrlPr>
                                  <a:rPr lang="es-ES" sz="1100" b="0" i="1">
                                    <a:latin typeface="Cambria Math" panose="02040503050406030204" pitchFamily="18" charset="0"/>
                                  </a:rPr>
                                </m:ctrlPr>
                              </m:dPr>
                              <m:e>
                                <m:r>
                                  <a:rPr lang="es-ES" sz="1100" b="0" i="1">
                                    <a:latin typeface="Cambria Math" panose="02040503050406030204" pitchFamily="18" charset="0"/>
                                  </a:rPr>
                                  <m:t>418,15 </m:t>
                                </m:r>
                                <m:r>
                                  <a:rPr lang="es-ES" sz="1100" b="0" i="1">
                                    <a:latin typeface="Cambria Math" panose="02040503050406030204" pitchFamily="18" charset="0"/>
                                  </a:rPr>
                                  <m:t>𝐾</m:t>
                                </m:r>
                                <m:r>
                                  <a:rPr lang="es-ES" sz="1100" b="0" i="1">
                                    <a:solidFill>
                                      <a:schemeClr val="tx1"/>
                                    </a:solidFill>
                                    <a:effectLst/>
                                    <a:latin typeface="Cambria Math" panose="02040503050406030204" pitchFamily="18" charset="0"/>
                                    <a:ea typeface="+mn-ea"/>
                                    <a:cs typeface="+mn-cs"/>
                                  </a:rPr>
                                  <m:t>−303,15 </m:t>
                                </m:r>
                                <m:r>
                                  <a:rPr lang="es-ES" sz="1100" b="0" i="1">
                                    <a:solidFill>
                                      <a:schemeClr val="tx1"/>
                                    </a:solidFill>
                                    <a:effectLst/>
                                    <a:latin typeface="Cambria Math" panose="02040503050406030204" pitchFamily="18" charset="0"/>
                                    <a:ea typeface="+mn-ea"/>
                                    <a:cs typeface="+mn-cs"/>
                                  </a:rPr>
                                  <m:t>𝐾</m:t>
                                </m:r>
                              </m:e>
                            </m:d>
                          </m:e>
                        </m:d>
                      </m:e>
                      <m:sup>
                        <m:r>
                          <a:rPr lang="es-ES" sz="1100" b="0" i="1">
                            <a:latin typeface="Cambria Math" panose="02040503050406030204" pitchFamily="18" charset="0"/>
                          </a:rPr>
                          <m:t>0,266</m:t>
                        </m:r>
                      </m:sup>
                    </m:sSup>
                    <m:r>
                      <a:rPr lang="es-ES" sz="1100" b="0" i="1">
                        <a:latin typeface="Cambria Math" panose="02040503050406030204" pitchFamily="18" charset="0"/>
                      </a:rPr>
                      <m:t>∗</m:t>
                    </m:r>
                    <m:sSup>
                      <m:sSupPr>
                        <m:ctrlPr>
                          <a:rPr lang="es-ES" sz="1100" b="0" i="1">
                            <a:latin typeface="Cambria Math" panose="02040503050406030204" pitchFamily="18" charset="0"/>
                          </a:rPr>
                        </m:ctrlPr>
                      </m:sSupPr>
                      <m:e>
                        <m:d>
                          <m:dPr>
                            <m:ctrlPr>
                              <a:rPr lang="es-ES" sz="1100" b="0" i="1">
                                <a:latin typeface="Cambria Math" panose="02040503050406030204" pitchFamily="18" charset="0"/>
                              </a:rPr>
                            </m:ctrlPr>
                          </m:dPr>
                          <m:e>
                            <m:r>
                              <a:rPr lang="es-ES" sz="1100" b="0" i="1">
                                <a:latin typeface="Cambria Math" panose="02040503050406030204" pitchFamily="18" charset="0"/>
                              </a:rPr>
                              <m:t>1+7,9366∗</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m:t>
                                </m:r>
                              </m:sup>
                            </m:sSup>
                            <m:r>
                              <a:rPr lang="es-ES" sz="1100" b="0" i="1">
                                <a:latin typeface="Cambria Math" panose="02040503050406030204" pitchFamily="18" charset="0"/>
                              </a:rPr>
                              <m:t>∗</m:t>
                            </m:r>
                            <m:r>
                              <a:rPr lang="es-ES" sz="1100" b="0" i="1">
                                <a:latin typeface="Cambria Math" panose="02040503050406030204" pitchFamily="18" charset="0"/>
                              </a:rPr>
                              <m:t>𝑉</m:t>
                            </m:r>
                          </m:e>
                        </m:d>
                      </m:e>
                      <m:sup>
                        <m:r>
                          <a:rPr lang="es-ES" sz="1100" b="0" i="1">
                            <a:latin typeface="Cambria Math" panose="02040503050406030204" pitchFamily="18" charset="0"/>
                          </a:rPr>
                          <m:t>0,5</m:t>
                        </m:r>
                      </m:sup>
                    </m:sSup>
                  </m:oMath>
                </m:oMathPara>
              </a14:m>
              <a:endParaRPr lang="es-CL" sz="1100"/>
            </a:p>
          </xdr:txBody>
        </xdr:sp>
      </mc:Choice>
      <mc:Fallback xmlns="">
        <xdr:sp macro="" textlink="">
          <xdr:nvSpPr>
            <xdr:cNvPr id="117" name="CuadroTexto 116">
              <a:extLst>
                <a:ext uri="{FF2B5EF4-FFF2-40B4-BE49-F238E27FC236}">
                  <a16:creationId xmlns:a16="http://schemas.microsoft.com/office/drawing/2014/main" id="{87A50F4D-A445-4842-AF00-458BFA11A97E}"/>
                </a:ext>
              </a:extLst>
            </xdr:cNvPr>
            <xdr:cNvSpPr txBox="1"/>
          </xdr:nvSpPr>
          <xdr:spPr>
            <a:xfrm>
              <a:off x="13403036" y="145963722"/>
              <a:ext cx="8985665" cy="410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𝑐=[2,7241∗1,016∗(0,0762 𝑚)^(−0,2) ]∗[1,11/(418,15 𝐾+303,15 𝑊/𝑚𝐾−510,44)]^0,181∗[1,8∗(418,15 𝐾</a:t>
              </a:r>
              <a:r>
                <a:rPr lang="es-ES" sz="1100" b="0" i="0">
                  <a:solidFill>
                    <a:schemeClr val="tx1"/>
                  </a:solidFill>
                  <a:effectLst/>
                  <a:latin typeface="Cambria Math" panose="02040503050406030204" pitchFamily="18" charset="0"/>
                  <a:ea typeface="+mn-ea"/>
                  <a:cs typeface="+mn-cs"/>
                </a:rPr>
                <a:t>−303,15 𝐾)]^</a:t>
              </a:r>
              <a:r>
                <a:rPr lang="es-ES" sz="1100" b="0" i="0">
                  <a:latin typeface="Cambria Math" panose="02040503050406030204" pitchFamily="18" charset="0"/>
                </a:rPr>
                <a:t>0,266∗(1+7,9366∗10^(−4)∗𝑉)^0,5</a:t>
              </a:r>
              <a:endParaRPr lang="es-CL" sz="1100"/>
            </a:p>
          </xdr:txBody>
        </xdr:sp>
      </mc:Fallback>
    </mc:AlternateContent>
    <xdr:clientData/>
  </xdr:oneCellAnchor>
  <xdr:oneCellAnchor>
    <xdr:from>
      <xdr:col>9</xdr:col>
      <xdr:colOff>871903</xdr:colOff>
      <xdr:row>739</xdr:row>
      <xdr:rowOff>177839</xdr:rowOff>
    </xdr:from>
    <xdr:ext cx="877997" cy="316882"/>
    <mc:AlternateContent xmlns:mc="http://schemas.openxmlformats.org/markup-compatibility/2006" xmlns:a14="http://schemas.microsoft.com/office/drawing/2010/main">
      <mc:Choice Requires="a14">
        <xdr:sp macro="" textlink="">
          <xdr:nvSpPr>
            <xdr:cNvPr id="118" name="CuadroTexto 117">
              <a:extLst>
                <a:ext uri="{FF2B5EF4-FFF2-40B4-BE49-F238E27FC236}">
                  <a16:creationId xmlns:a16="http://schemas.microsoft.com/office/drawing/2014/main" id="{00000000-0008-0000-0B00-000076000000}"/>
                </a:ext>
              </a:extLst>
            </xdr:cNvPr>
            <xdr:cNvSpPr txBox="1"/>
          </xdr:nvSpPr>
          <xdr:spPr>
            <a:xfrm>
              <a:off x="14274939" y="146556678"/>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=7,4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118" name="CuadroTexto 117">
              <a:extLst>
                <a:ext uri="{FF2B5EF4-FFF2-40B4-BE49-F238E27FC236}">
                  <a16:creationId xmlns:a16="http://schemas.microsoft.com/office/drawing/2014/main" id="{C9A8306B-6D18-440B-A198-54B675FB2FFB}"/>
                </a:ext>
              </a:extLst>
            </xdr:cNvPr>
            <xdr:cNvSpPr txBox="1"/>
          </xdr:nvSpPr>
          <xdr:spPr>
            <a:xfrm>
              <a:off x="14274939" y="146556678"/>
              <a:ext cx="8779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𝑐=7,4  𝑊/(𝑚^2 𝐾)</a:t>
              </a:r>
              <a:endParaRPr lang="es-CL" sz="1100"/>
            </a:p>
          </xdr:txBody>
        </xdr:sp>
      </mc:Fallback>
    </mc:AlternateContent>
    <xdr:clientData/>
  </xdr:oneCellAnchor>
  <xdr:oneCellAnchor>
    <xdr:from>
      <xdr:col>9</xdr:col>
      <xdr:colOff>81329</xdr:colOff>
      <xdr:row>747</xdr:row>
      <xdr:rowOff>160255</xdr:rowOff>
    </xdr:from>
    <xdr:ext cx="2466701" cy="397096"/>
    <mc:AlternateContent xmlns:mc="http://schemas.openxmlformats.org/markup-compatibility/2006" xmlns:a14="http://schemas.microsoft.com/office/drawing/2010/main">
      <mc:Choice Requires="a14">
        <xdr:sp macro="" textlink="">
          <xdr:nvSpPr>
            <xdr:cNvPr id="119" name="CuadroTexto 118">
              <a:extLst>
                <a:ext uri="{FF2B5EF4-FFF2-40B4-BE49-F238E27FC236}">
                  <a16:creationId xmlns:a16="http://schemas.microsoft.com/office/drawing/2014/main" id="{00000000-0008-0000-0B00-000077000000}"/>
                </a:ext>
              </a:extLst>
            </xdr:cNvPr>
            <xdr:cNvSpPr txBox="1"/>
          </xdr:nvSpPr>
          <xdr:spPr>
            <a:xfrm>
              <a:off x="13484365" y="148081237"/>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m:t>
                    </m:r>
                    <m:r>
                      <a:rPr lang="es-ES" sz="1100" b="0" i="1">
                        <a:latin typeface="Cambria Math" panose="02040503050406030204" pitchFamily="18" charset="0"/>
                      </a:rPr>
                      <m:t>𝐸𝑚𝑠𝑠</m:t>
                    </m:r>
                    <m:r>
                      <a:rPr lang="es-ES" sz="1100" b="0" i="1">
                        <a:latin typeface="Cambria Math" panose="02040503050406030204" pitchFamily="18" charset="0"/>
                      </a:rPr>
                      <m:t>∗</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𝑎</m:t>
                                </m:r>
                              </m:sub>
                              <m:sup>
                                <m:r>
                                  <a:rPr lang="es-ES" sz="1100" b="0" i="1">
                                    <a:solidFill>
                                      <a:schemeClr val="tx1"/>
                                    </a:solidFill>
                                    <a:effectLst/>
                                    <a:latin typeface="Cambria Math" panose="02040503050406030204" pitchFamily="18" charset="0"/>
                                    <a:ea typeface="+mn-ea"/>
                                    <a:cs typeface="+mn-cs"/>
                                  </a:rPr>
                                  <m:t>4</m:t>
                                </m:r>
                              </m:sup>
                            </m:sSubSup>
                            <m:r>
                              <a:rPr lang="es-ES" sz="1100" b="0" i="1">
                                <a:solidFill>
                                  <a:schemeClr val="tx1"/>
                                </a:solidFill>
                                <a:effectLst/>
                                <a:latin typeface="Cambria Math" panose="02040503050406030204" pitchFamily="18" charset="0"/>
                                <a:ea typeface="+mn-ea"/>
                                <a:cs typeface="+mn-cs"/>
                              </a:rPr>
                              <m:t>−</m:t>
                            </m:r>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𝑇</m:t>
                                </m:r>
                              </m:e>
                              <m:sub>
                                <m:r>
                                  <a:rPr lang="es-ES" sz="1100" b="0" i="1">
                                    <a:solidFill>
                                      <a:schemeClr val="tx1"/>
                                    </a:solidFill>
                                    <a:effectLst/>
                                    <a:latin typeface="Cambria Math" panose="02040503050406030204" pitchFamily="18" charset="0"/>
                                    <a:ea typeface="+mn-ea"/>
                                    <a:cs typeface="+mn-cs"/>
                                  </a:rPr>
                                  <m:t>𝑠𝑢𝑝</m:t>
                                </m:r>
                              </m:sub>
                              <m:sup>
                                <m:r>
                                  <a:rPr lang="es-ES" sz="1100" b="0" i="1">
                                    <a:solidFill>
                                      <a:schemeClr val="tx1"/>
                                    </a:solidFill>
                                    <a:effectLst/>
                                    <a:latin typeface="Cambria Math" panose="02040503050406030204" pitchFamily="18" charset="0"/>
                                    <a:ea typeface="+mn-ea"/>
                                    <a:cs typeface="+mn-cs"/>
                                  </a:rPr>
                                  <m:t>4</m:t>
                                </m:r>
                              </m:sup>
                            </m:sSubSup>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𝑠𝑢𝑝</m:t>
                                </m:r>
                              </m:sub>
                            </m:sSub>
                          </m:den>
                        </m:f>
                      </m:e>
                    </m:d>
                  </m:oMath>
                </m:oMathPara>
              </a14:m>
              <a:endParaRPr lang="es-CL" sz="1100"/>
            </a:p>
          </xdr:txBody>
        </xdr:sp>
      </mc:Choice>
      <mc:Fallback xmlns="">
        <xdr:sp macro="" textlink="">
          <xdr:nvSpPr>
            <xdr:cNvPr id="119" name="CuadroTexto 118">
              <a:extLst>
                <a:ext uri="{FF2B5EF4-FFF2-40B4-BE49-F238E27FC236}">
                  <a16:creationId xmlns:a16="http://schemas.microsoft.com/office/drawing/2014/main" id="{642379AE-06D3-490A-9299-D1B62C06FD0D}"/>
                </a:ext>
              </a:extLst>
            </xdr:cNvPr>
            <xdr:cNvSpPr txBox="1"/>
          </xdr:nvSpPr>
          <xdr:spPr>
            <a:xfrm>
              <a:off x="13484365" y="148081237"/>
              <a:ext cx="2466701" cy="397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𝑟=0,9824∗10^(−8)∗𝐸𝑚𝑠𝑠∗[(</a:t>
              </a:r>
              <a:r>
                <a:rPr lang="es-ES" sz="1100" b="0" i="0">
                  <a:solidFill>
                    <a:schemeClr val="tx1"/>
                  </a:solidFill>
                  <a:effectLst/>
                  <a:latin typeface="Cambria Math" panose="02040503050406030204" pitchFamily="18" charset="0"/>
                  <a:ea typeface="+mn-ea"/>
                  <a:cs typeface="+mn-cs"/>
                </a:rPr>
                <a:t>𝑇_𝑎^4−𝑇_𝑠𝑢𝑝^4)/(</a:t>
              </a:r>
              <a:r>
                <a:rPr lang="es-ES" sz="1100" b="0" i="0">
                  <a:latin typeface="Cambria Math" panose="02040503050406030204" pitchFamily="18" charset="0"/>
                </a:rPr>
                <a:t>𝑇_𝑎−𝑇_𝑠𝑢𝑝 )]</a:t>
              </a:r>
              <a:endParaRPr lang="es-CL" sz="1100"/>
            </a:p>
          </xdr:txBody>
        </xdr:sp>
      </mc:Fallback>
    </mc:AlternateContent>
    <xdr:clientData/>
  </xdr:oneCellAnchor>
  <xdr:oneCellAnchor>
    <xdr:from>
      <xdr:col>9</xdr:col>
      <xdr:colOff>65943</xdr:colOff>
      <xdr:row>750</xdr:row>
      <xdr:rowOff>109629</xdr:rowOff>
    </xdr:from>
    <xdr:ext cx="3243260" cy="386196"/>
    <mc:AlternateContent xmlns:mc="http://schemas.openxmlformats.org/markup-compatibility/2006" xmlns:a14="http://schemas.microsoft.com/office/drawing/2010/main">
      <mc:Choice Requires="a14">
        <xdr:sp macro="" textlink="">
          <xdr:nvSpPr>
            <xdr:cNvPr id="120" name="CuadroTexto 119">
              <a:extLst>
                <a:ext uri="{FF2B5EF4-FFF2-40B4-BE49-F238E27FC236}">
                  <a16:creationId xmlns:a16="http://schemas.microsoft.com/office/drawing/2014/main" id="{00000000-0008-0000-0B00-000078000000}"/>
                </a:ext>
              </a:extLst>
            </xdr:cNvPr>
            <xdr:cNvSpPr txBox="1"/>
          </xdr:nvSpPr>
          <xdr:spPr>
            <a:xfrm>
              <a:off x="13468979" y="148608915"/>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r>
                      <a:rPr lang="es-ES" sz="1100" b="0" i="1">
                        <a:latin typeface="Cambria Math" panose="02040503050406030204" pitchFamily="18" charset="0"/>
                      </a:rPr>
                      <m:t>=0,9824∗</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−8</m:t>
                        </m:r>
                      </m:sup>
                    </m:sSup>
                    <m:r>
                      <a:rPr lang="es-ES" sz="1100" b="0" i="1">
                        <a:latin typeface="Cambria Math" panose="02040503050406030204" pitchFamily="18" charset="0"/>
                      </a:rPr>
                      <m:t>∗0,79∗</m:t>
                    </m:r>
                    <m:d>
                      <m:dPr>
                        <m:begChr m:val="["/>
                        <m:endChr m:val="]"/>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303,15 </m:t>
                                </m:r>
                                <m:r>
                                  <a:rPr lang="es-ES" sz="1100" b="0" i="1">
                                    <a:latin typeface="Cambria Math" panose="02040503050406030204" pitchFamily="18" charset="0"/>
                                  </a:rPr>
                                  <m:t>𝐾</m:t>
                                </m:r>
                              </m:e>
                              <m:sup>
                                <m:r>
                                  <a:rPr lang="es-ES" sz="1100" b="0" i="1">
                                    <a:latin typeface="Cambria Math" panose="02040503050406030204" pitchFamily="18" charset="0"/>
                                  </a:rPr>
                                  <m:t>4</m:t>
                                </m:r>
                              </m:sup>
                            </m:sSup>
                            <m:r>
                              <a:rPr lang="es-ES" sz="1100" b="0" i="1">
                                <a:solidFill>
                                  <a:schemeClr val="tx1"/>
                                </a:solidFill>
                                <a:effectLst/>
                                <a:latin typeface="Cambria Math" panose="02040503050406030204" pitchFamily="18" charset="0"/>
                                <a:ea typeface="+mn-ea"/>
                                <a:cs typeface="+mn-cs"/>
                              </a:rPr>
                              <m:t>−</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418,15 </m:t>
                                </m:r>
                                <m:r>
                                  <a:rPr lang="es-ES" sz="1100" b="0" i="1">
                                    <a:solidFill>
                                      <a:schemeClr val="tx1"/>
                                    </a:solidFill>
                                    <a:effectLst/>
                                    <a:latin typeface="Cambria Math" panose="02040503050406030204" pitchFamily="18" charset="0"/>
                                    <a:ea typeface="+mn-ea"/>
                                    <a:cs typeface="+mn-cs"/>
                                  </a:rPr>
                                  <m:t>𝐾</m:t>
                                </m:r>
                              </m:e>
                              <m:sup>
                                <m:r>
                                  <a:rPr lang="es-ES" sz="1100" b="0" i="1">
                                    <a:solidFill>
                                      <a:schemeClr val="tx1"/>
                                    </a:solidFill>
                                    <a:effectLst/>
                                    <a:latin typeface="Cambria Math" panose="02040503050406030204" pitchFamily="18" charset="0"/>
                                    <a:ea typeface="+mn-ea"/>
                                    <a:cs typeface="+mn-cs"/>
                                  </a:rPr>
                                  <m:t>4</m:t>
                                </m:r>
                              </m:sup>
                            </m:sSup>
                          </m:num>
                          <m:den>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−418,15 </m:t>
                            </m:r>
                            <m:r>
                              <a:rPr lang="es-ES" sz="1100" b="0" i="1">
                                <a:latin typeface="Cambria Math" panose="02040503050406030204" pitchFamily="18" charset="0"/>
                              </a:rPr>
                              <m:t>𝐾</m:t>
                            </m:r>
                          </m:den>
                        </m:f>
                      </m:e>
                    </m:d>
                  </m:oMath>
                </m:oMathPara>
              </a14:m>
              <a:endParaRPr lang="es-CL" sz="1100"/>
            </a:p>
          </xdr:txBody>
        </xdr:sp>
      </mc:Choice>
      <mc:Fallback xmlns="">
        <xdr:sp macro="" textlink="">
          <xdr:nvSpPr>
            <xdr:cNvPr id="120" name="CuadroTexto 119">
              <a:extLst>
                <a:ext uri="{FF2B5EF4-FFF2-40B4-BE49-F238E27FC236}">
                  <a16:creationId xmlns:a16="http://schemas.microsoft.com/office/drawing/2014/main" id="{DDC37A34-B387-45B9-8C48-DC51F4A9957C}"/>
                </a:ext>
              </a:extLst>
            </xdr:cNvPr>
            <xdr:cNvSpPr txBox="1"/>
          </xdr:nvSpPr>
          <xdr:spPr>
            <a:xfrm>
              <a:off x="13468979" y="148608915"/>
              <a:ext cx="3243260" cy="3861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𝑟=0,9824∗10^(−8)∗0,79∗[(〖303,15 𝐾〗^4</a:t>
              </a:r>
              <a:r>
                <a:rPr lang="es-ES" sz="1100" b="0" i="0">
                  <a:solidFill>
                    <a:schemeClr val="tx1"/>
                  </a:solidFill>
                  <a:effectLst/>
                  <a:latin typeface="Cambria Math" panose="02040503050406030204" pitchFamily="18" charset="0"/>
                  <a:ea typeface="+mn-ea"/>
                  <a:cs typeface="+mn-cs"/>
                </a:rPr>
                <a:t>−〖418,15 𝐾〗^4)/(</a:t>
              </a:r>
              <a:r>
                <a:rPr lang="es-ES" sz="1100" b="0" i="0">
                  <a:latin typeface="Cambria Math" panose="02040503050406030204" pitchFamily="18" charset="0"/>
                </a:rPr>
                <a:t>303,15 𝐾−418,15 𝐾)]</a:t>
              </a:r>
              <a:endParaRPr lang="es-CL" sz="1100"/>
            </a:p>
          </xdr:txBody>
        </xdr:sp>
      </mc:Fallback>
    </mc:AlternateContent>
    <xdr:clientData/>
  </xdr:oneCellAnchor>
  <xdr:oneCellAnchor>
    <xdr:from>
      <xdr:col>9</xdr:col>
      <xdr:colOff>747346</xdr:colOff>
      <xdr:row>753</xdr:row>
      <xdr:rowOff>87649</xdr:rowOff>
    </xdr:from>
    <xdr:ext cx="880497" cy="316882"/>
    <mc:AlternateContent xmlns:mc="http://schemas.openxmlformats.org/markup-compatibility/2006" xmlns:a14="http://schemas.microsoft.com/office/drawing/2010/main">
      <mc:Choice Requires="a14">
        <xdr:sp macro="" textlink="">
          <xdr:nvSpPr>
            <xdr:cNvPr id="121" name="CuadroTexto 120">
              <a:extLst>
                <a:ext uri="{FF2B5EF4-FFF2-40B4-BE49-F238E27FC236}">
                  <a16:creationId xmlns:a16="http://schemas.microsoft.com/office/drawing/2014/main" id="{00000000-0008-0000-0B00-000079000000}"/>
                </a:ext>
              </a:extLst>
            </xdr:cNvPr>
            <xdr:cNvSpPr txBox="1"/>
          </xdr:nvSpPr>
          <xdr:spPr>
            <a:xfrm>
              <a:off x="14150382" y="149165238"/>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r>
                      <a:rPr lang="es-ES" sz="1100" b="0" i="1">
                        <a:latin typeface="Cambria Math" panose="02040503050406030204" pitchFamily="18" charset="0"/>
                      </a:rPr>
                      <m:t>=1,5 </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121" name="CuadroTexto 120">
              <a:extLst>
                <a:ext uri="{FF2B5EF4-FFF2-40B4-BE49-F238E27FC236}">
                  <a16:creationId xmlns:a16="http://schemas.microsoft.com/office/drawing/2014/main" id="{475D72A4-C479-45CB-9D27-816CBF6F6CEC}"/>
                </a:ext>
              </a:extLst>
            </xdr:cNvPr>
            <xdr:cNvSpPr txBox="1"/>
          </xdr:nvSpPr>
          <xdr:spPr>
            <a:xfrm>
              <a:off x="14150382" y="149165238"/>
              <a:ext cx="880497"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𝑟=1,5  𝑊/(𝑚^2 𝐾)</a:t>
              </a:r>
              <a:endParaRPr lang="es-CL" sz="1100"/>
            </a:p>
          </xdr:txBody>
        </xdr:sp>
      </mc:Fallback>
    </mc:AlternateContent>
    <xdr:clientData/>
  </xdr:oneCellAnchor>
  <xdr:oneCellAnchor>
    <xdr:from>
      <xdr:col>9</xdr:col>
      <xdr:colOff>234462</xdr:colOff>
      <xdr:row>762</xdr:row>
      <xdr:rowOff>0</xdr:rowOff>
    </xdr:from>
    <xdr:ext cx="795411" cy="173766"/>
    <mc:AlternateContent xmlns:mc="http://schemas.openxmlformats.org/markup-compatibility/2006" xmlns:a14="http://schemas.microsoft.com/office/drawing/2010/main">
      <mc:Choice Requires="a14">
        <xdr:sp macro="" textlink="">
          <xdr:nvSpPr>
            <xdr:cNvPr id="122" name="CuadroTexto 121">
              <a:extLst>
                <a:ext uri="{FF2B5EF4-FFF2-40B4-BE49-F238E27FC236}">
                  <a16:creationId xmlns:a16="http://schemas.microsoft.com/office/drawing/2014/main" id="{00000000-0008-0000-0B00-00007A000000}"/>
                </a:ext>
              </a:extLst>
            </xdr:cNvPr>
            <xdr:cNvSpPr txBox="1"/>
          </xdr:nvSpPr>
          <xdr:spPr>
            <a:xfrm>
              <a:off x="13637498" y="1508125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𝑐</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𝑟</m:t>
                        </m:r>
                      </m:sub>
                    </m:sSub>
                  </m:oMath>
                </m:oMathPara>
              </a14:m>
              <a:endParaRPr lang="es-CL" sz="1100"/>
            </a:p>
          </xdr:txBody>
        </xdr:sp>
      </mc:Choice>
      <mc:Fallback xmlns="">
        <xdr:sp macro="" textlink="">
          <xdr:nvSpPr>
            <xdr:cNvPr id="122" name="CuadroTexto 121">
              <a:extLst>
                <a:ext uri="{FF2B5EF4-FFF2-40B4-BE49-F238E27FC236}">
                  <a16:creationId xmlns:a16="http://schemas.microsoft.com/office/drawing/2014/main" id="{6095406C-5934-4BCC-A57B-E81B8F829235}"/>
                </a:ext>
              </a:extLst>
            </xdr:cNvPr>
            <xdr:cNvSpPr txBox="1"/>
          </xdr:nvSpPr>
          <xdr:spPr>
            <a:xfrm>
              <a:off x="13637498" y="150812500"/>
              <a:ext cx="79541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𝑠=ℎ_𝑐+ℎ_𝑟</a:t>
              </a:r>
              <a:endParaRPr lang="es-CL" sz="1100"/>
            </a:p>
          </xdr:txBody>
        </xdr:sp>
      </mc:Fallback>
    </mc:AlternateContent>
    <xdr:clientData/>
  </xdr:oneCellAnchor>
  <xdr:oneCellAnchor>
    <xdr:from>
      <xdr:col>9</xdr:col>
      <xdr:colOff>233729</xdr:colOff>
      <xdr:row>763</xdr:row>
      <xdr:rowOff>142143</xdr:rowOff>
    </xdr:from>
    <xdr:ext cx="2185406" cy="316882"/>
    <mc:AlternateContent xmlns:mc="http://schemas.openxmlformats.org/markup-compatibility/2006" xmlns:a14="http://schemas.microsoft.com/office/drawing/2010/main">
      <mc:Choice Requires="a14">
        <xdr:sp macro="" textlink="">
          <xdr:nvSpPr>
            <xdr:cNvPr id="123" name="CuadroTexto 122">
              <a:extLst>
                <a:ext uri="{FF2B5EF4-FFF2-40B4-BE49-F238E27FC236}">
                  <a16:creationId xmlns:a16="http://schemas.microsoft.com/office/drawing/2014/main" id="{00000000-0008-0000-0B00-00007B000000}"/>
                </a:ext>
              </a:extLst>
            </xdr:cNvPr>
            <xdr:cNvSpPr txBox="1"/>
          </xdr:nvSpPr>
          <xdr:spPr>
            <a:xfrm>
              <a:off x="13636765" y="1511474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𝑠</m:t>
                        </m:r>
                      </m:sub>
                    </m:sSub>
                    <m:r>
                      <a:rPr lang="es-ES" sz="1100" b="0" i="1">
                        <a:latin typeface="Cambria Math" panose="02040503050406030204" pitchFamily="18" charset="0"/>
                      </a:rPr>
                      <m:t>=7,4</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solidFill>
                          <a:schemeClr val="tx1"/>
                        </a:solidFill>
                        <a:effectLst/>
                        <a:latin typeface="Cambria Math" panose="02040503050406030204" pitchFamily="18" charset="0"/>
                        <a:ea typeface="+mn-ea"/>
                        <a:cs typeface="+mn-cs"/>
                      </a:rPr>
                      <m:t>+1,5</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=8,9</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sSup>
                          <m:sSupPr>
                            <m:ctrlPr>
                              <a:rPr lang="es-ES" sz="1100" b="0" i="1">
                                <a:latin typeface="Cambria Math" panose="02040503050406030204" pitchFamily="18" charset="0"/>
                              </a:rPr>
                            </m:ctrlPr>
                          </m:sSupPr>
                          <m:e>
                            <m:r>
                              <a:rPr lang="es-ES" sz="1100" b="0" i="1">
                                <a:latin typeface="Cambria Math" panose="02040503050406030204" pitchFamily="18" charset="0"/>
                              </a:rPr>
                              <m:t>𝑚</m:t>
                            </m:r>
                          </m:e>
                          <m:sup>
                            <m:r>
                              <a:rPr lang="es-ES" sz="1100" b="0" i="1">
                                <a:latin typeface="Cambria Math" panose="02040503050406030204" pitchFamily="18" charset="0"/>
                              </a:rPr>
                              <m:t>2</m:t>
                            </m:r>
                          </m:sup>
                        </m:sSup>
                        <m:r>
                          <a:rPr lang="es-ES" sz="1100" b="0" i="1">
                            <a:latin typeface="Cambria Math" panose="02040503050406030204" pitchFamily="18" charset="0"/>
                          </a:rPr>
                          <m:t>𝐾</m:t>
                        </m:r>
                      </m:den>
                    </m:f>
                  </m:oMath>
                </m:oMathPara>
              </a14:m>
              <a:endParaRPr lang="es-CL" sz="1100"/>
            </a:p>
          </xdr:txBody>
        </xdr:sp>
      </mc:Choice>
      <mc:Fallback xmlns="">
        <xdr:sp macro="" textlink="">
          <xdr:nvSpPr>
            <xdr:cNvPr id="123" name="CuadroTexto 122">
              <a:extLst>
                <a:ext uri="{FF2B5EF4-FFF2-40B4-BE49-F238E27FC236}">
                  <a16:creationId xmlns:a16="http://schemas.microsoft.com/office/drawing/2014/main" id="{1AA17D4F-7F71-480E-846B-94B2DE63589D}"/>
                </a:ext>
              </a:extLst>
            </xdr:cNvPr>
            <xdr:cNvSpPr txBox="1"/>
          </xdr:nvSpPr>
          <xdr:spPr>
            <a:xfrm>
              <a:off x="13636765" y="151147411"/>
              <a:ext cx="218540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ℎ</a:t>
              </a:r>
              <a:r>
                <a:rPr lang="es-CL" sz="1100" b="0" i="0">
                  <a:latin typeface="Cambria Math" panose="02040503050406030204" pitchFamily="18" charset="0"/>
                </a:rPr>
                <a:t>_</a:t>
              </a:r>
              <a:r>
                <a:rPr lang="es-ES" sz="1100" b="0" i="0">
                  <a:latin typeface="Cambria Math" panose="02040503050406030204" pitchFamily="18" charset="0"/>
                </a:rPr>
                <a:t>𝑠=7,4</a:t>
              </a:r>
              <a:r>
                <a:rPr lang="es-ES" sz="1100" b="0" i="0">
                  <a:solidFill>
                    <a:schemeClr val="tx1"/>
                  </a:solidFill>
                  <a:effectLst/>
                  <a:latin typeface="Cambria Math" panose="02040503050406030204" pitchFamily="18" charset="0"/>
                  <a:ea typeface="+mn-ea"/>
                  <a:cs typeface="+mn-cs"/>
                </a:rPr>
                <a:t> 𝑊/(𝑚^2 𝐾)+1,5 𝑊/(𝑚^2 𝐾)</a:t>
              </a:r>
              <a:r>
                <a:rPr lang="es-ES" sz="1100" b="0" i="0">
                  <a:latin typeface="Cambria Math" panose="02040503050406030204" pitchFamily="18" charset="0"/>
                </a:rPr>
                <a:t>=8,9 𝑊/(𝑚^2 𝐾)</a:t>
              </a:r>
              <a:endParaRPr lang="es-CL" sz="1100"/>
            </a:p>
          </xdr:txBody>
        </xdr:sp>
      </mc:Fallback>
    </mc:AlternateContent>
    <xdr:clientData/>
  </xdr:oneCellAnchor>
  <xdr:oneCellAnchor>
    <xdr:from>
      <xdr:col>9</xdr:col>
      <xdr:colOff>0</xdr:colOff>
      <xdr:row>771</xdr:row>
      <xdr:rowOff>170788</xdr:rowOff>
    </xdr:from>
    <xdr:ext cx="2609881" cy="504369"/>
    <mc:AlternateContent xmlns:mc="http://schemas.openxmlformats.org/markup-compatibility/2006" xmlns:a14="http://schemas.microsoft.com/office/drawing/2010/main">
      <mc:Choice Requires="a14">
        <xdr:sp macro="" textlink="">
          <xdr:nvSpPr>
            <xdr:cNvPr id="124" name="CuadroTexto 123">
              <a:extLst>
                <a:ext uri="{FF2B5EF4-FFF2-40B4-BE49-F238E27FC236}">
                  <a16:creationId xmlns:a16="http://schemas.microsoft.com/office/drawing/2014/main" id="{00000000-0008-0000-0B00-00007C000000}"/>
                </a:ext>
              </a:extLst>
            </xdr:cNvPr>
            <xdr:cNvSpPr txBox="1"/>
          </xdr:nvSpPr>
          <xdr:spPr>
            <a:xfrm>
              <a:off x="13403036" y="152718199"/>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𝑜𝑝</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𝑇</m:t>
                            </m:r>
                          </m:e>
                          <m:sub>
                            <m:r>
                              <a:rPr lang="es-ES" sz="1100" b="0" i="1">
                                <a:latin typeface="Cambria Math" panose="02040503050406030204" pitchFamily="18" charset="0"/>
                              </a:rPr>
                              <m:t>𝑎</m:t>
                            </m:r>
                          </m:sub>
                        </m:sSub>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𝑘</m:t>
                                        </m:r>
                                      </m:e>
                                      <m:sub>
                                        <m:r>
                                          <a:rPr lang="es-ES" sz="1100" b="0" i="1">
                                            <a:latin typeface="Cambria Math" panose="02040503050406030204" pitchFamily="18" charset="0"/>
                                          </a:rPr>
                                          <m:t>𝑎𝑖𝑠</m:t>
                                        </m:r>
                                      </m:sub>
                                    </m:sSub>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num>
                              <m:den>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𝑜</m:t>
                                    </m:r>
                                  </m:sub>
                                </m:sSub>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d>
                              <m:dPr>
                                <m:ctrlPr>
                                  <a:rPr lang="es-ES" sz="1100" b="0" i="1">
                                    <a:latin typeface="Cambria Math" panose="02040503050406030204" pitchFamily="18" charset="0"/>
                                  </a:rPr>
                                </m:ctrlPr>
                              </m:dPr>
                              <m:e>
                                <m:sSub>
                                  <m:sSubPr>
                                    <m:ctrlPr>
                                      <a:rPr lang="es-ES" sz="1100" b="0" i="1">
                                        <a:latin typeface="Cambria Math" panose="02040503050406030204" pitchFamily="18" charset="0"/>
                                      </a:rPr>
                                    </m:ctrlPr>
                                  </m:sSubPr>
                                  <m:e>
                                    <m:r>
                                      <a:rPr lang="es-ES" sz="1100" b="0" i="1">
                                        <a:latin typeface="Cambria Math" panose="02040503050406030204" pitchFamily="18" charset="0"/>
                                      </a:rPr>
                                      <m:t>h</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𝑑</m:t>
                                    </m:r>
                                  </m:e>
                                  <m:sub>
                                    <m:r>
                                      <a:rPr lang="es-ES" sz="1100" b="0" i="1">
                                        <a:latin typeface="Cambria Math" panose="02040503050406030204" pitchFamily="18" charset="0"/>
                                      </a:rPr>
                                      <m:t>𝑎</m:t>
                                    </m:r>
                                  </m:sub>
                                </m:sSub>
                              </m:e>
                            </m:d>
                          </m:e>
                        </m:d>
                      </m:den>
                    </m:f>
                  </m:oMath>
                </m:oMathPara>
              </a14:m>
              <a:endParaRPr lang="es-CL" sz="1100"/>
            </a:p>
          </xdr:txBody>
        </xdr:sp>
      </mc:Choice>
      <mc:Fallback xmlns="">
        <xdr:sp macro="" textlink="">
          <xdr:nvSpPr>
            <xdr:cNvPr id="124" name="CuadroTexto 123">
              <a:extLst>
                <a:ext uri="{FF2B5EF4-FFF2-40B4-BE49-F238E27FC236}">
                  <a16:creationId xmlns:a16="http://schemas.microsoft.com/office/drawing/2014/main" id="{36E982DD-13F1-4ACB-AAEE-C34CD962005D}"/>
                </a:ext>
              </a:extLst>
            </xdr:cNvPr>
            <xdr:cNvSpPr txBox="1"/>
          </xdr:nvSpPr>
          <xdr:spPr>
            <a:xfrm>
              <a:off x="13403036" y="152718199"/>
              <a:ext cx="2609881" cy="504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𝑞=(3,1416∗(𝑇_𝑜𝑝−𝑇_𝑎))/((1/((2∗𝑘_𝑎𝑖𝑠 ) ))∗(𝑙𝑛 𝑑_𝑎/𝑑_𝑜 )+(1∗(ℎ_𝑠∗𝑑_𝑎 )) )</a:t>
              </a:r>
              <a:endParaRPr lang="es-CL" sz="1100"/>
            </a:p>
          </xdr:txBody>
        </xdr:sp>
      </mc:Fallback>
    </mc:AlternateContent>
    <xdr:clientData/>
  </xdr:oneCellAnchor>
  <xdr:oneCellAnchor>
    <xdr:from>
      <xdr:col>9</xdr:col>
      <xdr:colOff>94518</xdr:colOff>
      <xdr:row>776</xdr:row>
      <xdr:rowOff>10258</xdr:rowOff>
    </xdr:from>
    <xdr:ext cx="3879844" cy="678455"/>
    <mc:AlternateContent xmlns:mc="http://schemas.openxmlformats.org/markup-compatibility/2006" xmlns:a14="http://schemas.microsoft.com/office/drawing/2010/main">
      <mc:Choice Requires="a14">
        <xdr:sp macro="" textlink="">
          <xdr:nvSpPr>
            <xdr:cNvPr id="125" name="CuadroTexto 124">
              <a:extLst>
                <a:ext uri="{FF2B5EF4-FFF2-40B4-BE49-F238E27FC236}">
                  <a16:creationId xmlns:a16="http://schemas.microsoft.com/office/drawing/2014/main" id="{00000000-0008-0000-0B00-00007D000000}"/>
                </a:ext>
              </a:extLst>
            </xdr:cNvPr>
            <xdr:cNvSpPr txBox="1"/>
          </xdr:nvSpPr>
          <xdr:spPr>
            <a:xfrm>
              <a:off x="13497554" y="153521508"/>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3,1416∗(418,15 </m:t>
                        </m:r>
                        <m:r>
                          <a:rPr lang="es-ES" sz="1100" b="0" i="1">
                            <a:latin typeface="Cambria Math" panose="02040503050406030204" pitchFamily="18" charset="0"/>
                          </a:rPr>
                          <m:t>𝐾</m:t>
                        </m:r>
                        <m:r>
                          <a:rPr lang="es-ES" sz="1100" b="0" i="1">
                            <a:latin typeface="Cambria Math" panose="02040503050406030204" pitchFamily="18" charset="0"/>
                          </a:rPr>
                          <m:t>−303,15 </m:t>
                        </m:r>
                        <m:r>
                          <a:rPr lang="es-ES" sz="1100" b="0" i="1">
                            <a:latin typeface="Cambria Math" panose="02040503050406030204" pitchFamily="18" charset="0"/>
                          </a:rPr>
                          <m:t>𝐾</m:t>
                        </m:r>
                        <m:r>
                          <a:rPr lang="es-ES" sz="1100" b="0" i="1">
                            <a:latin typeface="Cambria Math" panose="02040503050406030204" pitchFamily="18" charset="0"/>
                          </a:rPr>
                          <m:t>)</m:t>
                        </m:r>
                      </m:num>
                      <m:den>
                        <m:d>
                          <m:dPr>
                            <m:ctrlPr>
                              <a:rPr lang="es-ES" sz="1100" b="0" i="1">
                                <a:latin typeface="Cambria Math" panose="02040503050406030204" pitchFamily="18" charset="0"/>
                              </a:rPr>
                            </m:ctrlPr>
                          </m:dPr>
                          <m:e>
                            <m:f>
                              <m:fPr>
                                <m:ctrlPr>
                                  <a:rPr lang="es-ES" sz="1100" b="0" i="1">
                                    <a:latin typeface="Cambria Math" panose="02040503050406030204" pitchFamily="18" charset="0"/>
                                  </a:rPr>
                                </m:ctrlPr>
                              </m:fPr>
                              <m:num>
                                <m:r>
                                  <a:rPr lang="es-ES" sz="1100" b="0" i="1">
                                    <a:latin typeface="Cambria Math" panose="02040503050406030204" pitchFamily="18" charset="0"/>
                                  </a:rPr>
                                  <m:t>1</m:t>
                                </m:r>
                              </m:num>
                              <m:den>
                                <m:d>
                                  <m:dPr>
                                    <m:ctrlPr>
                                      <a:rPr lang="es-ES" sz="1100" b="0" i="1">
                                        <a:latin typeface="Cambria Math" panose="02040503050406030204" pitchFamily="18" charset="0"/>
                                      </a:rPr>
                                    </m:ctrlPr>
                                  </m:dPr>
                                  <m:e>
                                    <m:r>
                                      <a:rPr lang="es-ES" sz="1100" b="0" i="1">
                                        <a:latin typeface="Cambria Math" panose="02040503050406030204" pitchFamily="18" charset="0"/>
                                      </a:rPr>
                                      <m:t>2∗50,2</m:t>
                                    </m:r>
                                    <m:f>
                                      <m:fPr>
                                        <m:ctrlPr>
                                          <a:rPr lang="es-ES" sz="1100" b="0" i="1">
                                            <a:latin typeface="Cambria Math" panose="02040503050406030204" pitchFamily="18" charset="0"/>
                                          </a:rPr>
                                        </m:ctrlPr>
                                      </m:fPr>
                                      <m:num>
                                        <m:r>
                                          <a:rPr lang="es-ES" sz="1100" b="0" i="1">
                                            <a:latin typeface="Cambria Math" panose="02040503050406030204" pitchFamily="18" charset="0"/>
                                          </a:rPr>
                                          <m:t>𝑊</m:t>
                                        </m:r>
                                      </m:num>
                                      <m:den>
                                        <m:r>
                                          <a:rPr lang="es-ES" sz="1100" b="0" i="1">
                                            <a:latin typeface="Cambria Math" panose="02040503050406030204" pitchFamily="18" charset="0"/>
                                          </a:rPr>
                                          <m:t>𝑚𝐾</m:t>
                                        </m:r>
                                      </m:den>
                                    </m:f>
                                  </m:e>
                                </m:d>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𝑙𝑛</m:t>
                            </m:r>
                            <m:f>
                              <m:fPr>
                                <m:ctrlPr>
                                  <a:rPr lang="es-ES" sz="1100" b="0" i="1">
                                    <a:latin typeface="Cambria Math" panose="02040503050406030204" pitchFamily="18" charset="0"/>
                                  </a:rPr>
                                </m:ctrlPr>
                              </m:fPr>
                              <m:num>
                                <m:r>
                                  <a:rPr lang="es-ES" sz="1100" b="0" i="1">
                                    <a:latin typeface="Cambria Math" panose="02040503050406030204" pitchFamily="18" charset="0"/>
                                  </a:rPr>
                                  <m:t>0,0762</m:t>
                                </m:r>
                              </m:num>
                              <m:den>
                                <m:r>
                                  <a:rPr lang="es-ES" sz="1100" b="0" i="1">
                                    <a:latin typeface="Cambria Math" panose="02040503050406030204" pitchFamily="18" charset="0"/>
                                  </a:rPr>
                                  <m:t>0,0762</m:t>
                                </m:r>
                              </m:den>
                            </m:f>
                          </m:e>
                        </m:d>
                        <m:r>
                          <a:rPr lang="es-ES" sz="1100" b="0" i="1">
                            <a:latin typeface="Cambria Math" panose="02040503050406030204" pitchFamily="18" charset="0"/>
                          </a:rPr>
                          <m:t>+</m:t>
                        </m:r>
                        <m:d>
                          <m:dPr>
                            <m:ctrlPr>
                              <a:rPr lang="es-ES" sz="1100" b="0" i="1">
                                <a:latin typeface="Cambria Math" panose="02040503050406030204" pitchFamily="18" charset="0"/>
                              </a:rPr>
                            </m:ctrlPr>
                          </m:dPr>
                          <m:e>
                            <m:r>
                              <a:rPr lang="es-ES" sz="1100" b="0" i="1">
                                <a:latin typeface="Cambria Math" panose="02040503050406030204" pitchFamily="18" charset="0"/>
                              </a:rPr>
                              <m:t>1</m:t>
                            </m:r>
                            <m:r>
                              <a:rPr lang="es-ES" sz="1100" b="0" i="1">
                                <a:solidFill>
                                  <a:srgbClr val="FF0000"/>
                                </a:solidFill>
                                <a:latin typeface="Cambria Math" panose="02040503050406030204" pitchFamily="18" charset="0"/>
                              </a:rPr>
                              <m:t>+</m:t>
                            </m:r>
                            <m:d>
                              <m:dPr>
                                <m:ctrlPr>
                                  <a:rPr lang="es-ES" sz="1100" b="0" i="1">
                                    <a:latin typeface="Cambria Math" panose="02040503050406030204" pitchFamily="18" charset="0"/>
                                  </a:rPr>
                                </m:ctrlPr>
                              </m:dPr>
                              <m:e>
                                <m:r>
                                  <a:rPr lang="es-ES" sz="1100" b="0" i="1">
                                    <a:solidFill>
                                      <a:schemeClr val="tx1"/>
                                    </a:solidFill>
                                    <a:effectLst/>
                                    <a:latin typeface="Cambria Math" panose="02040503050406030204" pitchFamily="18" charset="0"/>
                                    <a:ea typeface="+mn-ea"/>
                                    <a:cs typeface="+mn-cs"/>
                                  </a:rPr>
                                  <m:t>8,9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𝑊</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𝑚</m:t>
                                        </m:r>
                                      </m:e>
                                      <m:sup>
                                        <m:r>
                                          <a:rPr lang="es-ES" sz="1100" b="0" i="1">
                                            <a:solidFill>
                                              <a:schemeClr val="tx1"/>
                                            </a:solidFill>
                                            <a:effectLst/>
                                            <a:latin typeface="Cambria Math" panose="02040503050406030204" pitchFamily="18" charset="0"/>
                                            <a:ea typeface="+mn-ea"/>
                                            <a:cs typeface="+mn-cs"/>
                                          </a:rPr>
                                          <m:t>2</m:t>
                                        </m:r>
                                      </m:sup>
                                    </m:sSup>
                                    <m:r>
                                      <a:rPr lang="es-ES" sz="1100" b="0" i="1">
                                        <a:solidFill>
                                          <a:schemeClr val="tx1"/>
                                        </a:solidFill>
                                        <a:effectLst/>
                                        <a:latin typeface="Cambria Math" panose="02040503050406030204" pitchFamily="18" charset="0"/>
                                        <a:ea typeface="+mn-ea"/>
                                        <a:cs typeface="+mn-cs"/>
                                      </a:rPr>
                                      <m:t>𝐾</m:t>
                                    </m:r>
                                  </m:den>
                                </m:f>
                                <m:r>
                                  <a:rPr lang="es-ES" sz="1100" b="0" i="1">
                                    <a:latin typeface="Cambria Math" panose="02040503050406030204" pitchFamily="18" charset="0"/>
                                  </a:rPr>
                                  <m:t>∗0,0762</m:t>
                                </m:r>
                              </m:e>
                            </m:d>
                          </m:e>
                        </m:d>
                      </m:den>
                    </m:f>
                  </m:oMath>
                </m:oMathPara>
              </a14:m>
              <a:endParaRPr lang="es-CL" sz="1100"/>
            </a:p>
          </xdr:txBody>
        </xdr:sp>
      </mc:Choice>
      <mc:Fallback xmlns="">
        <xdr:sp macro="" textlink="">
          <xdr:nvSpPr>
            <xdr:cNvPr id="125" name="CuadroTexto 124">
              <a:extLst>
                <a:ext uri="{FF2B5EF4-FFF2-40B4-BE49-F238E27FC236}">
                  <a16:creationId xmlns:a16="http://schemas.microsoft.com/office/drawing/2014/main" id="{9DB8BC0B-F3A3-45CD-A971-64DEA8C06A4E}"/>
                </a:ext>
              </a:extLst>
            </xdr:cNvPr>
            <xdr:cNvSpPr txBox="1"/>
          </xdr:nvSpPr>
          <xdr:spPr>
            <a:xfrm>
              <a:off x="13497554" y="153521508"/>
              <a:ext cx="3879844" cy="67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𝑞=(3,1416∗(418,15 𝐾−303,15 𝐾))/((1/((2∗50,2 𝑊/𝑚𝐾) ))∗(𝑙𝑛 0,0762/0,0762)+(1</a:t>
              </a:r>
              <a:r>
                <a:rPr lang="es-ES" sz="1100" b="0" i="0">
                  <a:solidFill>
                    <a:srgbClr val="FF0000"/>
                  </a:solidFill>
                  <a:latin typeface="Cambria Math" panose="02040503050406030204" pitchFamily="18" charset="0"/>
                </a:rPr>
                <a:t>+(</a:t>
              </a:r>
              <a:r>
                <a:rPr lang="es-ES" sz="1100" b="0" i="0">
                  <a:solidFill>
                    <a:schemeClr val="tx1"/>
                  </a:solidFill>
                  <a:effectLst/>
                  <a:latin typeface="Cambria Math" panose="02040503050406030204" pitchFamily="18" charset="0"/>
                  <a:ea typeface="+mn-ea"/>
                  <a:cs typeface="+mn-cs"/>
                </a:rPr>
                <a:t>8,9 𝑊/(𝑚^2 𝐾)</a:t>
              </a:r>
              <a:r>
                <a:rPr lang="es-ES" sz="1100" b="0" i="0">
                  <a:latin typeface="Cambria Math" panose="02040503050406030204" pitchFamily="18" charset="0"/>
                </a:rPr>
                <a:t>∗0,0762)) )</a:t>
              </a:r>
              <a:endParaRPr lang="es-CL" sz="1100"/>
            </a:p>
          </xdr:txBody>
        </xdr:sp>
      </mc:Fallback>
    </mc:AlternateContent>
    <xdr:clientData/>
  </xdr:oneCellAnchor>
  <xdr:oneCellAnchor>
    <xdr:from>
      <xdr:col>9</xdr:col>
      <xdr:colOff>608135</xdr:colOff>
      <xdr:row>780</xdr:row>
      <xdr:rowOff>185442</xdr:rowOff>
    </xdr:from>
    <xdr:ext cx="762966" cy="316946"/>
    <mc:AlternateContent xmlns:mc="http://schemas.openxmlformats.org/markup-compatibility/2006" xmlns:a14="http://schemas.microsoft.com/office/drawing/2010/main">
      <mc:Choice Requires="a14">
        <xdr:sp macro="" textlink="">
          <xdr:nvSpPr>
            <xdr:cNvPr id="126" name="CuadroTexto 125">
              <a:extLst>
                <a:ext uri="{FF2B5EF4-FFF2-40B4-BE49-F238E27FC236}">
                  <a16:creationId xmlns:a16="http://schemas.microsoft.com/office/drawing/2014/main" id="{00000000-0008-0000-0B00-00007E000000}"/>
                </a:ext>
              </a:extLst>
            </xdr:cNvPr>
            <xdr:cNvSpPr txBox="1"/>
          </xdr:nvSpPr>
          <xdr:spPr>
            <a:xfrm>
              <a:off x="14011171" y="154467763"/>
              <a:ext cx="762966"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=49,3</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oMath>
                </m:oMathPara>
              </a14:m>
              <a:endParaRPr lang="es-CL" sz="1100"/>
            </a:p>
          </xdr:txBody>
        </xdr:sp>
      </mc:Choice>
      <mc:Fallback xmlns="">
        <xdr:sp macro="" textlink="">
          <xdr:nvSpPr>
            <xdr:cNvPr id="126" name="CuadroTexto 125">
              <a:extLst>
                <a:ext uri="{FF2B5EF4-FFF2-40B4-BE49-F238E27FC236}">
                  <a16:creationId xmlns:a16="http://schemas.microsoft.com/office/drawing/2014/main" id="{27D97906-108F-47C0-91E5-28DCF620410A}"/>
                </a:ext>
              </a:extLst>
            </xdr:cNvPr>
            <xdr:cNvSpPr txBox="1"/>
          </xdr:nvSpPr>
          <xdr:spPr>
            <a:xfrm>
              <a:off x="14011171" y="154467763"/>
              <a:ext cx="762966" cy="3169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𝑞=49,3 𝐽/𝑠𝑚</a:t>
              </a:r>
              <a:endParaRPr lang="es-CL" sz="1100"/>
            </a:p>
          </xdr:txBody>
        </xdr:sp>
      </mc:Fallback>
    </mc:AlternateContent>
    <xdr:clientData/>
  </xdr:oneCellAnchor>
  <xdr:oneCellAnchor>
    <xdr:from>
      <xdr:col>9</xdr:col>
      <xdr:colOff>300404</xdr:colOff>
      <xdr:row>788</xdr:row>
      <xdr:rowOff>170788</xdr:rowOff>
    </xdr:from>
    <xdr:ext cx="3003323" cy="455317"/>
    <mc:AlternateContent xmlns:mc="http://schemas.openxmlformats.org/markup-compatibility/2006" xmlns:a14="http://schemas.microsoft.com/office/drawing/2010/main">
      <mc:Choice Requires="a14">
        <xdr:sp macro="" textlink="">
          <xdr:nvSpPr>
            <xdr:cNvPr id="127" name="CuadroTexto 126">
              <a:extLst>
                <a:ext uri="{FF2B5EF4-FFF2-40B4-BE49-F238E27FC236}">
                  <a16:creationId xmlns:a16="http://schemas.microsoft.com/office/drawing/2014/main" id="{00000000-0008-0000-0B00-00007F000000}"/>
                </a:ext>
              </a:extLst>
            </xdr:cNvPr>
            <xdr:cNvSpPr txBox="1"/>
          </xdr:nvSpPr>
          <xdr:spPr>
            <a:xfrm>
              <a:off x="13703440" y="155995252"/>
              <a:ext cx="3003323"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𝑞</m:t>
                    </m:r>
                    <m:r>
                      <a:rPr lang="es-ES" sz="1100" b="0" i="1">
                        <a:latin typeface="Cambria Math" panose="02040503050406030204" pitchFamily="18" charset="0"/>
                      </a:rPr>
                      <m:t>=49,3</m:t>
                    </m:r>
                    <m:f>
                      <m:fPr>
                        <m:ctrlPr>
                          <a:rPr lang="es-ES" sz="1100" b="0" i="1">
                            <a:latin typeface="Cambria Math" panose="02040503050406030204" pitchFamily="18" charset="0"/>
                          </a:rPr>
                        </m:ctrlPr>
                      </m:fPr>
                      <m:num>
                        <m:r>
                          <a:rPr lang="es-ES" sz="1100" b="0" i="1">
                            <a:latin typeface="Cambria Math" panose="02040503050406030204" pitchFamily="18" charset="0"/>
                          </a:rPr>
                          <m:t>𝐽</m:t>
                        </m:r>
                      </m:num>
                      <m:den>
                        <m:r>
                          <a:rPr lang="es-ES" sz="1100" b="0" i="1">
                            <a:latin typeface="Cambria Math" panose="02040503050406030204" pitchFamily="18" charset="0"/>
                          </a:rPr>
                          <m:t>𝑠𝑚</m:t>
                        </m:r>
                      </m:den>
                    </m:f>
                    <m:r>
                      <a:rPr lang="es-ES" sz="1100" b="0" i="1">
                        <a:latin typeface="Cambria Math" panose="02040503050406030204" pitchFamily="18" charset="0"/>
                      </a:rPr>
                      <m:t>∗0,2388</m:t>
                    </m:r>
                    <m:f>
                      <m:fPr>
                        <m:ctrlPr>
                          <a:rPr lang="es-ES" sz="1100" b="0" i="1">
                            <a:latin typeface="Cambria Math" panose="02040503050406030204" pitchFamily="18" charset="0"/>
                          </a:rPr>
                        </m:ctrlPr>
                      </m:fPr>
                      <m:num>
                        <m:r>
                          <a:rPr lang="es-ES" sz="1100" b="0" i="1">
                            <a:latin typeface="Cambria Math" panose="02040503050406030204" pitchFamily="18" charset="0"/>
                          </a:rPr>
                          <m:t>𝑘𝑐𝑎𝑙</m:t>
                        </m:r>
                      </m:num>
                      <m:den>
                        <m:r>
                          <a:rPr lang="es-ES" sz="1100" b="0" i="1">
                            <a:latin typeface="Cambria Math" panose="02040503050406030204" pitchFamily="18" charset="0"/>
                          </a:rPr>
                          <m:t>1</m:t>
                        </m:r>
                        <m:r>
                          <a:rPr lang="es-ES" sz="1100" b="0" i="1">
                            <a:latin typeface="Cambria Math" panose="02040503050406030204" pitchFamily="18" charset="0"/>
                          </a:rPr>
                          <m:t>𝐽</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f>
                          <m:fPr>
                            <m:ctrlPr>
                              <a:rPr lang="es-ES" sz="1100" b="0" i="1">
                                <a:latin typeface="Cambria Math" panose="02040503050406030204" pitchFamily="18" charset="0"/>
                              </a:rPr>
                            </m:ctrlPr>
                          </m:fPr>
                          <m:num>
                            <m:r>
                              <a:rPr lang="es-ES" sz="1100" b="0" i="1">
                                <a:latin typeface="Cambria Math" panose="02040503050406030204" pitchFamily="18" charset="0"/>
                              </a:rPr>
                              <m:t>3600 </m:t>
                            </m:r>
                            <m:r>
                              <a:rPr lang="es-ES" sz="1100" b="0" i="1">
                                <a:latin typeface="Cambria Math" panose="02040503050406030204" pitchFamily="18" charset="0"/>
                              </a:rPr>
                              <m:t>𝑠</m:t>
                            </m:r>
                          </m:num>
                          <m:den>
                            <m:r>
                              <a:rPr lang="es-ES" sz="1100" b="0" i="1">
                                <a:latin typeface="Cambria Math" panose="02040503050406030204" pitchFamily="18" charset="0"/>
                              </a:rPr>
                              <m:t>1 </m:t>
                            </m:r>
                            <m:r>
                              <a:rPr lang="es-ES" sz="1100" b="0" i="1">
                                <a:latin typeface="Cambria Math" panose="02040503050406030204" pitchFamily="18" charset="0"/>
                              </a:rPr>
                              <m:t>h𝑜𝑟𝑎</m:t>
                            </m:r>
                          </m:den>
                        </m:f>
                      </m:num>
                      <m:den>
                        <m:r>
                          <a:rPr lang="es-ES" sz="1100" b="0" i="1">
                            <a:latin typeface="Cambria Math" panose="02040503050406030204" pitchFamily="18" charset="0"/>
                          </a:rPr>
                          <m:t>1000</m:t>
                        </m:r>
                      </m:den>
                    </m:f>
                    <m:r>
                      <a:rPr lang="es-ES" sz="1100" b="0" i="1">
                        <a:latin typeface="Cambria Math" panose="02040503050406030204" pitchFamily="18" charset="0"/>
                      </a:rPr>
                      <m:t>=42,42</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𝑚h</m:t>
                        </m:r>
                      </m:den>
                    </m:f>
                  </m:oMath>
                </m:oMathPara>
              </a14:m>
              <a:endParaRPr lang="es-CL" sz="1100"/>
            </a:p>
          </xdr:txBody>
        </xdr:sp>
      </mc:Choice>
      <mc:Fallback xmlns="">
        <xdr:sp macro="" textlink="">
          <xdr:nvSpPr>
            <xdr:cNvPr id="127" name="CuadroTexto 126">
              <a:extLst>
                <a:ext uri="{FF2B5EF4-FFF2-40B4-BE49-F238E27FC236}">
                  <a16:creationId xmlns:a16="http://schemas.microsoft.com/office/drawing/2014/main" id="{217917B6-F82D-46AC-99EC-9A64DB949FCD}"/>
                </a:ext>
              </a:extLst>
            </xdr:cNvPr>
            <xdr:cNvSpPr txBox="1"/>
          </xdr:nvSpPr>
          <xdr:spPr>
            <a:xfrm>
              <a:off x="13703440" y="155995252"/>
              <a:ext cx="3003323" cy="4553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𝑞=49,3 𝐽/𝑠𝑚∗0,2388 𝑘𝑐𝑎𝑙/1𝐽∗((3600 𝑠)/(1 ℎ𝑜𝑟𝑎))/1000=42,42 𝐾𝑐𝑎𝑙/𝑚ℎ</a:t>
              </a:r>
              <a:endParaRPr lang="es-CL" sz="1100"/>
            </a:p>
          </xdr:txBody>
        </xdr:sp>
      </mc:Fallback>
    </mc:AlternateContent>
    <xdr:clientData/>
  </xdr:oneCellAnchor>
  <xdr:oneCellAnchor>
    <xdr:from>
      <xdr:col>9</xdr:col>
      <xdr:colOff>315058</xdr:colOff>
      <xdr:row>796</xdr:row>
      <xdr:rowOff>178115</xdr:rowOff>
    </xdr:from>
    <xdr:ext cx="2643865" cy="321370"/>
    <mc:AlternateContent xmlns:mc="http://schemas.openxmlformats.org/markup-compatibility/2006" xmlns:a14="http://schemas.microsoft.com/office/drawing/2010/main">
      <mc:Choice Requires="a14">
        <xdr:sp macro="" textlink="">
          <xdr:nvSpPr>
            <xdr:cNvPr id="128" name="CuadroTexto 127">
              <a:extLst>
                <a:ext uri="{FF2B5EF4-FFF2-40B4-BE49-F238E27FC236}">
                  <a16:creationId xmlns:a16="http://schemas.microsoft.com/office/drawing/2014/main" id="{00000000-0008-0000-0B00-000080000000}"/>
                </a:ext>
              </a:extLst>
            </xdr:cNvPr>
            <xdr:cNvSpPr txBox="1"/>
          </xdr:nvSpPr>
          <xdr:spPr>
            <a:xfrm>
              <a:off x="13718094" y="157544722"/>
              <a:ext cx="2643865"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CL" sz="110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=42,42</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𝑚h</m:t>
                        </m:r>
                      </m:den>
                    </m:f>
                    <m:r>
                      <a:rPr lang="es-ES" sz="1100" b="0" i="1">
                        <a:latin typeface="Cambria Math" panose="02040503050406030204" pitchFamily="18" charset="0"/>
                      </a:rPr>
                      <m:t>∗13,65 </m:t>
                    </m:r>
                    <m:r>
                      <a:rPr lang="es-ES" sz="1100" b="0" i="1">
                        <a:latin typeface="Cambria Math" panose="02040503050406030204" pitchFamily="18" charset="0"/>
                      </a:rPr>
                      <m:t>𝑚</m:t>
                    </m:r>
                    <m:r>
                      <a:rPr lang="es-ES" sz="1100" b="0" i="1">
                        <a:latin typeface="Cambria Math" panose="02040503050406030204" pitchFamily="18" charset="0"/>
                      </a:rPr>
                      <m:t>=520,46</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h</m:t>
                        </m:r>
                      </m:den>
                    </m:f>
                    <m:r>
                      <a:rPr lang="es-ES" sz="1100" b="0" i="1">
                        <a:latin typeface="Cambria Math" panose="02040503050406030204" pitchFamily="18" charset="0"/>
                      </a:rPr>
                      <m:t> </m:t>
                    </m:r>
                  </m:oMath>
                </m:oMathPara>
              </a14:m>
              <a:endParaRPr lang="es-CL" sz="1100"/>
            </a:p>
          </xdr:txBody>
        </xdr:sp>
      </mc:Choice>
      <mc:Fallback xmlns="">
        <xdr:sp macro="" textlink="">
          <xdr:nvSpPr>
            <xdr:cNvPr id="128" name="CuadroTexto 127">
              <a:extLst>
                <a:ext uri="{FF2B5EF4-FFF2-40B4-BE49-F238E27FC236}">
                  <a16:creationId xmlns:a16="http://schemas.microsoft.com/office/drawing/2014/main" id="{0EEE4CE0-1558-4202-AEC2-CD06983B09ED}"/>
                </a:ext>
              </a:extLst>
            </xdr:cNvPr>
            <xdr:cNvSpPr txBox="1"/>
          </xdr:nvSpPr>
          <xdr:spPr>
            <a:xfrm>
              <a:off x="13718094" y="157544722"/>
              <a:ext cx="2643865"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𝑞</a:t>
              </a:r>
              <a:r>
                <a:rPr lang="es-CL" sz="1100" b="0" i="0">
                  <a:latin typeface="Cambria Math" panose="02040503050406030204" pitchFamily="18" charset="0"/>
                </a:rPr>
                <a:t>_</a:t>
              </a:r>
              <a:r>
                <a:rPr lang="es-ES" sz="1100" b="0" i="0">
                  <a:latin typeface="Cambria Math" panose="02040503050406030204" pitchFamily="18" charset="0"/>
                </a:rPr>
                <a:t>𝑡=42,42 𝐾𝑐𝑎𝑙/𝑚ℎ∗13,65 𝑚=520,46</a:t>
              </a:r>
              <a:r>
                <a:rPr lang="es-ES" sz="1100" b="0" i="0">
                  <a:solidFill>
                    <a:schemeClr val="tx1"/>
                  </a:solidFill>
                  <a:effectLst/>
                  <a:latin typeface="Cambria Math" panose="02040503050406030204" pitchFamily="18" charset="0"/>
                  <a:ea typeface="+mn-ea"/>
                  <a:cs typeface="+mn-cs"/>
                </a:rPr>
                <a:t> 𝐾𝑐𝑎𝑙/ℎ </a:t>
              </a:r>
              <a:r>
                <a:rPr lang="es-ES" sz="1100" b="0" i="0">
                  <a:latin typeface="Cambria Math" panose="02040503050406030204" pitchFamily="18" charset="0"/>
                </a:rPr>
                <a:t> </a:t>
              </a:r>
              <a:endParaRPr lang="es-CL" sz="1100"/>
            </a:p>
          </xdr:txBody>
        </xdr:sp>
      </mc:Fallback>
    </mc:AlternateContent>
    <xdr:clientData/>
  </xdr:oneCellAnchor>
  <xdr:oneCellAnchor>
    <xdr:from>
      <xdr:col>9</xdr:col>
      <xdr:colOff>0</xdr:colOff>
      <xdr:row>805</xdr:row>
      <xdr:rowOff>0</xdr:rowOff>
    </xdr:from>
    <xdr:ext cx="3309817" cy="173766"/>
    <mc:AlternateContent xmlns:mc="http://schemas.openxmlformats.org/markup-compatibility/2006" xmlns:a14="http://schemas.microsoft.com/office/drawing/2010/main">
      <mc:Choice Requires="a14">
        <xdr:sp macro="" textlink="">
          <xdr:nvSpPr>
            <xdr:cNvPr id="129" name="CuadroTexto 128">
              <a:extLst>
                <a:ext uri="{FF2B5EF4-FFF2-40B4-BE49-F238E27FC236}">
                  <a16:creationId xmlns:a16="http://schemas.microsoft.com/office/drawing/2014/main" id="{00000000-0008-0000-0B00-000081000000}"/>
                </a:ext>
              </a:extLst>
            </xdr:cNvPr>
            <xdr:cNvSpPr txBox="1"/>
          </xdr:nvSpPr>
          <xdr:spPr>
            <a:xfrm>
              <a:off x="13403036" y="159101518"/>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latin typeface="Cambria Math" panose="02040503050406030204" pitchFamily="18" charset="0"/>
                          </a:rPr>
                          <m:t>𝑞</m:t>
                        </m:r>
                      </m:e>
                      <m:sub>
                        <m:r>
                          <a:rPr lang="es-ES" sz="1100" b="0" i="1">
                            <a:latin typeface="Cambria Math" panose="02040503050406030204" pitchFamily="18" charset="0"/>
                          </a:rPr>
                          <m:t>𝑡</m:t>
                        </m:r>
                      </m:sub>
                    </m:sSub>
                    <m:r>
                      <a:rPr lang="es-ES" sz="1100" b="0" i="1">
                        <a:latin typeface="Cambria Math" panose="02040503050406030204" pitchFamily="18" charset="0"/>
                      </a:rPr>
                      <m:t>∗</m:t>
                    </m:r>
                    <m:r>
                      <a:rPr lang="es-ES" sz="1100" b="0" i="1">
                        <a:latin typeface="Cambria Math" panose="02040503050406030204" pitchFamily="18" charset="0"/>
                      </a:rPr>
                      <m:t>h𝑜𝑟𝑎𝑠</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𝑜𝑝𝑒𝑟𝑎𝑐𝑖</m:t>
                    </m:r>
                    <m:r>
                      <a:rPr lang="es-ES" sz="1100" b="0" i="1">
                        <a:latin typeface="Cambria Math" panose="02040503050406030204" pitchFamily="18" charset="0"/>
                      </a:rPr>
                      <m:t>ó</m:t>
                    </m:r>
                    <m:r>
                      <a:rPr lang="es-ES" sz="1100" b="0" i="1">
                        <a:latin typeface="Cambria Math" panose="02040503050406030204" pitchFamily="18" charset="0"/>
                      </a:rPr>
                      <m:t>𝑛</m:t>
                    </m:r>
                  </m:oMath>
                </m:oMathPara>
              </a14:m>
              <a:endParaRPr lang="es-CL" sz="1100"/>
            </a:p>
          </xdr:txBody>
        </xdr:sp>
      </mc:Choice>
      <mc:Fallback xmlns="">
        <xdr:sp macro="" textlink="">
          <xdr:nvSpPr>
            <xdr:cNvPr id="129" name="CuadroTexto 128">
              <a:extLst>
                <a:ext uri="{FF2B5EF4-FFF2-40B4-BE49-F238E27FC236}">
                  <a16:creationId xmlns:a16="http://schemas.microsoft.com/office/drawing/2014/main" id="{FB95B4D2-ACF9-441F-B364-C7B357D239B2}"/>
                </a:ext>
              </a:extLst>
            </xdr:cNvPr>
            <xdr:cNvSpPr txBox="1"/>
          </xdr:nvSpPr>
          <xdr:spPr>
            <a:xfrm>
              <a:off x="13403036" y="159101518"/>
              <a:ext cx="33098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ES" sz="1100" b="0" i="0">
                  <a:latin typeface="Cambria Math" panose="02040503050406030204" pitchFamily="18" charset="0"/>
                </a:rPr>
                <a:t>𝑃é𝑟𝑑𝑖𝑑𝑎𝑠 𝑡𝑜𝑡𝑎𝑙𝑒𝑠 𝑎𝑛𝑢𝑎𝑙𝑒𝑠= 𝑞_𝑡∗ℎ𝑜𝑟𝑎𝑠 𝑑𝑒 𝑜𝑝𝑒𝑟𝑎𝑐𝑖ó𝑛</a:t>
              </a:r>
              <a:endParaRPr lang="es-CL" sz="1100"/>
            </a:p>
          </xdr:txBody>
        </xdr:sp>
      </mc:Fallback>
    </mc:AlternateContent>
    <xdr:clientData/>
  </xdr:oneCellAnchor>
  <xdr:oneCellAnchor>
    <xdr:from>
      <xdr:col>9</xdr:col>
      <xdr:colOff>21248</xdr:colOff>
      <xdr:row>806</xdr:row>
      <xdr:rowOff>115103</xdr:rowOff>
    </xdr:from>
    <xdr:ext cx="4442755" cy="247055"/>
    <mc:AlternateContent xmlns:mc="http://schemas.openxmlformats.org/markup-compatibility/2006" xmlns:a14="http://schemas.microsoft.com/office/drawing/2010/main">
      <mc:Choice Requires="a14">
        <xdr:sp macro="" textlink="">
          <xdr:nvSpPr>
            <xdr:cNvPr id="130" name="CuadroTexto 129">
              <a:extLst>
                <a:ext uri="{FF2B5EF4-FFF2-40B4-BE49-F238E27FC236}">
                  <a16:creationId xmlns:a16="http://schemas.microsoft.com/office/drawing/2014/main" id="{00000000-0008-0000-0B00-000082000000}"/>
                </a:ext>
              </a:extLst>
            </xdr:cNvPr>
            <xdr:cNvSpPr txBox="1"/>
          </xdr:nvSpPr>
          <xdr:spPr>
            <a:xfrm>
              <a:off x="13424284" y="159409389"/>
              <a:ext cx="4442755" cy="247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r>
                    <a:rPr lang="es-ES" sz="1100" b="0" i="1">
                      <a:latin typeface="Cambria Math" panose="02040503050406030204" pitchFamily="18" charset="0"/>
                    </a:rPr>
                    <m:t>𝑃</m:t>
                  </m:r>
                  <m:r>
                    <a:rPr lang="es-ES" sz="1100" b="0" i="1">
                      <a:latin typeface="Cambria Math" panose="02040503050406030204" pitchFamily="18" charset="0"/>
                    </a:rPr>
                    <m:t>é</m:t>
                  </m:r>
                  <m:r>
                    <a:rPr lang="es-ES" sz="1100" b="0" i="1">
                      <a:latin typeface="Cambria Math" panose="02040503050406030204" pitchFamily="18" charset="0"/>
                    </a:rPr>
                    <m:t>𝑟𝑑𝑖𝑑𝑎𝑠</m:t>
                  </m:r>
                  <m:r>
                    <a:rPr lang="es-ES" sz="1100" b="0" i="1">
                      <a:latin typeface="Cambria Math" panose="02040503050406030204" pitchFamily="18" charset="0"/>
                    </a:rPr>
                    <m:t> </m:t>
                  </m:r>
                  <m:r>
                    <a:rPr lang="es-ES" sz="1100" b="0" i="1">
                      <a:latin typeface="Cambria Math" panose="02040503050406030204" pitchFamily="18" charset="0"/>
                    </a:rPr>
                    <m:t>𝑡𝑜𝑡𝑎𝑙𝑒𝑠</m:t>
                  </m:r>
                  <m:r>
                    <a:rPr lang="es-ES" sz="1100" b="0" i="1">
                      <a:latin typeface="Cambria Math" panose="02040503050406030204" pitchFamily="18" charset="0"/>
                    </a:rPr>
                    <m:t> </m:t>
                  </m:r>
                  <m:r>
                    <a:rPr lang="es-ES" sz="1100" b="0" i="1">
                      <a:latin typeface="Cambria Math" panose="02040503050406030204" pitchFamily="18" charset="0"/>
                    </a:rPr>
                    <m:t>𝑎𝑛𝑢𝑎𝑙𝑒𝑠</m:t>
                  </m:r>
                  <m:r>
                    <a:rPr lang="es-ES" sz="1100" b="0" i="1">
                      <a:latin typeface="Cambria Math" panose="02040503050406030204" pitchFamily="18" charset="0"/>
                    </a:rPr>
                    <m:t>=520,46</m:t>
                  </m:r>
                  <m:f>
                    <m:fPr>
                      <m:ctrlPr>
                        <a:rPr lang="es-ES" sz="1100" b="0" i="1">
                          <a:latin typeface="Cambria Math" panose="02040503050406030204" pitchFamily="18" charset="0"/>
                        </a:rPr>
                      </m:ctrlPr>
                    </m:fPr>
                    <m:num>
                      <m:r>
                        <a:rPr lang="es-ES" sz="1100" b="0" i="1">
                          <a:latin typeface="Cambria Math" panose="02040503050406030204" pitchFamily="18" charset="0"/>
                        </a:rPr>
                        <m:t>𝐾𝑐𝑎𝑙</m:t>
                      </m:r>
                    </m:num>
                    <m:den>
                      <m:r>
                        <a:rPr lang="es-ES" sz="1100" b="0" i="1">
                          <a:latin typeface="Cambria Math" panose="02040503050406030204" pitchFamily="18" charset="0"/>
                        </a:rPr>
                        <m:t>h</m:t>
                      </m:r>
                    </m:den>
                  </m:f>
                  <m:r>
                    <a:rPr lang="es-ES" sz="1100" b="0" i="1">
                      <a:latin typeface="Cambria Math" panose="02040503050406030204" pitchFamily="18" charset="0"/>
                    </a:rPr>
                    <m:t>∗1.040</m:t>
                  </m:r>
                  <m:f>
                    <m:fPr>
                      <m:ctrlPr>
                        <a:rPr lang="es-ES" sz="1100" b="0" i="1">
                          <a:latin typeface="Cambria Math" panose="02040503050406030204" pitchFamily="18" charset="0"/>
                        </a:rPr>
                      </m:ctrlPr>
                    </m:fPr>
                    <m:num>
                      <m:r>
                        <a:rPr lang="es-ES" sz="1100" b="0" i="1">
                          <a:latin typeface="Cambria Math" panose="02040503050406030204" pitchFamily="18" charset="0"/>
                        </a:rPr>
                        <m:t>h</m:t>
                      </m:r>
                    </m:num>
                    <m:den>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den>
                  </m:f>
                  <m:r>
                    <a:rPr lang="es-ES" sz="1100" b="0" i="1">
                      <a:latin typeface="Cambria Math" panose="02040503050406030204" pitchFamily="18" charset="0"/>
                    </a:rPr>
                    <m:t>=541.274,39</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𝐾𝑐𝑎𝑙</m:t>
                      </m:r>
                    </m:num>
                    <m:den>
                      <m:r>
                        <a:rPr lang="es-ES" sz="1100" b="0" i="1">
                          <a:solidFill>
                            <a:schemeClr val="tx1"/>
                          </a:solidFill>
                          <a:effectLst/>
                          <a:latin typeface="Cambria Math" panose="02040503050406030204" pitchFamily="18" charset="0"/>
                          <a:ea typeface="+mn-ea"/>
                          <a:cs typeface="+mn-cs"/>
                        </a:rPr>
                        <m:t>𝑎</m:t>
                      </m:r>
                      <m:r>
                        <a:rPr lang="es-ES" sz="1100" b="0" i="1">
                          <a:solidFill>
                            <a:schemeClr val="tx1"/>
                          </a:solidFill>
                          <a:effectLst/>
                          <a:latin typeface="Cambria Math" panose="02040503050406030204" pitchFamily="18" charset="0"/>
                          <a:ea typeface="+mn-ea"/>
                          <a:cs typeface="+mn-cs"/>
                        </a:rPr>
                        <m:t>ñ</m:t>
                      </m:r>
                      <m:r>
                        <a:rPr lang="es-ES" sz="1100" b="0" i="1">
                          <a:solidFill>
                            <a:schemeClr val="tx1"/>
                          </a:solidFill>
                          <a:effectLst/>
                          <a:latin typeface="Cambria Math" panose="02040503050406030204" pitchFamily="18" charset="0"/>
                          <a:ea typeface="+mn-ea"/>
                          <a:cs typeface="+mn-cs"/>
                        </a:rPr>
                        <m:t>𝑜</m:t>
                      </m:r>
                    </m:den>
                  </m:f>
                  <m:r>
                    <a:rPr lang="es-ES" sz="1100" b="0" i="1">
                      <a:solidFill>
                        <a:schemeClr val="tx1"/>
                      </a:solidFill>
                      <a:effectLst/>
                      <a:latin typeface="Cambria Math" panose="02040503050406030204" pitchFamily="18" charset="0"/>
                      <a:ea typeface="+mn-ea"/>
                      <a:cs typeface="+mn-cs"/>
                    </a:rPr>
                    <m:t> </m:t>
                  </m:r>
                </m:oMath>
              </a14:m>
              <a:r>
                <a:rPr lang="es-CL" sz="1100"/>
                <a:t> </a:t>
              </a:r>
            </a:p>
          </xdr:txBody>
        </xdr:sp>
      </mc:Choice>
      <mc:Fallback xmlns="">
        <xdr:sp macro="" textlink="">
          <xdr:nvSpPr>
            <xdr:cNvPr id="130" name="CuadroTexto 129">
              <a:extLst>
                <a:ext uri="{FF2B5EF4-FFF2-40B4-BE49-F238E27FC236}">
                  <a16:creationId xmlns:a16="http://schemas.microsoft.com/office/drawing/2014/main" id="{146D82D7-68AC-48AB-B05D-4DE02A661A7E}"/>
                </a:ext>
              </a:extLst>
            </xdr:cNvPr>
            <xdr:cNvSpPr txBox="1"/>
          </xdr:nvSpPr>
          <xdr:spPr>
            <a:xfrm>
              <a:off x="13424284" y="159409389"/>
              <a:ext cx="4442755" cy="247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𝑃é𝑟𝑑𝑖𝑑𝑎𝑠 𝑡𝑜𝑡𝑎𝑙𝑒𝑠 𝑎𝑛𝑢𝑎𝑙𝑒𝑠=520,46 𝐾𝑐𝑎𝑙/ℎ∗1.040 ℎ/𝑎ñ𝑜=541.274,39</a:t>
              </a:r>
              <a:r>
                <a:rPr lang="es-ES" sz="1100" b="0" i="0">
                  <a:solidFill>
                    <a:schemeClr val="tx1"/>
                  </a:solidFill>
                  <a:effectLst/>
                  <a:latin typeface="Cambria Math" panose="02040503050406030204" pitchFamily="18" charset="0"/>
                  <a:ea typeface="+mn-ea"/>
                  <a:cs typeface="+mn-cs"/>
                </a:rPr>
                <a:t> 𝐾𝑐𝑎𝑙/𝑎ñ𝑜  </a:t>
              </a:r>
              <a:r>
                <a:rPr lang="es-CL" sz="1100"/>
                <a:t> </a:t>
              </a:r>
            </a:p>
          </xdr:txBody>
        </xdr:sp>
      </mc:Fallback>
    </mc:AlternateContent>
    <xdr:clientData/>
  </xdr:oneCellAnchor>
  <xdr:twoCellAnchor>
    <xdr:from>
      <xdr:col>3</xdr:col>
      <xdr:colOff>113392</xdr:colOff>
      <xdr:row>531</xdr:row>
      <xdr:rowOff>0</xdr:rowOff>
    </xdr:from>
    <xdr:to>
      <xdr:col>8</xdr:col>
      <xdr:colOff>362857</xdr:colOff>
      <xdr:row>533</xdr:row>
      <xdr:rowOff>4147</xdr:rowOff>
    </xdr:to>
    <xdr:sp macro="" textlink="">
      <xdr:nvSpPr>
        <xdr:cNvPr id="10" name="Forma libre: forma 9">
          <a:extLst>
            <a:ext uri="{FF2B5EF4-FFF2-40B4-BE49-F238E27FC236}">
              <a16:creationId xmlns:a16="http://schemas.microsoft.com/office/drawing/2014/main" id="{00000000-0008-0000-0B00-00000A000000}"/>
            </a:ext>
          </a:extLst>
        </xdr:cNvPr>
        <xdr:cNvSpPr/>
      </xdr:nvSpPr>
      <xdr:spPr>
        <a:xfrm>
          <a:off x="5851071" y="103947232"/>
          <a:ext cx="7155090" cy="389683"/>
        </a:xfrm>
        <a:custGeom>
          <a:avLst/>
          <a:gdLst>
            <a:gd name="connsiteX0" fmla="*/ 0 w 7155090"/>
            <a:gd name="connsiteY0" fmla="*/ 170089 h 389683"/>
            <a:gd name="connsiteX1" fmla="*/ 4728483 w 7155090"/>
            <a:gd name="connsiteY1" fmla="*/ 385536 h 389683"/>
            <a:gd name="connsiteX2" fmla="*/ 7155090 w 7155090"/>
            <a:gd name="connsiteY2" fmla="*/ 0 h 389683"/>
          </a:gdLst>
          <a:ahLst/>
          <a:cxnLst>
            <a:cxn ang="0">
              <a:pos x="connsiteX0" y="connsiteY0"/>
            </a:cxn>
            <a:cxn ang="0">
              <a:pos x="connsiteX1" y="connsiteY1"/>
            </a:cxn>
            <a:cxn ang="0">
              <a:pos x="connsiteX2" y="connsiteY2"/>
            </a:cxn>
          </a:cxnLst>
          <a:rect l="l" t="t" r="r" b="b"/>
          <a:pathLst>
            <a:path w="7155090" h="389683">
              <a:moveTo>
                <a:pt x="0" y="170089"/>
              </a:moveTo>
              <a:cubicBezTo>
                <a:pt x="1767984" y="291986"/>
                <a:pt x="3535968" y="413884"/>
                <a:pt x="4728483" y="385536"/>
              </a:cubicBezTo>
              <a:cubicBezTo>
                <a:pt x="5920998" y="357188"/>
                <a:pt x="6538044" y="178594"/>
                <a:pt x="7155090" y="0"/>
              </a:cubicBezTo>
            </a:path>
          </a:pathLst>
        </a:custGeom>
        <a:noFill/>
        <a:ln>
          <a:headEnd type="triangle" w="med" len="med"/>
          <a:tailEnd type="triangle" w="med" len="med"/>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l"/>
          <a:endParaRPr lang="es-CL" sz="1100"/>
        </a:p>
      </xdr:txBody>
    </xdr:sp>
    <xdr:clientData/>
  </xdr:twoCellAnchor>
  <xdr:twoCellAnchor>
    <xdr:from>
      <xdr:col>3</xdr:col>
      <xdr:colOff>141061</xdr:colOff>
      <xdr:row>538</xdr:row>
      <xdr:rowOff>50342</xdr:rowOff>
    </xdr:from>
    <xdr:to>
      <xdr:col>8</xdr:col>
      <xdr:colOff>390526</xdr:colOff>
      <xdr:row>540</xdr:row>
      <xdr:rowOff>54489</xdr:rowOff>
    </xdr:to>
    <xdr:sp macro="" textlink="">
      <xdr:nvSpPr>
        <xdr:cNvPr id="11" name="Forma libre: forma 10">
          <a:extLst>
            <a:ext uri="{FF2B5EF4-FFF2-40B4-BE49-F238E27FC236}">
              <a16:creationId xmlns:a16="http://schemas.microsoft.com/office/drawing/2014/main" id="{00000000-0008-0000-0B00-00000B000000}"/>
            </a:ext>
          </a:extLst>
        </xdr:cNvPr>
        <xdr:cNvSpPr/>
      </xdr:nvSpPr>
      <xdr:spPr>
        <a:xfrm>
          <a:off x="5878740" y="105346949"/>
          <a:ext cx="7155090" cy="389683"/>
        </a:xfrm>
        <a:custGeom>
          <a:avLst/>
          <a:gdLst>
            <a:gd name="connsiteX0" fmla="*/ 0 w 7155090"/>
            <a:gd name="connsiteY0" fmla="*/ 170089 h 389683"/>
            <a:gd name="connsiteX1" fmla="*/ 4728483 w 7155090"/>
            <a:gd name="connsiteY1" fmla="*/ 385536 h 389683"/>
            <a:gd name="connsiteX2" fmla="*/ 7155090 w 7155090"/>
            <a:gd name="connsiteY2" fmla="*/ 0 h 389683"/>
          </a:gdLst>
          <a:ahLst/>
          <a:cxnLst>
            <a:cxn ang="0">
              <a:pos x="connsiteX0" y="connsiteY0"/>
            </a:cxn>
            <a:cxn ang="0">
              <a:pos x="connsiteX1" y="connsiteY1"/>
            </a:cxn>
            <a:cxn ang="0">
              <a:pos x="connsiteX2" y="connsiteY2"/>
            </a:cxn>
          </a:cxnLst>
          <a:rect l="l" t="t" r="r" b="b"/>
          <a:pathLst>
            <a:path w="7155090" h="389683">
              <a:moveTo>
                <a:pt x="0" y="170089"/>
              </a:moveTo>
              <a:cubicBezTo>
                <a:pt x="1767984" y="291986"/>
                <a:pt x="3535968" y="413884"/>
                <a:pt x="4728483" y="385536"/>
              </a:cubicBezTo>
              <a:cubicBezTo>
                <a:pt x="5920998" y="357188"/>
                <a:pt x="6538044" y="178594"/>
                <a:pt x="7155090" y="0"/>
              </a:cubicBezTo>
            </a:path>
          </a:pathLst>
        </a:custGeom>
        <a:noFill/>
        <a:ln>
          <a:headEnd type="triangle" w="med" len="med"/>
          <a:tailEnd type="triangle" w="med" len="med"/>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l"/>
          <a:endParaRPr lang="es-CL" sz="1100"/>
        </a:p>
      </xdr:txBody>
    </xdr:sp>
    <xdr:clientData/>
  </xdr:twoCellAnchor>
</xdr:wsDr>
</file>

<file path=xl/drawings/drawing19.xml><?xml version="1.0" encoding="utf-8"?>
<xdr:wsDr xmlns:xdr="http://schemas.openxmlformats.org/drawingml/2006/spreadsheetDrawing" xmlns:a="http://schemas.openxmlformats.org/drawingml/2006/main">
  <xdr:oneCellAnchor>
    <xdr:from>
      <xdr:col>1</xdr:col>
      <xdr:colOff>227410</xdr:colOff>
      <xdr:row>80</xdr:row>
      <xdr:rowOff>96439</xdr:rowOff>
    </xdr:from>
    <xdr:ext cx="5574475" cy="173766"/>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00000000-0008-0000-0C00-000002000000}"/>
                </a:ext>
              </a:extLst>
            </xdr:cNvPr>
            <xdr:cNvSpPr txBox="1"/>
          </xdr:nvSpPr>
          <xdr:spPr>
            <a:xfrm>
              <a:off x="989410" y="9240439"/>
              <a:ext cx="557447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𝐷𝑒𝑝𝑟𝑒𝑐𝑖𝑎𝑐𝑖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𝑎𝑐𝑢𝑚𝑢𝑙𝑎𝑑𝑎</m:t>
                    </m:r>
                    <m:r>
                      <a:rPr lang="es-ES" sz="1100" b="0" i="1">
                        <a:latin typeface="Cambria Math" panose="02040503050406030204" pitchFamily="18" charset="0"/>
                      </a:rPr>
                      <m:t> </m:t>
                    </m:r>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r>
                      <a:rPr lang="es-ES" sz="1100" b="0" i="1">
                        <a:latin typeface="Cambria Math" panose="02040503050406030204" pitchFamily="18" charset="0"/>
                      </a:rPr>
                      <m:t> </m:t>
                    </m:r>
                    <m:r>
                      <a:rPr lang="es-ES" sz="1100" b="0" i="1">
                        <a:latin typeface="Cambria Math" panose="02040503050406030204" pitchFamily="18" charset="0"/>
                      </a:rPr>
                      <m:t>𝑛</m:t>
                    </m:r>
                    <m:r>
                      <a:rPr lang="es-ES" sz="1100" b="0" i="1">
                        <a:latin typeface="Cambria Math" panose="02040503050406030204" pitchFamily="18" charset="0"/>
                      </a:rPr>
                      <m:t>=</m:t>
                    </m:r>
                    <m:r>
                      <a:rPr lang="es-ES" sz="1100" b="0" i="1">
                        <a:latin typeface="Cambria Math" panose="02040503050406030204" pitchFamily="18" charset="0"/>
                      </a:rPr>
                      <m:t>𝑑𝑒𝑝𝑟𝑒𝑐𝑖𝑎𝑐𝑖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m:t>
                    </m:r>
                    <m:r>
                      <a:rPr lang="es-ES" sz="1100" b="0" i="1">
                        <a:latin typeface="Cambria Math" panose="02040503050406030204" pitchFamily="18" charset="0"/>
                      </a:rPr>
                      <m:t>𝑑𝑒𝑝𝑟𝑒𝑐𝑖𝑎𝑐𝑖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𝑎𝑐𝑢𝑚𝑢𝑙𝑎𝑑𝑎</m:t>
                    </m:r>
                    <m:r>
                      <a:rPr lang="es-ES" sz="1100" b="0" i="1">
                        <a:latin typeface="Cambria Math" panose="02040503050406030204" pitchFamily="18" charset="0"/>
                      </a:rPr>
                      <m:t>(</m:t>
                    </m:r>
                    <m:r>
                      <a:rPr lang="es-ES" sz="1100" b="0" i="1">
                        <a:latin typeface="Cambria Math" panose="02040503050406030204" pitchFamily="18" charset="0"/>
                      </a:rPr>
                      <m:t>𝑛</m:t>
                    </m:r>
                    <m:r>
                      <a:rPr lang="es-ES" sz="1100" b="0" i="1">
                        <a:latin typeface="Cambria Math" panose="02040503050406030204" pitchFamily="18" charset="0"/>
                      </a:rPr>
                      <m:t>−1)</m:t>
                    </m:r>
                  </m:oMath>
                </m:oMathPara>
              </a14:m>
              <a:endParaRPr lang="es-CL" sz="1100"/>
            </a:p>
          </xdr:txBody>
        </xdr:sp>
      </mc:Choice>
      <mc:Fallback xmlns="">
        <xdr:sp macro="" textlink="">
          <xdr:nvSpPr>
            <xdr:cNvPr id="2" name="CuadroTexto 1">
              <a:extLst>
                <a:ext uri="{FF2B5EF4-FFF2-40B4-BE49-F238E27FC236}">
                  <a16:creationId xmlns:a16="http://schemas.microsoft.com/office/drawing/2014/main" id="{2FD1CA93-BB38-3835-21D0-2B9C2B8A4F0E}"/>
                </a:ext>
              </a:extLst>
            </xdr:cNvPr>
            <xdr:cNvSpPr txBox="1"/>
          </xdr:nvSpPr>
          <xdr:spPr>
            <a:xfrm>
              <a:off x="989410" y="9240439"/>
              <a:ext cx="557447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𝐷𝑒𝑝𝑟𝑒𝑐𝑖𝑎𝑐𝑖ó𝑛 𝑎𝑐𝑢𝑚𝑢𝑙𝑎𝑑𝑎 𝑎ñ𝑜 𝑛=𝑑𝑒𝑝𝑟𝑒𝑐𝑖𝑎𝑐𝑖ó𝑛 𝑎𝑛𝑢𝑎𝑙+𝑑𝑒𝑝𝑟𝑒𝑐𝑖𝑎𝑐𝑖ó𝑛 𝑎𝑐𝑢𝑚𝑢𝑙𝑎𝑑𝑎(𝑛−1)</a:t>
              </a:r>
              <a:endParaRPr lang="es-CL" sz="1100"/>
            </a:p>
          </xdr:txBody>
        </xdr:sp>
      </mc:Fallback>
    </mc:AlternateContent>
    <xdr:clientData/>
  </xdr:oneCellAnchor>
  <xdr:oneCellAnchor>
    <xdr:from>
      <xdr:col>1</xdr:col>
      <xdr:colOff>285750</xdr:colOff>
      <xdr:row>77</xdr:row>
      <xdr:rowOff>154781</xdr:rowOff>
    </xdr:from>
    <xdr:ext cx="2900346" cy="321435"/>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00000000-0008-0000-0C00-000003000000}"/>
                </a:ext>
              </a:extLst>
            </xdr:cNvPr>
            <xdr:cNvSpPr txBox="1"/>
          </xdr:nvSpPr>
          <xdr:spPr>
            <a:xfrm>
              <a:off x="1047750" y="8727281"/>
              <a:ext cx="2900346"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𝐷𝑒𝑝𝑟𝑒𝑐𝑖𝑎𝑐𝑖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𝑎𝑛𝑢𝑎𝑙</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𝐶𝑜𝑠𝑡𝑜</m:t>
                        </m:r>
                        <m:r>
                          <a:rPr lang="es-ES" sz="1100" b="0" i="1">
                            <a:latin typeface="Cambria Math" panose="02040503050406030204" pitchFamily="18" charset="0"/>
                          </a:rPr>
                          <m:t> </m:t>
                        </m:r>
                        <m:r>
                          <a:rPr lang="es-ES" sz="1100" b="0" i="1">
                            <a:latin typeface="Cambria Math" panose="02040503050406030204" pitchFamily="18" charset="0"/>
                          </a:rPr>
                          <m:t>𝑑𝑒</m:t>
                        </m:r>
                        <m:r>
                          <a:rPr lang="es-ES" sz="1100" b="0" i="1">
                            <a:latin typeface="Cambria Math" panose="02040503050406030204" pitchFamily="18" charset="0"/>
                          </a:rPr>
                          <m:t> </m:t>
                        </m:r>
                        <m:r>
                          <a:rPr lang="es-ES" sz="1100" b="0" i="1">
                            <a:latin typeface="Cambria Math" panose="02040503050406030204" pitchFamily="18" charset="0"/>
                          </a:rPr>
                          <m:t>𝑒𝑞𝑢𝑖𝑝𝑎𝑚𝑖𝑒𝑛𝑡𝑜</m:t>
                        </m:r>
                      </m:num>
                      <m:den>
                        <m:r>
                          <a:rPr lang="es-ES" sz="1100" b="0" i="1">
                            <a:latin typeface="Cambria Math" panose="02040503050406030204" pitchFamily="18" charset="0"/>
                          </a:rPr>
                          <m:t>15 </m:t>
                        </m:r>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𝑜𝑠</m:t>
                        </m:r>
                      </m:den>
                    </m:f>
                  </m:oMath>
                </m:oMathPara>
              </a14:m>
              <a:endParaRPr lang="es-CL" sz="1100"/>
            </a:p>
          </xdr:txBody>
        </xdr:sp>
      </mc:Choice>
      <mc:Fallback xmlns="">
        <xdr:sp macro="" textlink="">
          <xdr:nvSpPr>
            <xdr:cNvPr id="3" name="CuadroTexto 2">
              <a:extLst>
                <a:ext uri="{FF2B5EF4-FFF2-40B4-BE49-F238E27FC236}">
                  <a16:creationId xmlns:a16="http://schemas.microsoft.com/office/drawing/2014/main" id="{0C1E3A4A-A47A-4306-AB15-32DA3FE070E6}"/>
                </a:ext>
              </a:extLst>
            </xdr:cNvPr>
            <xdr:cNvSpPr txBox="1"/>
          </xdr:nvSpPr>
          <xdr:spPr>
            <a:xfrm>
              <a:off x="1047750" y="8727281"/>
              <a:ext cx="2900346"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𝐷𝑒𝑝𝑟𝑒𝑐𝑖𝑎𝑐𝑖ó𝑛 𝑎𝑛𝑢𝑎𝑙=(𝐶𝑜𝑠𝑡𝑜 𝑑𝑒 𝑒𝑞𝑢𝑖𝑝𝑎𝑚𝑖𝑒𝑛𝑡𝑜)/(15 𝑎ñ𝑜𝑠)</a:t>
              </a:r>
              <a:endParaRPr lang="es-CL" sz="1100"/>
            </a:p>
          </xdr:txBody>
        </xdr:sp>
      </mc:Fallback>
    </mc:AlternateContent>
    <xdr:clientData/>
  </xdr:oneCellAnchor>
  <xdr:oneCellAnchor>
    <xdr:from>
      <xdr:col>1</xdr:col>
      <xdr:colOff>298847</xdr:colOff>
      <xdr:row>85</xdr:row>
      <xdr:rowOff>36909</xdr:rowOff>
    </xdr:from>
    <xdr:ext cx="4563622" cy="173766"/>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0000000-0008-0000-0C00-000004000000}"/>
                </a:ext>
              </a:extLst>
            </xdr:cNvPr>
            <xdr:cNvSpPr txBox="1"/>
          </xdr:nvSpPr>
          <xdr:spPr>
            <a:xfrm>
              <a:off x="1060847" y="10133409"/>
              <a:ext cx="456362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𝑉𝑎𝑙𝑜𝑟</m:t>
                    </m:r>
                    <m:r>
                      <a:rPr lang="es-ES" sz="1100" b="0" i="1">
                        <a:latin typeface="Cambria Math" panose="02040503050406030204" pitchFamily="18" charset="0"/>
                      </a:rPr>
                      <m:t>  </m:t>
                    </m:r>
                    <m:r>
                      <a:rPr lang="es-ES" sz="1100" b="0" i="1">
                        <a:latin typeface="Cambria Math" panose="02040503050406030204" pitchFamily="18" charset="0"/>
                      </a:rPr>
                      <m:t>𝑒𝑛</m:t>
                    </m:r>
                    <m:r>
                      <a:rPr lang="es-ES" sz="1100" b="0" i="1">
                        <a:latin typeface="Cambria Math" panose="02040503050406030204" pitchFamily="18" charset="0"/>
                      </a:rPr>
                      <m:t> </m:t>
                    </m:r>
                    <m:r>
                      <a:rPr lang="es-ES" sz="1100" b="0" i="1">
                        <a:latin typeface="Cambria Math" panose="02040503050406030204" pitchFamily="18" charset="0"/>
                      </a:rPr>
                      <m:t>𝑙𝑖𝑏𝑟𝑜𝑠</m:t>
                    </m:r>
                    <m:r>
                      <a:rPr lang="es-ES" sz="1100" b="0" i="1">
                        <a:latin typeface="Cambria Math" panose="02040503050406030204" pitchFamily="18" charset="0"/>
                      </a:rPr>
                      <m:t> </m:t>
                    </m:r>
                    <m:r>
                      <a:rPr lang="es-ES" sz="1100" b="0" i="1">
                        <a:latin typeface="Cambria Math" panose="02040503050406030204" pitchFamily="18" charset="0"/>
                      </a:rPr>
                      <m:t>𝑎</m:t>
                    </m:r>
                    <m:r>
                      <a:rPr lang="es-ES" sz="1100" b="0" i="1">
                        <a:latin typeface="Cambria Math" panose="02040503050406030204" pitchFamily="18" charset="0"/>
                      </a:rPr>
                      <m:t>ñ</m:t>
                    </m:r>
                    <m:r>
                      <a:rPr lang="es-ES" sz="1100" b="0" i="1">
                        <a:latin typeface="Cambria Math" panose="02040503050406030204" pitchFamily="18" charset="0"/>
                      </a:rPr>
                      <m:t>𝑜</m:t>
                    </m:r>
                    <m:r>
                      <a:rPr lang="es-ES" sz="1100" b="0" i="1">
                        <a:latin typeface="Cambria Math" panose="02040503050406030204" pitchFamily="18" charset="0"/>
                      </a:rPr>
                      <m:t> 1=</m:t>
                    </m:r>
                    <m:r>
                      <a:rPr lang="es-ES" sz="1100" b="0" i="1">
                        <a:latin typeface="Cambria Math" panose="02040503050406030204" pitchFamily="18" charset="0"/>
                      </a:rPr>
                      <m:t>𝐶𝑜𝑠𝑡𝑜</m:t>
                    </m:r>
                    <m:r>
                      <a:rPr lang="es-ES" sz="1100" b="0" i="1">
                        <a:latin typeface="Cambria Math" panose="02040503050406030204" pitchFamily="18" charset="0"/>
                      </a:rPr>
                      <m:t> </m:t>
                    </m:r>
                    <m:r>
                      <a:rPr lang="es-ES" sz="1100" b="0" i="1">
                        <a:latin typeface="Cambria Math" panose="02040503050406030204" pitchFamily="18" charset="0"/>
                      </a:rPr>
                      <m:t>𝑒𝑞𝑢𝑖𝑝𝑎𝑚𝑖𝑒𝑛𝑡𝑜</m:t>
                    </m:r>
                    <m:r>
                      <a:rPr lang="es-ES" sz="1100" b="0" i="1">
                        <a:latin typeface="Cambria Math" panose="02040503050406030204" pitchFamily="18" charset="0"/>
                      </a:rPr>
                      <m:t>−</m:t>
                    </m:r>
                    <m:r>
                      <a:rPr lang="es-ES" sz="1100" b="0" i="1">
                        <a:latin typeface="Cambria Math" panose="02040503050406030204" pitchFamily="18" charset="0"/>
                      </a:rPr>
                      <m:t>𝑑𝑒𝑝𝑟𝑒𝑐𝑖𝑎𝑐𝑖</m:t>
                    </m:r>
                    <m:r>
                      <a:rPr lang="es-ES" sz="1100" b="0" i="1">
                        <a:latin typeface="Cambria Math" panose="02040503050406030204" pitchFamily="18" charset="0"/>
                      </a:rPr>
                      <m:t>ó</m:t>
                    </m:r>
                    <m:r>
                      <a:rPr lang="es-ES" sz="1100" b="0" i="1">
                        <a:latin typeface="Cambria Math" panose="02040503050406030204" pitchFamily="18" charset="0"/>
                      </a:rPr>
                      <m:t>𝑛</m:t>
                    </m:r>
                    <m:r>
                      <a:rPr lang="es-ES" sz="1100" b="0" i="1">
                        <a:latin typeface="Cambria Math" panose="02040503050406030204" pitchFamily="18" charset="0"/>
                      </a:rPr>
                      <m:t> </m:t>
                    </m:r>
                    <m:r>
                      <a:rPr lang="es-ES" sz="1100" b="0" i="1">
                        <a:latin typeface="Cambria Math" panose="02040503050406030204" pitchFamily="18" charset="0"/>
                      </a:rPr>
                      <m:t>𝑎𝑐𝑢𝑚𝑢𝑙𝑎𝑑𝑎</m:t>
                    </m:r>
                  </m:oMath>
                </m:oMathPara>
              </a14:m>
              <a:endParaRPr lang="es-CL" sz="1100"/>
            </a:p>
          </xdr:txBody>
        </xdr:sp>
      </mc:Choice>
      <mc:Fallback xmlns="">
        <xdr:sp macro="" textlink="">
          <xdr:nvSpPr>
            <xdr:cNvPr id="4" name="CuadroTexto 3">
              <a:extLst>
                <a:ext uri="{FF2B5EF4-FFF2-40B4-BE49-F238E27FC236}">
                  <a16:creationId xmlns:a16="http://schemas.microsoft.com/office/drawing/2014/main" id="{90D7F566-1591-AD0B-D9E0-05256346A92C}"/>
                </a:ext>
              </a:extLst>
            </xdr:cNvPr>
            <xdr:cNvSpPr txBox="1"/>
          </xdr:nvSpPr>
          <xdr:spPr>
            <a:xfrm>
              <a:off x="1060847" y="10133409"/>
              <a:ext cx="456362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𝑉𝑎𝑙𝑜𝑟  𝑒𝑛 𝑙𝑖𝑏𝑟𝑜𝑠 𝑎ñ𝑜 1=𝐶𝑜𝑠𝑡𝑜 𝑒𝑞𝑢𝑖𝑝𝑎𝑚𝑖𝑒𝑛𝑡𝑜−𝑑𝑒𝑝𝑟𝑒𝑐𝑖𝑎𝑐𝑖ó𝑛 𝑎𝑐𝑢𝑚𝑢𝑙𝑎𝑑𝑎</a:t>
              </a:r>
              <a:endParaRPr lang="es-CL" sz="1100"/>
            </a:p>
          </xdr:txBody>
        </xdr:sp>
      </mc:Fallback>
    </mc:AlternateContent>
    <xdr:clientData/>
  </xdr:oneCellAnchor>
  <xdr:twoCellAnchor>
    <xdr:from>
      <xdr:col>6</xdr:col>
      <xdr:colOff>13606</xdr:colOff>
      <xdr:row>187</xdr:row>
      <xdr:rowOff>1</xdr:rowOff>
    </xdr:from>
    <xdr:to>
      <xdr:col>12</xdr:col>
      <xdr:colOff>730701</xdr:colOff>
      <xdr:row>209</xdr:row>
      <xdr:rowOff>135848</xdr:rowOff>
    </xdr:to>
    <mc:AlternateContent xmlns:mc="http://schemas.openxmlformats.org/markup-compatibility/2006">
      <mc:Choice xmlns:cx1="http://schemas.microsoft.com/office/drawing/2015/9/8/chartex" Requires="cx1">
        <xdr:graphicFrame macro="">
          <xdr:nvGraphicFramePr>
            <xdr:cNvPr id="10" name="Gráfico 9">
              <a:extLst>
                <a:ext uri="{FF2B5EF4-FFF2-40B4-BE49-F238E27FC236}">
                  <a16:creationId xmlns:a16="http://schemas.microsoft.com/office/drawing/2014/main" id="{00000000-0008-0000-0C00-00000A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43231" y="37871401"/>
              <a:ext cx="7117895" cy="4517347"/>
            </a:xfrm>
            <a:prstGeom prst="rect">
              <a:avLst/>
            </a:prstGeom>
            <a:solidFill>
              <a:prstClr val="white"/>
            </a:solidFill>
            <a:ln w="1">
              <a:solidFill>
                <a:prstClr val="green"/>
              </a:solidFill>
            </a:ln>
          </xdr:spPr>
          <xdr:txBody>
            <a:bodyPr vertOverflow="clip" horzOverflow="clip"/>
            <a:lstStyle/>
            <a:p>
              <a:r>
                <a:rPr lang="es-CL"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6</xdr:col>
      <xdr:colOff>13606</xdr:colOff>
      <xdr:row>212</xdr:row>
      <xdr:rowOff>1</xdr:rowOff>
    </xdr:from>
    <xdr:to>
      <xdr:col>12</xdr:col>
      <xdr:colOff>730701</xdr:colOff>
      <xdr:row>234</xdr:row>
      <xdr:rowOff>135848</xdr:rowOff>
    </xdr:to>
    <mc:AlternateContent xmlns:mc="http://schemas.openxmlformats.org/markup-compatibility/2006">
      <mc:Choice xmlns:cx1="http://schemas.microsoft.com/office/drawing/2015/9/8/chartex" Requires="cx1">
        <xdr:graphicFrame macro="">
          <xdr:nvGraphicFramePr>
            <xdr:cNvPr id="12" name="Gráfico 11">
              <a:extLst>
                <a:ext uri="{FF2B5EF4-FFF2-40B4-BE49-F238E27FC236}">
                  <a16:creationId xmlns:a16="http://schemas.microsoft.com/office/drawing/2014/main" id="{00000000-0008-0000-0C00-00000C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443231" y="42824401"/>
              <a:ext cx="7117895" cy="4517347"/>
            </a:xfrm>
            <a:prstGeom prst="rect">
              <a:avLst/>
            </a:prstGeom>
            <a:solidFill>
              <a:prstClr val="white"/>
            </a:solidFill>
            <a:ln w="1">
              <a:solidFill>
                <a:prstClr val="green"/>
              </a:solidFill>
            </a:ln>
          </xdr:spPr>
          <xdr:txBody>
            <a:bodyPr vertOverflow="clip" horzOverflow="clip"/>
            <a:lstStyle/>
            <a:p>
              <a:r>
                <a:rPr lang="es-CL"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6</xdr:col>
      <xdr:colOff>13606</xdr:colOff>
      <xdr:row>238</xdr:row>
      <xdr:rowOff>1</xdr:rowOff>
    </xdr:from>
    <xdr:to>
      <xdr:col>12</xdr:col>
      <xdr:colOff>730701</xdr:colOff>
      <xdr:row>260</xdr:row>
      <xdr:rowOff>135848</xdr:rowOff>
    </xdr:to>
    <mc:AlternateContent xmlns:mc="http://schemas.openxmlformats.org/markup-compatibility/2006">
      <mc:Choice xmlns:cx1="http://schemas.microsoft.com/office/drawing/2015/9/8/chartex" Requires="cx1">
        <xdr:graphicFrame macro="">
          <xdr:nvGraphicFramePr>
            <xdr:cNvPr id="13" name="Gráfico 12">
              <a:extLst>
                <a:ext uri="{FF2B5EF4-FFF2-40B4-BE49-F238E27FC236}">
                  <a16:creationId xmlns:a16="http://schemas.microsoft.com/office/drawing/2014/main" id="{00000000-0008-0000-0C00-00000D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443231" y="47967901"/>
              <a:ext cx="7117895" cy="5279347"/>
            </a:xfrm>
            <a:prstGeom prst="rect">
              <a:avLst/>
            </a:prstGeom>
            <a:solidFill>
              <a:prstClr val="white"/>
            </a:solidFill>
            <a:ln w="1">
              <a:solidFill>
                <a:prstClr val="green"/>
              </a:solidFill>
            </a:ln>
          </xdr:spPr>
          <xdr:txBody>
            <a:bodyPr vertOverflow="clip" horzOverflow="clip"/>
            <a:lstStyle/>
            <a:p>
              <a:r>
                <a:rPr lang="es-CL"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4</xdr:col>
      <xdr:colOff>1428750</xdr:colOff>
      <xdr:row>147</xdr:row>
      <xdr:rowOff>95250</xdr:rowOff>
    </xdr:from>
    <xdr:to>
      <xdr:col>5</xdr:col>
      <xdr:colOff>544286</xdr:colOff>
      <xdr:row>157</xdr:row>
      <xdr:rowOff>68036</xdr:rowOff>
    </xdr:to>
    <xdr:sp macro="" textlink="">
      <xdr:nvSpPr>
        <xdr:cNvPr id="5" name="Cerrar llave 4">
          <a:extLst>
            <a:ext uri="{FF2B5EF4-FFF2-40B4-BE49-F238E27FC236}">
              <a16:creationId xmlns:a16="http://schemas.microsoft.com/office/drawing/2014/main" id="{00000000-0008-0000-0C00-000005000000}"/>
            </a:ext>
          </a:extLst>
        </xdr:cNvPr>
        <xdr:cNvSpPr/>
      </xdr:nvSpPr>
      <xdr:spPr>
        <a:xfrm>
          <a:off x="7048500" y="22383750"/>
          <a:ext cx="585107" cy="1877786"/>
        </a:xfrm>
        <a:prstGeom prst="rightBrace">
          <a:avLst/>
        </a:prstGeom>
        <a:ln>
          <a:solidFill>
            <a:srgbClr val="FF0000"/>
          </a:solidFill>
        </a:ln>
      </xdr:spPr>
      <xdr:style>
        <a:lnRef idx="2">
          <a:schemeClr val="accent1"/>
        </a:lnRef>
        <a:fillRef idx="0">
          <a:schemeClr val="accent1"/>
        </a:fillRef>
        <a:effectRef idx="1">
          <a:schemeClr val="accent1"/>
        </a:effectRef>
        <a:fontRef idx="minor">
          <a:schemeClr val="tx1"/>
        </a:fontRef>
      </xdr:style>
      <xdr:txBody>
        <a:bodyPr rtlCol="0" anchor="ctr"/>
        <a:lstStyle/>
        <a:p>
          <a:pPr algn="l"/>
          <a:endParaRPr lang="es-CL" sz="1100"/>
        </a:p>
      </xdr:txBody>
    </xdr:sp>
    <xdr:clientData/>
  </xdr:twoCellAnchor>
  <xdr:twoCellAnchor>
    <xdr:from>
      <xdr:col>13</xdr:col>
      <xdr:colOff>0</xdr:colOff>
      <xdr:row>202</xdr:row>
      <xdr:rowOff>0</xdr:rowOff>
    </xdr:from>
    <xdr:to>
      <xdr:col>20</xdr:col>
      <xdr:colOff>395626</xdr:colOff>
      <xdr:row>224</xdr:row>
      <xdr:rowOff>135847</xdr:rowOff>
    </xdr:to>
    <xdr:graphicFrame macro="">
      <xdr:nvGraphicFramePr>
        <xdr:cNvPr id="6" name="Gráfico 5">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GF\Desktop\Mag&#237;ster_Ingenier&#237;a_Industrial_PGF\2024_04_15_MII598_Taller_Grado_II\Prevaluaci&#243;n_Paper_TGII_v45a_pgf.xlsx" TargetMode="External"/><Relationship Id="rId1" Type="http://schemas.openxmlformats.org/officeDocument/2006/relationships/externalLinkPath" Target="file:///F:\2024_04_15_MII598_Taller_Grado_II\Prevaluaci&#243;n_Paper_TGII_v45a_pg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umo Eléctrico"/>
      <sheetName val="Consumo Térmico de la empresa"/>
      <sheetName val="Indicadores Energéticos"/>
      <sheetName val="Emisiones de GEI"/>
      <sheetName val="Cuantificador"/>
      <sheetName val="Inventario"/>
      <sheetName val="Pareto"/>
      <sheetName val="Balance Energético"/>
      <sheetName val="Balance Térmico"/>
      <sheetName val="Balance Eléctrico"/>
      <sheetName val="Balance de Materia"/>
      <sheetName val="Propuesta de Mejora"/>
      <sheetName val="Análisis costos"/>
    </sheetNames>
    <sheetDataSet>
      <sheetData sheetId="0">
        <row r="897">
          <cell r="X897" t="str">
            <v>Enero</v>
          </cell>
        </row>
        <row r="898">
          <cell r="X898" t="str">
            <v>Febrero</v>
          </cell>
        </row>
        <row r="899">
          <cell r="X899" t="str">
            <v>Marzo</v>
          </cell>
        </row>
        <row r="900">
          <cell r="X900" t="str">
            <v>Abril</v>
          </cell>
        </row>
        <row r="901">
          <cell r="X901" t="str">
            <v>Mayo</v>
          </cell>
        </row>
        <row r="902">
          <cell r="X902" t="str">
            <v>Junio</v>
          </cell>
        </row>
        <row r="903">
          <cell r="X903" t="str">
            <v>Julio</v>
          </cell>
        </row>
        <row r="904">
          <cell r="X904" t="str">
            <v>Agosto</v>
          </cell>
        </row>
        <row r="905">
          <cell r="X905" t="str">
            <v>Septiembre</v>
          </cell>
        </row>
        <row r="906">
          <cell r="X906" t="str">
            <v>Octubre</v>
          </cell>
        </row>
        <row r="907">
          <cell r="X907" t="str">
            <v>Noviembre</v>
          </cell>
        </row>
        <row r="908">
          <cell r="X908" t="str">
            <v>Diciembre</v>
          </cell>
        </row>
        <row r="909">
          <cell r="X909" t="str">
            <v>Enero</v>
          </cell>
        </row>
        <row r="910">
          <cell r="X910" t="str">
            <v>Febrero</v>
          </cell>
        </row>
        <row r="911">
          <cell r="X911" t="str">
            <v>Marzo</v>
          </cell>
        </row>
        <row r="912">
          <cell r="X912" t="str">
            <v>Abril</v>
          </cell>
        </row>
        <row r="913">
          <cell r="X913" t="str">
            <v>Mayo</v>
          </cell>
        </row>
        <row r="914">
          <cell r="X914" t="str">
            <v>Junio</v>
          </cell>
        </row>
        <row r="915">
          <cell r="X915" t="str">
            <v>Julio</v>
          </cell>
        </row>
        <row r="916">
          <cell r="X916" t="str">
            <v>Agosto</v>
          </cell>
        </row>
        <row r="917">
          <cell r="X917" t="str">
            <v>Septiembre</v>
          </cell>
        </row>
        <row r="918">
          <cell r="X918" t="str">
            <v>Octubre</v>
          </cell>
        </row>
        <row r="919">
          <cell r="X919" t="str">
            <v>Noviembre</v>
          </cell>
        </row>
        <row r="920">
          <cell r="X920" t="str">
            <v>Diciembre</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guiaiso50001.cl/guia/wp-content/uploads/2017/05/herramientas-para-la-planeacion-energetica-P-2-AP-1.pdf"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es.converterin.com/economia-de-combustible/gigajoule-to-us-galones-de-kerosene.html" TargetMode="External"/><Relationship Id="rId1" Type="http://schemas.openxmlformats.org/officeDocument/2006/relationships/hyperlink" Target="https://es.converterin.com/economia-de-combustible/us-galones-de-gasoil-to-joule.html"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hyperlink" Target="https://www.coordinador.cl/novedades/sistema-electrico-redujo-21-sus-emisiones-en-2023-y-se-espera-que-siga-creciendo-participacion-de-energia-renovable-variable/" TargetMode="External"/><Relationship Id="rId2" Type="http://schemas.openxmlformats.org/officeDocument/2006/relationships/hyperlink" Target="https://4echile.cl/wp-content/uploads/2023/01/Gui%CC%81a-Complementaria-Herramienta-Costo-de-Abatimiento-GIZ.pdf" TargetMode="External"/><Relationship Id="rId1" Type="http://schemas.openxmlformats.org/officeDocument/2006/relationships/hyperlink" Target="http://energiaabierta.cl/visualizaciones/factor-de-emision-sic-sing/" TargetMode="External"/><Relationship Id="rId4" Type="http://schemas.openxmlformats.org/officeDocument/2006/relationships/drawing" Target="../drawings/drawing9.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es.converterin.com/economia-de-combustible/gigajoule-to-us-galones-de-kerosene.html" TargetMode="External"/><Relationship Id="rId1" Type="http://schemas.openxmlformats.org/officeDocument/2006/relationships/hyperlink" Target="https://energia.gob.cl/indicadores-ambientales-factor-de-emisiones-gei-del-sistema-electrico-nacional"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hyperlink" Target="https://reformaenergeticamalaga.es/como-convertir-btu-en-kw-pasar-transformar.html?btu=1" TargetMode="External"/><Relationship Id="rId1" Type="http://schemas.openxmlformats.org/officeDocument/2006/relationships/hyperlink" Target="https://reformaenergeticamalaga.es/como-convertir-btu-en-kw-pasar-transformar.html?btu=1" TargetMode="Externa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2.xml"/><Relationship Id="rId1" Type="http://schemas.openxmlformats.org/officeDocument/2006/relationships/printerSettings" Target="../printerSettings/printerSettings2.bin"/><Relationship Id="rId6" Type="http://schemas.openxmlformats.org/officeDocument/2006/relationships/comments" Target="../comments5.xml"/><Relationship Id="rId5" Type="http://schemas.openxmlformats.org/officeDocument/2006/relationships/image" Target="../media/image2.emf"/><Relationship Id="rId4" Type="http://schemas.openxmlformats.org/officeDocument/2006/relationships/package" Target="../embeddings/Microsoft_Visio_Drawing.vsdx"/></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2.xml.rels><?xml version="1.0" encoding="UTF-8" standalone="yes"?>
<Relationships xmlns="http://schemas.openxmlformats.org/package/2006/relationships"><Relationship Id="rId8" Type="http://schemas.openxmlformats.org/officeDocument/2006/relationships/comments" Target="../comments6.xml"/><Relationship Id="rId3" Type="http://schemas.openxmlformats.org/officeDocument/2006/relationships/hyperlink" Target="https://reformaenergeticamalaga.es/como-convertir-btu-en-kw-pasar-transformar.html?btu=1" TargetMode="External"/><Relationship Id="rId7" Type="http://schemas.openxmlformats.org/officeDocument/2006/relationships/vmlDrawing" Target="../drawings/vmlDrawing6.vml"/><Relationship Id="rId2" Type="http://schemas.openxmlformats.org/officeDocument/2006/relationships/hyperlink" Target="https://powerenergy.cl/producto/tubo-de-vidrio-t8-120cm-18w-frio" TargetMode="External"/><Relationship Id="rId1" Type="http://schemas.openxmlformats.org/officeDocument/2006/relationships/hyperlink" Target="https://www.sasipa.cl/tarifas-electricas/" TargetMode="External"/><Relationship Id="rId6" Type="http://schemas.openxmlformats.org/officeDocument/2006/relationships/drawing" Target="../drawings/drawing18.xml"/><Relationship Id="rId5" Type="http://schemas.openxmlformats.org/officeDocument/2006/relationships/hyperlink" Target="https://imatesa.cl/nuestros-productos/117-1654-mot-vemat-trif-025-a-30hp-01-a-22-kw-2-4-6-polos-vtb.html" TargetMode="External"/><Relationship Id="rId4" Type="http://schemas.openxmlformats.org/officeDocument/2006/relationships/hyperlink" Target="https://www.aquapress.cl/motores-electricos-/1343-motor-electrico-nicolini-15-hp-11-kw.html"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BE65F-A149-424D-84EB-305FE2AE1E7A}">
  <sheetPr codeName="Hoja1">
    <tabColor rgb="FFFFC000"/>
  </sheetPr>
  <dimension ref="B2:AW950"/>
  <sheetViews>
    <sheetView showGridLines="0" tabSelected="1" topLeftCell="A798" zoomScale="70" zoomScaleNormal="70" workbookViewId="0">
      <selection activeCell="L74" sqref="L74"/>
    </sheetView>
  </sheetViews>
  <sheetFormatPr baseColWidth="10" defaultColWidth="11.42578125" defaultRowHeight="15" x14ac:dyDescent="0.25"/>
  <cols>
    <col min="1" max="1" width="4.140625" customWidth="1"/>
    <col min="2" max="2" width="11.42578125" style="1"/>
    <col min="3" max="3" width="12.5703125" style="1" customWidth="1"/>
    <col min="4" max="4" width="13.7109375" style="1" customWidth="1"/>
    <col min="5" max="5" width="11.5703125" style="1" bestFit="1" customWidth="1"/>
    <col min="6" max="6" width="14.42578125" customWidth="1"/>
    <col min="7" max="7" width="17" customWidth="1"/>
    <col min="8" max="9" width="15.7109375" customWidth="1"/>
    <col min="10" max="10" width="11.7109375" customWidth="1"/>
    <col min="12" max="12" width="13.85546875" customWidth="1"/>
    <col min="13" max="14" width="12.28515625" customWidth="1"/>
    <col min="15" max="15" width="15.7109375" customWidth="1"/>
    <col min="16" max="16" width="13.5703125" customWidth="1"/>
    <col min="17" max="17" width="16.140625" customWidth="1"/>
    <col min="18" max="18" width="17.42578125" customWidth="1"/>
    <col min="19" max="19" width="16" customWidth="1"/>
    <col min="20" max="20" width="15.140625" customWidth="1"/>
    <col min="21" max="21" width="16.5703125" bestFit="1" customWidth="1"/>
    <col min="22" max="22" width="14.28515625" customWidth="1"/>
    <col min="24" max="24" width="16.28515625" customWidth="1"/>
    <col min="25" max="25" width="16.5703125" bestFit="1" customWidth="1"/>
    <col min="26" max="26" width="18" customWidth="1"/>
    <col min="27" max="27" width="21.5703125" customWidth="1"/>
    <col min="28" max="28" width="21.85546875" customWidth="1"/>
    <col min="29" max="29" width="18" customWidth="1"/>
    <col min="30" max="30" width="15.7109375" customWidth="1"/>
    <col min="31" max="31" width="19" customWidth="1"/>
    <col min="32" max="32" width="18.85546875" bestFit="1" customWidth="1"/>
    <col min="33" max="33" width="20.5703125" customWidth="1"/>
    <col min="34" max="34" width="34.140625" customWidth="1"/>
    <col min="35" max="35" width="19.85546875" customWidth="1"/>
    <col min="36" max="36" width="20.7109375" customWidth="1"/>
    <col min="37" max="37" width="26" bestFit="1" customWidth="1"/>
    <col min="38" max="38" width="13" bestFit="1" customWidth="1"/>
    <col min="39" max="39" width="16.28515625" bestFit="1" customWidth="1"/>
    <col min="40" max="40" width="20.7109375" customWidth="1"/>
    <col min="41" max="41" width="14.140625" bestFit="1" customWidth="1"/>
    <col min="42" max="42" width="15.140625" bestFit="1" customWidth="1"/>
    <col min="43" max="43" width="13" bestFit="1" customWidth="1"/>
    <col min="44" max="44" width="17.42578125" customWidth="1"/>
    <col min="45" max="45" width="18.5703125" customWidth="1"/>
    <col min="46" max="46" width="14.140625" bestFit="1" customWidth="1"/>
    <col min="47" max="47" width="15.140625" bestFit="1" customWidth="1"/>
  </cols>
  <sheetData>
    <row r="2" spans="2:46" x14ac:dyDescent="0.25">
      <c r="C2" s="16"/>
      <c r="D2" s="685" t="s">
        <v>172</v>
      </c>
      <c r="E2" s="685"/>
      <c r="F2" s="685"/>
      <c r="G2" s="685"/>
      <c r="H2" s="685"/>
      <c r="I2" s="685"/>
      <c r="J2" s="443"/>
    </row>
    <row r="3" spans="2:46" x14ac:dyDescent="0.25">
      <c r="F3" s="1" t="s">
        <v>0</v>
      </c>
      <c r="G3" s="1" t="s">
        <v>456</v>
      </c>
      <c r="H3" s="1" t="s">
        <v>457</v>
      </c>
    </row>
    <row r="4" spans="2:46" x14ac:dyDescent="0.25">
      <c r="F4" s="1"/>
      <c r="G4" s="1"/>
      <c r="H4" s="1"/>
    </row>
    <row r="5" spans="2:46" x14ac:dyDescent="0.25">
      <c r="B5" s="684" t="s">
        <v>1</v>
      </c>
      <c r="C5" s="684"/>
      <c r="D5" s="684"/>
      <c r="E5" s="684"/>
      <c r="F5" s="684" t="s">
        <v>2</v>
      </c>
      <c r="G5" s="684"/>
      <c r="H5" s="684"/>
      <c r="I5" s="684"/>
      <c r="J5" s="1"/>
    </row>
    <row r="6" spans="2:46" ht="15" customHeight="1" x14ac:dyDescent="0.25">
      <c r="B6" s="687" t="s">
        <v>3</v>
      </c>
      <c r="C6" s="687" t="s">
        <v>4</v>
      </c>
      <c r="D6" s="687" t="s">
        <v>5</v>
      </c>
      <c r="E6" s="687" t="s">
        <v>6</v>
      </c>
      <c r="F6" s="686" t="s">
        <v>7</v>
      </c>
      <c r="G6" s="686" t="s">
        <v>8</v>
      </c>
      <c r="H6" s="686" t="s">
        <v>9</v>
      </c>
      <c r="I6" s="687" t="s">
        <v>10</v>
      </c>
      <c r="J6" s="357"/>
      <c r="K6" s="3"/>
    </row>
    <row r="7" spans="2:46" x14ac:dyDescent="0.25">
      <c r="B7" s="687"/>
      <c r="C7" s="687"/>
      <c r="D7" s="687"/>
      <c r="E7" s="687"/>
      <c r="F7" s="686"/>
      <c r="G7" s="686"/>
      <c r="H7" s="686"/>
      <c r="I7" s="687"/>
      <c r="J7" s="357" t="s">
        <v>548</v>
      </c>
    </row>
    <row r="8" spans="2:46" x14ac:dyDescent="0.25">
      <c r="B8" s="4">
        <v>44562</v>
      </c>
      <c r="C8" s="5">
        <v>44564</v>
      </c>
      <c r="D8" s="5">
        <v>44595</v>
      </c>
      <c r="E8" s="6">
        <f>D8-C8</f>
        <v>31</v>
      </c>
      <c r="F8" s="7">
        <v>4980.29</v>
      </c>
      <c r="G8" s="7">
        <v>1781.62</v>
      </c>
      <c r="H8" s="7">
        <v>1912.92</v>
      </c>
      <c r="I8" s="8">
        <f>SUM(F8:H8)</f>
        <v>8674.83</v>
      </c>
      <c r="J8" s="445">
        <f>I8/1000</f>
        <v>8.67483</v>
      </c>
      <c r="K8" s="3"/>
    </row>
    <row r="9" spans="2:46" x14ac:dyDescent="0.25">
      <c r="B9" s="4">
        <v>44593</v>
      </c>
      <c r="C9" s="5">
        <f>D8</f>
        <v>44595</v>
      </c>
      <c r="D9" s="5">
        <v>44625</v>
      </c>
      <c r="E9" s="6">
        <f t="shared" ref="E9:E19" si="0">D9-C9</f>
        <v>30</v>
      </c>
      <c r="F9" s="7">
        <v>6850.63</v>
      </c>
      <c r="G9" s="7">
        <v>1401.2</v>
      </c>
      <c r="H9" s="7">
        <v>1641.29</v>
      </c>
      <c r="I9" s="8">
        <f t="shared" ref="I9:I31" si="1">SUM(F9:H9)</f>
        <v>9893.119999999999</v>
      </c>
      <c r="J9" s="445">
        <f t="shared" ref="J9:J35" si="2">I9/1000</f>
        <v>9.8931199999999997</v>
      </c>
      <c r="K9" s="3"/>
      <c r="AR9" s="7">
        <v>4980.29</v>
      </c>
      <c r="AS9" s="7">
        <v>1781.62</v>
      </c>
      <c r="AT9" s="7">
        <v>1912.9199999999998</v>
      </c>
    </row>
    <row r="10" spans="2:46" x14ac:dyDescent="0.25">
      <c r="B10" s="4">
        <v>44621</v>
      </c>
      <c r="C10" s="5">
        <f t="shared" ref="C10:C31" si="3">D9</f>
        <v>44625</v>
      </c>
      <c r="D10" s="5">
        <v>44655</v>
      </c>
      <c r="E10" s="6">
        <f t="shared" si="0"/>
        <v>30</v>
      </c>
      <c r="F10" s="7">
        <v>6449.2</v>
      </c>
      <c r="G10" s="7">
        <v>1485.63</v>
      </c>
      <c r="H10" s="7">
        <v>1754.42</v>
      </c>
      <c r="I10" s="8">
        <f t="shared" si="1"/>
        <v>9689.25</v>
      </c>
      <c r="J10" s="445">
        <f t="shared" si="2"/>
        <v>9.6892499999999995</v>
      </c>
      <c r="AR10" s="7">
        <v>6850.63</v>
      </c>
      <c r="AS10" s="7">
        <v>1401.2</v>
      </c>
      <c r="AT10" s="7">
        <v>1641.29</v>
      </c>
    </row>
    <row r="11" spans="2:46" x14ac:dyDescent="0.25">
      <c r="B11" s="4">
        <v>44652</v>
      </c>
      <c r="C11" s="5">
        <f t="shared" si="3"/>
        <v>44655</v>
      </c>
      <c r="D11" s="5">
        <v>44686</v>
      </c>
      <c r="E11" s="6">
        <f t="shared" si="0"/>
        <v>31</v>
      </c>
      <c r="F11" s="7">
        <v>6612.52</v>
      </c>
      <c r="G11" s="7">
        <v>1598.12</v>
      </c>
      <c r="H11" s="7">
        <v>1612.92</v>
      </c>
      <c r="I11" s="8">
        <f t="shared" si="1"/>
        <v>9823.56</v>
      </c>
      <c r="J11" s="445">
        <f t="shared" si="2"/>
        <v>9.8235599999999987</v>
      </c>
      <c r="AR11" s="7">
        <v>6449.2</v>
      </c>
      <c r="AS11" s="7">
        <v>1485.63</v>
      </c>
      <c r="AT11" s="7">
        <v>1754.42</v>
      </c>
    </row>
    <row r="12" spans="2:46" x14ac:dyDescent="0.25">
      <c r="B12" s="4">
        <v>44682</v>
      </c>
      <c r="C12" s="5">
        <f t="shared" si="3"/>
        <v>44686</v>
      </c>
      <c r="D12" s="5">
        <v>44716</v>
      </c>
      <c r="E12" s="6">
        <f t="shared" si="0"/>
        <v>30</v>
      </c>
      <c r="F12" s="7">
        <v>7284.73</v>
      </c>
      <c r="G12" s="7">
        <v>1650.53</v>
      </c>
      <c r="H12" s="7">
        <v>1568.63</v>
      </c>
      <c r="I12" s="8">
        <f t="shared" si="1"/>
        <v>10503.89</v>
      </c>
      <c r="J12" s="445">
        <f t="shared" si="2"/>
        <v>10.50389</v>
      </c>
      <c r="AR12" s="7">
        <v>6612.52</v>
      </c>
      <c r="AS12" s="7">
        <v>1598.12</v>
      </c>
      <c r="AT12" s="7">
        <v>1612.92</v>
      </c>
    </row>
    <row r="13" spans="2:46" x14ac:dyDescent="0.25">
      <c r="B13" s="4">
        <v>44713</v>
      </c>
      <c r="C13" s="5">
        <f t="shared" si="3"/>
        <v>44716</v>
      </c>
      <c r="D13" s="5">
        <v>44747</v>
      </c>
      <c r="E13" s="6">
        <f t="shared" si="0"/>
        <v>31</v>
      </c>
      <c r="F13" s="7">
        <v>7217.46</v>
      </c>
      <c r="G13" s="7">
        <v>1246.3399999999999</v>
      </c>
      <c r="H13" s="7">
        <v>1467.53</v>
      </c>
      <c r="I13" s="8">
        <f t="shared" si="1"/>
        <v>9931.33</v>
      </c>
      <c r="J13" s="445">
        <f t="shared" si="2"/>
        <v>9.9313299999999991</v>
      </c>
      <c r="AR13" s="7">
        <v>7284.73</v>
      </c>
      <c r="AS13" s="7">
        <v>1650.53</v>
      </c>
      <c r="AT13" s="7">
        <v>1568.63</v>
      </c>
    </row>
    <row r="14" spans="2:46" x14ac:dyDescent="0.25">
      <c r="B14" s="4">
        <v>44743</v>
      </c>
      <c r="C14" s="5">
        <f t="shared" si="3"/>
        <v>44747</v>
      </c>
      <c r="D14" s="5">
        <v>44777</v>
      </c>
      <c r="E14" s="6">
        <f t="shared" si="0"/>
        <v>30</v>
      </c>
      <c r="F14" s="7">
        <v>6847.8</v>
      </c>
      <c r="G14" s="7">
        <v>1287.75</v>
      </c>
      <c r="H14" s="7">
        <v>1533.18</v>
      </c>
      <c r="I14" s="8">
        <f t="shared" si="1"/>
        <v>9668.73</v>
      </c>
      <c r="J14" s="445">
        <f t="shared" si="2"/>
        <v>9.66873</v>
      </c>
      <c r="AR14" s="7">
        <v>7217.46</v>
      </c>
      <c r="AS14" s="7">
        <v>1246.3399999999999</v>
      </c>
      <c r="AT14" s="7">
        <v>1467.53</v>
      </c>
    </row>
    <row r="15" spans="2:46" x14ac:dyDescent="0.25">
      <c r="B15" s="4">
        <v>44774</v>
      </c>
      <c r="C15" s="5">
        <f t="shared" si="3"/>
        <v>44777</v>
      </c>
      <c r="D15" s="5">
        <v>44807</v>
      </c>
      <c r="E15" s="6">
        <f t="shared" si="0"/>
        <v>30</v>
      </c>
      <c r="F15" s="7">
        <v>6895.23</v>
      </c>
      <c r="G15" s="7">
        <v>1189.23</v>
      </c>
      <c r="H15" s="7">
        <v>1413.67</v>
      </c>
      <c r="I15" s="8">
        <f t="shared" si="1"/>
        <v>9498.1299999999992</v>
      </c>
      <c r="J15" s="445">
        <f t="shared" si="2"/>
        <v>9.4981299999999997</v>
      </c>
      <c r="AR15" s="7">
        <v>6847.8</v>
      </c>
      <c r="AS15" s="7">
        <v>1287.75</v>
      </c>
      <c r="AT15" s="7">
        <v>1533.18</v>
      </c>
    </row>
    <row r="16" spans="2:46" x14ac:dyDescent="0.25">
      <c r="B16" s="4">
        <v>44805</v>
      </c>
      <c r="C16" s="5">
        <f t="shared" si="3"/>
        <v>44807</v>
      </c>
      <c r="D16" s="5">
        <v>44837</v>
      </c>
      <c r="E16" s="6">
        <f t="shared" si="0"/>
        <v>30</v>
      </c>
      <c r="F16" s="7">
        <v>6853.88</v>
      </c>
      <c r="G16" s="7">
        <v>1096.8800000000001</v>
      </c>
      <c r="H16" s="7">
        <v>1334.23</v>
      </c>
      <c r="I16" s="8">
        <f t="shared" si="1"/>
        <v>9284.99</v>
      </c>
      <c r="J16" s="445">
        <f t="shared" si="2"/>
        <v>9.2849900000000005</v>
      </c>
      <c r="AR16" s="7">
        <v>6895.23</v>
      </c>
      <c r="AS16" s="7">
        <v>1189.23</v>
      </c>
      <c r="AT16" s="7">
        <v>1413.67</v>
      </c>
    </row>
    <row r="17" spans="2:46" x14ac:dyDescent="0.25">
      <c r="B17" s="4">
        <v>44835</v>
      </c>
      <c r="C17" s="5">
        <f t="shared" si="3"/>
        <v>44837</v>
      </c>
      <c r="D17" s="5">
        <v>44868</v>
      </c>
      <c r="E17" s="6">
        <f t="shared" si="0"/>
        <v>31</v>
      </c>
      <c r="F17" s="7">
        <v>6495.31</v>
      </c>
      <c r="G17" s="7">
        <v>1172.6099999999999</v>
      </c>
      <c r="H17" s="7">
        <v>1377.64</v>
      </c>
      <c r="I17" s="8">
        <f t="shared" si="1"/>
        <v>9045.56</v>
      </c>
      <c r="J17" s="445">
        <f t="shared" si="2"/>
        <v>9.04556</v>
      </c>
      <c r="AR17" s="7">
        <v>6853.88</v>
      </c>
      <c r="AS17" s="7">
        <v>1096.8800000000001</v>
      </c>
      <c r="AT17" s="7">
        <v>1334.23</v>
      </c>
    </row>
    <row r="18" spans="2:46" x14ac:dyDescent="0.25">
      <c r="B18" s="4">
        <v>44866</v>
      </c>
      <c r="C18" s="5">
        <f t="shared" si="3"/>
        <v>44868</v>
      </c>
      <c r="D18" s="5">
        <v>44899</v>
      </c>
      <c r="E18" s="6">
        <f t="shared" si="0"/>
        <v>31</v>
      </c>
      <c r="F18" s="7">
        <v>6921.53</v>
      </c>
      <c r="G18" s="7">
        <v>1262.5</v>
      </c>
      <c r="H18" s="7">
        <v>1492.78</v>
      </c>
      <c r="I18" s="8">
        <f t="shared" si="1"/>
        <v>9676.81</v>
      </c>
      <c r="J18" s="445">
        <f t="shared" si="2"/>
        <v>9.6768099999999997</v>
      </c>
      <c r="AR18" s="7">
        <v>6495.31</v>
      </c>
      <c r="AS18" s="7">
        <v>1172.6099999999999</v>
      </c>
      <c r="AT18" s="7">
        <v>1377.64</v>
      </c>
    </row>
    <row r="19" spans="2:46" x14ac:dyDescent="0.25">
      <c r="B19" s="4">
        <v>44896</v>
      </c>
      <c r="C19" s="5">
        <f t="shared" si="3"/>
        <v>44899</v>
      </c>
      <c r="D19" s="5">
        <v>44929</v>
      </c>
      <c r="E19" s="6">
        <f t="shared" si="0"/>
        <v>30</v>
      </c>
      <c r="F19" s="7">
        <v>6019.6</v>
      </c>
      <c r="G19" s="7">
        <v>1188.77</v>
      </c>
      <c r="H19" s="7">
        <v>1369.56</v>
      </c>
      <c r="I19" s="8">
        <f t="shared" si="1"/>
        <v>8577.93</v>
      </c>
      <c r="J19" s="445">
        <f t="shared" si="2"/>
        <v>8.5779300000000003</v>
      </c>
      <c r="AR19" s="7">
        <v>6921.53</v>
      </c>
      <c r="AS19" s="7">
        <v>1262.5</v>
      </c>
      <c r="AT19" s="7">
        <v>1492.78</v>
      </c>
    </row>
    <row r="20" spans="2:46" x14ac:dyDescent="0.25">
      <c r="B20" s="9">
        <v>44927</v>
      </c>
      <c r="C20" s="10">
        <f t="shared" si="3"/>
        <v>44929</v>
      </c>
      <c r="D20" s="10">
        <v>44960</v>
      </c>
      <c r="E20" s="11">
        <f t="shared" ref="E20:E31" si="4">D20-C20</f>
        <v>31</v>
      </c>
      <c r="F20" s="12">
        <v>5203.63</v>
      </c>
      <c r="G20" s="12">
        <v>1498.52</v>
      </c>
      <c r="H20" s="12">
        <v>1772.85</v>
      </c>
      <c r="I20" s="13">
        <f t="shared" si="1"/>
        <v>8475</v>
      </c>
      <c r="J20" s="445">
        <f t="shared" si="2"/>
        <v>8.4749999999999996</v>
      </c>
      <c r="K20" s="22"/>
      <c r="AR20" s="7">
        <v>6019.6</v>
      </c>
      <c r="AS20" s="7">
        <v>1188.77</v>
      </c>
      <c r="AT20" s="7">
        <v>1369.56</v>
      </c>
    </row>
    <row r="21" spans="2:46" x14ac:dyDescent="0.25">
      <c r="B21" s="9">
        <v>44958</v>
      </c>
      <c r="C21" s="10">
        <f t="shared" si="3"/>
        <v>44960</v>
      </c>
      <c r="D21" s="10">
        <v>44990</v>
      </c>
      <c r="E21" s="11">
        <f t="shared" si="4"/>
        <v>30</v>
      </c>
      <c r="F21" s="12">
        <v>6101.92</v>
      </c>
      <c r="G21" s="12">
        <v>1278.6400000000001</v>
      </c>
      <c r="H21" s="12">
        <v>1422.08</v>
      </c>
      <c r="I21" s="13">
        <f t="shared" si="1"/>
        <v>8802.64</v>
      </c>
      <c r="J21" s="445">
        <f t="shared" si="2"/>
        <v>8.8026400000000002</v>
      </c>
      <c r="K21" s="22"/>
      <c r="AR21" s="12">
        <v>5203.63</v>
      </c>
      <c r="AS21" s="12">
        <v>1498.52</v>
      </c>
      <c r="AT21" s="12">
        <v>1772.85</v>
      </c>
    </row>
    <row r="22" spans="2:46" x14ac:dyDescent="0.25">
      <c r="B22" s="9">
        <v>44986</v>
      </c>
      <c r="C22" s="10">
        <f t="shared" si="3"/>
        <v>44990</v>
      </c>
      <c r="D22" s="10">
        <v>45020</v>
      </c>
      <c r="E22" s="11">
        <f t="shared" si="4"/>
        <v>30</v>
      </c>
      <c r="F22" s="12">
        <v>6921.66</v>
      </c>
      <c r="G22" s="12">
        <v>1232.76</v>
      </c>
      <c r="H22" s="12">
        <v>1478.74</v>
      </c>
      <c r="I22" s="13">
        <f t="shared" si="1"/>
        <v>9633.16</v>
      </c>
      <c r="J22" s="445">
        <f t="shared" si="2"/>
        <v>9.6331600000000002</v>
      </c>
      <c r="K22" s="22"/>
      <c r="AR22" s="12">
        <v>6101.92</v>
      </c>
      <c r="AS22" s="12">
        <v>1278.6400000000001</v>
      </c>
      <c r="AT22" s="12">
        <v>1422.08</v>
      </c>
    </row>
    <row r="23" spans="2:46" x14ac:dyDescent="0.25">
      <c r="B23" s="9">
        <v>45017</v>
      </c>
      <c r="C23" s="10">
        <f t="shared" si="3"/>
        <v>45020</v>
      </c>
      <c r="D23" s="10">
        <v>45051</v>
      </c>
      <c r="E23" s="11">
        <f t="shared" si="4"/>
        <v>31</v>
      </c>
      <c r="F23" s="12">
        <v>6607.65</v>
      </c>
      <c r="G23" s="12">
        <v>1458.45</v>
      </c>
      <c r="H23" s="12">
        <v>1730.4</v>
      </c>
      <c r="I23" s="13">
        <f t="shared" si="1"/>
        <v>9796.5</v>
      </c>
      <c r="J23" s="445">
        <f t="shared" si="2"/>
        <v>9.7965</v>
      </c>
      <c r="K23" s="22"/>
      <c r="AR23" s="12">
        <v>6921.66</v>
      </c>
      <c r="AS23" s="12">
        <v>1232.76</v>
      </c>
      <c r="AT23" s="12">
        <v>1478.74</v>
      </c>
    </row>
    <row r="24" spans="2:46" x14ac:dyDescent="0.25">
      <c r="B24" s="9">
        <v>45047</v>
      </c>
      <c r="C24" s="10">
        <f t="shared" si="3"/>
        <v>45051</v>
      </c>
      <c r="D24" s="10">
        <v>45081</v>
      </c>
      <c r="E24" s="11">
        <f t="shared" si="4"/>
        <v>30</v>
      </c>
      <c r="F24" s="12">
        <v>8429.52</v>
      </c>
      <c r="G24" s="12">
        <v>1485.98</v>
      </c>
      <c r="H24" s="12">
        <v>1588.19</v>
      </c>
      <c r="I24" s="13">
        <f t="shared" si="1"/>
        <v>11503.69</v>
      </c>
      <c r="J24" s="445">
        <f t="shared" si="2"/>
        <v>11.503690000000001</v>
      </c>
      <c r="K24" s="22"/>
      <c r="AR24" s="12">
        <v>6607.6500000000005</v>
      </c>
      <c r="AS24" s="12">
        <v>1458.45</v>
      </c>
      <c r="AT24" s="12">
        <v>1730.4</v>
      </c>
    </row>
    <row r="25" spans="2:46" x14ac:dyDescent="0.25">
      <c r="B25" s="9">
        <v>45078</v>
      </c>
      <c r="C25" s="10">
        <f t="shared" si="3"/>
        <v>45081</v>
      </c>
      <c r="D25" s="10">
        <v>45111</v>
      </c>
      <c r="E25" s="11">
        <f t="shared" si="4"/>
        <v>30</v>
      </c>
      <c r="F25" s="12">
        <v>7003.08</v>
      </c>
      <c r="G25" s="12">
        <v>1209.32</v>
      </c>
      <c r="H25" s="12">
        <v>1423.94</v>
      </c>
      <c r="I25" s="13">
        <f t="shared" si="1"/>
        <v>9636.34</v>
      </c>
      <c r="J25" s="445">
        <f t="shared" si="2"/>
        <v>9.6363400000000006</v>
      </c>
      <c r="K25" s="22"/>
      <c r="AR25" s="12">
        <v>8429.52</v>
      </c>
      <c r="AS25" s="12">
        <v>1485.98</v>
      </c>
      <c r="AT25" s="12">
        <v>1588.19</v>
      </c>
    </row>
    <row r="26" spans="2:46" x14ac:dyDescent="0.25">
      <c r="B26" s="9">
        <v>45108</v>
      </c>
      <c r="C26" s="10">
        <f t="shared" si="3"/>
        <v>45111</v>
      </c>
      <c r="D26" s="10">
        <v>45142</v>
      </c>
      <c r="E26" s="11">
        <f t="shared" si="4"/>
        <v>31</v>
      </c>
      <c r="F26" s="12">
        <v>7119</v>
      </c>
      <c r="G26" s="12">
        <v>1338.75</v>
      </c>
      <c r="H26" s="12">
        <v>1593.9</v>
      </c>
      <c r="I26" s="13">
        <f t="shared" si="1"/>
        <v>10051.65</v>
      </c>
      <c r="J26" s="445">
        <f t="shared" si="2"/>
        <v>10.05165</v>
      </c>
      <c r="K26" s="22"/>
      <c r="AR26" s="12">
        <v>7003.08</v>
      </c>
      <c r="AS26" s="12">
        <v>1209.32</v>
      </c>
      <c r="AT26" s="12">
        <v>1423.94</v>
      </c>
    </row>
    <row r="27" spans="2:46" x14ac:dyDescent="0.25">
      <c r="B27" s="9">
        <v>45139</v>
      </c>
      <c r="C27" s="10">
        <f t="shared" si="3"/>
        <v>45142</v>
      </c>
      <c r="D27" s="10">
        <v>45172</v>
      </c>
      <c r="E27" s="11">
        <f t="shared" si="4"/>
        <v>30</v>
      </c>
      <c r="F27" s="12">
        <v>6102.63</v>
      </c>
      <c r="G27" s="12">
        <v>1204.8</v>
      </c>
      <c r="H27" s="12">
        <v>1313.18</v>
      </c>
      <c r="I27" s="13">
        <f t="shared" si="1"/>
        <v>8620.61</v>
      </c>
      <c r="J27" s="445">
        <f t="shared" si="2"/>
        <v>8.620610000000001</v>
      </c>
      <c r="K27" s="22"/>
      <c r="AR27" s="12">
        <v>7119</v>
      </c>
      <c r="AS27" s="12">
        <v>1338.75</v>
      </c>
      <c r="AT27" s="12">
        <v>1593.9</v>
      </c>
    </row>
    <row r="28" spans="2:46" x14ac:dyDescent="0.25">
      <c r="B28" s="9">
        <v>45170</v>
      </c>
      <c r="C28" s="10">
        <f t="shared" si="3"/>
        <v>45172</v>
      </c>
      <c r="D28" s="10">
        <v>45203</v>
      </c>
      <c r="E28" s="11">
        <f t="shared" si="4"/>
        <v>31</v>
      </c>
      <c r="F28" s="12">
        <v>6502.92</v>
      </c>
      <c r="G28" s="12">
        <v>1144.92</v>
      </c>
      <c r="H28" s="12">
        <v>1365.82</v>
      </c>
      <c r="I28" s="13">
        <f t="shared" si="1"/>
        <v>9013.66</v>
      </c>
      <c r="J28" s="445">
        <f t="shared" si="2"/>
        <v>9.0136599999999998</v>
      </c>
      <c r="K28" s="22"/>
      <c r="AR28" s="12">
        <v>6102.63</v>
      </c>
      <c r="AS28" s="12">
        <v>1204.8</v>
      </c>
      <c r="AT28" s="12">
        <v>1313.1799999999998</v>
      </c>
    </row>
    <row r="29" spans="2:46" x14ac:dyDescent="0.25">
      <c r="B29" s="9">
        <v>45200</v>
      </c>
      <c r="C29" s="10">
        <f t="shared" si="3"/>
        <v>45203</v>
      </c>
      <c r="D29" s="10">
        <v>45233</v>
      </c>
      <c r="E29" s="11">
        <f t="shared" si="4"/>
        <v>30</v>
      </c>
      <c r="F29" s="12">
        <v>6619.25</v>
      </c>
      <c r="G29" s="12">
        <v>1085.75</v>
      </c>
      <c r="H29" s="12">
        <v>1298.9000000000001</v>
      </c>
      <c r="I29" s="13">
        <f t="shared" si="1"/>
        <v>9003.9</v>
      </c>
      <c r="J29" s="445">
        <f t="shared" si="2"/>
        <v>9.0038999999999998</v>
      </c>
      <c r="K29" s="22"/>
      <c r="AR29" s="12">
        <v>6502.92</v>
      </c>
      <c r="AS29" s="12">
        <v>1144.9199999999998</v>
      </c>
      <c r="AT29" s="12">
        <v>1365.82</v>
      </c>
    </row>
    <row r="30" spans="2:46" x14ac:dyDescent="0.25">
      <c r="B30" s="9">
        <v>45231</v>
      </c>
      <c r="C30" s="10">
        <f t="shared" si="3"/>
        <v>45233</v>
      </c>
      <c r="D30" s="10">
        <v>45263</v>
      </c>
      <c r="E30" s="11">
        <f t="shared" si="4"/>
        <v>30</v>
      </c>
      <c r="F30" s="12">
        <v>7195.65</v>
      </c>
      <c r="G30" s="12">
        <v>1312.5</v>
      </c>
      <c r="H30" s="12">
        <v>1551.9</v>
      </c>
      <c r="I30" s="13">
        <f t="shared" si="1"/>
        <v>10060.049999999999</v>
      </c>
      <c r="J30" s="445">
        <f t="shared" si="2"/>
        <v>10.060049999999999</v>
      </c>
      <c r="K30" s="22"/>
      <c r="AR30" s="12">
        <v>6619.25</v>
      </c>
      <c r="AS30" s="12">
        <v>1085.75</v>
      </c>
      <c r="AT30" s="12">
        <v>1298.9000000000001</v>
      </c>
    </row>
    <row r="31" spans="2:46" x14ac:dyDescent="0.25">
      <c r="B31" s="9">
        <v>45261</v>
      </c>
      <c r="C31" s="10">
        <f t="shared" si="3"/>
        <v>45263</v>
      </c>
      <c r="D31" s="10">
        <v>45294</v>
      </c>
      <c r="E31" s="11">
        <f t="shared" si="4"/>
        <v>31</v>
      </c>
      <c r="F31" s="12">
        <v>5795.3</v>
      </c>
      <c r="G31" s="12">
        <v>1251.45</v>
      </c>
      <c r="H31" s="12">
        <v>1421.5</v>
      </c>
      <c r="I31" s="13">
        <f t="shared" si="1"/>
        <v>8468.25</v>
      </c>
      <c r="J31" s="445">
        <f t="shared" si="2"/>
        <v>8.4682499999999994</v>
      </c>
      <c r="K31" s="22"/>
      <c r="AR31" s="12">
        <v>7195.6500000000005</v>
      </c>
      <c r="AS31" s="12">
        <v>1312.5</v>
      </c>
      <c r="AT31" s="12">
        <v>1551.9</v>
      </c>
    </row>
    <row r="32" spans="2:46" x14ac:dyDescent="0.25">
      <c r="B32" s="672" t="s">
        <v>11</v>
      </c>
      <c r="C32" s="673"/>
      <c r="D32" s="674"/>
      <c r="F32" s="14">
        <f>AVERAGE(F8:F19)</f>
        <v>6619.0150000000003</v>
      </c>
      <c r="G32" s="14">
        <f>AVERAGE(G8:G19)</f>
        <v>1363.4316666666666</v>
      </c>
      <c r="H32" s="14">
        <f>AVERAGE(H8:H19)</f>
        <v>1539.8975</v>
      </c>
      <c r="I32" s="75">
        <f>AVERAGE(I8:I19)</f>
        <v>9522.3441666666677</v>
      </c>
      <c r="J32" s="445">
        <f t="shared" si="2"/>
        <v>9.5223441666666684</v>
      </c>
      <c r="AR32" s="12">
        <v>5795.3</v>
      </c>
      <c r="AS32" s="12">
        <v>1251.45</v>
      </c>
      <c r="AT32" s="12">
        <v>1421.5</v>
      </c>
    </row>
    <row r="33" spans="2:23" x14ac:dyDescent="0.25">
      <c r="B33" s="675" t="s">
        <v>12</v>
      </c>
      <c r="C33" s="676"/>
      <c r="D33" s="677"/>
      <c r="F33" s="14">
        <f>SUM(F8:F19)</f>
        <v>79428.180000000008</v>
      </c>
      <c r="G33" s="14">
        <f>SUM(G8:G19)</f>
        <v>16361.18</v>
      </c>
      <c r="H33" s="14">
        <f>SUM(H8:H19)</f>
        <v>18478.77</v>
      </c>
      <c r="I33" s="75">
        <f>SUM(I8:I19)</f>
        <v>114268.13</v>
      </c>
      <c r="J33" s="445">
        <f t="shared" si="2"/>
        <v>114.26813</v>
      </c>
      <c r="L33" s="3"/>
    </row>
    <row r="34" spans="2:23" x14ac:dyDescent="0.25">
      <c r="B34" s="678" t="s">
        <v>13</v>
      </c>
      <c r="C34" s="679"/>
      <c r="D34" s="680"/>
      <c r="F34" s="15">
        <f>AVERAGE(F20:F31)</f>
        <v>6633.5175000000008</v>
      </c>
      <c r="G34" s="15">
        <f>AVERAGE(G20:G31)</f>
        <v>1291.82</v>
      </c>
      <c r="H34" s="15">
        <f>AVERAGE(H20:H31)</f>
        <v>1496.7833333333335</v>
      </c>
      <c r="I34" s="277">
        <f>AVERAGE(I20:I31)</f>
        <v>9422.1208333333325</v>
      </c>
      <c r="J34" s="445">
        <f t="shared" si="2"/>
        <v>9.4221208333333326</v>
      </c>
    </row>
    <row r="35" spans="2:23" x14ac:dyDescent="0.25">
      <c r="B35" s="681" t="s">
        <v>14</v>
      </c>
      <c r="C35" s="682"/>
      <c r="D35" s="683"/>
      <c r="F35" s="15">
        <f>SUM(F20:F31)</f>
        <v>79602.210000000006</v>
      </c>
      <c r="G35" s="15">
        <f>SUM(G20:G31)</f>
        <v>15501.84</v>
      </c>
      <c r="H35" s="15">
        <f>SUM(H20:H31)</f>
        <v>17961.400000000001</v>
      </c>
      <c r="I35" s="277">
        <f>SUM(I20:I31)</f>
        <v>113065.45</v>
      </c>
      <c r="J35" s="445">
        <f t="shared" si="2"/>
        <v>113.06545</v>
      </c>
    </row>
    <row r="36" spans="2:23" x14ac:dyDescent="0.25">
      <c r="H36" s="3"/>
      <c r="I36" s="570">
        <f>I33+I35</f>
        <v>227333.58000000002</v>
      </c>
    </row>
    <row r="38" spans="2:23" x14ac:dyDescent="0.25">
      <c r="E38" s="1" t="s">
        <v>15</v>
      </c>
      <c r="F38" s="2">
        <v>10</v>
      </c>
      <c r="G38" s="2">
        <v>4</v>
      </c>
      <c r="H38" s="2">
        <v>10</v>
      </c>
    </row>
    <row r="39" spans="2:23" x14ac:dyDescent="0.25">
      <c r="J39" s="357" t="s">
        <v>548</v>
      </c>
    </row>
    <row r="40" spans="2:23" x14ac:dyDescent="0.25">
      <c r="G40" s="671" t="s">
        <v>547</v>
      </c>
      <c r="H40" s="671"/>
      <c r="I40" s="671"/>
      <c r="J40" s="24">
        <f>AVERAGE(J8:J31)</f>
        <v>9.4722324999999987</v>
      </c>
      <c r="M40" s="278"/>
      <c r="N40" s="278"/>
      <c r="O40" s="278"/>
      <c r="R40" s="278"/>
      <c r="S40" s="278"/>
      <c r="T40" s="278"/>
      <c r="V40" s="3"/>
      <c r="W40" s="3"/>
    </row>
    <row r="41" spans="2:23" x14ac:dyDescent="0.25">
      <c r="G41" s="671" t="s">
        <v>590</v>
      </c>
      <c r="H41" s="671"/>
      <c r="I41" s="671"/>
      <c r="J41" s="24">
        <f>AVERAGE(J33,J35)</f>
        <v>113.66678999999999</v>
      </c>
      <c r="M41" s="278"/>
      <c r="N41" s="278"/>
      <c r="O41" s="278"/>
      <c r="R41" s="278"/>
      <c r="S41" s="278"/>
      <c r="T41" s="278"/>
      <c r="V41" s="3"/>
      <c r="W41" s="3"/>
    </row>
    <row r="42" spans="2:23" x14ac:dyDescent="0.25">
      <c r="M42" s="278"/>
      <c r="N42" s="278"/>
      <c r="O42" s="278"/>
      <c r="R42" s="278"/>
      <c r="S42" s="278"/>
      <c r="T42" s="278"/>
      <c r="V42" s="3"/>
      <c r="W42" s="3"/>
    </row>
    <row r="43" spans="2:23" x14ac:dyDescent="0.25">
      <c r="M43" s="278"/>
      <c r="N43" s="278"/>
      <c r="O43" s="278"/>
      <c r="R43" s="278"/>
      <c r="S43" s="278"/>
      <c r="T43" s="278"/>
      <c r="V43" s="3"/>
      <c r="W43" s="3"/>
    </row>
    <row r="44" spans="2:23" x14ac:dyDescent="0.25">
      <c r="M44" s="278"/>
      <c r="N44" s="278"/>
      <c r="O44" s="278"/>
      <c r="R44" s="278"/>
      <c r="S44" s="278"/>
      <c r="T44" s="278"/>
      <c r="V44" s="3"/>
      <c r="W44" s="3"/>
    </row>
    <row r="45" spans="2:23" x14ac:dyDescent="0.25">
      <c r="M45" s="278"/>
      <c r="N45" s="278"/>
      <c r="O45" s="278"/>
      <c r="R45" s="278"/>
      <c r="S45" s="278"/>
      <c r="T45" s="278"/>
      <c r="V45" s="3"/>
      <c r="W45" s="3"/>
    </row>
    <row r="46" spans="2:23" x14ac:dyDescent="0.25">
      <c r="M46" s="278"/>
      <c r="N46" s="278"/>
      <c r="O46" s="278"/>
      <c r="R46" s="278"/>
      <c r="S46" s="278"/>
      <c r="T46" s="278"/>
      <c r="V46" s="3"/>
      <c r="W46" s="3"/>
    </row>
    <row r="47" spans="2:23" x14ac:dyDescent="0.25">
      <c r="M47" s="278"/>
      <c r="N47" s="278"/>
      <c r="O47" s="278"/>
      <c r="R47" s="278"/>
      <c r="S47" s="278"/>
      <c r="T47" s="278"/>
      <c r="V47" s="3"/>
      <c r="W47" s="3"/>
    </row>
    <row r="48" spans="2:23" x14ac:dyDescent="0.25">
      <c r="M48" s="278"/>
      <c r="N48" s="278"/>
      <c r="O48" s="278"/>
      <c r="R48" s="278"/>
      <c r="S48" s="278"/>
      <c r="T48" s="278"/>
      <c r="V48" s="3"/>
      <c r="W48" s="3"/>
    </row>
    <row r="49" spans="2:23" x14ac:dyDescent="0.25">
      <c r="M49" s="278"/>
      <c r="N49" s="278"/>
      <c r="O49" s="278"/>
      <c r="R49" s="278"/>
      <c r="S49" s="278"/>
      <c r="T49" s="278"/>
      <c r="V49" s="3"/>
      <c r="W49" s="3"/>
    </row>
    <row r="50" spans="2:23" x14ac:dyDescent="0.25">
      <c r="M50" s="278"/>
      <c r="N50" s="278"/>
      <c r="O50" s="278"/>
      <c r="R50" s="278"/>
      <c r="S50" s="278"/>
      <c r="T50" s="278"/>
      <c r="V50" s="3"/>
      <c r="W50" s="3"/>
    </row>
    <row r="51" spans="2:23" x14ac:dyDescent="0.25">
      <c r="M51" s="278"/>
      <c r="N51" s="278"/>
      <c r="O51" s="278"/>
      <c r="R51" s="278"/>
      <c r="S51" s="278"/>
      <c r="T51" s="278"/>
      <c r="V51" s="3"/>
      <c r="W51" s="3"/>
    </row>
    <row r="52" spans="2:23" x14ac:dyDescent="0.25">
      <c r="M52" s="278"/>
    </row>
    <row r="53" spans="2:23" x14ac:dyDescent="0.25">
      <c r="M53" s="278"/>
    </row>
    <row r="54" spans="2:23" x14ac:dyDescent="0.25">
      <c r="M54" s="278"/>
    </row>
    <row r="55" spans="2:23" x14ac:dyDescent="0.25">
      <c r="M55" s="278"/>
    </row>
    <row r="56" spans="2:23" x14ac:dyDescent="0.25">
      <c r="M56" s="278"/>
    </row>
    <row r="57" spans="2:23" x14ac:dyDescent="0.25">
      <c r="M57" s="278"/>
    </row>
    <row r="58" spans="2:23" x14ac:dyDescent="0.25">
      <c r="M58" s="278"/>
    </row>
    <row r="61" spans="2:23" s="407" customFormat="1" x14ac:dyDescent="0.25">
      <c r="B61" s="487"/>
      <c r="C61" s="487"/>
      <c r="D61" s="487"/>
      <c r="E61" s="487"/>
    </row>
    <row r="64" spans="2:23" s="407" customFormat="1" x14ac:dyDescent="0.25">
      <c r="B64" s="487"/>
      <c r="C64" s="487"/>
      <c r="D64" s="487"/>
      <c r="E64" s="487"/>
    </row>
    <row r="65" spans="2:40" x14ac:dyDescent="0.25">
      <c r="H65" s="36" t="s">
        <v>1144</v>
      </c>
    </row>
    <row r="66" spans="2:40" x14ac:dyDescent="0.25">
      <c r="B66" s="657" t="s">
        <v>644</v>
      </c>
      <c r="C66" s="657"/>
      <c r="D66" s="657"/>
      <c r="E66" s="657"/>
      <c r="F66" s="657"/>
      <c r="G66" s="657"/>
      <c r="L66" s="22"/>
    </row>
    <row r="67" spans="2:40" x14ac:dyDescent="0.25">
      <c r="B67" s="657"/>
      <c r="C67" s="657"/>
      <c r="D67" s="657"/>
      <c r="E67" s="657"/>
      <c r="F67" s="657"/>
      <c r="G67" s="657"/>
      <c r="J67" s="670" t="s">
        <v>1041</v>
      </c>
      <c r="K67" s="670"/>
      <c r="L67" s="22"/>
      <c r="P67" s="654" t="s">
        <v>1062</v>
      </c>
      <c r="Q67" s="654"/>
      <c r="R67" s="654"/>
      <c r="S67" s="654"/>
      <c r="T67" s="654"/>
    </row>
    <row r="68" spans="2:40" x14ac:dyDescent="0.25">
      <c r="L68" s="22"/>
    </row>
    <row r="69" spans="2:40" x14ac:dyDescent="0.25">
      <c r="B69" s="666" t="s">
        <v>627</v>
      </c>
      <c r="C69" s="666"/>
      <c r="D69" s="666"/>
      <c r="E69" s="666"/>
      <c r="L69" s="22"/>
      <c r="P69" s="656" t="s">
        <v>627</v>
      </c>
      <c r="Q69" s="656"/>
      <c r="R69" s="656"/>
      <c r="S69" s="656"/>
      <c r="X69" s="656" t="s">
        <v>746</v>
      </c>
      <c r="Y69" s="656"/>
      <c r="Z69" s="656"/>
      <c r="AA69" s="656"/>
    </row>
    <row r="70" spans="2:40" x14ac:dyDescent="0.25">
      <c r="L70" s="22"/>
      <c r="X70" t="s">
        <v>679</v>
      </c>
      <c r="AL70" s="537"/>
    </row>
    <row r="71" spans="2:40" x14ac:dyDescent="0.25">
      <c r="B71" s="666" t="s">
        <v>628</v>
      </c>
      <c r="C71" s="666"/>
      <c r="D71" s="666"/>
      <c r="E71" s="666"/>
      <c r="P71" s="656" t="s">
        <v>628</v>
      </c>
      <c r="Q71" s="656"/>
      <c r="R71" s="656"/>
      <c r="S71" s="656"/>
      <c r="X71" t="s">
        <v>671</v>
      </c>
    </row>
    <row r="72" spans="2:40" x14ac:dyDescent="0.25">
      <c r="Y72" s="1" t="s">
        <v>669</v>
      </c>
      <c r="Z72" s="1" t="s">
        <v>668</v>
      </c>
    </row>
    <row r="73" spans="2:40" ht="45" x14ac:dyDescent="0.25">
      <c r="E73" s="183" t="s">
        <v>3</v>
      </c>
      <c r="F73" s="45" t="s">
        <v>645</v>
      </c>
      <c r="G73" s="45" t="str">
        <f>'Indicadores Energéticos'!D4</f>
        <v>Emulsión Asfáltica [m³/mes]</v>
      </c>
      <c r="H73" s="45" t="s">
        <v>646</v>
      </c>
      <c r="I73" s="45" t="s">
        <v>647</v>
      </c>
      <c r="P73" s="183" t="s">
        <v>3</v>
      </c>
      <c r="Q73" s="45" t="s">
        <v>645</v>
      </c>
      <c r="R73" s="45" t="str">
        <f>'Indicadores Energéticos'!D4</f>
        <v>Emulsión Asfáltica [m³/mes]</v>
      </c>
      <c r="S73" s="45" t="s">
        <v>646</v>
      </c>
      <c r="T73" s="45" t="s">
        <v>647</v>
      </c>
      <c r="X73" s="183" t="s">
        <v>3</v>
      </c>
      <c r="Y73" s="45" t="s">
        <v>1046</v>
      </c>
      <c r="Z73" s="45" t="s">
        <v>645</v>
      </c>
      <c r="AA73" s="45" t="s">
        <v>664</v>
      </c>
      <c r="AB73" s="45" t="s">
        <v>666</v>
      </c>
      <c r="AC73" s="45" t="s">
        <v>667</v>
      </c>
      <c r="AD73" s="45" t="s">
        <v>670</v>
      </c>
      <c r="AE73" s="45" t="s">
        <v>677</v>
      </c>
      <c r="AF73" s="45" t="s">
        <v>681</v>
      </c>
    </row>
    <row r="74" spans="2:40" x14ac:dyDescent="0.25">
      <c r="E74" s="4">
        <f>B8</f>
        <v>44562</v>
      </c>
      <c r="F74" s="467">
        <f>I8</f>
        <v>8674.83</v>
      </c>
      <c r="G74" s="595">
        <f>'Indicadores Energéticos'!D8</f>
        <v>72.344580000000008</v>
      </c>
      <c r="H74" s="595">
        <f t="shared" ref="H74:H85" si="5">F74-$F$99</f>
        <v>-797.40250000000015</v>
      </c>
      <c r="I74" s="595">
        <f>H74^2</f>
        <v>635850.7470062502</v>
      </c>
      <c r="P74" s="390">
        <f>B8</f>
        <v>44562</v>
      </c>
      <c r="Q74" s="37">
        <f t="shared" ref="Q74:Q97" si="6">I8</f>
        <v>8674.83</v>
      </c>
      <c r="R74" s="595">
        <f>'Indicadores Energéticos'!D8</f>
        <v>72.344580000000008</v>
      </c>
      <c r="S74" s="71">
        <f t="shared" ref="S74:S97" si="7">Q74-$Q$98</f>
        <v>-797.40250000000015</v>
      </c>
      <c r="T74" s="610">
        <f>S74^2</f>
        <v>635850.7470062502</v>
      </c>
      <c r="X74" s="390">
        <f>P74</f>
        <v>44562</v>
      </c>
      <c r="Y74" s="595">
        <f>R74</f>
        <v>72.344580000000008</v>
      </c>
      <c r="Z74" s="560">
        <f>Q74</f>
        <v>8674.83</v>
      </c>
      <c r="AA74" s="467">
        <f>Z74/1000</f>
        <v>8.67483</v>
      </c>
      <c r="AB74" s="31">
        <f>Z74*Z74</f>
        <v>75252675.528899997</v>
      </c>
      <c r="AC74" s="31">
        <f>Z74*Y74</f>
        <v>627576.93292140006</v>
      </c>
      <c r="AD74" s="48">
        <f t="shared" ref="AD74:AD97" si="8">($AI$75*Y74)+$AI$77</f>
        <v>8810.6352172093375</v>
      </c>
      <c r="AE74" s="262">
        <f t="shared" ref="AE74:AE97" si="9">AD74+($AI$78*$Z$100)</f>
        <v>9573.8949266978052</v>
      </c>
      <c r="AF74" s="89">
        <f t="shared" ref="AF74:AF97" si="10">AD74-($AI$78*$Z$100)</f>
        <v>8047.3755077208689</v>
      </c>
      <c r="AG74" s="3"/>
      <c r="AH74" s="493" t="s">
        <v>684</v>
      </c>
      <c r="AI74" s="493"/>
      <c r="AJ74" s="493"/>
    </row>
    <row r="75" spans="2:40" x14ac:dyDescent="0.25">
      <c r="E75" s="4">
        <f t="shared" ref="E75:E97" si="11">B9</f>
        <v>44593</v>
      </c>
      <c r="F75" s="467">
        <f t="shared" ref="F75:F97" si="12">I9</f>
        <v>9893.119999999999</v>
      </c>
      <c r="G75" s="595">
        <f>'Indicadores Energéticos'!D9</f>
        <v>99.44550000000001</v>
      </c>
      <c r="H75" s="595">
        <f t="shared" si="5"/>
        <v>420.88749999999891</v>
      </c>
      <c r="I75" s="595">
        <f t="shared" ref="I75:I97" si="13">H75^2</f>
        <v>177146.28765624907</v>
      </c>
      <c r="P75" s="390">
        <f t="shared" ref="P75:P97" si="14">B9</f>
        <v>44593</v>
      </c>
      <c r="Q75" s="37">
        <f t="shared" si="6"/>
        <v>9893.119999999999</v>
      </c>
      <c r="R75" s="595">
        <f>'Indicadores Energéticos'!D9</f>
        <v>99.44550000000001</v>
      </c>
      <c r="S75" s="71">
        <f t="shared" si="7"/>
        <v>420.88749999999891</v>
      </c>
      <c r="T75" s="610">
        <f t="shared" ref="T75:T97" si="15">S75^2</f>
        <v>177146.28765624907</v>
      </c>
      <c r="X75" s="390">
        <f t="shared" ref="X75:X97" si="16">P75</f>
        <v>44593</v>
      </c>
      <c r="Y75" s="595">
        <f t="shared" ref="Y75:Y97" si="17">R75</f>
        <v>99.44550000000001</v>
      </c>
      <c r="Z75" s="599">
        <f t="shared" ref="Z75:Z97" si="18">Q75</f>
        <v>9893.119999999999</v>
      </c>
      <c r="AA75" s="467">
        <f t="shared" ref="AA75:AA97" si="19">Z75/1000</f>
        <v>9.8931199999999997</v>
      </c>
      <c r="AB75" s="31">
        <f t="shared" ref="AB75:AB97" si="20">Z75*Z75</f>
        <v>97873823.334399983</v>
      </c>
      <c r="AC75" s="31">
        <f t="shared" ref="AC75:AC97" si="21">Z75*Y75</f>
        <v>983826.26495999994</v>
      </c>
      <c r="AD75" s="48">
        <f t="shared" si="8"/>
        <v>9058.8477418996845</v>
      </c>
      <c r="AE75" s="262">
        <f t="shared" si="9"/>
        <v>9822.107451388154</v>
      </c>
      <c r="AF75" s="89">
        <f t="shared" si="10"/>
        <v>8295.588032411215</v>
      </c>
      <c r="AG75" s="3"/>
      <c r="AH75" t="s">
        <v>672</v>
      </c>
      <c r="AI75" s="297">
        <f>SLOPE(Z74:Z97,Y74:Y97)</f>
        <v>9.1588228255847497</v>
      </c>
      <c r="AJ75" s="484" t="s">
        <v>673</v>
      </c>
    </row>
    <row r="76" spans="2:40" x14ac:dyDescent="0.25">
      <c r="E76" s="4">
        <f t="shared" si="11"/>
        <v>44621</v>
      </c>
      <c r="F76" s="467">
        <f t="shared" si="12"/>
        <v>9689.25</v>
      </c>
      <c r="G76" s="595">
        <f>'Indicadores Energéticos'!D10</f>
        <v>104.69536000000001</v>
      </c>
      <c r="H76" s="595">
        <f t="shared" si="5"/>
        <v>217.01749999999993</v>
      </c>
      <c r="I76" s="595">
        <f t="shared" si="13"/>
        <v>47096.595306249968</v>
      </c>
      <c r="P76" s="390">
        <f t="shared" si="14"/>
        <v>44621</v>
      </c>
      <c r="Q76" s="37">
        <f t="shared" si="6"/>
        <v>9689.25</v>
      </c>
      <c r="R76" s="595">
        <f>'Indicadores Energéticos'!D10</f>
        <v>104.69536000000001</v>
      </c>
      <c r="S76" s="71">
        <f t="shared" si="7"/>
        <v>217.01749999999993</v>
      </c>
      <c r="T76" s="610">
        <f t="shared" si="15"/>
        <v>47096.595306249968</v>
      </c>
      <c r="X76" s="390">
        <f t="shared" si="16"/>
        <v>44621</v>
      </c>
      <c r="Y76" s="595">
        <f t="shared" si="17"/>
        <v>104.69536000000001</v>
      </c>
      <c r="Z76" s="560">
        <f t="shared" si="18"/>
        <v>9689.25</v>
      </c>
      <c r="AA76" s="467">
        <f t="shared" si="19"/>
        <v>9.6892499999999995</v>
      </c>
      <c r="AB76" s="31">
        <f t="shared" si="20"/>
        <v>93881565.5625</v>
      </c>
      <c r="AC76" s="31">
        <f t="shared" si="21"/>
        <v>1014419.5168800001</v>
      </c>
      <c r="AD76" s="48">
        <f t="shared" si="8"/>
        <v>9106.9302794988089</v>
      </c>
      <c r="AE76" s="262">
        <f t="shared" si="9"/>
        <v>9870.1899889872766</v>
      </c>
      <c r="AF76" s="89">
        <f t="shared" si="10"/>
        <v>8343.6705700103412</v>
      </c>
      <c r="AG76" s="3"/>
      <c r="AH76" s="655" t="s">
        <v>675</v>
      </c>
      <c r="AI76" s="655"/>
      <c r="AJ76" s="484" t="s">
        <v>669</v>
      </c>
      <c r="AM76" s="499"/>
      <c r="AN76" s="499"/>
    </row>
    <row r="77" spans="2:40" x14ac:dyDescent="0.25">
      <c r="E77" s="4">
        <f t="shared" si="11"/>
        <v>44652</v>
      </c>
      <c r="F77" s="467">
        <f t="shared" si="12"/>
        <v>9823.56</v>
      </c>
      <c r="G77" s="595">
        <f>'Indicadores Energéticos'!D11</f>
        <v>198.85866000000001</v>
      </c>
      <c r="H77" s="595">
        <f t="shared" si="5"/>
        <v>351.32749999999942</v>
      </c>
      <c r="I77" s="595">
        <f t="shared" si="13"/>
        <v>123431.0122562496</v>
      </c>
      <c r="P77" s="390">
        <f t="shared" si="14"/>
        <v>44652</v>
      </c>
      <c r="Q77" s="560">
        <f t="shared" si="6"/>
        <v>9823.56</v>
      </c>
      <c r="R77" s="595">
        <f>'Indicadores Energéticos'!D11</f>
        <v>198.85866000000001</v>
      </c>
      <c r="S77" s="71">
        <f t="shared" si="7"/>
        <v>351.32749999999942</v>
      </c>
      <c r="T77" s="610">
        <f t="shared" si="15"/>
        <v>123431.0122562496</v>
      </c>
      <c r="X77" s="390">
        <f t="shared" si="16"/>
        <v>44652</v>
      </c>
      <c r="Y77" s="595">
        <f t="shared" si="17"/>
        <v>198.85866000000001</v>
      </c>
      <c r="Z77" s="560">
        <f t="shared" si="18"/>
        <v>9823.56</v>
      </c>
      <c r="AA77" s="467">
        <f t="shared" si="19"/>
        <v>9.8235599999999987</v>
      </c>
      <c r="AB77" s="31">
        <f t="shared" si="20"/>
        <v>96502331.073599994</v>
      </c>
      <c r="AC77" s="31">
        <f t="shared" si="21"/>
        <v>1953499.9780296001</v>
      </c>
      <c r="AD77" s="48">
        <f t="shared" si="8"/>
        <v>9969.3552608711925</v>
      </c>
      <c r="AE77" s="262">
        <f t="shared" si="9"/>
        <v>10732.61497035966</v>
      </c>
      <c r="AF77" s="89">
        <f t="shared" si="10"/>
        <v>9206.0955513827248</v>
      </c>
      <c r="AG77" s="3"/>
      <c r="AH77" t="s">
        <v>676</v>
      </c>
      <c r="AI77" s="494">
        <f>INTERCEPT(Z74:Z97,Y74:Y97)</f>
        <v>8148.044026597996</v>
      </c>
      <c r="AJ77" s="484" t="s">
        <v>674</v>
      </c>
    </row>
    <row r="78" spans="2:40" ht="15.75" thickBot="1" x14ac:dyDescent="0.3">
      <c r="E78" s="4">
        <f t="shared" si="11"/>
        <v>44682</v>
      </c>
      <c r="F78" s="467">
        <f t="shared" si="12"/>
        <v>10503.89</v>
      </c>
      <c r="G78" s="595">
        <f>'Indicadores Energéticos'!D12</f>
        <v>265.41000000000003</v>
      </c>
      <c r="H78" s="595">
        <f t="shared" si="5"/>
        <v>1031.6574999999993</v>
      </c>
      <c r="I78" s="595">
        <f t="shared" si="13"/>
        <v>1064317.1973062486</v>
      </c>
      <c r="P78" s="390">
        <f t="shared" si="14"/>
        <v>44682</v>
      </c>
      <c r="Q78" s="560">
        <f t="shared" si="6"/>
        <v>10503.89</v>
      </c>
      <c r="R78" s="595">
        <f>'Indicadores Energéticos'!D12</f>
        <v>265.41000000000003</v>
      </c>
      <c r="S78" s="71">
        <f t="shared" si="7"/>
        <v>1031.6574999999993</v>
      </c>
      <c r="T78" s="610">
        <f t="shared" si="15"/>
        <v>1064317.1973062486</v>
      </c>
      <c r="X78" s="390">
        <f t="shared" si="16"/>
        <v>44682</v>
      </c>
      <c r="Y78" s="595">
        <f t="shared" si="17"/>
        <v>265.41000000000003</v>
      </c>
      <c r="Z78" s="560">
        <f t="shared" si="18"/>
        <v>10503.89</v>
      </c>
      <c r="AA78" s="467">
        <f t="shared" si="19"/>
        <v>10.50389</v>
      </c>
      <c r="AB78" s="31">
        <f t="shared" si="20"/>
        <v>110331705.13209999</v>
      </c>
      <c r="AC78" s="31">
        <f t="shared" si="21"/>
        <v>2787837.4449</v>
      </c>
      <c r="AD78" s="48">
        <f t="shared" si="8"/>
        <v>10578.887192736445</v>
      </c>
      <c r="AE78" s="262">
        <f t="shared" si="9"/>
        <v>11342.146902224915</v>
      </c>
      <c r="AF78" s="89">
        <f t="shared" si="10"/>
        <v>9815.6274832479758</v>
      </c>
      <c r="AG78" s="3"/>
      <c r="AH78" s="495" t="s">
        <v>678</v>
      </c>
      <c r="AI78" s="596">
        <v>2.2000000000000002</v>
      </c>
      <c r="AJ78" s="496">
        <v>4</v>
      </c>
    </row>
    <row r="79" spans="2:40" x14ac:dyDescent="0.25">
      <c r="E79" s="4">
        <f t="shared" si="11"/>
        <v>44713</v>
      </c>
      <c r="F79" s="467">
        <f t="shared" si="12"/>
        <v>9931.33</v>
      </c>
      <c r="G79" s="595">
        <f>'Indicadores Energéticos'!D13</f>
        <v>188.35893999999999</v>
      </c>
      <c r="H79" s="595">
        <f t="shared" si="5"/>
        <v>459.09749999999985</v>
      </c>
      <c r="I79" s="595">
        <f t="shared" si="13"/>
        <v>210770.51450624986</v>
      </c>
      <c r="P79" s="390">
        <f t="shared" si="14"/>
        <v>44713</v>
      </c>
      <c r="Q79" s="560">
        <f t="shared" si="6"/>
        <v>9931.33</v>
      </c>
      <c r="R79" s="595">
        <f>'Indicadores Energéticos'!D13</f>
        <v>188.35893999999999</v>
      </c>
      <c r="S79" s="71">
        <f t="shared" si="7"/>
        <v>459.09749999999985</v>
      </c>
      <c r="T79" s="610">
        <f t="shared" si="15"/>
        <v>210770.51450624986</v>
      </c>
      <c r="X79" s="390">
        <f t="shared" si="16"/>
        <v>44713</v>
      </c>
      <c r="Y79" s="595">
        <f t="shared" si="17"/>
        <v>188.35893999999999</v>
      </c>
      <c r="Z79" s="560">
        <f t="shared" si="18"/>
        <v>9931.33</v>
      </c>
      <c r="AA79" s="467">
        <f t="shared" si="19"/>
        <v>9.9313299999999991</v>
      </c>
      <c r="AB79" s="31">
        <f t="shared" si="20"/>
        <v>98631315.568900004</v>
      </c>
      <c r="AC79" s="31">
        <f t="shared" si="21"/>
        <v>1870654.7915901998</v>
      </c>
      <c r="AD79" s="48">
        <f t="shared" si="8"/>
        <v>9873.1901856729437</v>
      </c>
      <c r="AE79" s="262">
        <f t="shared" si="9"/>
        <v>10636.449895161411</v>
      </c>
      <c r="AF79" s="89">
        <f t="shared" si="10"/>
        <v>9109.930476184476</v>
      </c>
      <c r="AG79" s="3"/>
    </row>
    <row r="80" spans="2:40" x14ac:dyDescent="0.25">
      <c r="E80" s="4">
        <f t="shared" si="11"/>
        <v>44743</v>
      </c>
      <c r="F80" s="467">
        <f t="shared" si="12"/>
        <v>9668.73</v>
      </c>
      <c r="G80" s="595">
        <f>'Indicadores Energéticos'!D14</f>
        <v>177.69752000000003</v>
      </c>
      <c r="H80" s="595">
        <f t="shared" si="5"/>
        <v>196.49749999999949</v>
      </c>
      <c r="I80" s="595">
        <f t="shared" si="13"/>
        <v>38611.267506249802</v>
      </c>
      <c r="P80" s="390">
        <f t="shared" si="14"/>
        <v>44743</v>
      </c>
      <c r="Q80" s="560">
        <f t="shared" si="6"/>
        <v>9668.73</v>
      </c>
      <c r="R80" s="595">
        <f>'Indicadores Energéticos'!D14</f>
        <v>177.69752000000003</v>
      </c>
      <c r="S80" s="71">
        <f t="shared" si="7"/>
        <v>196.49749999999949</v>
      </c>
      <c r="T80" s="610">
        <f t="shared" si="15"/>
        <v>38611.267506249802</v>
      </c>
      <c r="X80" s="390">
        <f t="shared" si="16"/>
        <v>44743</v>
      </c>
      <c r="Y80" s="595">
        <f t="shared" si="17"/>
        <v>177.69752000000003</v>
      </c>
      <c r="Z80" s="560">
        <f t="shared" si="18"/>
        <v>9668.73</v>
      </c>
      <c r="AA80" s="467">
        <f t="shared" si="19"/>
        <v>9.66873</v>
      </c>
      <c r="AB80" s="31">
        <f t="shared" si="20"/>
        <v>93484339.812899992</v>
      </c>
      <c r="AC80" s="31">
        <f t="shared" si="21"/>
        <v>1718109.3425496002</v>
      </c>
      <c r="AD80" s="48">
        <f t="shared" si="8"/>
        <v>9775.544128823798</v>
      </c>
      <c r="AE80" s="262">
        <f t="shared" si="9"/>
        <v>10538.803838312266</v>
      </c>
      <c r="AF80" s="89">
        <f t="shared" si="10"/>
        <v>9012.2844193353303</v>
      </c>
      <c r="AG80" s="3"/>
    </row>
    <row r="81" spans="5:47" x14ac:dyDescent="0.25">
      <c r="E81" s="4">
        <f t="shared" si="11"/>
        <v>44774</v>
      </c>
      <c r="F81" s="467">
        <f t="shared" si="12"/>
        <v>9498.1299999999992</v>
      </c>
      <c r="G81" s="595">
        <f>'Indicadores Energéticos'!D15</f>
        <v>190.06218000000001</v>
      </c>
      <c r="H81" s="595">
        <f t="shared" si="5"/>
        <v>25.897499999999127</v>
      </c>
      <c r="I81" s="595">
        <f t="shared" si="13"/>
        <v>670.68050624995476</v>
      </c>
      <c r="P81" s="390">
        <f t="shared" si="14"/>
        <v>44774</v>
      </c>
      <c r="Q81" s="560">
        <f t="shared" si="6"/>
        <v>9498.1299999999992</v>
      </c>
      <c r="R81" s="595">
        <f>'Indicadores Energéticos'!D15</f>
        <v>190.06218000000001</v>
      </c>
      <c r="S81" s="71">
        <f t="shared" si="7"/>
        <v>25.897499999999127</v>
      </c>
      <c r="T81" s="610">
        <f t="shared" si="15"/>
        <v>670.68050624995476</v>
      </c>
      <c r="X81" s="390">
        <f t="shared" si="16"/>
        <v>44774</v>
      </c>
      <c r="Y81" s="595">
        <f t="shared" si="17"/>
        <v>190.06218000000001</v>
      </c>
      <c r="Z81" s="560">
        <f t="shared" si="18"/>
        <v>9498.1299999999992</v>
      </c>
      <c r="AA81" s="467">
        <f t="shared" si="19"/>
        <v>9.4981299999999997</v>
      </c>
      <c r="AB81" s="31">
        <f t="shared" si="20"/>
        <v>90214473.496899992</v>
      </c>
      <c r="AC81" s="31">
        <f t="shared" si="21"/>
        <v>1805235.2937234</v>
      </c>
      <c r="AD81" s="48">
        <f t="shared" si="8"/>
        <v>9888.7898590623936</v>
      </c>
      <c r="AE81" s="262">
        <f t="shared" si="9"/>
        <v>10652.049568550861</v>
      </c>
      <c r="AF81" s="89">
        <f t="shared" si="10"/>
        <v>9125.5301495739259</v>
      </c>
      <c r="AG81" s="3"/>
      <c r="AH81" t="s">
        <v>642</v>
      </c>
    </row>
    <row r="82" spans="5:47" ht="15.75" thickBot="1" x14ac:dyDescent="0.3">
      <c r="E82" s="4">
        <f t="shared" si="11"/>
        <v>44805</v>
      </c>
      <c r="F82" s="467">
        <f t="shared" si="12"/>
        <v>9284.99</v>
      </c>
      <c r="G82" s="595">
        <f>'Indicadores Energéticos'!D16</f>
        <v>118.91</v>
      </c>
      <c r="H82" s="595">
        <f t="shared" si="5"/>
        <v>-187.24250000000029</v>
      </c>
      <c r="I82" s="595">
        <f t="shared" si="13"/>
        <v>35059.753806250112</v>
      </c>
      <c r="P82" s="390">
        <f t="shared" si="14"/>
        <v>44805</v>
      </c>
      <c r="Q82" s="560">
        <f t="shared" si="6"/>
        <v>9284.99</v>
      </c>
      <c r="R82" s="595">
        <f>'Indicadores Energéticos'!D16</f>
        <v>118.91</v>
      </c>
      <c r="S82" s="71">
        <f t="shared" si="7"/>
        <v>-187.24250000000029</v>
      </c>
      <c r="T82" s="610">
        <f t="shared" si="15"/>
        <v>35059.753806250112</v>
      </c>
      <c r="X82" s="390">
        <f t="shared" si="16"/>
        <v>44805</v>
      </c>
      <c r="Y82" s="595">
        <f t="shared" si="17"/>
        <v>118.91</v>
      </c>
      <c r="Z82" s="560">
        <f t="shared" si="18"/>
        <v>9284.99</v>
      </c>
      <c r="AA82" s="467">
        <f t="shared" si="19"/>
        <v>9.2849900000000005</v>
      </c>
      <c r="AB82" s="31">
        <f t="shared" si="20"/>
        <v>86211039.300099999</v>
      </c>
      <c r="AC82" s="31">
        <f t="shared" si="21"/>
        <v>1104078.1609</v>
      </c>
      <c r="AD82" s="48">
        <f t="shared" si="8"/>
        <v>9237.1196487882789</v>
      </c>
      <c r="AE82" s="262">
        <f t="shared" si="9"/>
        <v>10000.379358276747</v>
      </c>
      <c r="AF82" s="89">
        <f t="shared" si="10"/>
        <v>8473.8599392998112</v>
      </c>
      <c r="AG82" s="3"/>
    </row>
    <row r="83" spans="5:47" x14ac:dyDescent="0.25">
      <c r="E83" s="4">
        <f t="shared" si="11"/>
        <v>44835</v>
      </c>
      <c r="F83" s="467">
        <f t="shared" si="12"/>
        <v>9045.56</v>
      </c>
      <c r="G83" s="595">
        <f>'Indicadores Energéticos'!D17</f>
        <v>112</v>
      </c>
      <c r="H83" s="595">
        <f t="shared" si="5"/>
        <v>-426.67250000000058</v>
      </c>
      <c r="I83" s="595">
        <f t="shared" si="13"/>
        <v>182049.42225625049</v>
      </c>
      <c r="P83" s="390">
        <f t="shared" si="14"/>
        <v>44835</v>
      </c>
      <c r="Q83" s="560">
        <f t="shared" si="6"/>
        <v>9045.56</v>
      </c>
      <c r="R83" s="595">
        <f>'Indicadores Energéticos'!D17</f>
        <v>112</v>
      </c>
      <c r="S83" s="71">
        <f t="shared" si="7"/>
        <v>-426.67250000000058</v>
      </c>
      <c r="T83" s="610">
        <f t="shared" si="15"/>
        <v>182049.42225625049</v>
      </c>
      <c r="X83" s="390">
        <f t="shared" si="16"/>
        <v>44835</v>
      </c>
      <c r="Y83" s="595">
        <f t="shared" si="17"/>
        <v>112</v>
      </c>
      <c r="Z83" s="560">
        <f t="shared" si="18"/>
        <v>9045.56</v>
      </c>
      <c r="AA83" s="467">
        <f t="shared" si="19"/>
        <v>9.04556</v>
      </c>
      <c r="AB83" s="31">
        <f t="shared" si="20"/>
        <v>81822155.713599995</v>
      </c>
      <c r="AC83" s="31">
        <f t="shared" si="21"/>
        <v>1013102.72</v>
      </c>
      <c r="AD83" s="48">
        <f t="shared" si="8"/>
        <v>9173.8321830634886</v>
      </c>
      <c r="AE83" s="262">
        <f t="shared" si="9"/>
        <v>9937.0918925519582</v>
      </c>
      <c r="AF83" s="89">
        <f t="shared" si="10"/>
        <v>8410.5724735750191</v>
      </c>
      <c r="AG83" s="3"/>
      <c r="AH83" s="598" t="s">
        <v>682</v>
      </c>
      <c r="AI83" s="598"/>
    </row>
    <row r="84" spans="5:47" x14ac:dyDescent="0.25">
      <c r="E84" s="4">
        <f t="shared" si="11"/>
        <v>44866</v>
      </c>
      <c r="F84" s="467">
        <f t="shared" si="12"/>
        <v>9676.81</v>
      </c>
      <c r="G84" s="595">
        <f>'Indicadores Energéticos'!D18</f>
        <v>151.82552000000001</v>
      </c>
      <c r="H84" s="595">
        <f t="shared" si="5"/>
        <v>204.57749999999942</v>
      </c>
      <c r="I84" s="595">
        <f t="shared" si="13"/>
        <v>41851.95350624976</v>
      </c>
      <c r="P84" s="390">
        <f t="shared" si="14"/>
        <v>44866</v>
      </c>
      <c r="Q84" s="560">
        <f t="shared" si="6"/>
        <v>9676.81</v>
      </c>
      <c r="R84" s="595">
        <f>'Indicadores Energéticos'!D18</f>
        <v>151.82552000000001</v>
      </c>
      <c r="S84" s="71">
        <f t="shared" si="7"/>
        <v>204.57749999999942</v>
      </c>
      <c r="T84" s="610">
        <f t="shared" si="15"/>
        <v>41851.95350624976</v>
      </c>
      <c r="X84" s="390">
        <f t="shared" si="16"/>
        <v>44866</v>
      </c>
      <c r="Y84" s="595">
        <f t="shared" si="17"/>
        <v>151.82552000000001</v>
      </c>
      <c r="Z84" s="560">
        <f t="shared" si="18"/>
        <v>9676.81</v>
      </c>
      <c r="AA84" s="467">
        <f t="shared" si="19"/>
        <v>9.6768099999999997</v>
      </c>
      <c r="AB84" s="31">
        <f t="shared" si="20"/>
        <v>93640651.776099995</v>
      </c>
      <c r="AC84" s="31">
        <f t="shared" si="21"/>
        <v>1469186.7101912</v>
      </c>
      <c r="AD84" s="48">
        <f t="shared" si="8"/>
        <v>9538.5870646802705</v>
      </c>
      <c r="AE84" s="262">
        <f t="shared" si="9"/>
        <v>10301.846774168738</v>
      </c>
      <c r="AF84" s="89">
        <f t="shared" si="10"/>
        <v>8775.3273551918028</v>
      </c>
      <c r="AG84" s="3"/>
      <c r="AH84" t="s">
        <v>683</v>
      </c>
      <c r="AI84">
        <v>0.88204665698123141</v>
      </c>
      <c r="AQ84" s="500"/>
      <c r="AR84" s="500"/>
    </row>
    <row r="85" spans="5:47" x14ac:dyDescent="0.25">
      <c r="E85" s="4">
        <f t="shared" si="11"/>
        <v>44896</v>
      </c>
      <c r="F85" s="467">
        <f t="shared" si="12"/>
        <v>8577.93</v>
      </c>
      <c r="G85" s="595">
        <f>'Indicadores Energéticos'!D19</f>
        <v>41.00712</v>
      </c>
      <c r="H85" s="595">
        <f t="shared" si="5"/>
        <v>-894.30249999999978</v>
      </c>
      <c r="I85" s="595">
        <f t="shared" si="13"/>
        <v>799776.96150624962</v>
      </c>
      <c r="P85" s="390">
        <f t="shared" si="14"/>
        <v>44896</v>
      </c>
      <c r="Q85" s="560">
        <f t="shared" si="6"/>
        <v>8577.93</v>
      </c>
      <c r="R85" s="595">
        <f>'Indicadores Energéticos'!D19</f>
        <v>41.00712</v>
      </c>
      <c r="S85" s="71">
        <f t="shared" si="7"/>
        <v>-894.30249999999978</v>
      </c>
      <c r="T85" s="610">
        <f t="shared" si="15"/>
        <v>799776.96150624962</v>
      </c>
      <c r="X85" s="390">
        <f t="shared" si="16"/>
        <v>44896</v>
      </c>
      <c r="Y85" s="595">
        <f t="shared" si="17"/>
        <v>41.00712</v>
      </c>
      <c r="Z85" s="560">
        <f t="shared" si="18"/>
        <v>8577.93</v>
      </c>
      <c r="AA85" s="467">
        <f t="shared" si="19"/>
        <v>8.5779300000000003</v>
      </c>
      <c r="AB85" s="31">
        <f t="shared" si="20"/>
        <v>73580883.084900007</v>
      </c>
      <c r="AC85" s="31">
        <f t="shared" si="21"/>
        <v>351756.20486160001</v>
      </c>
      <c r="AD85" s="48">
        <f t="shared" si="8"/>
        <v>8523.6209732654897</v>
      </c>
      <c r="AE85" s="262">
        <f t="shared" si="9"/>
        <v>9286.8806827539593</v>
      </c>
      <c r="AF85" s="89">
        <f t="shared" si="10"/>
        <v>7760.3612637770211</v>
      </c>
      <c r="AG85" s="3"/>
      <c r="AH85" t="s">
        <v>698</v>
      </c>
      <c r="AI85">
        <v>0.77800630509176605</v>
      </c>
    </row>
    <row r="86" spans="5:47" x14ac:dyDescent="0.25">
      <c r="E86" s="9">
        <f t="shared" si="11"/>
        <v>44927</v>
      </c>
      <c r="F86" s="467">
        <f t="shared" si="12"/>
        <v>8475</v>
      </c>
      <c r="G86" s="595">
        <f>'Indicadores Energéticos'!P8</f>
        <v>81.25</v>
      </c>
      <c r="H86" s="595">
        <f t="shared" ref="H86:H97" si="22">F86-$F$99</f>
        <v>-997.23250000000007</v>
      </c>
      <c r="I86" s="595">
        <f t="shared" si="13"/>
        <v>994472.65905625012</v>
      </c>
      <c r="P86" s="390">
        <f>B20</f>
        <v>44927</v>
      </c>
      <c r="Q86" s="560">
        <f t="shared" si="6"/>
        <v>8475</v>
      </c>
      <c r="R86" s="595">
        <f>'Indicadores Energéticos'!P8</f>
        <v>81.25</v>
      </c>
      <c r="S86" s="71">
        <f t="shared" si="7"/>
        <v>-997.23250000000007</v>
      </c>
      <c r="T86" s="610">
        <f t="shared" si="15"/>
        <v>994472.65905625012</v>
      </c>
      <c r="X86" s="390">
        <f t="shared" si="16"/>
        <v>44927</v>
      </c>
      <c r="Y86" s="595">
        <f t="shared" si="17"/>
        <v>81.25</v>
      </c>
      <c r="Z86" s="560">
        <f t="shared" si="18"/>
        <v>8475</v>
      </c>
      <c r="AA86" s="467">
        <f t="shared" si="19"/>
        <v>8.4749999999999996</v>
      </c>
      <c r="AB86" s="31">
        <f t="shared" si="20"/>
        <v>71825625</v>
      </c>
      <c r="AC86" s="31">
        <f t="shared" si="21"/>
        <v>688593.75</v>
      </c>
      <c r="AD86" s="48">
        <f t="shared" si="8"/>
        <v>8892.1983811767568</v>
      </c>
      <c r="AE86" s="262">
        <f t="shared" si="9"/>
        <v>9655.4580906652263</v>
      </c>
      <c r="AF86" s="89">
        <f t="shared" si="10"/>
        <v>8128.9386716882882</v>
      </c>
      <c r="AG86" s="3"/>
      <c r="AH86" t="s">
        <v>699</v>
      </c>
      <c r="AI86">
        <v>0.76791568259593734</v>
      </c>
    </row>
    <row r="87" spans="5:47" x14ac:dyDescent="0.25">
      <c r="E87" s="9">
        <f t="shared" si="11"/>
        <v>44958</v>
      </c>
      <c r="F87" s="467">
        <f t="shared" si="12"/>
        <v>8802.64</v>
      </c>
      <c r="G87" s="595">
        <f>'Indicadores Energéticos'!P9</f>
        <v>104.56</v>
      </c>
      <c r="H87" s="595">
        <f t="shared" si="22"/>
        <v>-669.59250000000065</v>
      </c>
      <c r="I87" s="595">
        <f t="shared" si="13"/>
        <v>448354.11605625087</v>
      </c>
      <c r="P87" s="390">
        <f t="shared" si="14"/>
        <v>44958</v>
      </c>
      <c r="Q87" s="560">
        <f t="shared" si="6"/>
        <v>8802.64</v>
      </c>
      <c r="R87" s="595">
        <f>'Indicadores Energéticos'!P9</f>
        <v>104.56</v>
      </c>
      <c r="S87" s="71">
        <f t="shared" si="7"/>
        <v>-669.59250000000065</v>
      </c>
      <c r="T87" s="610">
        <f t="shared" si="15"/>
        <v>448354.11605625087</v>
      </c>
      <c r="X87" s="390">
        <f t="shared" si="16"/>
        <v>44958</v>
      </c>
      <c r="Y87" s="595">
        <f t="shared" si="17"/>
        <v>104.56</v>
      </c>
      <c r="Z87" s="560">
        <f t="shared" si="18"/>
        <v>8802.64</v>
      </c>
      <c r="AA87" s="467">
        <f t="shared" si="19"/>
        <v>8.8026400000000002</v>
      </c>
      <c r="AB87" s="31">
        <f t="shared" si="20"/>
        <v>77486470.969599992</v>
      </c>
      <c r="AC87" s="31">
        <f t="shared" si="21"/>
        <v>920404.03839999996</v>
      </c>
      <c r="AD87" s="48">
        <f t="shared" si="8"/>
        <v>9105.6905412411379</v>
      </c>
      <c r="AE87" s="262">
        <f t="shared" si="9"/>
        <v>9868.9502507296056</v>
      </c>
      <c r="AF87" s="89">
        <f t="shared" si="10"/>
        <v>8342.4308317526702</v>
      </c>
      <c r="AG87" s="3"/>
      <c r="AH87" t="s">
        <v>639</v>
      </c>
      <c r="AI87">
        <v>346.936231585668</v>
      </c>
    </row>
    <row r="88" spans="5:47" ht="15.75" thickBot="1" x14ac:dyDescent="0.3">
      <c r="E88" s="9">
        <f t="shared" si="11"/>
        <v>44986</v>
      </c>
      <c r="F88" s="467">
        <f t="shared" si="12"/>
        <v>9633.16</v>
      </c>
      <c r="G88" s="595">
        <f>'Indicadores Energéticos'!P10</f>
        <v>117.89</v>
      </c>
      <c r="H88" s="595">
        <f t="shared" si="22"/>
        <v>160.92749999999978</v>
      </c>
      <c r="I88" s="595">
        <f t="shared" si="13"/>
        <v>25897.660256249928</v>
      </c>
      <c r="P88" s="390">
        <f t="shared" si="14"/>
        <v>44986</v>
      </c>
      <c r="Q88" s="560">
        <f t="shared" si="6"/>
        <v>9633.16</v>
      </c>
      <c r="R88" s="595">
        <f>'Indicadores Energéticos'!P10</f>
        <v>117.89</v>
      </c>
      <c r="S88" s="71">
        <f t="shared" si="7"/>
        <v>160.92749999999978</v>
      </c>
      <c r="T88" s="610">
        <f t="shared" si="15"/>
        <v>25897.660256249928</v>
      </c>
      <c r="X88" s="390">
        <f t="shared" si="16"/>
        <v>44986</v>
      </c>
      <c r="Y88" s="595">
        <f t="shared" si="17"/>
        <v>117.89</v>
      </c>
      <c r="Z88" s="560">
        <f t="shared" si="18"/>
        <v>9633.16</v>
      </c>
      <c r="AA88" s="467">
        <f t="shared" si="19"/>
        <v>9.6331600000000002</v>
      </c>
      <c r="AB88" s="31">
        <f t="shared" si="20"/>
        <v>92797771.585600004</v>
      </c>
      <c r="AC88" s="31">
        <f t="shared" si="21"/>
        <v>1135653.2324000001</v>
      </c>
      <c r="AD88" s="48">
        <f t="shared" si="8"/>
        <v>9227.7776495061826</v>
      </c>
      <c r="AE88" s="262">
        <f t="shared" si="9"/>
        <v>9991.0373589946503</v>
      </c>
      <c r="AF88" s="89">
        <f t="shared" si="10"/>
        <v>8464.5179400177149</v>
      </c>
      <c r="AG88" s="3"/>
      <c r="AH88" s="98" t="s">
        <v>641</v>
      </c>
      <c r="AI88" s="98">
        <v>24</v>
      </c>
    </row>
    <row r="89" spans="5:47" x14ac:dyDescent="0.25">
      <c r="E89" s="9">
        <f t="shared" si="11"/>
        <v>45017</v>
      </c>
      <c r="F89" s="467">
        <f t="shared" si="12"/>
        <v>9796.5</v>
      </c>
      <c r="G89" s="595">
        <f>'Indicadores Energéticos'!P11</f>
        <v>214.56</v>
      </c>
      <c r="H89" s="595">
        <f t="shared" si="22"/>
        <v>324.26749999999993</v>
      </c>
      <c r="I89" s="595">
        <f t="shared" si="13"/>
        <v>105149.41155624995</v>
      </c>
      <c r="P89" s="390">
        <f t="shared" si="14"/>
        <v>45017</v>
      </c>
      <c r="Q89" s="560">
        <f t="shared" si="6"/>
        <v>9796.5</v>
      </c>
      <c r="R89" s="595">
        <f>'Indicadores Energéticos'!P11</f>
        <v>214.56</v>
      </c>
      <c r="S89" s="71">
        <f t="shared" si="7"/>
        <v>324.26749999999993</v>
      </c>
      <c r="T89" s="610">
        <f t="shared" si="15"/>
        <v>105149.41155624995</v>
      </c>
      <c r="X89" s="390">
        <f t="shared" si="16"/>
        <v>45017</v>
      </c>
      <c r="Y89" s="595">
        <f t="shared" si="17"/>
        <v>214.56</v>
      </c>
      <c r="Z89" s="560">
        <f t="shared" si="18"/>
        <v>9796.5</v>
      </c>
      <c r="AA89" s="467">
        <f t="shared" si="19"/>
        <v>9.7965</v>
      </c>
      <c r="AB89" s="31">
        <f t="shared" si="20"/>
        <v>95971412.25</v>
      </c>
      <c r="AC89" s="31">
        <f t="shared" si="21"/>
        <v>2101937.04</v>
      </c>
      <c r="AD89" s="48">
        <f t="shared" si="8"/>
        <v>10113.16105205546</v>
      </c>
      <c r="AE89" s="262">
        <f t="shared" si="9"/>
        <v>10876.42076154393</v>
      </c>
      <c r="AF89" s="89">
        <f t="shared" si="10"/>
        <v>9349.9013425669909</v>
      </c>
      <c r="AG89" s="3"/>
      <c r="AQ89" s="500"/>
      <c r="AR89" s="500"/>
      <c r="AS89" s="500"/>
      <c r="AT89" s="500"/>
      <c r="AU89" s="500"/>
    </row>
    <row r="90" spans="5:47" ht="15.75" thickBot="1" x14ac:dyDescent="0.3">
      <c r="E90" s="9">
        <f t="shared" si="11"/>
        <v>45047</v>
      </c>
      <c r="F90" s="467">
        <f t="shared" si="12"/>
        <v>11503.69</v>
      </c>
      <c r="G90" s="595">
        <f>'Indicadores Energéticos'!P12</f>
        <v>314.16000000000003</v>
      </c>
      <c r="H90" s="595">
        <f t="shared" si="22"/>
        <v>2031.4575000000004</v>
      </c>
      <c r="I90" s="595">
        <f t="shared" si="13"/>
        <v>4126819.5743062519</v>
      </c>
      <c r="P90" s="390">
        <f t="shared" si="14"/>
        <v>45047</v>
      </c>
      <c r="Q90" s="560">
        <f t="shared" si="6"/>
        <v>11503.69</v>
      </c>
      <c r="R90" s="595">
        <f>'Indicadores Energéticos'!P12</f>
        <v>314.16000000000003</v>
      </c>
      <c r="S90" s="71">
        <f t="shared" si="7"/>
        <v>2031.4575000000004</v>
      </c>
      <c r="T90" s="610">
        <f t="shared" si="15"/>
        <v>4126819.5743062519</v>
      </c>
      <c r="X90" s="390">
        <f t="shared" si="16"/>
        <v>45047</v>
      </c>
      <c r="Y90" s="595">
        <f t="shared" si="17"/>
        <v>314.16000000000003</v>
      </c>
      <c r="Z90" s="560">
        <f t="shared" si="18"/>
        <v>11503.69</v>
      </c>
      <c r="AA90" s="467">
        <f t="shared" si="19"/>
        <v>11.503690000000001</v>
      </c>
      <c r="AB90" s="31">
        <f t="shared" si="20"/>
        <v>132334883.61610001</v>
      </c>
      <c r="AC90" s="31">
        <f t="shared" si="21"/>
        <v>3613999.2504000003</v>
      </c>
      <c r="AD90" s="48">
        <f t="shared" si="8"/>
        <v>11025.379805483701</v>
      </c>
      <c r="AE90" s="262">
        <f t="shared" si="9"/>
        <v>11788.639514972168</v>
      </c>
      <c r="AF90" s="89">
        <f t="shared" si="10"/>
        <v>10262.120095995233</v>
      </c>
      <c r="AG90" s="3"/>
      <c r="AH90" t="s">
        <v>696</v>
      </c>
    </row>
    <row r="91" spans="5:47" x14ac:dyDescent="0.25">
      <c r="E91" s="9">
        <f t="shared" si="11"/>
        <v>45078</v>
      </c>
      <c r="F91" s="467">
        <f t="shared" si="12"/>
        <v>9636.34</v>
      </c>
      <c r="G91" s="595">
        <f>'Indicadores Energéticos'!P13</f>
        <v>199.52</v>
      </c>
      <c r="H91" s="595">
        <f t="shared" si="22"/>
        <v>164.10750000000007</v>
      </c>
      <c r="I91" s="595">
        <f t="shared" si="13"/>
        <v>26931.271556250023</v>
      </c>
      <c r="P91" s="390">
        <f t="shared" si="14"/>
        <v>45078</v>
      </c>
      <c r="Q91" s="560">
        <f t="shared" si="6"/>
        <v>9636.34</v>
      </c>
      <c r="R91" s="595">
        <f>'Indicadores Energéticos'!P13</f>
        <v>199.52</v>
      </c>
      <c r="S91" s="71">
        <f t="shared" si="7"/>
        <v>164.10750000000007</v>
      </c>
      <c r="T91" s="610">
        <f t="shared" si="15"/>
        <v>26931.271556250023</v>
      </c>
      <c r="X91" s="390">
        <f t="shared" si="16"/>
        <v>45078</v>
      </c>
      <c r="Y91" s="595">
        <f t="shared" si="17"/>
        <v>199.52</v>
      </c>
      <c r="Z91" s="560">
        <f t="shared" si="18"/>
        <v>9636.34</v>
      </c>
      <c r="AA91" s="467">
        <f t="shared" si="19"/>
        <v>9.6363400000000006</v>
      </c>
      <c r="AB91" s="31">
        <f t="shared" si="20"/>
        <v>92859048.595600009</v>
      </c>
      <c r="AC91" s="31">
        <f t="shared" si="21"/>
        <v>1922642.5568000001</v>
      </c>
      <c r="AD91" s="48">
        <f t="shared" si="8"/>
        <v>9975.4123567586648</v>
      </c>
      <c r="AE91" s="262">
        <f t="shared" si="9"/>
        <v>10738.672066247134</v>
      </c>
      <c r="AF91" s="89">
        <f t="shared" si="10"/>
        <v>9212.1526472701953</v>
      </c>
      <c r="AG91" s="3"/>
      <c r="AH91" s="597"/>
      <c r="AI91" s="597" t="s">
        <v>686</v>
      </c>
      <c r="AJ91" s="597" t="s">
        <v>692</v>
      </c>
      <c r="AK91" s="597" t="s">
        <v>693</v>
      </c>
      <c r="AL91" s="597" t="s">
        <v>694</v>
      </c>
      <c r="AM91" s="597" t="s">
        <v>695</v>
      </c>
    </row>
    <row r="92" spans="5:47" x14ac:dyDescent="0.25">
      <c r="E92" s="9">
        <f t="shared" si="11"/>
        <v>45108</v>
      </c>
      <c r="F92" s="467">
        <f t="shared" si="12"/>
        <v>10051.65</v>
      </c>
      <c r="G92" s="595">
        <f>'Indicadores Energéticos'!P14</f>
        <v>212.12</v>
      </c>
      <c r="H92" s="595">
        <f t="shared" si="22"/>
        <v>579.41749999999956</v>
      </c>
      <c r="I92" s="595">
        <f t="shared" si="13"/>
        <v>335724.6393062495</v>
      </c>
      <c r="P92" s="390">
        <f t="shared" si="14"/>
        <v>45108</v>
      </c>
      <c r="Q92" s="37">
        <f t="shared" si="6"/>
        <v>10051.65</v>
      </c>
      <c r="R92" s="595">
        <f>'Indicadores Energéticos'!P14</f>
        <v>212.12</v>
      </c>
      <c r="S92" s="71">
        <f t="shared" si="7"/>
        <v>579.41749999999956</v>
      </c>
      <c r="T92" s="610">
        <f t="shared" si="15"/>
        <v>335724.6393062495</v>
      </c>
      <c r="X92" s="390">
        <f t="shared" si="16"/>
        <v>45108</v>
      </c>
      <c r="Y92" s="595">
        <f t="shared" si="17"/>
        <v>212.12</v>
      </c>
      <c r="Z92" s="560">
        <f t="shared" si="18"/>
        <v>10051.65</v>
      </c>
      <c r="AA92" s="467">
        <f t="shared" si="19"/>
        <v>10.05165</v>
      </c>
      <c r="AB92" s="31">
        <f t="shared" si="20"/>
        <v>101035667.7225</v>
      </c>
      <c r="AC92" s="31">
        <f t="shared" si="21"/>
        <v>2132155.9980000001</v>
      </c>
      <c r="AD92" s="48">
        <f t="shared" si="8"/>
        <v>10090.813524361034</v>
      </c>
      <c r="AE92" s="262">
        <f t="shared" si="9"/>
        <v>10854.073233849504</v>
      </c>
      <c r="AF92" s="89">
        <f t="shared" si="10"/>
        <v>9327.5538148725645</v>
      </c>
      <c r="AG92" s="3"/>
      <c r="AH92" t="s">
        <v>687</v>
      </c>
      <c r="AI92">
        <v>1</v>
      </c>
      <c r="AJ92">
        <v>9280352.47633899</v>
      </c>
      <c r="AK92">
        <v>9280352.47633899</v>
      </c>
      <c r="AL92">
        <v>77.101913723694665</v>
      </c>
      <c r="AM92">
        <v>1.2162426741298895E-8</v>
      </c>
    </row>
    <row r="93" spans="5:47" x14ac:dyDescent="0.25">
      <c r="E93" s="9">
        <f t="shared" si="11"/>
        <v>45139</v>
      </c>
      <c r="F93" s="467">
        <f t="shared" si="12"/>
        <v>8620.61</v>
      </c>
      <c r="G93" s="595">
        <f>'Indicadores Energéticos'!P15</f>
        <v>112.32</v>
      </c>
      <c r="H93" s="595">
        <f t="shared" si="22"/>
        <v>-851.62249999999949</v>
      </c>
      <c r="I93" s="595">
        <f t="shared" si="13"/>
        <v>725260.88250624912</v>
      </c>
      <c r="P93" s="390">
        <f t="shared" si="14"/>
        <v>45139</v>
      </c>
      <c r="Q93" s="37">
        <f t="shared" si="6"/>
        <v>8620.61</v>
      </c>
      <c r="R93" s="595">
        <f>'Indicadores Energéticos'!P15</f>
        <v>112.32</v>
      </c>
      <c r="S93" s="71">
        <f t="shared" si="7"/>
        <v>-851.62249999999949</v>
      </c>
      <c r="T93" s="610">
        <f t="shared" si="15"/>
        <v>725260.88250624912</v>
      </c>
      <c r="X93" s="390">
        <f t="shared" si="16"/>
        <v>45139</v>
      </c>
      <c r="Y93" s="595">
        <f t="shared" si="17"/>
        <v>112.32</v>
      </c>
      <c r="Z93" s="560">
        <f t="shared" si="18"/>
        <v>8620.61</v>
      </c>
      <c r="AA93" s="467">
        <f t="shared" si="19"/>
        <v>8.620610000000001</v>
      </c>
      <c r="AB93" s="31">
        <f t="shared" si="20"/>
        <v>74314916.772100016</v>
      </c>
      <c r="AC93" s="31">
        <f t="shared" si="21"/>
        <v>968266.91520000005</v>
      </c>
      <c r="AD93" s="48">
        <f t="shared" si="8"/>
        <v>9176.7630063676752</v>
      </c>
      <c r="AE93" s="262">
        <f t="shared" si="9"/>
        <v>9940.0227158561429</v>
      </c>
      <c r="AF93" s="89">
        <f t="shared" si="10"/>
        <v>8413.5032968792075</v>
      </c>
      <c r="AG93" s="3"/>
      <c r="AH93" t="s">
        <v>688</v>
      </c>
      <c r="AI93">
        <v>22</v>
      </c>
      <c r="AJ93">
        <v>2648024.4733110135</v>
      </c>
      <c r="AK93">
        <v>120364.74878686425</v>
      </c>
    </row>
    <row r="94" spans="5:47" ht="15.75" thickBot="1" x14ac:dyDescent="0.3">
      <c r="E94" s="9">
        <f t="shared" si="11"/>
        <v>45170</v>
      </c>
      <c r="F94" s="467">
        <f t="shared" si="12"/>
        <v>9013.66</v>
      </c>
      <c r="G94" s="595">
        <f>'Indicadores Energéticos'!P16</f>
        <v>81.5</v>
      </c>
      <c r="H94" s="595">
        <f t="shared" si="22"/>
        <v>-458.57250000000022</v>
      </c>
      <c r="I94" s="595">
        <f t="shared" si="13"/>
        <v>210288.73775625019</v>
      </c>
      <c r="P94" s="390">
        <f t="shared" si="14"/>
        <v>45170</v>
      </c>
      <c r="Q94" s="37">
        <f t="shared" si="6"/>
        <v>9013.66</v>
      </c>
      <c r="R94" s="595">
        <f>'Indicadores Energéticos'!P16</f>
        <v>81.5</v>
      </c>
      <c r="S94" s="71">
        <f t="shared" si="7"/>
        <v>-458.57250000000022</v>
      </c>
      <c r="T94" s="610">
        <f t="shared" si="15"/>
        <v>210288.73775625019</v>
      </c>
      <c r="X94" s="390">
        <f t="shared" si="16"/>
        <v>45170</v>
      </c>
      <c r="Y94" s="595">
        <f t="shared" si="17"/>
        <v>81.5</v>
      </c>
      <c r="Z94" s="560">
        <f t="shared" si="18"/>
        <v>9013.66</v>
      </c>
      <c r="AA94" s="467">
        <f t="shared" si="19"/>
        <v>9.0136599999999998</v>
      </c>
      <c r="AB94" s="31">
        <f t="shared" si="20"/>
        <v>81246066.595599994</v>
      </c>
      <c r="AC94" s="31">
        <f t="shared" si="21"/>
        <v>734613.29</v>
      </c>
      <c r="AD94" s="48">
        <f t="shared" si="8"/>
        <v>8894.4880868831533</v>
      </c>
      <c r="AE94" s="262">
        <f t="shared" si="9"/>
        <v>9657.7477963716228</v>
      </c>
      <c r="AF94" s="89">
        <f t="shared" si="10"/>
        <v>8131.2283773946847</v>
      </c>
      <c r="AG94" s="3"/>
      <c r="AH94" s="98" t="s">
        <v>64</v>
      </c>
      <c r="AI94" s="98">
        <v>23</v>
      </c>
      <c r="AJ94" s="98">
        <v>11928376.949650005</v>
      </c>
      <c r="AK94" s="98"/>
      <c r="AL94" s="98"/>
      <c r="AM94" s="98"/>
    </row>
    <row r="95" spans="5:47" ht="15.75" thickBot="1" x14ac:dyDescent="0.3">
      <c r="E95" s="9">
        <f t="shared" si="11"/>
        <v>45200</v>
      </c>
      <c r="F95" s="467">
        <f t="shared" si="12"/>
        <v>9003.9</v>
      </c>
      <c r="G95" s="595">
        <f>'Indicadores Energéticos'!P17</f>
        <v>70.14</v>
      </c>
      <c r="H95" s="595">
        <f t="shared" si="22"/>
        <v>-468.33250000000044</v>
      </c>
      <c r="I95" s="595">
        <f t="shared" si="13"/>
        <v>219335.33055625041</v>
      </c>
      <c r="P95" s="390">
        <f t="shared" si="14"/>
        <v>45200</v>
      </c>
      <c r="Q95" s="37">
        <f t="shared" si="6"/>
        <v>9003.9</v>
      </c>
      <c r="R95" s="595">
        <f>'Indicadores Energéticos'!P17</f>
        <v>70.14</v>
      </c>
      <c r="S95" s="71">
        <f t="shared" si="7"/>
        <v>-468.33250000000044</v>
      </c>
      <c r="T95" s="610">
        <f t="shared" si="15"/>
        <v>219335.33055625041</v>
      </c>
      <c r="X95" s="390">
        <f t="shared" si="16"/>
        <v>45200</v>
      </c>
      <c r="Y95" s="595">
        <f t="shared" si="17"/>
        <v>70.14</v>
      </c>
      <c r="Z95" s="560">
        <f t="shared" si="18"/>
        <v>9003.9</v>
      </c>
      <c r="AA95" s="467">
        <f t="shared" si="19"/>
        <v>9.0038999999999998</v>
      </c>
      <c r="AB95" s="31">
        <f t="shared" si="20"/>
        <v>81070215.209999993</v>
      </c>
      <c r="AC95" s="31">
        <f t="shared" si="21"/>
        <v>631533.54599999997</v>
      </c>
      <c r="AD95" s="48">
        <f t="shared" si="8"/>
        <v>8790.4438595845095</v>
      </c>
      <c r="AE95" s="262">
        <f t="shared" si="9"/>
        <v>9553.703569072979</v>
      </c>
      <c r="AF95" s="89">
        <f t="shared" si="10"/>
        <v>8027.1841500960409</v>
      </c>
      <c r="AG95" s="3"/>
    </row>
    <row r="96" spans="5:47" x14ac:dyDescent="0.25">
      <c r="E96" s="9">
        <f>B30</f>
        <v>45231</v>
      </c>
      <c r="F96" s="467">
        <f t="shared" si="12"/>
        <v>10060.049999999999</v>
      </c>
      <c r="G96" s="595">
        <f>'Indicadores Energéticos'!P18</f>
        <v>181.45</v>
      </c>
      <c r="H96" s="595">
        <f t="shared" si="22"/>
        <v>587.8174999999992</v>
      </c>
      <c r="I96" s="595">
        <f t="shared" si="13"/>
        <v>345529.41330624907</v>
      </c>
      <c r="P96" s="390">
        <f t="shared" si="14"/>
        <v>45231</v>
      </c>
      <c r="Q96" s="37">
        <f t="shared" si="6"/>
        <v>10060.049999999999</v>
      </c>
      <c r="R96" s="595">
        <f>'Indicadores Energéticos'!P18</f>
        <v>181.45</v>
      </c>
      <c r="S96" s="71">
        <f t="shared" si="7"/>
        <v>587.8174999999992</v>
      </c>
      <c r="T96" s="610">
        <f t="shared" si="15"/>
        <v>345529.41330624907</v>
      </c>
      <c r="X96" s="390">
        <f t="shared" si="16"/>
        <v>45231</v>
      </c>
      <c r="Y96" s="595">
        <f t="shared" si="17"/>
        <v>181.45</v>
      </c>
      <c r="Z96" s="560">
        <f t="shared" si="18"/>
        <v>10060.049999999999</v>
      </c>
      <c r="AA96" s="467">
        <f t="shared" si="19"/>
        <v>10.060049999999999</v>
      </c>
      <c r="AB96" s="31">
        <f t="shared" si="20"/>
        <v>101204606.00249998</v>
      </c>
      <c r="AC96" s="31">
        <f t="shared" si="21"/>
        <v>1825396.0724999998</v>
      </c>
      <c r="AD96" s="48">
        <f t="shared" si="8"/>
        <v>9809.9124283003493</v>
      </c>
      <c r="AE96" s="262">
        <f t="shared" si="9"/>
        <v>10573.172137788817</v>
      </c>
      <c r="AF96" s="89">
        <f t="shared" si="10"/>
        <v>9046.6527188118816</v>
      </c>
      <c r="AG96" s="3"/>
      <c r="AH96" s="597"/>
      <c r="AI96" s="597" t="s">
        <v>638</v>
      </c>
      <c r="AJ96" s="597" t="s">
        <v>639</v>
      </c>
      <c r="AK96" s="597" t="s">
        <v>640</v>
      </c>
      <c r="AL96" s="597" t="s">
        <v>697</v>
      </c>
      <c r="AM96" s="597" t="s">
        <v>701</v>
      </c>
      <c r="AN96" s="597" t="s">
        <v>702</v>
      </c>
      <c r="AO96" s="597" t="s">
        <v>703</v>
      </c>
      <c r="AP96" s="597" t="s">
        <v>704</v>
      </c>
    </row>
    <row r="97" spans="2:42" x14ac:dyDescent="0.25">
      <c r="E97" s="9">
        <f t="shared" si="11"/>
        <v>45261</v>
      </c>
      <c r="F97" s="467">
        <f t="shared" si="12"/>
        <v>8468.25</v>
      </c>
      <c r="G97" s="595">
        <f>'Indicadores Energéticos'!P19</f>
        <v>59.85</v>
      </c>
      <c r="H97" s="595">
        <f t="shared" si="22"/>
        <v>-1003.9825000000001</v>
      </c>
      <c r="I97" s="595">
        <f t="shared" si="13"/>
        <v>1007980.8603062502</v>
      </c>
      <c r="P97" s="390">
        <f t="shared" si="14"/>
        <v>45261</v>
      </c>
      <c r="Q97" s="37">
        <f t="shared" si="6"/>
        <v>8468.25</v>
      </c>
      <c r="R97" s="595">
        <f>'Indicadores Energéticos'!P19</f>
        <v>59.85</v>
      </c>
      <c r="S97" s="71">
        <f t="shared" si="7"/>
        <v>-1003.9825000000001</v>
      </c>
      <c r="T97" s="610">
        <f t="shared" si="15"/>
        <v>1007980.8603062502</v>
      </c>
      <c r="X97" s="390">
        <f t="shared" si="16"/>
        <v>45261</v>
      </c>
      <c r="Y97" s="595">
        <f t="shared" si="17"/>
        <v>59.85</v>
      </c>
      <c r="Z97" s="560">
        <f t="shared" si="18"/>
        <v>8468.25</v>
      </c>
      <c r="AA97" s="467">
        <f t="shared" si="19"/>
        <v>8.4682499999999994</v>
      </c>
      <c r="AB97" s="31">
        <f t="shared" si="20"/>
        <v>71711258.0625</v>
      </c>
      <c r="AC97" s="31">
        <f t="shared" si="21"/>
        <v>506824.76250000001</v>
      </c>
      <c r="AD97" s="48">
        <f t="shared" si="8"/>
        <v>8696.1995727092435</v>
      </c>
      <c r="AE97" s="262">
        <f t="shared" si="9"/>
        <v>9459.459282197713</v>
      </c>
      <c r="AF97" s="89">
        <f t="shared" si="10"/>
        <v>7932.9398632207749</v>
      </c>
      <c r="AH97" t="s">
        <v>700</v>
      </c>
      <c r="AI97">
        <v>8148.044026597996</v>
      </c>
      <c r="AJ97">
        <v>166.60582596722585</v>
      </c>
      <c r="AK97">
        <v>48.906117053798901</v>
      </c>
      <c r="AL97">
        <v>6.088862046981237E-24</v>
      </c>
      <c r="AM97">
        <v>7802.5246911686609</v>
      </c>
      <c r="AN97">
        <v>8493.5633620273311</v>
      </c>
      <c r="AO97">
        <v>7802.5246911686609</v>
      </c>
      <c r="AP97">
        <v>8493.5633620273311</v>
      </c>
    </row>
    <row r="98" spans="2:42" ht="15.75" thickBot="1" x14ac:dyDescent="0.3">
      <c r="P98" s="488" t="s">
        <v>38</v>
      </c>
      <c r="Q98" s="37">
        <f>AVERAGE(Q74:Q97)</f>
        <v>9472.2325000000001</v>
      </c>
      <c r="S98" s="488" t="s">
        <v>648</v>
      </c>
      <c r="T98" s="610">
        <f>SUM(T74:T97)</f>
        <v>11928376.949649999</v>
      </c>
      <c r="Y98" s="488" t="s">
        <v>665</v>
      </c>
      <c r="Z98" s="128">
        <f>SUM(Z74:Z97)</f>
        <v>227333.58000000002</v>
      </c>
      <c r="AA98" s="488" t="s">
        <v>665</v>
      </c>
      <c r="AB98" s="31">
        <f>SUM(AB74:AB97)</f>
        <v>2165284901.7669997</v>
      </c>
      <c r="AC98" s="31">
        <f>SUM(AC74:AC97)</f>
        <v>33881303.813707002</v>
      </c>
      <c r="AH98" s="98" t="s">
        <v>705</v>
      </c>
      <c r="AI98" s="98">
        <v>9.1588228255847497</v>
      </c>
      <c r="AJ98" s="98">
        <v>1.0430546871002484</v>
      </c>
      <c r="AK98" s="98">
        <v>8.7807695405183406</v>
      </c>
      <c r="AL98" s="98">
        <v>1.2162426741298895E-8</v>
      </c>
      <c r="AM98" s="98">
        <v>6.9956598016564833</v>
      </c>
      <c r="AN98" s="98">
        <v>11.321985849513016</v>
      </c>
      <c r="AO98" s="98">
        <v>6.9956598016564833</v>
      </c>
      <c r="AP98" s="98">
        <v>11.321985849513016</v>
      </c>
    </row>
    <row r="99" spans="2:42" x14ac:dyDescent="0.25">
      <c r="E99" s="488" t="s">
        <v>38</v>
      </c>
      <c r="F99" s="595">
        <f>AVERAGE(F74:F97)</f>
        <v>9472.2325000000001</v>
      </c>
      <c r="H99" s="488" t="s">
        <v>648</v>
      </c>
      <c r="I99" s="312">
        <f>SUM(I74:I97)</f>
        <v>11928376.949649999</v>
      </c>
      <c r="S99" s="488" t="s">
        <v>649</v>
      </c>
      <c r="T99" s="610">
        <f>T98/23</f>
        <v>518625.08476739126</v>
      </c>
      <c r="Z99" s="31"/>
    </row>
    <row r="100" spans="2:42" x14ac:dyDescent="0.25">
      <c r="H100" s="488" t="s">
        <v>649</v>
      </c>
      <c r="I100" s="17">
        <f>I99/23</f>
        <v>518625.08476739126</v>
      </c>
      <c r="M100" s="1"/>
      <c r="N100" s="1"/>
      <c r="O100" s="1"/>
      <c r="P100" s="1"/>
      <c r="S100" s="488" t="s">
        <v>625</v>
      </c>
      <c r="T100" s="610">
        <f>SQRT(T99)</f>
        <v>720.15629190293907</v>
      </c>
      <c r="Y100" s="17" t="s">
        <v>680</v>
      </c>
      <c r="Z100" s="31">
        <f>STEYX(Z74:Z97,Y74:Y97)</f>
        <v>346.93623158566754</v>
      </c>
    </row>
    <row r="101" spans="2:42" x14ac:dyDescent="0.25">
      <c r="H101" s="488" t="s">
        <v>625</v>
      </c>
      <c r="I101" s="17">
        <f>SQRT(I100)</f>
        <v>720.15629190293907</v>
      </c>
      <c r="L101" s="669" t="s">
        <v>689</v>
      </c>
      <c r="M101" s="669"/>
      <c r="N101" s="1"/>
      <c r="O101" s="1"/>
      <c r="P101" s="488" t="s">
        <v>626</v>
      </c>
      <c r="S101" s="488" t="s">
        <v>659</v>
      </c>
      <c r="T101" s="610">
        <f>T100/Q98</f>
        <v>7.6028147736337662E-2</v>
      </c>
    </row>
    <row r="102" spans="2:42" x14ac:dyDescent="0.25">
      <c r="H102" s="488" t="s">
        <v>659</v>
      </c>
      <c r="I102" s="17">
        <f>I101/F99</f>
        <v>7.6028147736337662E-2</v>
      </c>
      <c r="L102" s="669"/>
      <c r="M102" s="669"/>
      <c r="N102" s="1"/>
      <c r="O102" s="1"/>
      <c r="P102" s="1"/>
      <c r="Q102" s="17">
        <f>(O103^2*O105^2)/O104^2</f>
        <v>384.15999999999929</v>
      </c>
      <c r="R102" s="59">
        <f>(K103^2*K105^2)/K104^2</f>
        <v>428.48999999999921</v>
      </c>
    </row>
    <row r="103" spans="2:42" x14ac:dyDescent="0.25">
      <c r="K103" s="638">
        <v>2.0699999999999998</v>
      </c>
      <c r="L103" s="294">
        <v>1.64</v>
      </c>
      <c r="M103" s="294">
        <v>1.96</v>
      </c>
      <c r="N103" s="483" t="s">
        <v>650</v>
      </c>
      <c r="O103" s="169">
        <v>1.96</v>
      </c>
      <c r="P103" s="666" t="s">
        <v>657</v>
      </c>
      <c r="Q103" s="666"/>
      <c r="R103" s="666"/>
      <c r="X103" s="656" t="s">
        <v>685</v>
      </c>
      <c r="Y103" s="656"/>
      <c r="Z103" s="656"/>
      <c r="AA103" s="656"/>
    </row>
    <row r="104" spans="2:42" x14ac:dyDescent="0.25">
      <c r="K104" s="639">
        <f>1-K106</f>
        <v>5.0000000000000044E-2</v>
      </c>
      <c r="L104" s="497">
        <f>1-L106</f>
        <v>9.9999999999999978E-2</v>
      </c>
      <c r="M104" s="497">
        <f>1-M106</f>
        <v>5.0000000000000044E-2</v>
      </c>
      <c r="N104" s="483" t="s">
        <v>651</v>
      </c>
      <c r="O104" s="486">
        <f>1-O106</f>
        <v>5.0000000000000044E-2</v>
      </c>
      <c r="P104" s="666" t="s">
        <v>654</v>
      </c>
      <c r="Q104" s="666"/>
      <c r="R104" s="666"/>
    </row>
    <row r="105" spans="2:42" ht="30" x14ac:dyDescent="0.25">
      <c r="E105"/>
      <c r="K105" s="1">
        <v>0.5</v>
      </c>
      <c r="L105" s="294">
        <v>0.5</v>
      </c>
      <c r="M105" s="294">
        <v>0.5</v>
      </c>
      <c r="N105" s="483" t="s">
        <v>652</v>
      </c>
      <c r="O105" s="169">
        <v>0.5</v>
      </c>
      <c r="P105" s="484" t="s">
        <v>655</v>
      </c>
      <c r="Q105" s="484"/>
      <c r="R105" s="484"/>
      <c r="X105" s="183" t="s">
        <v>3</v>
      </c>
      <c r="Y105" s="45" t="s">
        <v>1046</v>
      </c>
      <c r="Z105" s="45" t="s">
        <v>645</v>
      </c>
      <c r="AA105" s="45" t="s">
        <v>664</v>
      </c>
      <c r="AB105" s="45" t="s">
        <v>666</v>
      </c>
      <c r="AC105" s="45" t="s">
        <v>667</v>
      </c>
      <c r="AD105" s="45" t="s">
        <v>670</v>
      </c>
      <c r="AE105" s="45" t="s">
        <v>677</v>
      </c>
      <c r="AF105" s="45" t="s">
        <v>681</v>
      </c>
    </row>
    <row r="106" spans="2:42" ht="15.75" thickBot="1" x14ac:dyDescent="0.3">
      <c r="D106" s="488" t="s">
        <v>626</v>
      </c>
      <c r="E106" s="17">
        <f>(D111^2*D113^2)/D112^2</f>
        <v>67.240000000000023</v>
      </c>
      <c r="K106" s="640">
        <v>0.95</v>
      </c>
      <c r="L106" s="497">
        <v>0.9</v>
      </c>
      <c r="M106" s="497">
        <v>0.95</v>
      </c>
      <c r="N106" s="483" t="s">
        <v>653</v>
      </c>
      <c r="O106" s="498">
        <v>0.95</v>
      </c>
      <c r="P106" s="666" t="s">
        <v>656</v>
      </c>
      <c r="Q106" s="666"/>
      <c r="R106" s="666"/>
      <c r="X106" s="390">
        <f>X74</f>
        <v>44562</v>
      </c>
      <c r="Y106" s="595">
        <f>Y74</f>
        <v>72.344580000000008</v>
      </c>
      <c r="Z106" s="595">
        <f>Z74</f>
        <v>8674.83</v>
      </c>
      <c r="AA106" s="595">
        <f>AA74</f>
        <v>8.67483</v>
      </c>
      <c r="AB106" s="31">
        <f t="shared" ref="AB106:AB128" si="23">Z106*Z106</f>
        <v>75252675.528899997</v>
      </c>
      <c r="AC106" s="31">
        <f t="shared" ref="AC106:AC128" si="24">Z106*Y106</f>
        <v>627576.93292140006</v>
      </c>
      <c r="AD106" s="48">
        <f t="shared" ref="AD106:AD128" si="25">($AI$75*Y106)+$AI$77</f>
        <v>8810.6352172093375</v>
      </c>
      <c r="AE106" s="262">
        <f t="shared" ref="AE106:AE128" si="26">AD106+($AI$78*$Z$100)</f>
        <v>9573.8949266978052</v>
      </c>
      <c r="AF106" s="89">
        <f t="shared" ref="AF106:AF128" si="27">AD106-($AI$78*$Z$100)</f>
        <v>8047.3755077208689</v>
      </c>
    </row>
    <row r="107" spans="2:42" ht="15.75" thickTop="1" x14ac:dyDescent="0.25">
      <c r="E107"/>
      <c r="M107" s="1"/>
      <c r="N107" s="1"/>
      <c r="O107" s="1"/>
      <c r="P107" s="1"/>
      <c r="U107" s="1" t="s">
        <v>1047</v>
      </c>
      <c r="V107" s="600">
        <f>X75</f>
        <v>44593</v>
      </c>
      <c r="X107" s="390">
        <f t="shared" ref="X107:AA128" si="28">X76</f>
        <v>44621</v>
      </c>
      <c r="Y107" s="595">
        <f t="shared" si="28"/>
        <v>104.69536000000001</v>
      </c>
      <c r="Z107" s="595">
        <f t="shared" si="28"/>
        <v>9689.25</v>
      </c>
      <c r="AA107" s="595">
        <f t="shared" si="28"/>
        <v>9.6892499999999995</v>
      </c>
      <c r="AB107" s="31">
        <f t="shared" si="23"/>
        <v>93881565.5625</v>
      </c>
      <c r="AC107" s="31">
        <f t="shared" si="24"/>
        <v>1014419.5168800001</v>
      </c>
      <c r="AD107" s="48">
        <f t="shared" si="25"/>
        <v>9106.9302794988089</v>
      </c>
      <c r="AE107" s="262">
        <f t="shared" si="26"/>
        <v>9870.1899889872766</v>
      </c>
      <c r="AF107" s="89">
        <f t="shared" si="27"/>
        <v>8343.6705700103412</v>
      </c>
    </row>
    <row r="108" spans="2:42" x14ac:dyDescent="0.25">
      <c r="M108" s="656" t="s">
        <v>629</v>
      </c>
      <c r="N108" s="656"/>
      <c r="O108" s="656"/>
      <c r="P108" s="656"/>
      <c r="X108" s="390">
        <f t="shared" si="28"/>
        <v>44652</v>
      </c>
      <c r="Y108" s="595">
        <f t="shared" si="28"/>
        <v>198.85866000000001</v>
      </c>
      <c r="Z108" s="595">
        <f t="shared" si="28"/>
        <v>9823.56</v>
      </c>
      <c r="AA108" s="595">
        <f t="shared" si="28"/>
        <v>9.8235599999999987</v>
      </c>
      <c r="AB108" s="31">
        <f t="shared" si="23"/>
        <v>96502331.073599994</v>
      </c>
      <c r="AC108" s="31">
        <f t="shared" si="24"/>
        <v>1953499.9780296001</v>
      </c>
      <c r="AD108" s="48">
        <f t="shared" si="25"/>
        <v>9969.3552608711925</v>
      </c>
      <c r="AE108" s="262">
        <f t="shared" si="26"/>
        <v>10732.61497035966</v>
      </c>
      <c r="AF108" s="89">
        <f t="shared" si="27"/>
        <v>9206.0955513827248</v>
      </c>
    </row>
    <row r="109" spans="2:42" x14ac:dyDescent="0.25">
      <c r="B109"/>
      <c r="C109"/>
      <c r="D109"/>
      <c r="E109"/>
      <c r="N109" s="1"/>
      <c r="O109" s="1"/>
      <c r="P109" s="1"/>
      <c r="X109" s="390">
        <f t="shared" si="28"/>
        <v>44682</v>
      </c>
      <c r="Y109" s="595">
        <f t="shared" si="28"/>
        <v>265.41000000000003</v>
      </c>
      <c r="Z109" s="595">
        <f t="shared" si="28"/>
        <v>10503.89</v>
      </c>
      <c r="AA109" s="595">
        <f t="shared" si="28"/>
        <v>10.50389</v>
      </c>
      <c r="AB109" s="31">
        <f t="shared" si="23"/>
        <v>110331705.13209999</v>
      </c>
      <c r="AC109" s="31">
        <f t="shared" si="24"/>
        <v>2787837.4449</v>
      </c>
      <c r="AD109" s="48">
        <f t="shared" si="25"/>
        <v>10578.887192736445</v>
      </c>
      <c r="AE109" s="262">
        <f t="shared" si="26"/>
        <v>11342.146902224915</v>
      </c>
      <c r="AF109" s="89">
        <f t="shared" si="27"/>
        <v>9815.6274832479758</v>
      </c>
    </row>
    <row r="110" spans="2:42" x14ac:dyDescent="0.25">
      <c r="N110" s="1"/>
      <c r="O110" s="1"/>
      <c r="P110" s="488" t="s">
        <v>631</v>
      </c>
      <c r="Q110" s="312">
        <f>(Q102*O112)/(Q102+O112)</f>
        <v>22.588788710309679</v>
      </c>
      <c r="R110" s="642">
        <f>(R102*O112)/(R102+O112)</f>
        <v>22.727043691573289</v>
      </c>
      <c r="X110" s="390">
        <f t="shared" si="28"/>
        <v>44713</v>
      </c>
      <c r="Y110" s="595">
        <f t="shared" si="28"/>
        <v>188.35893999999999</v>
      </c>
      <c r="Z110" s="595">
        <f t="shared" si="28"/>
        <v>9931.33</v>
      </c>
      <c r="AA110" s="595">
        <f t="shared" si="28"/>
        <v>9.9313299999999991</v>
      </c>
      <c r="AB110" s="31">
        <f t="shared" si="23"/>
        <v>98631315.568900004</v>
      </c>
      <c r="AC110" s="31">
        <f t="shared" si="24"/>
        <v>1870654.7915901998</v>
      </c>
      <c r="AD110" s="48">
        <f t="shared" si="25"/>
        <v>9873.1901856729437</v>
      </c>
      <c r="AE110" s="262">
        <f t="shared" si="26"/>
        <v>10636.449895161411</v>
      </c>
      <c r="AF110" s="89">
        <f t="shared" si="27"/>
        <v>9109.930476184476</v>
      </c>
    </row>
    <row r="111" spans="2:42" x14ac:dyDescent="0.25">
      <c r="B111" s="1">
        <v>1.96</v>
      </c>
      <c r="C111" s="483" t="s">
        <v>650</v>
      </c>
      <c r="D111" s="1">
        <v>1.64</v>
      </c>
      <c r="E111" s="666" t="s">
        <v>657</v>
      </c>
      <c r="F111" s="666"/>
      <c r="G111" s="666"/>
      <c r="H111" s="1">
        <v>1.64</v>
      </c>
      <c r="N111" s="1"/>
      <c r="O111" s="1"/>
      <c r="P111" s="1"/>
      <c r="Q111" s="489">
        <f>Q110</f>
        <v>22.588788710309679</v>
      </c>
      <c r="R111" t="s">
        <v>1042</v>
      </c>
      <c r="X111" s="390">
        <f t="shared" si="28"/>
        <v>44743</v>
      </c>
      <c r="Y111" s="595">
        <f t="shared" si="28"/>
        <v>177.69752000000003</v>
      </c>
      <c r="Z111" s="595">
        <f t="shared" si="28"/>
        <v>9668.73</v>
      </c>
      <c r="AA111" s="595">
        <f t="shared" si="28"/>
        <v>9.66873</v>
      </c>
      <c r="AB111" s="31">
        <f t="shared" si="23"/>
        <v>93484339.812899992</v>
      </c>
      <c r="AC111" s="31">
        <f t="shared" si="24"/>
        <v>1718109.3425496002</v>
      </c>
      <c r="AD111" s="48">
        <f t="shared" si="25"/>
        <v>9775.544128823798</v>
      </c>
      <c r="AE111" s="262">
        <f t="shared" si="26"/>
        <v>10538.803838312266</v>
      </c>
      <c r="AF111" s="89">
        <f t="shared" si="27"/>
        <v>9012.2844193353303</v>
      </c>
    </row>
    <row r="112" spans="2:42" x14ac:dyDescent="0.25">
      <c r="B112" s="486">
        <f>1-B114</f>
        <v>5.0000000000000044E-2</v>
      </c>
      <c r="C112" s="483" t="s">
        <v>651</v>
      </c>
      <c r="D112" s="486">
        <f>1-D114</f>
        <v>9.9999999999999978E-2</v>
      </c>
      <c r="E112" s="666" t="s">
        <v>654</v>
      </c>
      <c r="F112" s="666"/>
      <c r="G112" s="666"/>
      <c r="H112" s="486">
        <f>1-H114</f>
        <v>9.9999999999999978E-2</v>
      </c>
      <c r="N112" s="483" t="s">
        <v>630</v>
      </c>
      <c r="O112" s="1">
        <v>24</v>
      </c>
      <c r="P112" s="1"/>
      <c r="X112" s="390">
        <f t="shared" si="28"/>
        <v>44774</v>
      </c>
      <c r="Y112" s="595">
        <f t="shared" si="28"/>
        <v>190.06218000000001</v>
      </c>
      <c r="Z112" s="595">
        <f t="shared" si="28"/>
        <v>9498.1299999999992</v>
      </c>
      <c r="AA112" s="595">
        <f t="shared" si="28"/>
        <v>9.4981299999999997</v>
      </c>
      <c r="AB112" s="31">
        <f t="shared" si="23"/>
        <v>90214473.496899992</v>
      </c>
      <c r="AC112" s="31">
        <f t="shared" si="24"/>
        <v>1805235.2937234</v>
      </c>
      <c r="AD112" s="48">
        <f t="shared" si="25"/>
        <v>9888.7898590623936</v>
      </c>
      <c r="AE112" s="262">
        <f t="shared" si="26"/>
        <v>10652.049568550861</v>
      </c>
      <c r="AF112" s="89">
        <f t="shared" si="27"/>
        <v>9125.5301495739259</v>
      </c>
    </row>
    <row r="113" spans="2:32" x14ac:dyDescent="0.25">
      <c r="B113" s="1">
        <v>0.5</v>
      </c>
      <c r="C113" s="483" t="s">
        <v>652</v>
      </c>
      <c r="D113" s="1">
        <v>0.5</v>
      </c>
      <c r="E113" s="484" t="s">
        <v>655</v>
      </c>
      <c r="F113" s="484"/>
      <c r="G113" s="484"/>
      <c r="H113" s="1">
        <v>0.5</v>
      </c>
      <c r="N113" s="1"/>
      <c r="O113" s="1"/>
      <c r="P113" s="1"/>
      <c r="X113" s="390">
        <f t="shared" si="28"/>
        <v>44805</v>
      </c>
      <c r="Y113" s="595">
        <f t="shared" si="28"/>
        <v>118.91</v>
      </c>
      <c r="Z113" s="595">
        <f t="shared" si="28"/>
        <v>9284.99</v>
      </c>
      <c r="AA113" s="595">
        <f t="shared" si="28"/>
        <v>9.2849900000000005</v>
      </c>
      <c r="AB113" s="31">
        <f t="shared" si="23"/>
        <v>86211039.300099999</v>
      </c>
      <c r="AC113" s="31">
        <f t="shared" si="24"/>
        <v>1104078.1609</v>
      </c>
      <c r="AD113" s="48">
        <f t="shared" si="25"/>
        <v>9237.1196487882789</v>
      </c>
      <c r="AE113" s="262">
        <f t="shared" si="26"/>
        <v>10000.379358276747</v>
      </c>
      <c r="AF113" s="89">
        <f t="shared" si="27"/>
        <v>8473.8599392998112</v>
      </c>
    </row>
    <row r="114" spans="2:32" x14ac:dyDescent="0.25">
      <c r="B114" s="486">
        <v>0.95</v>
      </c>
      <c r="C114" s="483" t="s">
        <v>653</v>
      </c>
      <c r="D114" s="486">
        <v>0.9</v>
      </c>
      <c r="E114" s="666" t="s">
        <v>656</v>
      </c>
      <c r="F114" s="666"/>
      <c r="G114" s="666"/>
      <c r="H114" s="486">
        <v>0.9</v>
      </c>
      <c r="X114" s="390">
        <f t="shared" si="28"/>
        <v>44835</v>
      </c>
      <c r="Y114" s="595">
        <f t="shared" si="28"/>
        <v>112</v>
      </c>
      <c r="Z114" s="595">
        <f t="shared" si="28"/>
        <v>9045.56</v>
      </c>
      <c r="AA114" s="595">
        <f t="shared" si="28"/>
        <v>9.04556</v>
      </c>
      <c r="AB114" s="31">
        <f t="shared" si="23"/>
        <v>81822155.713599995</v>
      </c>
      <c r="AC114" s="31">
        <f t="shared" si="24"/>
        <v>1013102.72</v>
      </c>
      <c r="AD114" s="48">
        <f t="shared" si="25"/>
        <v>9173.8321830634886</v>
      </c>
      <c r="AE114" s="262">
        <f t="shared" si="26"/>
        <v>9937.0918925519582</v>
      </c>
      <c r="AF114" s="89">
        <f t="shared" si="27"/>
        <v>8410.5724735750191</v>
      </c>
    </row>
    <row r="115" spans="2:32" x14ac:dyDescent="0.25">
      <c r="X115" s="390">
        <f t="shared" si="28"/>
        <v>44866</v>
      </c>
      <c r="Y115" s="595">
        <f t="shared" si="28"/>
        <v>151.82552000000001</v>
      </c>
      <c r="Z115" s="595">
        <f t="shared" si="28"/>
        <v>9676.81</v>
      </c>
      <c r="AA115" s="595">
        <f t="shared" si="28"/>
        <v>9.6768099999999997</v>
      </c>
      <c r="AB115" s="31">
        <f t="shared" si="23"/>
        <v>93640651.776099995</v>
      </c>
      <c r="AC115" s="31">
        <f t="shared" si="24"/>
        <v>1469186.7101912</v>
      </c>
      <c r="AD115" s="48">
        <f t="shared" si="25"/>
        <v>9538.5870646802705</v>
      </c>
      <c r="AE115" s="262">
        <f t="shared" si="26"/>
        <v>10301.846774168738</v>
      </c>
      <c r="AF115" s="89">
        <f t="shared" si="27"/>
        <v>8775.3273551918028</v>
      </c>
    </row>
    <row r="116" spans="2:32" x14ac:dyDescent="0.25">
      <c r="B116" s="666" t="s">
        <v>629</v>
      </c>
      <c r="C116" s="666"/>
      <c r="D116" s="666"/>
      <c r="E116" s="666"/>
      <c r="M116" s="656" t="s">
        <v>632</v>
      </c>
      <c r="N116" s="656"/>
      <c r="O116" s="656"/>
      <c r="P116" s="656"/>
      <c r="X116" s="390">
        <f t="shared" si="28"/>
        <v>44896</v>
      </c>
      <c r="Y116" s="595">
        <f t="shared" si="28"/>
        <v>41.00712</v>
      </c>
      <c r="Z116" s="595">
        <f t="shared" si="28"/>
        <v>8577.93</v>
      </c>
      <c r="AA116" s="595">
        <f t="shared" si="28"/>
        <v>8.5779300000000003</v>
      </c>
      <c r="AB116" s="31">
        <f t="shared" si="23"/>
        <v>73580883.084900007</v>
      </c>
      <c r="AC116" s="31">
        <f t="shared" si="24"/>
        <v>351756.20486160001</v>
      </c>
      <c r="AD116" s="48">
        <f t="shared" si="25"/>
        <v>8523.6209732654897</v>
      </c>
      <c r="AE116" s="262">
        <f t="shared" si="26"/>
        <v>9286.8806827539593</v>
      </c>
      <c r="AF116" s="89">
        <f t="shared" si="27"/>
        <v>7760.3612637770211</v>
      </c>
    </row>
    <row r="117" spans="2:32" x14ac:dyDescent="0.25">
      <c r="M117" s="667" t="str">
        <f>R73</f>
        <v>Emulsión Asfáltica [m³/mes]</v>
      </c>
      <c r="N117" s="667"/>
      <c r="O117" s="666" t="s">
        <v>633</v>
      </c>
      <c r="P117" s="666"/>
      <c r="Q117" s="666"/>
      <c r="X117" s="390">
        <f t="shared" si="28"/>
        <v>44927</v>
      </c>
      <c r="Y117" s="595">
        <f t="shared" si="28"/>
        <v>81.25</v>
      </c>
      <c r="Z117" s="595">
        <f t="shared" si="28"/>
        <v>8475</v>
      </c>
      <c r="AA117" s="595">
        <f t="shared" si="28"/>
        <v>8.4749999999999996</v>
      </c>
      <c r="AB117" s="31">
        <f t="shared" si="23"/>
        <v>71825625</v>
      </c>
      <c r="AC117" s="31">
        <f t="shared" si="24"/>
        <v>688593.75</v>
      </c>
      <c r="AD117" s="48">
        <f t="shared" si="25"/>
        <v>8892.1983811767568</v>
      </c>
      <c r="AE117" s="262">
        <f t="shared" si="26"/>
        <v>9655.4580906652263</v>
      </c>
      <c r="AF117" s="89">
        <f t="shared" si="27"/>
        <v>8128.9386716882882</v>
      </c>
    </row>
    <row r="118" spans="2:32" x14ac:dyDescent="0.25">
      <c r="E118" s="488" t="s">
        <v>631</v>
      </c>
      <c r="F118" s="312">
        <f>(E106*D120)/(E106+D120)</f>
        <v>10.182735991923272</v>
      </c>
      <c r="M118" s="667" t="str">
        <f>Q73</f>
        <v>Consumo [kWh/mes]</v>
      </c>
      <c r="N118" s="667"/>
      <c r="O118" s="666" t="s">
        <v>634</v>
      </c>
      <c r="P118" s="666"/>
      <c r="Q118" s="666"/>
      <c r="X118" s="390">
        <f t="shared" si="28"/>
        <v>44958</v>
      </c>
      <c r="Y118" s="595">
        <f t="shared" si="28"/>
        <v>104.56</v>
      </c>
      <c r="Z118" s="595">
        <f t="shared" si="28"/>
        <v>8802.64</v>
      </c>
      <c r="AA118" s="595">
        <f t="shared" si="28"/>
        <v>8.8026400000000002</v>
      </c>
      <c r="AB118" s="31">
        <f t="shared" si="23"/>
        <v>77486470.969599992</v>
      </c>
      <c r="AC118" s="31">
        <f t="shared" si="24"/>
        <v>920404.03839999996</v>
      </c>
      <c r="AD118" s="48">
        <f t="shared" si="25"/>
        <v>9105.6905412411379</v>
      </c>
      <c r="AE118" s="262">
        <f t="shared" si="26"/>
        <v>9868.9502507296056</v>
      </c>
      <c r="AF118" s="89">
        <f t="shared" si="27"/>
        <v>8342.4308317526702</v>
      </c>
    </row>
    <row r="119" spans="2:32" x14ac:dyDescent="0.25">
      <c r="F119" s="489">
        <f>F118</f>
        <v>10.182735991923272</v>
      </c>
      <c r="G119" t="s">
        <v>658</v>
      </c>
      <c r="X119" s="390">
        <f t="shared" si="28"/>
        <v>44986</v>
      </c>
      <c r="Y119" s="595">
        <f t="shared" si="28"/>
        <v>117.89</v>
      </c>
      <c r="Z119" s="595">
        <f t="shared" si="28"/>
        <v>9633.16</v>
      </c>
      <c r="AA119" s="595">
        <f t="shared" si="28"/>
        <v>9.6331600000000002</v>
      </c>
      <c r="AB119" s="31">
        <f t="shared" si="23"/>
        <v>92797771.585600004</v>
      </c>
      <c r="AC119" s="31">
        <f t="shared" si="24"/>
        <v>1135653.2324000001</v>
      </c>
      <c r="AD119" s="48">
        <f t="shared" si="25"/>
        <v>9227.7776495061826</v>
      </c>
      <c r="AE119" s="262">
        <f t="shared" si="26"/>
        <v>9991.0373589946503</v>
      </c>
      <c r="AF119" s="89">
        <f t="shared" si="27"/>
        <v>8464.5179400177149</v>
      </c>
    </row>
    <row r="120" spans="2:32" x14ac:dyDescent="0.25">
      <c r="C120" s="483" t="s">
        <v>630</v>
      </c>
      <c r="D120" s="1">
        <v>12</v>
      </c>
      <c r="X120" s="390">
        <f t="shared" si="28"/>
        <v>45017</v>
      </c>
      <c r="Y120" s="595">
        <f t="shared" si="28"/>
        <v>214.56</v>
      </c>
      <c r="Z120" s="595">
        <f t="shared" si="28"/>
        <v>9796.5</v>
      </c>
      <c r="AA120" s="595">
        <f t="shared" si="28"/>
        <v>9.7965</v>
      </c>
      <c r="AB120" s="31">
        <f t="shared" si="23"/>
        <v>95971412.25</v>
      </c>
      <c r="AC120" s="31">
        <f t="shared" si="24"/>
        <v>2101937.04</v>
      </c>
      <c r="AD120" s="48">
        <f t="shared" si="25"/>
        <v>10113.16105205546</v>
      </c>
      <c r="AE120" s="262">
        <f t="shared" si="26"/>
        <v>10876.42076154393</v>
      </c>
      <c r="AF120" s="89">
        <f t="shared" si="27"/>
        <v>9349.9013425669909</v>
      </c>
    </row>
    <row r="121" spans="2:32" x14ac:dyDescent="0.25">
      <c r="M121" s="656" t="s">
        <v>635</v>
      </c>
      <c r="N121" s="656"/>
      <c r="O121" s="656"/>
      <c r="P121" s="656"/>
      <c r="X121" s="390">
        <f t="shared" si="28"/>
        <v>45047</v>
      </c>
      <c r="Y121" s="595">
        <f t="shared" si="28"/>
        <v>314.16000000000003</v>
      </c>
      <c r="Z121" s="595">
        <f t="shared" si="28"/>
        <v>11503.69</v>
      </c>
      <c r="AA121" s="595">
        <f t="shared" si="28"/>
        <v>11.503690000000001</v>
      </c>
      <c r="AB121" s="31">
        <f t="shared" si="23"/>
        <v>132334883.61610001</v>
      </c>
      <c r="AC121" s="31">
        <f t="shared" si="24"/>
        <v>3613999.2504000003</v>
      </c>
      <c r="AD121" s="48">
        <f t="shared" si="25"/>
        <v>11025.379805483701</v>
      </c>
      <c r="AE121" s="262">
        <f t="shared" si="26"/>
        <v>11788.639514972168</v>
      </c>
      <c r="AF121" s="89">
        <f t="shared" si="27"/>
        <v>10262.120095995233</v>
      </c>
    </row>
    <row r="122" spans="2:32" x14ac:dyDescent="0.25">
      <c r="M122" s="1"/>
      <c r="N122" s="1"/>
      <c r="O122" s="668" t="s">
        <v>636</v>
      </c>
      <c r="P122" s="668"/>
      <c r="Q122" s="668"/>
      <c r="X122" s="390">
        <f t="shared" si="28"/>
        <v>45078</v>
      </c>
      <c r="Y122" s="595">
        <f t="shared" si="28"/>
        <v>199.52</v>
      </c>
      <c r="Z122" s="595">
        <f t="shared" si="28"/>
        <v>9636.34</v>
      </c>
      <c r="AA122" s="595">
        <f t="shared" si="28"/>
        <v>9.6363400000000006</v>
      </c>
      <c r="AB122" s="31">
        <f t="shared" si="23"/>
        <v>92859048.595600009</v>
      </c>
      <c r="AC122" s="31">
        <f t="shared" si="24"/>
        <v>1922642.5568000001</v>
      </c>
      <c r="AD122" s="48">
        <f t="shared" si="25"/>
        <v>9975.4123567586648</v>
      </c>
      <c r="AE122" s="262">
        <f t="shared" si="26"/>
        <v>10738.672066247134</v>
      </c>
      <c r="AF122" s="89">
        <f t="shared" si="27"/>
        <v>9212.1526472701953</v>
      </c>
    </row>
    <row r="123" spans="2:32" x14ac:dyDescent="0.25">
      <c r="X123" s="390">
        <f t="shared" si="28"/>
        <v>45108</v>
      </c>
      <c r="Y123" s="595">
        <f t="shared" si="28"/>
        <v>212.12</v>
      </c>
      <c r="Z123" s="595">
        <f t="shared" si="28"/>
        <v>10051.65</v>
      </c>
      <c r="AA123" s="595">
        <f t="shared" si="28"/>
        <v>10.05165</v>
      </c>
      <c r="AB123" s="31">
        <f t="shared" si="23"/>
        <v>101035667.7225</v>
      </c>
      <c r="AC123" s="31">
        <f t="shared" si="24"/>
        <v>2132155.9980000001</v>
      </c>
      <c r="AD123" s="48">
        <f t="shared" si="25"/>
        <v>10090.813524361034</v>
      </c>
      <c r="AE123" s="262">
        <f t="shared" si="26"/>
        <v>10854.073233849504</v>
      </c>
      <c r="AF123" s="89">
        <f t="shared" si="27"/>
        <v>9327.5538148725645</v>
      </c>
    </row>
    <row r="124" spans="2:32" x14ac:dyDescent="0.25">
      <c r="B124" s="666" t="s">
        <v>632</v>
      </c>
      <c r="C124" s="666"/>
      <c r="D124" s="666"/>
      <c r="E124" s="666"/>
      <c r="X124" s="390">
        <f t="shared" si="28"/>
        <v>45139</v>
      </c>
      <c r="Y124" s="595">
        <f t="shared" si="28"/>
        <v>112.32</v>
      </c>
      <c r="Z124" s="595">
        <f t="shared" si="28"/>
        <v>8620.61</v>
      </c>
      <c r="AA124" s="595">
        <f t="shared" si="28"/>
        <v>8.620610000000001</v>
      </c>
      <c r="AB124" s="31">
        <f t="shared" si="23"/>
        <v>74314916.772100016</v>
      </c>
      <c r="AC124" s="31">
        <f t="shared" si="24"/>
        <v>968266.91520000005</v>
      </c>
      <c r="AD124" s="48">
        <f t="shared" si="25"/>
        <v>9176.7630063676752</v>
      </c>
      <c r="AE124" s="262">
        <f t="shared" si="26"/>
        <v>9940.0227158561429</v>
      </c>
      <c r="AF124" s="89">
        <f t="shared" si="27"/>
        <v>8413.5032968792075</v>
      </c>
    </row>
    <row r="125" spans="2:32" x14ac:dyDescent="0.25">
      <c r="B125" s="667" t="str">
        <f>G73</f>
        <v>Emulsión Asfáltica [m³/mes]</v>
      </c>
      <c r="C125" s="667"/>
      <c r="D125" s="666" t="s">
        <v>633</v>
      </c>
      <c r="E125" s="666"/>
      <c r="F125" s="666"/>
      <c r="M125" s="656" t="s">
        <v>637</v>
      </c>
      <c r="N125" s="656"/>
      <c r="O125" s="656"/>
      <c r="P125" s="656"/>
      <c r="X125" s="390">
        <f t="shared" si="28"/>
        <v>45170</v>
      </c>
      <c r="Y125" s="595">
        <f t="shared" si="28"/>
        <v>81.5</v>
      </c>
      <c r="Z125" s="595">
        <f t="shared" si="28"/>
        <v>9013.66</v>
      </c>
      <c r="AA125" s="595">
        <f t="shared" si="28"/>
        <v>9.0136599999999998</v>
      </c>
      <c r="AB125" s="31">
        <f t="shared" si="23"/>
        <v>81246066.595599994</v>
      </c>
      <c r="AC125" s="31">
        <f t="shared" si="24"/>
        <v>734613.29</v>
      </c>
      <c r="AD125" s="48">
        <f t="shared" si="25"/>
        <v>8894.4880868831533</v>
      </c>
      <c r="AE125" s="262">
        <f t="shared" si="26"/>
        <v>9657.7477963716228</v>
      </c>
      <c r="AF125" s="89">
        <f t="shared" si="27"/>
        <v>8131.2283773946847</v>
      </c>
    </row>
    <row r="126" spans="2:32" x14ac:dyDescent="0.25">
      <c r="B126" s="667" t="str">
        <f>F73</f>
        <v>Consumo [kWh/mes]</v>
      </c>
      <c r="C126" s="667"/>
      <c r="D126" s="666" t="s">
        <v>634</v>
      </c>
      <c r="E126" s="666"/>
      <c r="F126" s="666"/>
      <c r="M126" s="1"/>
      <c r="N126" s="655" t="s">
        <v>660</v>
      </c>
      <c r="O126" s="655"/>
      <c r="P126" s="655"/>
      <c r="Q126" s="655"/>
      <c r="R126" s="485">
        <f>Q111</f>
        <v>22.588788710309679</v>
      </c>
      <c r="X126" s="390">
        <f t="shared" si="28"/>
        <v>45200</v>
      </c>
      <c r="Y126" s="595">
        <f t="shared" si="28"/>
        <v>70.14</v>
      </c>
      <c r="Z126" s="595">
        <f t="shared" si="28"/>
        <v>9003.9</v>
      </c>
      <c r="AA126" s="595">
        <f t="shared" si="28"/>
        <v>9.0038999999999998</v>
      </c>
      <c r="AB126" s="31">
        <f t="shared" si="23"/>
        <v>81070215.209999993</v>
      </c>
      <c r="AC126" s="31">
        <f t="shared" si="24"/>
        <v>631533.54599999997</v>
      </c>
      <c r="AD126" s="48">
        <f t="shared" si="25"/>
        <v>8790.4438595845095</v>
      </c>
      <c r="AE126" s="262">
        <f t="shared" si="26"/>
        <v>9553.703569072979</v>
      </c>
      <c r="AF126" s="89">
        <f t="shared" si="27"/>
        <v>8027.1841500960409</v>
      </c>
    </row>
    <row r="127" spans="2:32" x14ac:dyDescent="0.25">
      <c r="M127" s="1"/>
      <c r="N127" s="655" t="s">
        <v>661</v>
      </c>
      <c r="O127" s="655"/>
      <c r="P127" s="655"/>
      <c r="Q127" s="655"/>
      <c r="R127" s="490" t="s">
        <v>663</v>
      </c>
      <c r="S127" s="491">
        <f>T101</f>
        <v>7.6028147736337662E-2</v>
      </c>
      <c r="T127" s="59" t="s">
        <v>662</v>
      </c>
      <c r="U127" s="513">
        <f>O105</f>
        <v>0.5</v>
      </c>
      <c r="X127" s="390">
        <f t="shared" si="28"/>
        <v>45231</v>
      </c>
      <c r="Y127" s="595">
        <f t="shared" si="28"/>
        <v>181.45</v>
      </c>
      <c r="Z127" s="595">
        <f t="shared" si="28"/>
        <v>10060.049999999999</v>
      </c>
      <c r="AA127" s="595">
        <f t="shared" si="28"/>
        <v>10.060049999999999</v>
      </c>
      <c r="AB127" s="31">
        <f t="shared" si="23"/>
        <v>101204606.00249998</v>
      </c>
      <c r="AC127" s="31">
        <f t="shared" si="24"/>
        <v>1825396.0724999998</v>
      </c>
      <c r="AD127" s="48">
        <f t="shared" si="25"/>
        <v>9809.9124283003493</v>
      </c>
      <c r="AE127" s="262">
        <f t="shared" si="26"/>
        <v>10573.172137788817</v>
      </c>
      <c r="AF127" s="89">
        <f t="shared" si="27"/>
        <v>9046.6527188118816</v>
      </c>
    </row>
    <row r="128" spans="2:32" x14ac:dyDescent="0.25">
      <c r="M128" s="1"/>
      <c r="N128" s="655"/>
      <c r="O128" s="655"/>
      <c r="P128" s="655"/>
      <c r="Q128" s="655"/>
      <c r="R128" s="661" t="str">
        <f>IF(S127&lt;U127,"Si los datos son buenos","No los datos son malos")</f>
        <v>Si los datos son buenos</v>
      </c>
      <c r="S128" s="661"/>
      <c r="X128" s="390">
        <f t="shared" si="28"/>
        <v>45261</v>
      </c>
      <c r="Y128" s="595">
        <f t="shared" si="28"/>
        <v>59.85</v>
      </c>
      <c r="Z128" s="595">
        <f t="shared" si="28"/>
        <v>8468.25</v>
      </c>
      <c r="AA128" s="595">
        <f t="shared" si="28"/>
        <v>8.4682499999999994</v>
      </c>
      <c r="AB128" s="31">
        <f t="shared" si="23"/>
        <v>71711258.0625</v>
      </c>
      <c r="AC128" s="31">
        <f t="shared" si="24"/>
        <v>506824.76250000001</v>
      </c>
      <c r="AD128" s="48">
        <f t="shared" si="25"/>
        <v>8696.1995727092435</v>
      </c>
      <c r="AE128" s="262">
        <f t="shared" si="26"/>
        <v>9459.459282197713</v>
      </c>
      <c r="AF128" s="89">
        <f t="shared" si="27"/>
        <v>7932.9398632207749</v>
      </c>
    </row>
    <row r="129" spans="2:38" x14ac:dyDescent="0.25">
      <c r="B129" s="666" t="s">
        <v>635</v>
      </c>
      <c r="C129" s="666"/>
      <c r="D129" s="666"/>
      <c r="E129" s="666"/>
      <c r="Y129" s="488" t="s">
        <v>665</v>
      </c>
      <c r="Z129" s="60">
        <f>SUM(Z106:Z128)</f>
        <v>217440.45999999996</v>
      </c>
      <c r="AA129" s="488" t="s">
        <v>665</v>
      </c>
      <c r="AB129" s="31">
        <f>SUM(AB106:AB128)</f>
        <v>2067411078.4326</v>
      </c>
      <c r="AC129" s="31">
        <f>SUM(AC106:AC128)</f>
        <v>32897477.548746999</v>
      </c>
    </row>
    <row r="130" spans="2:38" x14ac:dyDescent="0.25">
      <c r="D130" s="668" t="s">
        <v>636</v>
      </c>
      <c r="E130" s="668"/>
      <c r="F130" s="668"/>
      <c r="L130" s="92"/>
      <c r="M130" s="92"/>
      <c r="N130" s="92"/>
      <c r="O130" s="92"/>
      <c r="P130" s="92"/>
      <c r="Q130" s="92"/>
      <c r="R130" s="92"/>
    </row>
    <row r="131" spans="2:38" x14ac:dyDescent="0.25">
      <c r="O131" s="1" t="s">
        <v>630</v>
      </c>
      <c r="P131" s="643">
        <v>24</v>
      </c>
      <c r="T131" s="643">
        <v>543098</v>
      </c>
    </row>
    <row r="132" spans="2:38" x14ac:dyDescent="0.25">
      <c r="M132" s="1" t="s">
        <v>1172</v>
      </c>
      <c r="O132" s="1" t="s">
        <v>650</v>
      </c>
      <c r="P132" s="1">
        <v>1.96</v>
      </c>
      <c r="Q132" s="376">
        <f>P132^2</f>
        <v>3.8415999999999997</v>
      </c>
      <c r="T132" s="1">
        <v>1.96</v>
      </c>
      <c r="U132" s="376">
        <f>T132^2</f>
        <v>3.8415999999999997</v>
      </c>
      <c r="Y132" s="17" t="s">
        <v>680</v>
      </c>
      <c r="Z132" s="31">
        <f>STEYX(Z106:Z128,Y106:Y128)</f>
        <v>301.38763731834086</v>
      </c>
    </row>
    <row r="133" spans="2:38" x14ac:dyDescent="0.25">
      <c r="B133" s="666" t="s">
        <v>637</v>
      </c>
      <c r="C133" s="666"/>
      <c r="D133" s="666"/>
      <c r="E133" s="666"/>
      <c r="L133" s="1"/>
      <c r="M133" s="351" t="s">
        <v>1173</v>
      </c>
      <c r="O133" s="1" t="s">
        <v>651</v>
      </c>
      <c r="P133" s="644">
        <v>0.03</v>
      </c>
      <c r="Q133" s="376">
        <f>P133^2</f>
        <v>8.9999999999999998E-4</v>
      </c>
      <c r="T133" s="644">
        <v>0.03</v>
      </c>
      <c r="U133" s="376">
        <f>T133^2</f>
        <v>8.9999999999999998E-4</v>
      </c>
    </row>
    <row r="134" spans="2:38" x14ac:dyDescent="0.25">
      <c r="C134" s="655" t="s">
        <v>660</v>
      </c>
      <c r="D134" s="655"/>
      <c r="E134" s="655"/>
      <c r="F134" s="655"/>
      <c r="G134" s="485">
        <f>F119</f>
        <v>10.182735991923272</v>
      </c>
      <c r="L134" s="1"/>
      <c r="M134" s="1" t="s">
        <v>1177</v>
      </c>
      <c r="O134" s="1" t="s">
        <v>1171</v>
      </c>
      <c r="P134" s="644">
        <v>0.5</v>
      </c>
      <c r="T134" s="644">
        <v>0.5</v>
      </c>
    </row>
    <row r="135" spans="2:38" x14ac:dyDescent="0.25">
      <c r="C135" s="655" t="s">
        <v>661</v>
      </c>
      <c r="D135" s="655"/>
      <c r="E135" s="655"/>
      <c r="F135" s="655"/>
      <c r="G135" s="490" t="s">
        <v>663</v>
      </c>
      <c r="H135" s="491">
        <f>I102</f>
        <v>7.6028147736337662E-2</v>
      </c>
      <c r="I135" s="59" t="s">
        <v>662</v>
      </c>
      <c r="J135" s="58">
        <f>D113</f>
        <v>0.5</v>
      </c>
      <c r="L135" s="1"/>
      <c r="M135" s="1" t="s">
        <v>1178</v>
      </c>
      <c r="O135" s="1" t="s">
        <v>1174</v>
      </c>
      <c r="P135" s="644">
        <v>0.5</v>
      </c>
      <c r="T135" s="644">
        <v>0.5</v>
      </c>
    </row>
    <row r="136" spans="2:38" x14ac:dyDescent="0.25">
      <c r="C136" s="655"/>
      <c r="D136" s="655"/>
      <c r="E136" s="655"/>
      <c r="F136" s="655"/>
      <c r="G136" s="661" t="str">
        <f>IF(H135&lt;J135,"Si los datos son buenos","No los datos son malos")</f>
        <v>Si los datos son buenos</v>
      </c>
      <c r="H136" s="661"/>
      <c r="O136" s="1"/>
      <c r="P136" s="1"/>
      <c r="T136" s="1"/>
    </row>
    <row r="137" spans="2:38" x14ac:dyDescent="0.25">
      <c r="O137" s="1" t="s">
        <v>1175</v>
      </c>
      <c r="P137" s="665">
        <f>P131*Q132*P134*P135</f>
        <v>23.049599999999998</v>
      </c>
      <c r="Q137" s="665"/>
      <c r="T137" s="665">
        <f>T131*U132*T134*T135</f>
        <v>521591.31919999997</v>
      </c>
      <c r="U137" s="665"/>
      <c r="AH137" s="656" t="s">
        <v>690</v>
      </c>
      <c r="AI137" s="656"/>
      <c r="AJ137" s="656"/>
      <c r="AK137" s="656"/>
      <c r="AL137" s="656"/>
    </row>
    <row r="138" spans="2:38" x14ac:dyDescent="0.25">
      <c r="M138" s="492"/>
      <c r="N138" s="357"/>
      <c r="O138" s="1" t="s">
        <v>1176</v>
      </c>
      <c r="P138" s="665">
        <f>Q133*(P131-1)+Q132*P134*P135</f>
        <v>0.98109999999999997</v>
      </c>
      <c r="Q138" s="665"/>
      <c r="T138" s="665">
        <f>U133*(T131-1)+U132*T134*T135</f>
        <v>489.74769999999995</v>
      </c>
      <c r="U138" s="665"/>
      <c r="AH138" s="656" t="s">
        <v>691</v>
      </c>
      <c r="AI138" s="656"/>
      <c r="AJ138" s="656"/>
      <c r="AK138" s="656"/>
      <c r="AL138" s="656"/>
    </row>
    <row r="140" spans="2:38" x14ac:dyDescent="0.25">
      <c r="O140" s="1" t="s">
        <v>631</v>
      </c>
      <c r="P140" s="22">
        <f>P137/P138</f>
        <v>23.493629599429212</v>
      </c>
      <c r="T140" s="1" t="s">
        <v>631</v>
      </c>
      <c r="U140" s="22">
        <f>T137/T138</f>
        <v>1065.020456859726</v>
      </c>
    </row>
    <row r="141" spans="2:38" ht="15.75" thickBot="1" x14ac:dyDescent="0.3">
      <c r="L141" s="95"/>
      <c r="M141" s="95"/>
      <c r="N141" s="95"/>
      <c r="O141" s="95"/>
      <c r="P141" s="95"/>
      <c r="Q141" s="95"/>
      <c r="R141" s="95"/>
      <c r="AH141" t="s">
        <v>642</v>
      </c>
    </row>
    <row r="142" spans="2:38" ht="16.5" thickTop="1" thickBot="1" x14ac:dyDescent="0.3"/>
    <row r="143" spans="2:38" x14ac:dyDescent="0.25">
      <c r="D143" s="662" t="s">
        <v>1064</v>
      </c>
      <c r="E143" s="663" t="s">
        <v>748</v>
      </c>
      <c r="F143" s="663"/>
      <c r="G143" s="663"/>
      <c r="H143" s="663"/>
      <c r="I143" s="662" t="s">
        <v>1064</v>
      </c>
      <c r="J143" s="664" t="s">
        <v>748</v>
      </c>
      <c r="K143" s="664"/>
      <c r="L143" s="664"/>
      <c r="M143" s="664"/>
      <c r="P143">
        <f>Q110/P140</f>
        <v>0.9614856918855349</v>
      </c>
      <c r="AH143" s="598" t="s">
        <v>682</v>
      </c>
      <c r="AI143" s="598"/>
    </row>
    <row r="144" spans="2:38" x14ac:dyDescent="0.25">
      <c r="D144" s="662"/>
      <c r="E144" s="614">
        <v>0.95</v>
      </c>
      <c r="F144" s="614">
        <v>0.9</v>
      </c>
      <c r="G144" s="614">
        <v>0.8</v>
      </c>
      <c r="H144" s="614">
        <v>0.5</v>
      </c>
      <c r="I144" s="662"/>
      <c r="J144" s="614">
        <v>0.95</v>
      </c>
      <c r="K144" s="614">
        <v>0.9</v>
      </c>
      <c r="L144" s="615">
        <v>0.8</v>
      </c>
      <c r="M144" s="616">
        <v>0.5</v>
      </c>
      <c r="AH144" t="s">
        <v>683</v>
      </c>
      <c r="AI144" s="22">
        <v>0.91518742083292692</v>
      </c>
    </row>
    <row r="145" spans="4:42" x14ac:dyDescent="0.25">
      <c r="D145" s="617">
        <v>2</v>
      </c>
      <c r="E145" s="618" t="s">
        <v>1065</v>
      </c>
      <c r="F145" s="618" t="s">
        <v>1066</v>
      </c>
      <c r="G145" s="618" t="s">
        <v>1067</v>
      </c>
      <c r="H145" s="618" t="s">
        <v>1068</v>
      </c>
      <c r="I145" s="618">
        <v>17</v>
      </c>
      <c r="J145" s="618" t="s">
        <v>1069</v>
      </c>
      <c r="K145" s="618" t="s">
        <v>1070</v>
      </c>
      <c r="L145" s="619" t="s">
        <v>1071</v>
      </c>
      <c r="M145" s="620" t="s">
        <v>1072</v>
      </c>
      <c r="AH145" t="s">
        <v>698</v>
      </c>
      <c r="AI145" s="22">
        <v>0.8375680152508248</v>
      </c>
    </row>
    <row r="146" spans="4:42" ht="15" customHeight="1" x14ac:dyDescent="0.25">
      <c r="D146" s="617">
        <v>3</v>
      </c>
      <c r="E146" s="618" t="s">
        <v>1073</v>
      </c>
      <c r="F146" s="618" t="s">
        <v>1074</v>
      </c>
      <c r="G146" s="618" t="s">
        <v>1075</v>
      </c>
      <c r="H146" s="618" t="s">
        <v>1076</v>
      </c>
      <c r="I146" s="618">
        <v>18</v>
      </c>
      <c r="J146" s="618" t="s">
        <v>1069</v>
      </c>
      <c r="K146" s="618" t="s">
        <v>1077</v>
      </c>
      <c r="L146" s="619" t="s">
        <v>1078</v>
      </c>
      <c r="M146" s="620" t="s">
        <v>1072</v>
      </c>
      <c r="AH146" t="s">
        <v>699</v>
      </c>
      <c r="AI146" s="22">
        <v>0.82983315883419739</v>
      </c>
    </row>
    <row r="147" spans="4:42" x14ac:dyDescent="0.25">
      <c r="D147" s="617">
        <v>4</v>
      </c>
      <c r="E147" s="618" t="s">
        <v>1079</v>
      </c>
      <c r="F147" s="618" t="s">
        <v>1080</v>
      </c>
      <c r="G147" s="618" t="s">
        <v>1081</v>
      </c>
      <c r="H147" s="618" t="s">
        <v>1082</v>
      </c>
      <c r="I147" s="618">
        <v>19</v>
      </c>
      <c r="J147" s="618" t="s">
        <v>1083</v>
      </c>
      <c r="K147" s="618" t="s">
        <v>1084</v>
      </c>
      <c r="L147" s="619" t="s">
        <v>1078</v>
      </c>
      <c r="M147" s="620" t="s">
        <v>1072</v>
      </c>
      <c r="AH147" t="s">
        <v>639</v>
      </c>
      <c r="AI147" s="22">
        <v>301.38763731834081</v>
      </c>
    </row>
    <row r="148" spans="4:42" ht="15.75" thickBot="1" x14ac:dyDescent="0.3">
      <c r="D148" s="617">
        <v>5</v>
      </c>
      <c r="E148" s="618" t="s">
        <v>1085</v>
      </c>
      <c r="F148" s="618" t="s">
        <v>1086</v>
      </c>
      <c r="G148" s="618" t="s">
        <v>1087</v>
      </c>
      <c r="H148" s="618" t="s">
        <v>1088</v>
      </c>
      <c r="I148" s="618">
        <v>20</v>
      </c>
      <c r="J148" s="618" t="s">
        <v>1089</v>
      </c>
      <c r="K148" s="618" t="s">
        <v>1084</v>
      </c>
      <c r="L148" s="619" t="s">
        <v>1078</v>
      </c>
      <c r="M148" s="620" t="s">
        <v>1072</v>
      </c>
      <c r="AH148" s="98" t="s">
        <v>641</v>
      </c>
      <c r="AI148" s="98">
        <v>23</v>
      </c>
    </row>
    <row r="149" spans="4:42" x14ac:dyDescent="0.25">
      <c r="D149" s="617">
        <v>6</v>
      </c>
      <c r="E149" s="618" t="s">
        <v>1090</v>
      </c>
      <c r="F149" s="618" t="s">
        <v>1091</v>
      </c>
      <c r="G149" s="618" t="s">
        <v>1092</v>
      </c>
      <c r="H149" s="618" t="s">
        <v>1093</v>
      </c>
      <c r="I149" s="618">
        <v>21</v>
      </c>
      <c r="J149" s="618" t="s">
        <v>1094</v>
      </c>
      <c r="K149" s="618" t="s">
        <v>1095</v>
      </c>
      <c r="L149" s="619" t="s">
        <v>1078</v>
      </c>
      <c r="M149" s="620" t="s">
        <v>1072</v>
      </c>
    </row>
    <row r="150" spans="4:42" ht="15.75" thickBot="1" x14ac:dyDescent="0.3">
      <c r="D150" s="617">
        <v>7</v>
      </c>
      <c r="E150" s="618" t="s">
        <v>1096</v>
      </c>
      <c r="F150" s="618" t="s">
        <v>1097</v>
      </c>
      <c r="G150" s="618" t="s">
        <v>1098</v>
      </c>
      <c r="H150" s="618" t="s">
        <v>1099</v>
      </c>
      <c r="I150" s="618">
        <v>22</v>
      </c>
      <c r="J150" s="618" t="s">
        <v>1100</v>
      </c>
      <c r="K150" s="618" t="s">
        <v>1095</v>
      </c>
      <c r="L150" s="619" t="s">
        <v>1101</v>
      </c>
      <c r="M150" s="620" t="s">
        <v>1072</v>
      </c>
      <c r="AH150" t="s">
        <v>696</v>
      </c>
    </row>
    <row r="151" spans="4:42" x14ac:dyDescent="0.25">
      <c r="D151" s="617">
        <v>8</v>
      </c>
      <c r="E151" s="618" t="s">
        <v>1102</v>
      </c>
      <c r="F151" s="618" t="s">
        <v>1075</v>
      </c>
      <c r="G151" s="618" t="s">
        <v>1103</v>
      </c>
      <c r="H151" s="618" t="s">
        <v>1104</v>
      </c>
      <c r="I151" s="618">
        <v>23</v>
      </c>
      <c r="J151" s="618" t="s">
        <v>1105</v>
      </c>
      <c r="K151" s="618" t="s">
        <v>1095</v>
      </c>
      <c r="L151" s="619" t="s">
        <v>1101</v>
      </c>
      <c r="M151" s="620" t="s">
        <v>1072</v>
      </c>
      <c r="AH151" s="597"/>
      <c r="AI151" s="597" t="s">
        <v>686</v>
      </c>
      <c r="AJ151" s="597" t="s">
        <v>692</v>
      </c>
      <c r="AK151" s="597" t="s">
        <v>693</v>
      </c>
      <c r="AL151" s="597" t="s">
        <v>694</v>
      </c>
      <c r="AM151" s="597" t="s">
        <v>695</v>
      </c>
    </row>
    <row r="152" spans="4:42" x14ac:dyDescent="0.25">
      <c r="D152" s="617">
        <v>9</v>
      </c>
      <c r="E152" s="618" t="s">
        <v>1106</v>
      </c>
      <c r="F152" s="618" t="s">
        <v>1107</v>
      </c>
      <c r="G152" s="618" t="s">
        <v>1108</v>
      </c>
      <c r="H152" s="618" t="s">
        <v>1104</v>
      </c>
      <c r="I152" s="618">
        <v>24</v>
      </c>
      <c r="J152" s="618" t="s">
        <v>1105</v>
      </c>
      <c r="K152" s="618" t="s">
        <v>1109</v>
      </c>
      <c r="L152" s="619" t="s">
        <v>1101</v>
      </c>
      <c r="M152" s="620" t="s">
        <v>1072</v>
      </c>
      <c r="AH152" t="s">
        <v>687</v>
      </c>
      <c r="AI152">
        <v>1</v>
      </c>
      <c r="AJ152" s="22">
        <v>9836003.9829919897</v>
      </c>
      <c r="AK152" s="22">
        <v>9836003.9829919897</v>
      </c>
      <c r="AL152" s="22">
        <v>108.28488211498407</v>
      </c>
      <c r="AM152" s="276">
        <v>9.6074687871608414E-10</v>
      </c>
    </row>
    <row r="153" spans="4:42" x14ac:dyDescent="0.25">
      <c r="D153" s="617">
        <v>10</v>
      </c>
      <c r="E153" s="618" t="s">
        <v>1110</v>
      </c>
      <c r="F153" s="618" t="s">
        <v>1111</v>
      </c>
      <c r="G153" s="618" t="s">
        <v>1112</v>
      </c>
      <c r="H153" s="618" t="s">
        <v>1113</v>
      </c>
      <c r="I153" s="618">
        <v>25</v>
      </c>
      <c r="J153" s="618" t="s">
        <v>1114</v>
      </c>
      <c r="K153" s="618" t="s">
        <v>1109</v>
      </c>
      <c r="L153" s="619" t="s">
        <v>1101</v>
      </c>
      <c r="M153" s="620" t="s">
        <v>1072</v>
      </c>
      <c r="AH153" t="s">
        <v>688</v>
      </c>
      <c r="AI153">
        <v>21</v>
      </c>
      <c r="AJ153" s="22">
        <v>1907524.6664949667</v>
      </c>
      <c r="AK153" s="22">
        <v>90834.507928331746</v>
      </c>
      <c r="AL153" s="22"/>
    </row>
    <row r="154" spans="4:42" ht="15.75" thickBot="1" x14ac:dyDescent="0.3">
      <c r="D154" s="617">
        <v>11</v>
      </c>
      <c r="E154" s="618" t="s">
        <v>1115</v>
      </c>
      <c r="F154" s="618" t="s">
        <v>1116</v>
      </c>
      <c r="G154" s="618" t="s">
        <v>1117</v>
      </c>
      <c r="H154" s="618" t="s">
        <v>1113</v>
      </c>
      <c r="I154" s="618">
        <v>26</v>
      </c>
      <c r="J154" s="618" t="s">
        <v>1114</v>
      </c>
      <c r="K154" s="618" t="s">
        <v>1109</v>
      </c>
      <c r="L154" s="619" t="s">
        <v>1101</v>
      </c>
      <c r="M154" s="620" t="s">
        <v>1072</v>
      </c>
      <c r="AH154" s="98" t="s">
        <v>64</v>
      </c>
      <c r="AI154" s="98">
        <v>22</v>
      </c>
      <c r="AJ154" s="611">
        <v>11743528.649486957</v>
      </c>
      <c r="AK154" s="98"/>
      <c r="AL154" s="98"/>
      <c r="AM154" s="98"/>
    </row>
    <row r="155" spans="4:42" ht="15.75" thickBot="1" x14ac:dyDescent="0.3">
      <c r="D155" s="617">
        <v>12</v>
      </c>
      <c r="E155" s="618" t="s">
        <v>1118</v>
      </c>
      <c r="F155" s="618" t="s">
        <v>1119</v>
      </c>
      <c r="G155" s="618" t="s">
        <v>1120</v>
      </c>
      <c r="H155" s="618" t="s">
        <v>1113</v>
      </c>
      <c r="I155" s="618">
        <v>27</v>
      </c>
      <c r="J155" s="618" t="s">
        <v>1114</v>
      </c>
      <c r="K155" s="618" t="s">
        <v>1109</v>
      </c>
      <c r="L155" s="619" t="s">
        <v>1121</v>
      </c>
      <c r="M155" s="620" t="s">
        <v>1072</v>
      </c>
    </row>
    <row r="156" spans="4:42" x14ac:dyDescent="0.25">
      <c r="D156" s="617">
        <v>13</v>
      </c>
      <c r="E156" s="618" t="s">
        <v>1122</v>
      </c>
      <c r="F156" s="618" t="s">
        <v>1123</v>
      </c>
      <c r="G156" s="618" t="s">
        <v>1120</v>
      </c>
      <c r="H156" s="618" t="s">
        <v>1113</v>
      </c>
      <c r="I156" s="618">
        <v>28</v>
      </c>
      <c r="J156" s="618" t="s">
        <v>1124</v>
      </c>
      <c r="K156" s="618" t="s">
        <v>1125</v>
      </c>
      <c r="L156" s="619" t="s">
        <v>1121</v>
      </c>
      <c r="M156" s="620" t="s">
        <v>1072</v>
      </c>
      <c r="AH156" s="597"/>
      <c r="AI156" s="597" t="s">
        <v>638</v>
      </c>
      <c r="AJ156" s="597" t="s">
        <v>639</v>
      </c>
      <c r="AK156" s="597" t="s">
        <v>640</v>
      </c>
      <c r="AL156" s="597" t="s">
        <v>697</v>
      </c>
      <c r="AM156" s="597" t="s">
        <v>701</v>
      </c>
      <c r="AN156" s="597" t="s">
        <v>702</v>
      </c>
      <c r="AO156" s="597" t="s">
        <v>703</v>
      </c>
      <c r="AP156" s="597" t="s">
        <v>704</v>
      </c>
    </row>
    <row r="157" spans="4:42" x14ac:dyDescent="0.25">
      <c r="D157" s="617">
        <v>14</v>
      </c>
      <c r="E157" s="618" t="s">
        <v>1126</v>
      </c>
      <c r="F157" s="618" t="s">
        <v>1127</v>
      </c>
      <c r="G157" s="618" t="s">
        <v>1128</v>
      </c>
      <c r="H157" s="618" t="s">
        <v>1072</v>
      </c>
      <c r="I157" s="618">
        <v>29</v>
      </c>
      <c r="J157" s="618" t="s">
        <v>1124</v>
      </c>
      <c r="K157" s="618" t="s">
        <v>1125</v>
      </c>
      <c r="L157" s="619" t="s">
        <v>1121</v>
      </c>
      <c r="M157" s="620" t="s">
        <v>1072</v>
      </c>
      <c r="AH157" t="s">
        <v>700</v>
      </c>
      <c r="AI157" s="22">
        <v>8058.7058534257458</v>
      </c>
      <c r="AJ157" s="22">
        <v>148.07608104265964</v>
      </c>
      <c r="AK157" s="22">
        <v>54.422738613024826</v>
      </c>
      <c r="AL157" s="276">
        <v>4.3327044217935491E-24</v>
      </c>
      <c r="AM157" s="22">
        <v>7750.7647852164127</v>
      </c>
      <c r="AN157" s="22">
        <v>8366.6469216350779</v>
      </c>
      <c r="AO157" s="22">
        <v>7750.7647852164127</v>
      </c>
      <c r="AP157" s="22">
        <v>8366.6469216350779</v>
      </c>
    </row>
    <row r="158" spans="4:42" ht="15.75" thickBot="1" x14ac:dyDescent="0.3">
      <c r="D158" s="617">
        <v>15</v>
      </c>
      <c r="E158" s="618" t="s">
        <v>1129</v>
      </c>
      <c r="F158" s="618" t="s">
        <v>1130</v>
      </c>
      <c r="G158" s="618" t="s">
        <v>1128</v>
      </c>
      <c r="H158" s="618" t="s">
        <v>1072</v>
      </c>
      <c r="I158" s="618">
        <v>30</v>
      </c>
      <c r="J158" s="618" t="s">
        <v>1124</v>
      </c>
      <c r="K158" s="618" t="s">
        <v>1125</v>
      </c>
      <c r="L158" s="619" t="s">
        <v>1121</v>
      </c>
      <c r="M158" s="620" t="s">
        <v>1072</v>
      </c>
      <c r="AH158" s="98" t="s">
        <v>705</v>
      </c>
      <c r="AI158" s="611">
        <v>9.520938057588177</v>
      </c>
      <c r="AJ158" s="611">
        <v>0.91494676439171108</v>
      </c>
      <c r="AK158" s="611">
        <v>10.406002215787968</v>
      </c>
      <c r="AL158" s="612">
        <v>9.6074687871608414E-10</v>
      </c>
      <c r="AM158" s="611">
        <v>7.6182020991703805</v>
      </c>
      <c r="AN158" s="611">
        <v>11.423674016005974</v>
      </c>
      <c r="AO158" s="611">
        <v>7.6182020991703805</v>
      </c>
      <c r="AP158" s="611">
        <v>11.423674016005974</v>
      </c>
    </row>
    <row r="159" spans="4:42" x14ac:dyDescent="0.25">
      <c r="D159" s="617">
        <v>16</v>
      </c>
      <c r="E159" s="618" t="s">
        <v>1086</v>
      </c>
      <c r="F159" s="618" t="s">
        <v>1070</v>
      </c>
      <c r="G159" s="618" t="s">
        <v>1071</v>
      </c>
      <c r="H159" s="618" t="s">
        <v>1072</v>
      </c>
      <c r="I159" s="618" t="s">
        <v>1131</v>
      </c>
      <c r="J159" s="618" t="s">
        <v>1132</v>
      </c>
      <c r="K159" s="618" t="s">
        <v>1081</v>
      </c>
      <c r="L159" s="619" t="s">
        <v>1133</v>
      </c>
      <c r="M159" s="620" t="s">
        <v>1072</v>
      </c>
    </row>
    <row r="163" spans="24:44" x14ac:dyDescent="0.25">
      <c r="X163" s="656" t="s">
        <v>1039</v>
      </c>
      <c r="Y163" s="656"/>
      <c r="Z163" s="656"/>
      <c r="AA163" s="656"/>
      <c r="AB163" s="656"/>
      <c r="AC163" s="656"/>
      <c r="AD163" s="656"/>
      <c r="AE163" s="656"/>
      <c r="AI163" s="441"/>
      <c r="AJ163" s="621" t="s">
        <v>1063</v>
      </c>
      <c r="AK163" s="441"/>
      <c r="AL163" t="s">
        <v>1134</v>
      </c>
    </row>
    <row r="164" spans="24:44" x14ac:dyDescent="0.25">
      <c r="X164" t="s">
        <v>706</v>
      </c>
    </row>
    <row r="165" spans="24:44" x14ac:dyDescent="0.25">
      <c r="AI165" s="652" t="s">
        <v>1064</v>
      </c>
      <c r="AJ165" s="652" t="s">
        <v>748</v>
      </c>
      <c r="AK165" s="652"/>
      <c r="AL165" s="652"/>
      <c r="AM165" s="652"/>
      <c r="AN165" s="652" t="s">
        <v>1064</v>
      </c>
      <c r="AO165" s="653" t="s">
        <v>748</v>
      </c>
      <c r="AP165" s="653"/>
      <c r="AQ165" s="653"/>
      <c r="AR165" s="653"/>
    </row>
    <row r="166" spans="24:44" x14ac:dyDescent="0.25">
      <c r="X166" t="s">
        <v>1040</v>
      </c>
      <c r="AI166" s="652"/>
      <c r="AJ166" s="614">
        <v>0.95</v>
      </c>
      <c r="AK166" s="614">
        <v>0.9</v>
      </c>
      <c r="AL166" s="614">
        <v>0.8</v>
      </c>
      <c r="AM166" s="614">
        <v>0.5</v>
      </c>
      <c r="AN166" s="652"/>
      <c r="AO166" s="614">
        <v>0.95</v>
      </c>
      <c r="AP166" s="614">
        <v>0.9</v>
      </c>
      <c r="AQ166" s="615">
        <v>0.8</v>
      </c>
      <c r="AR166" s="616">
        <v>0.5</v>
      </c>
    </row>
    <row r="167" spans="24:44" x14ac:dyDescent="0.25">
      <c r="AI167" s="617">
        <v>2</v>
      </c>
      <c r="AJ167" s="618" t="s">
        <v>1065</v>
      </c>
      <c r="AK167" s="618" t="s">
        <v>1066</v>
      </c>
      <c r="AL167" s="618" t="s">
        <v>1067</v>
      </c>
      <c r="AM167" s="618" t="s">
        <v>1068</v>
      </c>
      <c r="AN167" s="618">
        <v>17</v>
      </c>
      <c r="AO167" s="618" t="s">
        <v>1069</v>
      </c>
      <c r="AP167" s="618" t="s">
        <v>1070</v>
      </c>
      <c r="AQ167" s="619" t="s">
        <v>1071</v>
      </c>
      <c r="AR167" s="620" t="s">
        <v>1072</v>
      </c>
    </row>
    <row r="168" spans="24:44" x14ac:dyDescent="0.25">
      <c r="X168" t="s">
        <v>711</v>
      </c>
      <c r="AI168" s="617">
        <v>3</v>
      </c>
      <c r="AJ168" s="618" t="s">
        <v>1073</v>
      </c>
      <c r="AK168" s="618" t="s">
        <v>1074</v>
      </c>
      <c r="AL168" s="618" t="s">
        <v>1075</v>
      </c>
      <c r="AM168" s="618" t="s">
        <v>1076</v>
      </c>
      <c r="AN168" s="618">
        <v>18</v>
      </c>
      <c r="AO168" s="618" t="s">
        <v>1069</v>
      </c>
      <c r="AP168" s="618" t="s">
        <v>1077</v>
      </c>
      <c r="AQ168" s="619" t="s">
        <v>1078</v>
      </c>
      <c r="AR168" s="620" t="s">
        <v>1072</v>
      </c>
    </row>
    <row r="169" spans="24:44" x14ac:dyDescent="0.25">
      <c r="X169" t="s">
        <v>712</v>
      </c>
      <c r="AI169" s="617">
        <v>4</v>
      </c>
      <c r="AJ169" s="618" t="s">
        <v>1079</v>
      </c>
      <c r="AK169" s="618" t="s">
        <v>1080</v>
      </c>
      <c r="AL169" s="618" t="s">
        <v>1081</v>
      </c>
      <c r="AM169" s="618" t="s">
        <v>1082</v>
      </c>
      <c r="AN169" s="618">
        <v>19</v>
      </c>
      <c r="AO169" s="618" t="s">
        <v>1083</v>
      </c>
      <c r="AP169" s="618" t="s">
        <v>1084</v>
      </c>
      <c r="AQ169" s="619" t="s">
        <v>1078</v>
      </c>
      <c r="AR169" s="620" t="s">
        <v>1072</v>
      </c>
    </row>
    <row r="170" spans="24:44" x14ac:dyDescent="0.25">
      <c r="X170" t="s">
        <v>713</v>
      </c>
      <c r="AI170" s="617">
        <v>5</v>
      </c>
      <c r="AJ170" s="618" t="s">
        <v>1085</v>
      </c>
      <c r="AK170" s="618" t="s">
        <v>1086</v>
      </c>
      <c r="AL170" s="618" t="s">
        <v>1087</v>
      </c>
      <c r="AM170" s="618" t="s">
        <v>1088</v>
      </c>
      <c r="AN170" s="618">
        <v>20</v>
      </c>
      <c r="AO170" s="618" t="s">
        <v>1089</v>
      </c>
      <c r="AP170" s="618" t="s">
        <v>1084</v>
      </c>
      <c r="AQ170" s="619" t="s">
        <v>1078</v>
      </c>
      <c r="AR170" s="620" t="s">
        <v>1072</v>
      </c>
    </row>
    <row r="171" spans="24:44" x14ac:dyDescent="0.25">
      <c r="AI171" s="617">
        <v>6</v>
      </c>
      <c r="AJ171" s="618" t="s">
        <v>1090</v>
      </c>
      <c r="AK171" s="618" t="s">
        <v>1091</v>
      </c>
      <c r="AL171" s="618" t="s">
        <v>1092</v>
      </c>
      <c r="AM171" s="618" t="s">
        <v>1093</v>
      </c>
      <c r="AN171" s="618">
        <v>21</v>
      </c>
      <c r="AO171" s="618" t="s">
        <v>1094</v>
      </c>
      <c r="AP171" s="618" t="s">
        <v>1095</v>
      </c>
      <c r="AQ171" s="619" t="s">
        <v>1078</v>
      </c>
      <c r="AR171" s="620" t="s">
        <v>1072</v>
      </c>
    </row>
    <row r="172" spans="24:44" x14ac:dyDescent="0.25">
      <c r="Z172" s="493" t="str">
        <f t="shared" ref="Z172:AA174" si="29">AK156</f>
        <v>Estadístico t</v>
      </c>
      <c r="AA172" s="493" t="str">
        <f t="shared" si="29"/>
        <v>Probabilidad</v>
      </c>
      <c r="AI172" s="617">
        <v>7</v>
      </c>
      <c r="AJ172" s="618" t="s">
        <v>1096</v>
      </c>
      <c r="AK172" s="618" t="s">
        <v>1097</v>
      </c>
      <c r="AL172" s="618" t="s">
        <v>1098</v>
      </c>
      <c r="AM172" s="618" t="s">
        <v>1099</v>
      </c>
      <c r="AN172" s="618">
        <v>22</v>
      </c>
      <c r="AO172" s="618" t="s">
        <v>1100</v>
      </c>
      <c r="AP172" s="618" t="s">
        <v>1095</v>
      </c>
      <c r="AQ172" s="619" t="s">
        <v>1101</v>
      </c>
      <c r="AR172" s="620" t="s">
        <v>1072</v>
      </c>
    </row>
    <row r="173" spans="24:44" x14ac:dyDescent="0.25">
      <c r="Z173">
        <f t="shared" si="29"/>
        <v>54.422738613024826</v>
      </c>
      <c r="AA173">
        <f t="shared" si="29"/>
        <v>4.3327044217935491E-24</v>
      </c>
      <c r="AI173" s="617">
        <v>8</v>
      </c>
      <c r="AJ173" s="618" t="s">
        <v>1102</v>
      </c>
      <c r="AK173" s="618" t="s">
        <v>1075</v>
      </c>
      <c r="AL173" s="618" t="s">
        <v>1103</v>
      </c>
      <c r="AM173" s="618" t="s">
        <v>1104</v>
      </c>
      <c r="AN173" s="618">
        <v>23</v>
      </c>
      <c r="AO173" s="618" t="s">
        <v>1105</v>
      </c>
      <c r="AP173" s="618" t="s">
        <v>1095</v>
      </c>
      <c r="AQ173" s="619" t="s">
        <v>1101</v>
      </c>
      <c r="AR173" s="620" t="s">
        <v>1072</v>
      </c>
    </row>
    <row r="174" spans="24:44" ht="15.75" thickBot="1" x14ac:dyDescent="0.3">
      <c r="Z174" s="98">
        <f t="shared" si="29"/>
        <v>10.406002215787968</v>
      </c>
      <c r="AA174" s="98">
        <f t="shared" si="29"/>
        <v>9.6074687871608414E-10</v>
      </c>
      <c r="AI174" s="617">
        <v>9</v>
      </c>
      <c r="AJ174" s="618" t="s">
        <v>1106</v>
      </c>
      <c r="AK174" s="618" t="s">
        <v>1107</v>
      </c>
      <c r="AL174" s="618" t="s">
        <v>1108</v>
      </c>
      <c r="AM174" s="618" t="s">
        <v>1104</v>
      </c>
      <c r="AN174" s="618">
        <v>24</v>
      </c>
      <c r="AO174" s="618" t="s">
        <v>1105</v>
      </c>
      <c r="AP174" s="618" t="s">
        <v>1109</v>
      </c>
      <c r="AQ174" s="619" t="s">
        <v>1101</v>
      </c>
      <c r="AR174" s="620" t="s">
        <v>1072</v>
      </c>
    </row>
    <row r="175" spans="24:44" x14ac:dyDescent="0.25">
      <c r="AI175" s="617">
        <v>10</v>
      </c>
      <c r="AJ175" s="618" t="s">
        <v>1110</v>
      </c>
      <c r="AK175" s="618" t="s">
        <v>1111</v>
      </c>
      <c r="AL175" s="618" t="s">
        <v>1112</v>
      </c>
      <c r="AM175" s="618" t="s">
        <v>1113</v>
      </c>
      <c r="AN175" s="618">
        <v>25</v>
      </c>
      <c r="AO175" s="618" t="s">
        <v>1114</v>
      </c>
      <c r="AP175" s="618" t="s">
        <v>1109</v>
      </c>
      <c r="AQ175" s="619" t="s">
        <v>1101</v>
      </c>
      <c r="AR175" s="620" t="s">
        <v>1072</v>
      </c>
    </row>
    <row r="176" spans="24:44" x14ac:dyDescent="0.25">
      <c r="AI176" s="617">
        <v>11</v>
      </c>
      <c r="AJ176" s="618" t="s">
        <v>1115</v>
      </c>
      <c r="AK176" s="618" t="s">
        <v>1116</v>
      </c>
      <c r="AL176" s="618" t="s">
        <v>1117</v>
      </c>
      <c r="AM176" s="618" t="s">
        <v>1113</v>
      </c>
      <c r="AN176" s="618">
        <v>26</v>
      </c>
      <c r="AO176" s="618" t="s">
        <v>1114</v>
      </c>
      <c r="AP176" s="618" t="s">
        <v>1109</v>
      </c>
      <c r="AQ176" s="619" t="s">
        <v>1101</v>
      </c>
      <c r="AR176" s="620" t="s">
        <v>1072</v>
      </c>
    </row>
    <row r="177" spans="23:44" x14ac:dyDescent="0.25">
      <c r="X177" t="s">
        <v>714</v>
      </c>
      <c r="AC177" s="1" t="s">
        <v>173</v>
      </c>
      <c r="AD177" s="1" t="s">
        <v>727</v>
      </c>
      <c r="AE177">
        <v>0.05</v>
      </c>
      <c r="AI177" s="617">
        <v>12</v>
      </c>
      <c r="AJ177" s="618" t="s">
        <v>1118</v>
      </c>
      <c r="AK177" s="618" t="s">
        <v>1119</v>
      </c>
      <c r="AL177" s="618" t="s">
        <v>1120</v>
      </c>
      <c r="AM177" s="618" t="s">
        <v>1113</v>
      </c>
      <c r="AN177" s="618">
        <v>27</v>
      </c>
      <c r="AO177" s="618" t="s">
        <v>1114</v>
      </c>
      <c r="AP177" s="618" t="s">
        <v>1109</v>
      </c>
      <c r="AQ177" s="619" t="s">
        <v>1121</v>
      </c>
      <c r="AR177" s="620" t="s">
        <v>1072</v>
      </c>
    </row>
    <row r="178" spans="23:44" x14ac:dyDescent="0.25">
      <c r="X178" s="655" t="s">
        <v>715</v>
      </c>
      <c r="Y178" s="655"/>
      <c r="Z178" s="297">
        <f>Z174</f>
        <v>10.406002215787968</v>
      </c>
      <c r="AC178" s="655" t="s">
        <v>720</v>
      </c>
      <c r="AD178" s="655"/>
      <c r="AE178" s="655"/>
      <c r="AI178" s="617">
        <v>13</v>
      </c>
      <c r="AJ178" s="618" t="s">
        <v>1122</v>
      </c>
      <c r="AK178" s="618" t="s">
        <v>1123</v>
      </c>
      <c r="AL178" s="618" t="s">
        <v>1120</v>
      </c>
      <c r="AM178" s="618" t="s">
        <v>1113</v>
      </c>
      <c r="AN178" s="618">
        <v>28</v>
      </c>
      <c r="AO178" s="618" t="s">
        <v>1124</v>
      </c>
      <c r="AP178" s="618" t="s">
        <v>1125</v>
      </c>
      <c r="AQ178" s="619" t="s">
        <v>1121</v>
      </c>
      <c r="AR178" s="620" t="s">
        <v>1072</v>
      </c>
    </row>
    <row r="179" spans="23:44" x14ac:dyDescent="0.25">
      <c r="W179" s="601"/>
      <c r="X179" t="s">
        <v>1048</v>
      </c>
      <c r="AI179" s="617">
        <v>14</v>
      </c>
      <c r="AJ179" s="618" t="s">
        <v>1126</v>
      </c>
      <c r="AK179" s="618" t="s">
        <v>1127</v>
      </c>
      <c r="AL179" s="618" t="s">
        <v>1128</v>
      </c>
      <c r="AM179" s="618" t="s">
        <v>1072</v>
      </c>
      <c r="AN179" s="618">
        <v>29</v>
      </c>
      <c r="AO179" s="618" t="s">
        <v>1124</v>
      </c>
      <c r="AP179" s="618" t="s">
        <v>1125</v>
      </c>
      <c r="AQ179" s="619" t="s">
        <v>1121</v>
      </c>
      <c r="AR179" s="620" t="s">
        <v>1072</v>
      </c>
    </row>
    <row r="180" spans="23:44" x14ac:dyDescent="0.25">
      <c r="X180" s="1" t="s">
        <v>716</v>
      </c>
      <c r="Y180" s="22">
        <f>Z178</f>
        <v>10.406002215787968</v>
      </c>
      <c r="Z180" s="1" t="s">
        <v>717</v>
      </c>
      <c r="AA180" s="297">
        <v>2.2000000000000002</v>
      </c>
      <c r="AI180" s="617">
        <v>15</v>
      </c>
      <c r="AJ180" s="618" t="s">
        <v>1129</v>
      </c>
      <c r="AK180" s="618" t="s">
        <v>1130</v>
      </c>
      <c r="AL180" s="618" t="s">
        <v>1128</v>
      </c>
      <c r="AM180" s="618" t="s">
        <v>1072</v>
      </c>
      <c r="AN180" s="618">
        <v>30</v>
      </c>
      <c r="AO180" s="618" t="s">
        <v>1124</v>
      </c>
      <c r="AP180" s="618" t="s">
        <v>1125</v>
      </c>
      <c r="AQ180" s="619" t="s">
        <v>1121</v>
      </c>
      <c r="AR180" s="620" t="s">
        <v>1072</v>
      </c>
    </row>
    <row r="181" spans="23:44" x14ac:dyDescent="0.25">
      <c r="X181" t="s">
        <v>718</v>
      </c>
      <c r="AI181" s="617">
        <v>16</v>
      </c>
      <c r="AJ181" s="618" t="s">
        <v>1086</v>
      </c>
      <c r="AK181" s="618" t="s">
        <v>1070</v>
      </c>
      <c r="AL181" s="618" t="s">
        <v>1071</v>
      </c>
      <c r="AM181" s="618" t="s">
        <v>1072</v>
      </c>
      <c r="AN181" s="618" t="s">
        <v>1131</v>
      </c>
      <c r="AO181" s="618" t="s">
        <v>1132</v>
      </c>
      <c r="AP181" s="618" t="s">
        <v>1081</v>
      </c>
      <c r="AQ181" s="619" t="s">
        <v>1133</v>
      </c>
      <c r="AR181" s="620" t="s">
        <v>1072</v>
      </c>
    </row>
    <row r="182" spans="23:44" x14ac:dyDescent="0.25">
      <c r="X182" t="s">
        <v>719</v>
      </c>
    </row>
    <row r="187" spans="23:44" x14ac:dyDescent="0.25">
      <c r="X187" t="s">
        <v>1136</v>
      </c>
    </row>
    <row r="188" spans="23:44" x14ac:dyDescent="0.25">
      <c r="X188" t="s">
        <v>721</v>
      </c>
    </row>
    <row r="190" spans="23:44" ht="17.100000000000001" customHeight="1" thickBot="1" x14ac:dyDescent="0.3">
      <c r="Z190" s="493" t="str">
        <f t="shared" ref="Z190:Z195" si="30">AH143</f>
        <v>Estadísticas de la regresión</v>
      </c>
      <c r="AA190" s="493"/>
      <c r="AB190" s="493"/>
      <c r="AC190" s="493"/>
      <c r="AE190" s="502" t="s">
        <v>722</v>
      </c>
      <c r="AF190" s="658" t="s">
        <v>1049</v>
      </c>
      <c r="AG190" s="658"/>
      <c r="AH190" s="658"/>
      <c r="AI190" s="658"/>
      <c r="AJ190" s="658"/>
      <c r="AK190" s="658"/>
    </row>
    <row r="191" spans="23:44" x14ac:dyDescent="0.25">
      <c r="Z191" t="str">
        <f t="shared" si="30"/>
        <v>Coeficiente de correlación múltiple</v>
      </c>
      <c r="AC191">
        <f>AI144</f>
        <v>0.91518742083292692</v>
      </c>
      <c r="AF191" s="658"/>
      <c r="AG191" s="658"/>
      <c r="AH191" s="658"/>
      <c r="AI191" s="658"/>
      <c r="AJ191" s="658"/>
      <c r="AK191" s="658"/>
    </row>
    <row r="192" spans="23:44" x14ac:dyDescent="0.25">
      <c r="Z192" t="str">
        <f t="shared" si="30"/>
        <v>Coeficiente de determinación R^2</v>
      </c>
      <c r="AC192">
        <f>AI145</f>
        <v>0.8375680152508248</v>
      </c>
    </row>
    <row r="193" spans="24:38" x14ac:dyDescent="0.25">
      <c r="Z193" t="str">
        <f t="shared" si="30"/>
        <v>R^2  ajustado</v>
      </c>
      <c r="AC193">
        <f>AI146</f>
        <v>0.82983315883419739</v>
      </c>
    </row>
    <row r="194" spans="24:38" x14ac:dyDescent="0.25">
      <c r="Z194" t="str">
        <f t="shared" si="30"/>
        <v>Error típico</v>
      </c>
      <c r="AC194">
        <f>AI147</f>
        <v>301.38763731834081</v>
      </c>
    </row>
    <row r="195" spans="24:38" ht="15.75" thickBot="1" x14ac:dyDescent="0.3">
      <c r="Z195" s="98" t="str">
        <f t="shared" si="30"/>
        <v>Observaciones</v>
      </c>
      <c r="AA195" s="98"/>
      <c r="AB195" s="98"/>
      <c r="AC195" s="98">
        <f>AI148</f>
        <v>23</v>
      </c>
    </row>
    <row r="197" spans="24:38" x14ac:dyDescent="0.25">
      <c r="X197" s="658" t="s">
        <v>724</v>
      </c>
      <c r="Y197" s="658"/>
      <c r="Z197" s="658"/>
      <c r="AA197" s="658"/>
      <c r="AB197" s="658"/>
      <c r="AC197" s="658"/>
      <c r="AD197" s="658"/>
      <c r="AE197" s="658"/>
      <c r="AF197" s="658"/>
      <c r="AG197" s="658"/>
      <c r="AH197" s="658"/>
      <c r="AI197" s="658"/>
      <c r="AJ197" s="658"/>
      <c r="AK197" s="658"/>
      <c r="AL197" s="658"/>
    </row>
    <row r="198" spans="24:38" x14ac:dyDescent="0.25">
      <c r="X198" s="658"/>
      <c r="Y198" s="658"/>
      <c r="Z198" s="658"/>
      <c r="AA198" s="658"/>
      <c r="AB198" s="658"/>
      <c r="AC198" s="658"/>
      <c r="AD198" s="658"/>
      <c r="AE198" s="658"/>
      <c r="AF198" s="658"/>
      <c r="AG198" s="658"/>
      <c r="AH198" s="658"/>
      <c r="AI198" s="658"/>
      <c r="AJ198" s="658"/>
      <c r="AK198" s="658"/>
      <c r="AL198" s="658"/>
    </row>
    <row r="200" spans="24:38" x14ac:dyDescent="0.25">
      <c r="X200" t="s">
        <v>723</v>
      </c>
    </row>
    <row r="202" spans="24:38" x14ac:dyDescent="0.25">
      <c r="X202" t="s">
        <v>708</v>
      </c>
    </row>
    <row r="203" spans="24:38" x14ac:dyDescent="0.25">
      <c r="X203" s="658" t="s">
        <v>725</v>
      </c>
      <c r="Y203" s="658"/>
      <c r="Z203" s="658"/>
      <c r="AA203" s="658"/>
      <c r="AB203" s="658"/>
      <c r="AC203" s="658"/>
      <c r="AD203" s="658"/>
      <c r="AE203" s="658"/>
      <c r="AF203" s="658"/>
      <c r="AG203" s="658"/>
      <c r="AH203" s="658"/>
      <c r="AI203" s="658"/>
      <c r="AJ203" s="658"/>
      <c r="AK203" s="658"/>
      <c r="AL203" s="658"/>
    </row>
    <row r="204" spans="24:38" x14ac:dyDescent="0.25">
      <c r="X204" s="658"/>
      <c r="Y204" s="658"/>
      <c r="Z204" s="658"/>
      <c r="AA204" s="658"/>
      <c r="AB204" s="658"/>
      <c r="AC204" s="658"/>
      <c r="AD204" s="658"/>
      <c r="AE204" s="658"/>
      <c r="AF204" s="658"/>
      <c r="AG204" s="658"/>
      <c r="AH204" s="658"/>
      <c r="AI204" s="658"/>
      <c r="AJ204" s="658"/>
      <c r="AK204" s="658"/>
      <c r="AL204" s="658"/>
    </row>
    <row r="205" spans="24:38" x14ac:dyDescent="0.25">
      <c r="X205" s="501"/>
      <c r="Y205" s="501"/>
      <c r="Z205" s="501"/>
      <c r="AA205" s="501"/>
      <c r="AB205" s="501"/>
      <c r="AC205" s="501"/>
      <c r="AD205" s="501"/>
      <c r="AE205" s="501"/>
      <c r="AF205" s="501"/>
      <c r="AG205" s="501"/>
      <c r="AH205" s="501"/>
      <c r="AI205" s="501"/>
      <c r="AJ205" s="501"/>
      <c r="AK205" s="501"/>
      <c r="AL205" s="501"/>
    </row>
    <row r="206" spans="24:38" ht="15" customHeight="1" x14ac:dyDescent="0.25">
      <c r="X206" s="501"/>
      <c r="Y206" s="501"/>
      <c r="Z206" s="503"/>
      <c r="AA206" s="503" t="str">
        <f t="shared" ref="AA206:AD208" si="31">AI156</f>
        <v>Coeficientes</v>
      </c>
      <c r="AB206" s="503" t="str">
        <f t="shared" si="31"/>
        <v>Error típico</v>
      </c>
      <c r="AC206" s="503" t="str">
        <f t="shared" si="31"/>
        <v>Estadístico t</v>
      </c>
      <c r="AD206" s="503" t="str">
        <f t="shared" si="31"/>
        <v>Probabilidad</v>
      </c>
      <c r="AE206" s="501"/>
      <c r="AF206" s="501"/>
      <c r="AG206" s="501"/>
      <c r="AH206" s="501"/>
      <c r="AI206" s="501"/>
      <c r="AJ206" s="501"/>
      <c r="AK206" s="501"/>
      <c r="AL206" s="501"/>
    </row>
    <row r="207" spans="24:38" x14ac:dyDescent="0.25">
      <c r="X207" s="501"/>
      <c r="Y207" s="501"/>
      <c r="Z207" s="501" t="str">
        <f>AH157</f>
        <v>Intercepción</v>
      </c>
      <c r="AA207" s="501">
        <f t="shared" si="31"/>
        <v>8058.7058534257458</v>
      </c>
      <c r="AB207" s="501">
        <f t="shared" si="31"/>
        <v>148.07608104265964</v>
      </c>
      <c r="AC207" s="501">
        <f t="shared" si="31"/>
        <v>54.422738613024826</v>
      </c>
      <c r="AD207" s="501">
        <f t="shared" si="31"/>
        <v>4.3327044217935491E-24</v>
      </c>
      <c r="AE207" s="501"/>
      <c r="AF207" s="501"/>
      <c r="AG207" s="501"/>
      <c r="AH207" s="501"/>
      <c r="AI207" s="501"/>
      <c r="AJ207" s="501"/>
      <c r="AK207" s="501"/>
      <c r="AL207" s="501"/>
    </row>
    <row r="208" spans="24:38" x14ac:dyDescent="0.25">
      <c r="X208" s="501"/>
      <c r="Y208" s="501"/>
      <c r="Z208" s="504" t="str">
        <f>AH158</f>
        <v>Variable X 1</v>
      </c>
      <c r="AA208" s="504">
        <f t="shared" si="31"/>
        <v>9.520938057588177</v>
      </c>
      <c r="AB208" s="504">
        <f t="shared" si="31"/>
        <v>0.91494676439171108</v>
      </c>
      <c r="AC208" s="504">
        <f t="shared" si="31"/>
        <v>10.406002215787968</v>
      </c>
      <c r="AD208" s="504">
        <f t="shared" si="31"/>
        <v>9.6074687871608414E-10</v>
      </c>
      <c r="AE208" s="501"/>
      <c r="AF208" s="501"/>
      <c r="AG208" s="501"/>
      <c r="AH208" s="501"/>
      <c r="AI208" s="501"/>
      <c r="AJ208" s="501"/>
      <c r="AK208" s="501"/>
      <c r="AL208" s="501"/>
    </row>
    <row r="209" spans="24:38" x14ac:dyDescent="0.25">
      <c r="X209" s="501"/>
      <c r="Y209" s="501"/>
      <c r="Z209" s="501"/>
      <c r="AA209" s="501"/>
      <c r="AB209" s="501"/>
      <c r="AC209" s="501"/>
      <c r="AD209" s="501"/>
      <c r="AE209" s="501"/>
      <c r="AF209" s="501"/>
      <c r="AG209" s="501"/>
      <c r="AH209" s="501"/>
      <c r="AI209" s="501"/>
      <c r="AJ209" s="501"/>
      <c r="AK209" s="501"/>
      <c r="AL209" s="501"/>
    </row>
    <row r="210" spans="24:38" ht="15" customHeight="1" x14ac:dyDescent="0.25">
      <c r="X210" s="501"/>
      <c r="Y210" s="501"/>
      <c r="Z210" s="506">
        <f>AC208</f>
        <v>10.406002215787968</v>
      </c>
      <c r="AA210" s="505" t="s">
        <v>726</v>
      </c>
      <c r="AB210" s="659" t="s">
        <v>1050</v>
      </c>
      <c r="AC210" s="659"/>
      <c r="AD210" s="659"/>
      <c r="AE210" s="501"/>
      <c r="AF210" s="501"/>
      <c r="AG210" s="501"/>
      <c r="AH210" s="501"/>
      <c r="AI210" s="501"/>
      <c r="AJ210" s="501"/>
      <c r="AK210" s="501"/>
      <c r="AL210" s="501"/>
    </row>
    <row r="211" spans="24:38" x14ac:dyDescent="0.25">
      <c r="X211" s="501"/>
      <c r="Y211" s="501"/>
      <c r="Z211" s="501"/>
      <c r="AA211" s="501"/>
      <c r="AB211" s="501"/>
      <c r="AC211" s="501"/>
      <c r="AD211" s="501"/>
      <c r="AE211" s="501"/>
      <c r="AF211" s="501"/>
      <c r="AG211" s="501"/>
      <c r="AH211" s="501"/>
      <c r="AI211" s="501"/>
      <c r="AJ211" s="501"/>
      <c r="AK211" s="501"/>
      <c r="AL211" s="501"/>
    </row>
    <row r="213" spans="24:38" x14ac:dyDescent="0.25">
      <c r="X213" t="s">
        <v>1168</v>
      </c>
    </row>
    <row r="214" spans="24:38" x14ac:dyDescent="0.25">
      <c r="X214" t="s">
        <v>1167</v>
      </c>
    </row>
    <row r="215" spans="24:38" x14ac:dyDescent="0.25">
      <c r="X215" s="16" t="s">
        <v>729</v>
      </c>
      <c r="Y215" s="16"/>
      <c r="Z215" s="16"/>
    </row>
    <row r="217" spans="24:38" x14ac:dyDescent="0.25">
      <c r="X217" t="s">
        <v>730</v>
      </c>
    </row>
    <row r="218" spans="24:38" x14ac:dyDescent="0.25">
      <c r="Y218" s="507" t="s">
        <v>731</v>
      </c>
      <c r="Z218" s="507"/>
    </row>
    <row r="220" spans="24:38" x14ac:dyDescent="0.25">
      <c r="Y220" t="s">
        <v>732</v>
      </c>
      <c r="AD220" t="s">
        <v>733</v>
      </c>
    </row>
    <row r="222" spans="24:38" x14ac:dyDescent="0.25">
      <c r="X222" t="s">
        <v>1137</v>
      </c>
    </row>
    <row r="224" spans="24:38" x14ac:dyDescent="0.25">
      <c r="X224" t="s">
        <v>1051</v>
      </c>
    </row>
    <row r="225" spans="24:33" x14ac:dyDescent="0.25">
      <c r="AF225" s="1" t="s">
        <v>774</v>
      </c>
      <c r="AG225" s="1" t="s">
        <v>1052</v>
      </c>
    </row>
    <row r="226" spans="24:33" x14ac:dyDescent="0.25">
      <c r="Z226" s="493" t="str">
        <f t="shared" ref="Z226:Z231" si="32">AH143</f>
        <v>Estadísticas de la regresión</v>
      </c>
      <c r="AA226" s="493"/>
      <c r="AB226" s="493"/>
      <c r="AC226" s="493"/>
      <c r="AE226" s="32" t="s">
        <v>737</v>
      </c>
      <c r="AF226" s="297">
        <v>2.2000000000000002</v>
      </c>
      <c r="AG226" s="297">
        <v>2.0699999999999998</v>
      </c>
    </row>
    <row r="227" spans="24:33" x14ac:dyDescent="0.25">
      <c r="Z227" t="str">
        <f t="shared" si="32"/>
        <v>Coeficiente de correlación múltiple</v>
      </c>
      <c r="AC227">
        <f>AI144</f>
        <v>0.91518742083292692</v>
      </c>
      <c r="AE227" s="508" t="s">
        <v>736</v>
      </c>
      <c r="AF227" s="509">
        <f>AF226*$AC$230</f>
        <v>663.05280210034982</v>
      </c>
      <c r="AG227" s="509">
        <f>AG226*$AC$230</f>
        <v>623.87240924896537</v>
      </c>
    </row>
    <row r="228" spans="24:33" x14ac:dyDescent="0.25">
      <c r="Z228" t="str">
        <f t="shared" si="32"/>
        <v>Coeficiente de determinación R^2</v>
      </c>
      <c r="AC228">
        <f>AI145</f>
        <v>0.8375680152508248</v>
      </c>
    </row>
    <row r="229" spans="24:33" x14ac:dyDescent="0.25">
      <c r="Z229" t="str">
        <f t="shared" si="32"/>
        <v>R^2  ajustado</v>
      </c>
      <c r="AC229">
        <f>AI146</f>
        <v>0.82983315883419739</v>
      </c>
    </row>
    <row r="230" spans="24:33" x14ac:dyDescent="0.25">
      <c r="Z230" t="str">
        <f t="shared" si="32"/>
        <v>Error típico</v>
      </c>
      <c r="AC230" s="507">
        <f>AI147</f>
        <v>301.38763731834081</v>
      </c>
    </row>
    <row r="231" spans="24:33" ht="15.75" thickBot="1" x14ac:dyDescent="0.3">
      <c r="Z231" s="98" t="str">
        <f t="shared" si="32"/>
        <v>Observaciones</v>
      </c>
      <c r="AA231" s="98"/>
      <c r="AB231" s="98"/>
      <c r="AC231" s="98">
        <f>AI148</f>
        <v>23</v>
      </c>
    </row>
    <row r="234" spans="24:33" x14ac:dyDescent="0.25">
      <c r="X234" t="s">
        <v>1135</v>
      </c>
    </row>
    <row r="235" spans="24:33" x14ac:dyDescent="0.25">
      <c r="X235" t="s">
        <v>738</v>
      </c>
    </row>
    <row r="237" spans="24:33" x14ac:dyDescent="0.25">
      <c r="X237" t="s">
        <v>739</v>
      </c>
      <c r="Z237" s="507" t="s">
        <v>740</v>
      </c>
    </row>
    <row r="238" spans="24:33" x14ac:dyDescent="0.25">
      <c r="X238" t="s">
        <v>741</v>
      </c>
    </row>
    <row r="241" spans="24:28" x14ac:dyDescent="0.25">
      <c r="X241" s="32" t="s">
        <v>743</v>
      </c>
      <c r="Y241" s="43">
        <f>AA208</f>
        <v>9.520938057588177</v>
      </c>
    </row>
    <row r="242" spans="24:28" x14ac:dyDescent="0.25">
      <c r="X242" s="32" t="s">
        <v>744</v>
      </c>
      <c r="Y242" s="22">
        <f>AVERAGE(Y106:Y128)</f>
        <v>146.54303826086954</v>
      </c>
    </row>
    <row r="243" spans="24:28" x14ac:dyDescent="0.25">
      <c r="X243" s="32" t="s">
        <v>742</v>
      </c>
      <c r="Y243" s="43">
        <f>AA207</f>
        <v>8058.7058534257458</v>
      </c>
    </row>
    <row r="244" spans="24:28" x14ac:dyDescent="0.25">
      <c r="X244" s="510" t="s">
        <v>745</v>
      </c>
      <c r="Y244" s="511">
        <f>Y241*Y242+Y243</f>
        <v>9453.9330434782587</v>
      </c>
      <c r="Z244" s="46">
        <f>AVERAGE(Z106:Z128)</f>
        <v>9453.9330434782587</v>
      </c>
      <c r="AA244" s="21" t="s">
        <v>43</v>
      </c>
    </row>
    <row r="246" spans="24:28" x14ac:dyDescent="0.25">
      <c r="X246" s="508" t="str">
        <f>AE227</f>
        <v>Presión absoluta =</v>
      </c>
      <c r="Y246" s="512">
        <f>AG227/Y244</f>
        <v>6.5990779327482138E-2</v>
      </c>
      <c r="AB246" s="21"/>
    </row>
    <row r="249" spans="24:28" x14ac:dyDescent="0.25">
      <c r="X249" s="16" t="s">
        <v>747</v>
      </c>
    </row>
    <row r="251" spans="24:28" x14ac:dyDescent="0.25">
      <c r="X251" s="162" t="s">
        <v>643</v>
      </c>
      <c r="Y251" s="514"/>
      <c r="Z251" s="523">
        <f>Y241</f>
        <v>9.520938057588177</v>
      </c>
      <c r="AA251" s="518" t="s">
        <v>753</v>
      </c>
      <c r="AB251" s="515">
        <f>Y243</f>
        <v>8058.7058534257458</v>
      </c>
    </row>
    <row r="252" spans="24:28" x14ac:dyDescent="0.25">
      <c r="X252" s="162" t="s">
        <v>757</v>
      </c>
      <c r="Y252" s="514"/>
      <c r="Z252" s="526">
        <f>AC230</f>
        <v>301.38763731834081</v>
      </c>
      <c r="AA252" s="493"/>
      <c r="AB252" s="514"/>
    </row>
    <row r="253" spans="24:28" x14ac:dyDescent="0.25">
      <c r="X253" s="162" t="s">
        <v>776</v>
      </c>
      <c r="Y253" s="514"/>
      <c r="Z253" s="524">
        <f>Z252/(AVERAGE(Z106:Z118))</f>
        <v>3.2206773014302852E-2</v>
      </c>
      <c r="AA253" s="493"/>
      <c r="AB253" s="514"/>
    </row>
    <row r="254" spans="24:28" x14ac:dyDescent="0.25">
      <c r="X254" s="162" t="s">
        <v>748</v>
      </c>
      <c r="Y254" s="514"/>
      <c r="Z254" s="516">
        <v>0.95</v>
      </c>
      <c r="AA254" s="493"/>
      <c r="AB254" s="514"/>
    </row>
    <row r="255" spans="24:28" x14ac:dyDescent="0.25">
      <c r="X255" s="162" t="s">
        <v>749</v>
      </c>
      <c r="Y255" s="514"/>
      <c r="Z255" s="519">
        <f>Y246</f>
        <v>6.5990779327482138E-2</v>
      </c>
      <c r="AA255" s="493" t="s">
        <v>754</v>
      </c>
      <c r="AB255" s="514"/>
    </row>
    <row r="256" spans="24:28" x14ac:dyDescent="0.25">
      <c r="X256" s="162" t="s">
        <v>750</v>
      </c>
      <c r="Y256" s="514"/>
      <c r="Z256" s="524">
        <f>AC228</f>
        <v>0.8375680152508248</v>
      </c>
      <c r="AA256" s="493"/>
      <c r="AB256" s="514"/>
    </row>
    <row r="257" spans="2:29" x14ac:dyDescent="0.25">
      <c r="X257" s="162" t="s">
        <v>752</v>
      </c>
      <c r="Y257" s="514"/>
      <c r="Z257" s="517" t="s">
        <v>755</v>
      </c>
      <c r="AA257" s="493"/>
      <c r="AB257" s="514"/>
    </row>
    <row r="258" spans="2:29" x14ac:dyDescent="0.25">
      <c r="X258" s="162"/>
      <c r="Y258" s="514"/>
      <c r="Z258" s="162"/>
      <c r="AA258" s="493"/>
      <c r="AB258" s="514"/>
    </row>
    <row r="260" spans="2:29" s="407" customFormat="1" x14ac:dyDescent="0.25">
      <c r="B260" s="487"/>
      <c r="C260" s="487"/>
      <c r="D260" s="487"/>
      <c r="E260" s="487"/>
    </row>
    <row r="262" spans="2:29" x14ac:dyDescent="0.25">
      <c r="X262" s="657" t="s">
        <v>756</v>
      </c>
      <c r="Y262" s="657"/>
      <c r="Z262" s="657"/>
      <c r="AA262" s="657"/>
      <c r="AB262" s="657"/>
      <c r="AC262" s="657"/>
    </row>
    <row r="263" spans="2:29" x14ac:dyDescent="0.25">
      <c r="X263" s="657"/>
      <c r="Y263" s="657"/>
      <c r="Z263" s="657"/>
      <c r="AA263" s="657"/>
      <c r="AB263" s="657"/>
      <c r="AC263" s="657"/>
    </row>
    <row r="265" spans="2:29" x14ac:dyDescent="0.25">
      <c r="X265" s="660" t="s">
        <v>820</v>
      </c>
      <c r="Y265" s="660"/>
      <c r="Z265" s="660"/>
    </row>
    <row r="267" spans="2:29" x14ac:dyDescent="0.25">
      <c r="X267" t="s">
        <v>821</v>
      </c>
    </row>
    <row r="268" spans="2:29" x14ac:dyDescent="0.25">
      <c r="Y268" t="s">
        <v>822</v>
      </c>
    </row>
    <row r="269" spans="2:29" x14ac:dyDescent="0.25">
      <c r="Y269" t="s">
        <v>823</v>
      </c>
    </row>
    <row r="270" spans="2:29" x14ac:dyDescent="0.25">
      <c r="Y270" t="s">
        <v>825</v>
      </c>
    </row>
    <row r="271" spans="2:29" x14ac:dyDescent="0.25">
      <c r="Y271" t="s">
        <v>824</v>
      </c>
    </row>
    <row r="273" spans="24:28" x14ac:dyDescent="0.25">
      <c r="X273" t="s">
        <v>826</v>
      </c>
    </row>
    <row r="274" spans="24:28" x14ac:dyDescent="0.25">
      <c r="Y274" t="s">
        <v>827</v>
      </c>
    </row>
    <row r="275" spans="24:28" x14ac:dyDescent="0.25">
      <c r="Y275" t="s">
        <v>828</v>
      </c>
    </row>
    <row r="276" spans="24:28" x14ac:dyDescent="0.25">
      <c r="Y276" t="s">
        <v>829</v>
      </c>
    </row>
    <row r="278" spans="24:28" x14ac:dyDescent="0.25">
      <c r="X278" t="s">
        <v>830</v>
      </c>
    </row>
    <row r="279" spans="24:28" x14ac:dyDescent="0.25">
      <c r="Y279" t="s">
        <v>831</v>
      </c>
    </row>
    <row r="280" spans="24:28" x14ac:dyDescent="0.25">
      <c r="Y280" t="s">
        <v>832</v>
      </c>
    </row>
    <row r="281" spans="24:28" x14ac:dyDescent="0.25">
      <c r="Y281" t="s">
        <v>833</v>
      </c>
    </row>
    <row r="284" spans="24:28" x14ac:dyDescent="0.25">
      <c r="X284" s="654"/>
      <c r="Y284" s="654"/>
    </row>
    <row r="286" spans="24:28" x14ac:dyDescent="0.25">
      <c r="X286" s="660" t="s">
        <v>772</v>
      </c>
      <c r="Y286" s="660"/>
      <c r="Z286" s="660"/>
      <c r="AA286" t="s">
        <v>1053</v>
      </c>
    </row>
    <row r="288" spans="24:28" ht="30" x14ac:dyDescent="0.25">
      <c r="X288" s="183" t="s">
        <v>3</v>
      </c>
      <c r="Y288" s="45" t="s">
        <v>1046</v>
      </c>
      <c r="Z288" s="45" t="s">
        <v>645</v>
      </c>
      <c r="AA288" s="45" t="s">
        <v>758</v>
      </c>
      <c r="AB288" s="45" t="s">
        <v>759</v>
      </c>
    </row>
    <row r="289" spans="24:29" x14ac:dyDescent="0.25">
      <c r="X289" s="390">
        <f>X106</f>
        <v>44562</v>
      </c>
      <c r="Y289" s="595">
        <f>Y106</f>
        <v>72.344580000000008</v>
      </c>
      <c r="Z289" s="602">
        <f>Z106</f>
        <v>8674.83</v>
      </c>
      <c r="AA289" s="595">
        <f>(9.5209*Y289)+8058.7</f>
        <v>8747.4855117219995</v>
      </c>
      <c r="AB289" s="595">
        <f>Z289-AA289</f>
        <v>-72.655511721999574</v>
      </c>
      <c r="AC289" t="str">
        <f>IF(AB289&lt;0,"Valor por debajo de LBE Obtenido","")</f>
        <v>Valor por debajo de LBE Obtenido</v>
      </c>
    </row>
    <row r="290" spans="24:29" x14ac:dyDescent="0.25">
      <c r="X290" s="390">
        <f t="shared" ref="X290:Z311" si="33">X107</f>
        <v>44621</v>
      </c>
      <c r="Y290" s="595">
        <f t="shared" si="33"/>
        <v>104.69536000000001</v>
      </c>
      <c r="Z290" s="595">
        <f t="shared" si="33"/>
        <v>9689.25</v>
      </c>
      <c r="AA290" s="595">
        <f t="shared" ref="AA290:AA311" si="34">(9.5209*Y290)+8058.7</f>
        <v>9055.4940530240001</v>
      </c>
      <c r="AB290" s="595">
        <f t="shared" ref="AB290:AB311" si="35">Z290-AA290</f>
        <v>633.7559469759999</v>
      </c>
      <c r="AC290" t="str">
        <f t="shared" ref="AC290:AC311" si="36">IF(AB290&lt;0,"Valor por debajo de LBE Obtenido","")</f>
        <v/>
      </c>
    </row>
    <row r="291" spans="24:29" x14ac:dyDescent="0.25">
      <c r="X291" s="390">
        <f t="shared" si="33"/>
        <v>44652</v>
      </c>
      <c r="Y291" s="595">
        <f t="shared" si="33"/>
        <v>198.85866000000001</v>
      </c>
      <c r="Z291" s="602">
        <f t="shared" si="33"/>
        <v>9823.56</v>
      </c>
      <c r="AA291" s="595">
        <f t="shared" si="34"/>
        <v>9952.0134159939989</v>
      </c>
      <c r="AB291" s="595">
        <f t="shared" si="35"/>
        <v>-128.45341599399944</v>
      </c>
      <c r="AC291" t="str">
        <f t="shared" si="36"/>
        <v>Valor por debajo de LBE Obtenido</v>
      </c>
    </row>
    <row r="292" spans="24:29" x14ac:dyDescent="0.25">
      <c r="X292" s="390">
        <f t="shared" si="33"/>
        <v>44682</v>
      </c>
      <c r="Y292" s="595">
        <f t="shared" si="33"/>
        <v>265.41000000000003</v>
      </c>
      <c r="Z292" s="602">
        <f t="shared" si="33"/>
        <v>10503.89</v>
      </c>
      <c r="AA292" s="595">
        <f t="shared" si="34"/>
        <v>10585.642069</v>
      </c>
      <c r="AB292" s="595">
        <f t="shared" si="35"/>
        <v>-81.75206900000012</v>
      </c>
      <c r="AC292" t="str">
        <f t="shared" si="36"/>
        <v>Valor por debajo de LBE Obtenido</v>
      </c>
    </row>
    <row r="293" spans="24:29" x14ac:dyDescent="0.25">
      <c r="X293" s="390">
        <f t="shared" si="33"/>
        <v>44713</v>
      </c>
      <c r="Y293" s="595">
        <f t="shared" si="33"/>
        <v>188.35893999999999</v>
      </c>
      <c r="Z293" s="595">
        <f t="shared" si="33"/>
        <v>9931.33</v>
      </c>
      <c r="AA293" s="595">
        <f t="shared" si="34"/>
        <v>9852.0466318460003</v>
      </c>
      <c r="AB293" s="595">
        <f t="shared" si="35"/>
        <v>79.283368153999618</v>
      </c>
      <c r="AC293" t="str">
        <f t="shared" si="36"/>
        <v/>
      </c>
    </row>
    <row r="294" spans="24:29" x14ac:dyDescent="0.25">
      <c r="X294" s="390">
        <f t="shared" si="33"/>
        <v>44743</v>
      </c>
      <c r="Y294" s="595">
        <f t="shared" si="33"/>
        <v>177.69752000000003</v>
      </c>
      <c r="Z294" s="602">
        <f t="shared" si="33"/>
        <v>9668.73</v>
      </c>
      <c r="AA294" s="595">
        <f t="shared" si="34"/>
        <v>9750.5403181679994</v>
      </c>
      <c r="AB294" s="595">
        <f t="shared" si="35"/>
        <v>-81.810318167999867</v>
      </c>
      <c r="AC294" t="str">
        <f t="shared" si="36"/>
        <v>Valor por debajo de LBE Obtenido</v>
      </c>
    </row>
    <row r="295" spans="24:29" x14ac:dyDescent="0.25">
      <c r="X295" s="390">
        <f t="shared" si="33"/>
        <v>44774</v>
      </c>
      <c r="Y295" s="595">
        <f t="shared" si="33"/>
        <v>190.06218000000001</v>
      </c>
      <c r="Z295" s="602">
        <f t="shared" si="33"/>
        <v>9498.1299999999992</v>
      </c>
      <c r="AA295" s="595">
        <f t="shared" si="34"/>
        <v>9868.2630095620007</v>
      </c>
      <c r="AB295" s="595">
        <f t="shared" si="35"/>
        <v>-370.13300956200146</v>
      </c>
      <c r="AC295" t="str">
        <f t="shared" si="36"/>
        <v>Valor por debajo de LBE Obtenido</v>
      </c>
    </row>
    <row r="296" spans="24:29" x14ac:dyDescent="0.25">
      <c r="X296" s="390">
        <f t="shared" si="33"/>
        <v>44805</v>
      </c>
      <c r="Y296" s="595">
        <f t="shared" si="33"/>
        <v>118.91</v>
      </c>
      <c r="Z296" s="595">
        <f t="shared" si="33"/>
        <v>9284.99</v>
      </c>
      <c r="AA296" s="595">
        <f t="shared" si="34"/>
        <v>9190.8302189999995</v>
      </c>
      <c r="AB296" s="595">
        <f t="shared" si="35"/>
        <v>94.159781000000294</v>
      </c>
      <c r="AC296" t="str">
        <f t="shared" si="36"/>
        <v/>
      </c>
    </row>
    <row r="297" spans="24:29" x14ac:dyDescent="0.25">
      <c r="X297" s="390">
        <f t="shared" si="33"/>
        <v>44835</v>
      </c>
      <c r="Y297" s="595">
        <f t="shared" si="33"/>
        <v>112</v>
      </c>
      <c r="Z297" s="602">
        <f t="shared" si="33"/>
        <v>9045.56</v>
      </c>
      <c r="AA297" s="595">
        <f t="shared" si="34"/>
        <v>9125.0407999999989</v>
      </c>
      <c r="AB297" s="595">
        <f t="shared" si="35"/>
        <v>-79.480799999999363</v>
      </c>
      <c r="AC297" t="str">
        <f t="shared" si="36"/>
        <v>Valor por debajo de LBE Obtenido</v>
      </c>
    </row>
    <row r="298" spans="24:29" x14ac:dyDescent="0.25">
      <c r="X298" s="390">
        <f t="shared" si="33"/>
        <v>44866</v>
      </c>
      <c r="Y298" s="595">
        <f t="shared" si="33"/>
        <v>151.82552000000001</v>
      </c>
      <c r="Z298" s="595">
        <f t="shared" si="33"/>
        <v>9676.81</v>
      </c>
      <c r="AA298" s="595">
        <f t="shared" si="34"/>
        <v>9504.2155933680006</v>
      </c>
      <c r="AB298" s="595">
        <f t="shared" si="35"/>
        <v>172.59440663199894</v>
      </c>
      <c r="AC298" t="str">
        <f t="shared" si="36"/>
        <v/>
      </c>
    </row>
    <row r="299" spans="24:29" x14ac:dyDescent="0.25">
      <c r="X299" s="390">
        <f t="shared" si="33"/>
        <v>44896</v>
      </c>
      <c r="Y299" s="595">
        <f t="shared" si="33"/>
        <v>41.00712</v>
      </c>
      <c r="Z299" s="595">
        <f t="shared" si="33"/>
        <v>8577.93</v>
      </c>
      <c r="AA299" s="595">
        <f t="shared" si="34"/>
        <v>8449.1246888080004</v>
      </c>
      <c r="AB299" s="595">
        <f t="shared" si="35"/>
        <v>128.80531119199986</v>
      </c>
      <c r="AC299" t="str">
        <f t="shared" si="36"/>
        <v/>
      </c>
    </row>
    <row r="300" spans="24:29" x14ac:dyDescent="0.25">
      <c r="X300" s="390">
        <f t="shared" si="33"/>
        <v>44927</v>
      </c>
      <c r="Y300" s="595">
        <f t="shared" si="33"/>
        <v>81.25</v>
      </c>
      <c r="Z300" s="602">
        <f t="shared" si="33"/>
        <v>8475</v>
      </c>
      <c r="AA300" s="595">
        <f t="shared" si="34"/>
        <v>8832.2731249999997</v>
      </c>
      <c r="AB300" s="595">
        <f t="shared" si="35"/>
        <v>-357.27312499999971</v>
      </c>
      <c r="AC300" t="str">
        <f t="shared" si="36"/>
        <v>Valor por debajo de LBE Obtenido</v>
      </c>
    </row>
    <row r="301" spans="24:29" x14ac:dyDescent="0.25">
      <c r="X301" s="390">
        <f t="shared" si="33"/>
        <v>44958</v>
      </c>
      <c r="Y301" s="595">
        <f t="shared" si="33"/>
        <v>104.56</v>
      </c>
      <c r="Z301" s="602">
        <f t="shared" si="33"/>
        <v>8802.64</v>
      </c>
      <c r="AA301" s="595">
        <f t="shared" si="34"/>
        <v>9054.2053039999992</v>
      </c>
      <c r="AB301" s="595">
        <f t="shared" si="35"/>
        <v>-251.56530399999974</v>
      </c>
      <c r="AC301" t="str">
        <f t="shared" si="36"/>
        <v>Valor por debajo de LBE Obtenido</v>
      </c>
    </row>
    <row r="302" spans="24:29" x14ac:dyDescent="0.25">
      <c r="X302" s="390">
        <f t="shared" si="33"/>
        <v>44986</v>
      </c>
      <c r="Y302" s="595">
        <f t="shared" si="33"/>
        <v>117.89</v>
      </c>
      <c r="Z302" s="595">
        <f t="shared" si="33"/>
        <v>9633.16</v>
      </c>
      <c r="AA302" s="595">
        <f t="shared" si="34"/>
        <v>9181.1189009999998</v>
      </c>
      <c r="AB302" s="595">
        <f t="shared" si="35"/>
        <v>452.04109900000003</v>
      </c>
      <c r="AC302" t="str">
        <f t="shared" si="36"/>
        <v/>
      </c>
    </row>
    <row r="303" spans="24:29" x14ac:dyDescent="0.25">
      <c r="X303" s="390">
        <f t="shared" si="33"/>
        <v>45017</v>
      </c>
      <c r="Y303" s="595">
        <f t="shared" si="33"/>
        <v>214.56</v>
      </c>
      <c r="Z303" s="602">
        <f t="shared" si="33"/>
        <v>9796.5</v>
      </c>
      <c r="AA303" s="595">
        <f t="shared" si="34"/>
        <v>10101.504304</v>
      </c>
      <c r="AB303" s="595">
        <f t="shared" si="35"/>
        <v>-305.00430400000005</v>
      </c>
      <c r="AC303" t="str">
        <f t="shared" si="36"/>
        <v>Valor por debajo de LBE Obtenido</v>
      </c>
    </row>
    <row r="304" spans="24:29" x14ac:dyDescent="0.25">
      <c r="X304" s="390">
        <f t="shared" si="33"/>
        <v>45047</v>
      </c>
      <c r="Y304" s="595">
        <f t="shared" si="33"/>
        <v>314.16000000000003</v>
      </c>
      <c r="Z304" s="595">
        <f t="shared" si="33"/>
        <v>11503.69</v>
      </c>
      <c r="AA304" s="595">
        <f t="shared" si="34"/>
        <v>11049.785943999999</v>
      </c>
      <c r="AB304" s="595">
        <f t="shared" si="35"/>
        <v>453.90405600000122</v>
      </c>
      <c r="AC304" t="str">
        <f t="shared" si="36"/>
        <v/>
      </c>
    </row>
    <row r="305" spans="24:35" x14ac:dyDescent="0.25">
      <c r="X305" s="390">
        <f t="shared" si="33"/>
        <v>45078</v>
      </c>
      <c r="Y305" s="595">
        <f t="shared" si="33"/>
        <v>199.52</v>
      </c>
      <c r="Z305" s="602">
        <f t="shared" si="33"/>
        <v>9636.34</v>
      </c>
      <c r="AA305" s="595">
        <f t="shared" si="34"/>
        <v>9958.3099679999996</v>
      </c>
      <c r="AB305" s="595">
        <f t="shared" si="35"/>
        <v>-321.96996799999943</v>
      </c>
      <c r="AC305" t="str">
        <f t="shared" si="36"/>
        <v>Valor por debajo de LBE Obtenido</v>
      </c>
    </row>
    <row r="306" spans="24:35" x14ac:dyDescent="0.25">
      <c r="X306" s="390">
        <f t="shared" si="33"/>
        <v>45108</v>
      </c>
      <c r="Y306" s="595">
        <f t="shared" ref="Y306:Z311" si="37">Y123</f>
        <v>212.12</v>
      </c>
      <c r="Z306" s="602">
        <f t="shared" si="37"/>
        <v>10051.65</v>
      </c>
      <c r="AA306" s="595">
        <f>(9.5209*Y306)+8058.7</f>
        <v>10078.273308</v>
      </c>
      <c r="AB306" s="595">
        <f>Z306-AA306</f>
        <v>-26.623308000000179</v>
      </c>
      <c r="AC306" t="str">
        <f t="shared" si="36"/>
        <v>Valor por debajo de LBE Obtenido</v>
      </c>
    </row>
    <row r="307" spans="24:35" x14ac:dyDescent="0.25">
      <c r="X307" s="390">
        <f t="shared" si="33"/>
        <v>45139</v>
      </c>
      <c r="Y307" s="595">
        <f t="shared" si="37"/>
        <v>112.32</v>
      </c>
      <c r="Z307" s="602">
        <f t="shared" si="37"/>
        <v>8620.61</v>
      </c>
      <c r="AA307" s="595">
        <f t="shared" si="34"/>
        <v>9128.0874879999992</v>
      </c>
      <c r="AB307" s="595">
        <f t="shared" si="35"/>
        <v>-507.47748799999863</v>
      </c>
      <c r="AC307" t="str">
        <f t="shared" si="36"/>
        <v>Valor por debajo de LBE Obtenido</v>
      </c>
    </row>
    <row r="308" spans="24:35" x14ac:dyDescent="0.25">
      <c r="X308" s="390">
        <f t="shared" si="33"/>
        <v>45170</v>
      </c>
      <c r="Y308" s="595">
        <f t="shared" si="37"/>
        <v>81.5</v>
      </c>
      <c r="Z308" s="595">
        <f t="shared" si="37"/>
        <v>9013.66</v>
      </c>
      <c r="AA308" s="595">
        <f t="shared" si="34"/>
        <v>8834.6533500000005</v>
      </c>
      <c r="AB308" s="595">
        <f t="shared" si="35"/>
        <v>179.00664999999935</v>
      </c>
      <c r="AC308" t="str">
        <f t="shared" si="36"/>
        <v/>
      </c>
    </row>
    <row r="309" spans="24:35" x14ac:dyDescent="0.25">
      <c r="X309" s="390">
        <f t="shared" si="33"/>
        <v>45200</v>
      </c>
      <c r="Y309" s="595">
        <f t="shared" si="37"/>
        <v>70.14</v>
      </c>
      <c r="Z309" s="595">
        <f t="shared" si="37"/>
        <v>9003.9</v>
      </c>
      <c r="AA309" s="595">
        <f t="shared" si="34"/>
        <v>8726.4959259999996</v>
      </c>
      <c r="AB309" s="595">
        <f t="shared" si="35"/>
        <v>277.40407400000004</v>
      </c>
      <c r="AC309" t="str">
        <f t="shared" si="36"/>
        <v/>
      </c>
    </row>
    <row r="310" spans="24:35" x14ac:dyDescent="0.25">
      <c r="X310" s="390">
        <f t="shared" si="33"/>
        <v>45231</v>
      </c>
      <c r="Y310" s="595">
        <f t="shared" si="37"/>
        <v>181.45</v>
      </c>
      <c r="Z310" s="595">
        <f t="shared" si="37"/>
        <v>10060.049999999999</v>
      </c>
      <c r="AA310" s="595">
        <f t="shared" si="34"/>
        <v>9786.2673049999994</v>
      </c>
      <c r="AB310" s="595">
        <f t="shared" si="35"/>
        <v>273.78269499999988</v>
      </c>
      <c r="AC310" t="str">
        <f t="shared" si="36"/>
        <v/>
      </c>
    </row>
    <row r="311" spans="24:35" x14ac:dyDescent="0.25">
      <c r="X311" s="390">
        <f t="shared" si="33"/>
        <v>45261</v>
      </c>
      <c r="Y311" s="595">
        <f t="shared" si="37"/>
        <v>59.85</v>
      </c>
      <c r="Z311" s="602">
        <f t="shared" si="37"/>
        <v>8468.25</v>
      </c>
      <c r="AA311" s="595">
        <f t="shared" si="34"/>
        <v>8628.5258649999996</v>
      </c>
      <c r="AB311" s="595">
        <f t="shared" si="35"/>
        <v>-160.27586499999961</v>
      </c>
      <c r="AC311" t="str">
        <f t="shared" si="36"/>
        <v>Valor por debajo de LBE Obtenido</v>
      </c>
    </row>
    <row r="312" spans="24:35" x14ac:dyDescent="0.25">
      <c r="X312" s="1"/>
      <c r="Y312" s="561"/>
      <c r="Z312" s="561"/>
      <c r="AA312" s="297"/>
      <c r="AB312" s="297"/>
    </row>
    <row r="313" spans="24:35" x14ac:dyDescent="0.25">
      <c r="X313" s="1"/>
      <c r="Y313" s="561"/>
      <c r="Z313" s="561"/>
      <c r="AA313" s="297"/>
      <c r="AB313" s="297"/>
    </row>
    <row r="314" spans="24:35" x14ac:dyDescent="0.25">
      <c r="X314" s="1"/>
      <c r="Y314" s="561"/>
      <c r="Z314" s="561"/>
      <c r="AA314" s="297"/>
      <c r="AB314" s="297"/>
    </row>
    <row r="317" spans="24:35" x14ac:dyDescent="0.25">
      <c r="X317" s="660" t="s">
        <v>771</v>
      </c>
      <c r="Y317" s="660"/>
      <c r="Z317" s="660"/>
    </row>
    <row r="318" spans="24:35" x14ac:dyDescent="0.25">
      <c r="AH318" t="s">
        <v>642</v>
      </c>
    </row>
    <row r="319" spans="24:35" ht="30.75" thickBot="1" x14ac:dyDescent="0.3">
      <c r="X319" s="183" t="s">
        <v>3</v>
      </c>
      <c r="Y319" s="45" t="s">
        <v>1046</v>
      </c>
      <c r="Z319" s="45" t="s">
        <v>645</v>
      </c>
    </row>
    <row r="320" spans="24:35" x14ac:dyDescent="0.25">
      <c r="X320" s="603">
        <f>X289</f>
        <v>44562</v>
      </c>
      <c r="Y320" s="70">
        <f>Y289</f>
        <v>72.344580000000008</v>
      </c>
      <c r="Z320" s="70">
        <f>Z289</f>
        <v>8674.83</v>
      </c>
      <c r="AH320" s="598" t="s">
        <v>682</v>
      </c>
      <c r="AI320" s="598"/>
    </row>
    <row r="321" spans="24:42" x14ac:dyDescent="0.25">
      <c r="X321" s="603">
        <f t="shared" ref="X321:Z322" si="38">X291</f>
        <v>44652</v>
      </c>
      <c r="Y321" s="70">
        <f t="shared" si="38"/>
        <v>198.85866000000001</v>
      </c>
      <c r="Z321" s="70">
        <f t="shared" si="38"/>
        <v>9823.56</v>
      </c>
      <c r="AH321" t="s">
        <v>683</v>
      </c>
      <c r="AI321">
        <v>0.97506775359521836</v>
      </c>
    </row>
    <row r="322" spans="24:42" x14ac:dyDescent="0.25">
      <c r="X322" s="603">
        <f t="shared" si="38"/>
        <v>44682</v>
      </c>
      <c r="Y322" s="70">
        <f t="shared" si="38"/>
        <v>265.41000000000003</v>
      </c>
      <c r="Z322" s="70">
        <f t="shared" si="38"/>
        <v>10503.89</v>
      </c>
      <c r="AH322" t="s">
        <v>698</v>
      </c>
      <c r="AI322">
        <v>0.95075712410122548</v>
      </c>
    </row>
    <row r="323" spans="24:42" x14ac:dyDescent="0.25">
      <c r="X323" s="603">
        <f t="shared" ref="X323:Z324" si="39">X294</f>
        <v>44743</v>
      </c>
      <c r="Y323" s="70">
        <f t="shared" si="39"/>
        <v>177.69752000000003</v>
      </c>
      <c r="Z323" s="70">
        <f t="shared" si="39"/>
        <v>9668.73</v>
      </c>
      <c r="AH323" t="s">
        <v>699</v>
      </c>
      <c r="AI323">
        <v>0.94628049901951872</v>
      </c>
    </row>
    <row r="324" spans="24:42" x14ac:dyDescent="0.25">
      <c r="X324" s="603">
        <f t="shared" si="39"/>
        <v>44774</v>
      </c>
      <c r="Y324" s="70">
        <f t="shared" si="39"/>
        <v>190.06218000000001</v>
      </c>
      <c r="Z324" s="70">
        <f t="shared" si="39"/>
        <v>9498.1299999999992</v>
      </c>
      <c r="AH324" t="s">
        <v>639</v>
      </c>
      <c r="AI324">
        <v>154.87530019753439</v>
      </c>
    </row>
    <row r="325" spans="24:42" ht="15.75" thickBot="1" x14ac:dyDescent="0.3">
      <c r="X325" s="603">
        <f>X297</f>
        <v>44835</v>
      </c>
      <c r="Y325" s="70">
        <f>Y297</f>
        <v>112</v>
      </c>
      <c r="Z325" s="70">
        <f>Z297</f>
        <v>9045.56</v>
      </c>
      <c r="AH325" s="98" t="s">
        <v>641</v>
      </c>
      <c r="AI325" s="98">
        <v>13</v>
      </c>
    </row>
    <row r="326" spans="24:42" x14ac:dyDescent="0.25">
      <c r="X326" s="603">
        <f t="shared" ref="X326:Z327" si="40">X300</f>
        <v>44927</v>
      </c>
      <c r="Y326" s="70">
        <f t="shared" si="40"/>
        <v>81.25</v>
      </c>
      <c r="Z326" s="70">
        <f t="shared" si="40"/>
        <v>8475</v>
      </c>
    </row>
    <row r="327" spans="24:42" ht="15.75" thickBot="1" x14ac:dyDescent="0.3">
      <c r="X327" s="603">
        <f t="shared" si="40"/>
        <v>44958</v>
      </c>
      <c r="Y327" s="70">
        <f t="shared" si="40"/>
        <v>104.56</v>
      </c>
      <c r="Z327" s="70">
        <f t="shared" si="40"/>
        <v>8802.64</v>
      </c>
      <c r="AH327" t="s">
        <v>696</v>
      </c>
    </row>
    <row r="328" spans="24:42" x14ac:dyDescent="0.25">
      <c r="X328" s="603">
        <f>X303</f>
        <v>45017</v>
      </c>
      <c r="Y328" s="70">
        <f>Y303</f>
        <v>214.56</v>
      </c>
      <c r="Z328" s="70">
        <f>Z303</f>
        <v>9796.5</v>
      </c>
      <c r="AH328" s="597"/>
      <c r="AI328" s="597" t="s">
        <v>686</v>
      </c>
      <c r="AJ328" s="597" t="s">
        <v>692</v>
      </c>
      <c r="AK328" s="597" t="s">
        <v>693</v>
      </c>
      <c r="AL328" s="597" t="s">
        <v>694</v>
      </c>
      <c r="AM328" s="597" t="s">
        <v>695</v>
      </c>
    </row>
    <row r="329" spans="24:42" x14ac:dyDescent="0.25">
      <c r="X329" s="603">
        <f t="shared" ref="X329:Z331" si="41">X305</f>
        <v>45078</v>
      </c>
      <c r="Y329" s="70">
        <f t="shared" si="41"/>
        <v>199.52</v>
      </c>
      <c r="Z329" s="70">
        <f t="shared" si="41"/>
        <v>9636.34</v>
      </c>
      <c r="AH329" t="s">
        <v>687</v>
      </c>
      <c r="AI329">
        <v>1</v>
      </c>
      <c r="AJ329">
        <v>5094284.4027990336</v>
      </c>
      <c r="AK329">
        <v>5094284.4027990336</v>
      </c>
      <c r="AL329">
        <v>212.38256649778108</v>
      </c>
      <c r="AM329">
        <v>1.5435645791203175E-8</v>
      </c>
    </row>
    <row r="330" spans="24:42" x14ac:dyDescent="0.25">
      <c r="X330" s="603">
        <f t="shared" si="41"/>
        <v>45108</v>
      </c>
      <c r="Y330" s="70">
        <f t="shared" si="41"/>
        <v>212.12</v>
      </c>
      <c r="Z330" s="70">
        <f t="shared" si="41"/>
        <v>10051.65</v>
      </c>
      <c r="AH330" t="s">
        <v>688</v>
      </c>
      <c r="AI330">
        <v>11</v>
      </c>
      <c r="AJ330">
        <v>263849.9447240404</v>
      </c>
      <c r="AK330">
        <v>23986.358611276399</v>
      </c>
    </row>
    <row r="331" spans="24:42" ht="15.75" thickBot="1" x14ac:dyDescent="0.3">
      <c r="X331" s="603">
        <f t="shared" si="41"/>
        <v>45139</v>
      </c>
      <c r="Y331" s="70">
        <f t="shared" si="41"/>
        <v>112.32</v>
      </c>
      <c r="Z331" s="70">
        <f t="shared" si="41"/>
        <v>8620.61</v>
      </c>
      <c r="AH331" s="98" t="s">
        <v>64</v>
      </c>
      <c r="AI331" s="98">
        <v>12</v>
      </c>
      <c r="AJ331" s="98">
        <v>5358134.3475230737</v>
      </c>
      <c r="AK331" s="98"/>
      <c r="AL331" s="98"/>
      <c r="AM331" s="98"/>
    </row>
    <row r="332" spans="24:42" ht="15.75" thickBot="1" x14ac:dyDescent="0.3">
      <c r="X332" s="603">
        <f>X311</f>
        <v>45261</v>
      </c>
      <c r="Y332" s="70">
        <f>Y311</f>
        <v>59.85</v>
      </c>
      <c r="Z332" s="70">
        <f>Z311</f>
        <v>8468.25</v>
      </c>
    </row>
    <row r="333" spans="24:42" x14ac:dyDescent="0.25">
      <c r="AH333" s="597"/>
      <c r="AI333" s="597" t="s">
        <v>638</v>
      </c>
      <c r="AJ333" s="597" t="s">
        <v>639</v>
      </c>
      <c r="AK333" s="597" t="s">
        <v>640</v>
      </c>
      <c r="AL333" s="597" t="s">
        <v>697</v>
      </c>
      <c r="AM333" s="597" t="s">
        <v>701</v>
      </c>
      <c r="AN333" s="597" t="s">
        <v>702</v>
      </c>
      <c r="AO333" s="597" t="s">
        <v>703</v>
      </c>
      <c r="AP333" s="597" t="s">
        <v>704</v>
      </c>
    </row>
    <row r="334" spans="24:42" x14ac:dyDescent="0.25">
      <c r="X334" s="483" t="s">
        <v>38</v>
      </c>
      <c r="Y334" s="24">
        <f>AVERAGE(Y320:Y332)</f>
        <v>153.88868769230768</v>
      </c>
      <c r="Z334" s="24">
        <f>AVERAGE(Z320:Z332)</f>
        <v>9312.7453846153821</v>
      </c>
      <c r="AH334" t="s">
        <v>700</v>
      </c>
      <c r="AI334">
        <v>7792.1210227408765</v>
      </c>
      <c r="AJ334">
        <v>112.83849376547367</v>
      </c>
      <c r="AK334">
        <v>69.055521415734376</v>
      </c>
      <c r="AL334">
        <v>7.2909458092886621E-16</v>
      </c>
      <c r="AM334">
        <v>7543.7651724759762</v>
      </c>
      <c r="AN334">
        <v>8040.4768730057767</v>
      </c>
      <c r="AO334">
        <v>7543.7651724759762</v>
      </c>
      <c r="AP334">
        <v>8040.4768730057767</v>
      </c>
    </row>
    <row r="335" spans="24:42" ht="15.75" thickBot="1" x14ac:dyDescent="0.3">
      <c r="AH335" s="98" t="s">
        <v>705</v>
      </c>
      <c r="AI335" s="98">
        <v>9.8813264618573786</v>
      </c>
      <c r="AJ335" s="98">
        <v>0.6780407811508119</v>
      </c>
      <c r="AK335" s="98">
        <v>14.573351244575868</v>
      </c>
      <c r="AL335" s="98">
        <v>1.5435645791203232E-8</v>
      </c>
      <c r="AM335" s="98">
        <v>8.3889687646074993</v>
      </c>
      <c r="AN335" s="98">
        <v>11.373684159107258</v>
      </c>
      <c r="AO335" s="98">
        <v>8.3889687646074993</v>
      </c>
      <c r="AP335" s="98">
        <v>11.373684159107258</v>
      </c>
    </row>
    <row r="340" spans="24:44" x14ac:dyDescent="0.25">
      <c r="X340" s="656" t="s">
        <v>773</v>
      </c>
      <c r="Y340" s="656"/>
      <c r="Z340" s="656"/>
      <c r="AA340" s="656"/>
      <c r="AB340" s="656"/>
      <c r="AC340" s="656"/>
      <c r="AD340" s="656"/>
      <c r="AE340" s="656"/>
    </row>
    <row r="341" spans="24:44" x14ac:dyDescent="0.25">
      <c r="X341" t="s">
        <v>706</v>
      </c>
      <c r="AJ341" s="613" t="s">
        <v>1063</v>
      </c>
    </row>
    <row r="343" spans="24:44" x14ac:dyDescent="0.25">
      <c r="X343" t="s">
        <v>1040</v>
      </c>
      <c r="AI343" s="652" t="s">
        <v>1064</v>
      </c>
      <c r="AJ343" s="652" t="s">
        <v>748</v>
      </c>
      <c r="AK343" s="652"/>
      <c r="AL343" s="652"/>
      <c r="AM343" s="652"/>
      <c r="AN343" s="652" t="s">
        <v>1064</v>
      </c>
      <c r="AO343" s="653" t="s">
        <v>748</v>
      </c>
      <c r="AP343" s="653"/>
      <c r="AQ343" s="653"/>
      <c r="AR343" s="653"/>
    </row>
    <row r="344" spans="24:44" x14ac:dyDescent="0.25">
      <c r="AI344" s="652"/>
      <c r="AJ344" s="614">
        <v>0.95</v>
      </c>
      <c r="AK344" s="614">
        <v>0.9</v>
      </c>
      <c r="AL344" s="614">
        <v>0.8</v>
      </c>
      <c r="AM344" s="614">
        <v>0.5</v>
      </c>
      <c r="AN344" s="652"/>
      <c r="AO344" s="614">
        <v>0.95</v>
      </c>
      <c r="AP344" s="614">
        <v>0.9</v>
      </c>
      <c r="AQ344" s="615">
        <v>0.8</v>
      </c>
      <c r="AR344" s="616">
        <v>0.5</v>
      </c>
    </row>
    <row r="345" spans="24:44" x14ac:dyDescent="0.25">
      <c r="X345" t="s">
        <v>711</v>
      </c>
      <c r="AI345" s="617">
        <v>2</v>
      </c>
      <c r="AJ345" s="618" t="s">
        <v>1065</v>
      </c>
      <c r="AK345" s="618" t="s">
        <v>1066</v>
      </c>
      <c r="AL345" s="618" t="s">
        <v>1067</v>
      </c>
      <c r="AM345" s="618" t="s">
        <v>1068</v>
      </c>
      <c r="AN345" s="618">
        <v>17</v>
      </c>
      <c r="AO345" s="618" t="s">
        <v>1069</v>
      </c>
      <c r="AP345" s="618" t="s">
        <v>1070</v>
      </c>
      <c r="AQ345" s="619" t="s">
        <v>1071</v>
      </c>
      <c r="AR345" s="620" t="s">
        <v>1072</v>
      </c>
    </row>
    <row r="346" spans="24:44" x14ac:dyDescent="0.25">
      <c r="X346" t="s">
        <v>712</v>
      </c>
      <c r="AI346" s="617">
        <v>3</v>
      </c>
      <c r="AJ346" s="618" t="s">
        <v>1073</v>
      </c>
      <c r="AK346" s="618" t="s">
        <v>1074</v>
      </c>
      <c r="AL346" s="618" t="s">
        <v>1075</v>
      </c>
      <c r="AM346" s="618" t="s">
        <v>1076</v>
      </c>
      <c r="AN346" s="618">
        <v>18</v>
      </c>
      <c r="AO346" s="618" t="s">
        <v>1069</v>
      </c>
      <c r="AP346" s="618" t="s">
        <v>1077</v>
      </c>
      <c r="AQ346" s="619" t="s">
        <v>1078</v>
      </c>
      <c r="AR346" s="620" t="s">
        <v>1072</v>
      </c>
    </row>
    <row r="347" spans="24:44" x14ac:dyDescent="0.25">
      <c r="X347" t="s">
        <v>713</v>
      </c>
      <c r="AI347" s="617">
        <v>4</v>
      </c>
      <c r="AJ347" s="618" t="s">
        <v>1079</v>
      </c>
      <c r="AK347" s="618" t="s">
        <v>1080</v>
      </c>
      <c r="AL347" s="618" t="s">
        <v>1081</v>
      </c>
      <c r="AM347" s="618" t="s">
        <v>1082</v>
      </c>
      <c r="AN347" s="618">
        <v>19</v>
      </c>
      <c r="AO347" s="618" t="s">
        <v>1083</v>
      </c>
      <c r="AP347" s="618" t="s">
        <v>1084</v>
      </c>
      <c r="AQ347" s="619" t="s">
        <v>1078</v>
      </c>
      <c r="AR347" s="620" t="s">
        <v>1072</v>
      </c>
    </row>
    <row r="348" spans="24:44" x14ac:dyDescent="0.25">
      <c r="AI348" s="617">
        <v>5</v>
      </c>
      <c r="AJ348" s="618" t="s">
        <v>1085</v>
      </c>
      <c r="AK348" s="618" t="s">
        <v>1086</v>
      </c>
      <c r="AL348" s="618" t="s">
        <v>1087</v>
      </c>
      <c r="AM348" s="618" t="s">
        <v>1088</v>
      </c>
      <c r="AN348" s="618">
        <v>20</v>
      </c>
      <c r="AO348" s="618" t="s">
        <v>1089</v>
      </c>
      <c r="AP348" s="618" t="s">
        <v>1084</v>
      </c>
      <c r="AQ348" s="619" t="s">
        <v>1078</v>
      </c>
      <c r="AR348" s="620" t="s">
        <v>1072</v>
      </c>
    </row>
    <row r="349" spans="24:44" x14ac:dyDescent="0.25">
      <c r="Z349" s="493" t="str">
        <f t="shared" ref="Z349:AA351" si="42">AK333</f>
        <v>Estadístico t</v>
      </c>
      <c r="AA349" s="493" t="str">
        <f t="shared" si="42"/>
        <v>Probabilidad</v>
      </c>
      <c r="AI349" s="617">
        <v>6</v>
      </c>
      <c r="AJ349" s="618" t="s">
        <v>1090</v>
      </c>
      <c r="AK349" s="618" t="s">
        <v>1091</v>
      </c>
      <c r="AL349" s="618" t="s">
        <v>1092</v>
      </c>
      <c r="AM349" s="618" t="s">
        <v>1093</v>
      </c>
      <c r="AN349" s="618">
        <v>21</v>
      </c>
      <c r="AO349" s="618" t="s">
        <v>1094</v>
      </c>
      <c r="AP349" s="618" t="s">
        <v>1095</v>
      </c>
      <c r="AQ349" s="619" t="s">
        <v>1078</v>
      </c>
      <c r="AR349" s="620" t="s">
        <v>1072</v>
      </c>
    </row>
    <row r="350" spans="24:44" x14ac:dyDescent="0.25">
      <c r="Z350">
        <f t="shared" si="42"/>
        <v>69.055521415734376</v>
      </c>
      <c r="AA350">
        <f t="shared" si="42"/>
        <v>7.2909458092886621E-16</v>
      </c>
      <c r="AI350" s="617">
        <v>7</v>
      </c>
      <c r="AJ350" s="618" t="s">
        <v>1096</v>
      </c>
      <c r="AK350" s="618" t="s">
        <v>1097</v>
      </c>
      <c r="AL350" s="618" t="s">
        <v>1098</v>
      </c>
      <c r="AM350" s="618" t="s">
        <v>1099</v>
      </c>
      <c r="AN350" s="618">
        <v>22</v>
      </c>
      <c r="AO350" s="618" t="s">
        <v>1100</v>
      </c>
      <c r="AP350" s="618" t="s">
        <v>1095</v>
      </c>
      <c r="AQ350" s="619" t="s">
        <v>1101</v>
      </c>
      <c r="AR350" s="620" t="s">
        <v>1072</v>
      </c>
    </row>
    <row r="351" spans="24:44" ht="15.75" thickBot="1" x14ac:dyDescent="0.3">
      <c r="Z351" s="98">
        <f t="shared" si="42"/>
        <v>14.573351244575868</v>
      </c>
      <c r="AA351" s="98">
        <f t="shared" si="42"/>
        <v>1.5435645791203232E-8</v>
      </c>
      <c r="AI351" s="617">
        <v>8</v>
      </c>
      <c r="AJ351" s="618" t="s">
        <v>1102</v>
      </c>
      <c r="AK351" s="618" t="s">
        <v>1075</v>
      </c>
      <c r="AL351" s="618" t="s">
        <v>1103</v>
      </c>
      <c r="AM351" s="618" t="s">
        <v>1104</v>
      </c>
      <c r="AN351" s="618">
        <v>23</v>
      </c>
      <c r="AO351" s="618" t="s">
        <v>1105</v>
      </c>
      <c r="AP351" s="618" t="s">
        <v>1095</v>
      </c>
      <c r="AQ351" s="619" t="s">
        <v>1101</v>
      </c>
      <c r="AR351" s="620" t="s">
        <v>1072</v>
      </c>
    </row>
    <row r="352" spans="24:44" x14ac:dyDescent="0.25">
      <c r="AI352" s="617">
        <v>9</v>
      </c>
      <c r="AJ352" s="618" t="s">
        <v>1106</v>
      </c>
      <c r="AK352" s="618" t="s">
        <v>1107</v>
      </c>
      <c r="AL352" s="618" t="s">
        <v>1108</v>
      </c>
      <c r="AM352" s="618" t="s">
        <v>1104</v>
      </c>
      <c r="AN352" s="618">
        <v>24</v>
      </c>
      <c r="AO352" s="618" t="s">
        <v>1105</v>
      </c>
      <c r="AP352" s="618" t="s">
        <v>1109</v>
      </c>
      <c r="AQ352" s="619" t="s">
        <v>1101</v>
      </c>
      <c r="AR352" s="620" t="s">
        <v>1072</v>
      </c>
    </row>
    <row r="353" spans="24:44" x14ac:dyDescent="0.25">
      <c r="AI353" s="617">
        <v>10</v>
      </c>
      <c r="AJ353" s="618" t="s">
        <v>1110</v>
      </c>
      <c r="AK353" s="618" t="s">
        <v>1111</v>
      </c>
      <c r="AL353" s="618" t="s">
        <v>1112</v>
      </c>
      <c r="AM353" s="618" t="s">
        <v>1113</v>
      </c>
      <c r="AN353" s="618">
        <v>25</v>
      </c>
      <c r="AO353" s="618" t="s">
        <v>1114</v>
      </c>
      <c r="AP353" s="618" t="s">
        <v>1109</v>
      </c>
      <c r="AQ353" s="619" t="s">
        <v>1101</v>
      </c>
      <c r="AR353" s="620" t="s">
        <v>1072</v>
      </c>
    </row>
    <row r="354" spans="24:44" x14ac:dyDescent="0.25">
      <c r="X354" t="s">
        <v>714</v>
      </c>
      <c r="AC354" s="1" t="s">
        <v>173</v>
      </c>
      <c r="AD354" s="1" t="s">
        <v>727</v>
      </c>
      <c r="AE354">
        <v>0.05</v>
      </c>
      <c r="AI354" s="617">
        <v>11</v>
      </c>
      <c r="AJ354" s="618" t="s">
        <v>1115</v>
      </c>
      <c r="AK354" s="618" t="s">
        <v>1116</v>
      </c>
      <c r="AL354" s="618" t="s">
        <v>1117</v>
      </c>
      <c r="AM354" s="618" t="s">
        <v>1113</v>
      </c>
      <c r="AN354" s="618">
        <v>26</v>
      </c>
      <c r="AO354" s="618" t="s">
        <v>1114</v>
      </c>
      <c r="AP354" s="618" t="s">
        <v>1109</v>
      </c>
      <c r="AQ354" s="619" t="s">
        <v>1101</v>
      </c>
      <c r="AR354" s="620" t="s">
        <v>1072</v>
      </c>
    </row>
    <row r="355" spans="24:44" x14ac:dyDescent="0.25">
      <c r="X355" s="655" t="s">
        <v>715</v>
      </c>
      <c r="Y355" s="655"/>
      <c r="Z355" s="297">
        <f>Z351</f>
        <v>14.573351244575868</v>
      </c>
      <c r="AC355" s="655" t="s">
        <v>720</v>
      </c>
      <c r="AD355" s="655"/>
      <c r="AE355" s="655"/>
      <c r="AI355" s="617">
        <v>12</v>
      </c>
      <c r="AJ355" s="618" t="s">
        <v>1118</v>
      </c>
      <c r="AK355" s="618" t="s">
        <v>1119</v>
      </c>
      <c r="AL355" s="618" t="s">
        <v>1120</v>
      </c>
      <c r="AM355" s="618" t="s">
        <v>1113</v>
      </c>
      <c r="AN355" s="618">
        <v>27</v>
      </c>
      <c r="AO355" s="618" t="s">
        <v>1114</v>
      </c>
      <c r="AP355" s="618" t="s">
        <v>1109</v>
      </c>
      <c r="AQ355" s="619" t="s">
        <v>1121</v>
      </c>
      <c r="AR355" s="620" t="s">
        <v>1072</v>
      </c>
    </row>
    <row r="356" spans="24:44" x14ac:dyDescent="0.25">
      <c r="X356" t="s">
        <v>1054</v>
      </c>
      <c r="AI356" s="617">
        <v>13</v>
      </c>
      <c r="AJ356" s="618" t="s">
        <v>1122</v>
      </c>
      <c r="AK356" s="618" t="s">
        <v>1123</v>
      </c>
      <c r="AL356" s="618" t="s">
        <v>1120</v>
      </c>
      <c r="AM356" s="618" t="s">
        <v>1113</v>
      </c>
      <c r="AN356" s="618">
        <v>28</v>
      </c>
      <c r="AO356" s="618" t="s">
        <v>1124</v>
      </c>
      <c r="AP356" s="618" t="s">
        <v>1125</v>
      </c>
      <c r="AQ356" s="619" t="s">
        <v>1121</v>
      </c>
      <c r="AR356" s="620" t="s">
        <v>1072</v>
      </c>
    </row>
    <row r="357" spans="24:44" x14ac:dyDescent="0.25">
      <c r="X357" s="1" t="s">
        <v>716</v>
      </c>
      <c r="Y357" s="22">
        <f>Z355</f>
        <v>14.573351244575868</v>
      </c>
      <c r="Z357" s="1" t="s">
        <v>717</v>
      </c>
      <c r="AA357" s="297">
        <v>2.1800000000000002</v>
      </c>
      <c r="AI357" s="617">
        <v>14</v>
      </c>
      <c r="AJ357" s="618" t="s">
        <v>1126</v>
      </c>
      <c r="AK357" s="618" t="s">
        <v>1127</v>
      </c>
      <c r="AL357" s="618" t="s">
        <v>1128</v>
      </c>
      <c r="AM357" s="618" t="s">
        <v>1072</v>
      </c>
      <c r="AN357" s="618">
        <v>29</v>
      </c>
      <c r="AO357" s="618" t="s">
        <v>1124</v>
      </c>
      <c r="AP357" s="618" t="s">
        <v>1125</v>
      </c>
      <c r="AQ357" s="619" t="s">
        <v>1121</v>
      </c>
      <c r="AR357" s="620" t="s">
        <v>1072</v>
      </c>
    </row>
    <row r="358" spans="24:44" x14ac:dyDescent="0.25">
      <c r="X358" t="s">
        <v>718</v>
      </c>
      <c r="AI358" s="617">
        <v>15</v>
      </c>
      <c r="AJ358" s="618" t="s">
        <v>1129</v>
      </c>
      <c r="AK358" s="618" t="s">
        <v>1130</v>
      </c>
      <c r="AL358" s="618" t="s">
        <v>1128</v>
      </c>
      <c r="AM358" s="618" t="s">
        <v>1072</v>
      </c>
      <c r="AN358" s="618">
        <v>30</v>
      </c>
      <c r="AO358" s="618" t="s">
        <v>1124</v>
      </c>
      <c r="AP358" s="618" t="s">
        <v>1125</v>
      </c>
      <c r="AQ358" s="619" t="s">
        <v>1121</v>
      </c>
      <c r="AR358" s="620" t="s">
        <v>1072</v>
      </c>
    </row>
    <row r="359" spans="24:44" x14ac:dyDescent="0.25">
      <c r="X359" t="s">
        <v>719</v>
      </c>
      <c r="AI359" s="617">
        <v>16</v>
      </c>
      <c r="AJ359" s="618" t="s">
        <v>1086</v>
      </c>
      <c r="AK359" s="618" t="s">
        <v>1070</v>
      </c>
      <c r="AL359" s="618" t="s">
        <v>1071</v>
      </c>
      <c r="AM359" s="618" t="s">
        <v>1072</v>
      </c>
      <c r="AN359" s="618" t="s">
        <v>1131</v>
      </c>
      <c r="AO359" s="618" t="s">
        <v>1132</v>
      </c>
      <c r="AP359" s="618" t="s">
        <v>1081</v>
      </c>
      <c r="AQ359" s="619" t="s">
        <v>1133</v>
      </c>
      <c r="AR359" s="620" t="s">
        <v>1072</v>
      </c>
    </row>
    <row r="364" spans="24:44" x14ac:dyDescent="0.25">
      <c r="X364" t="s">
        <v>707</v>
      </c>
    </row>
    <row r="365" spans="24:44" x14ac:dyDescent="0.25">
      <c r="X365" t="s">
        <v>721</v>
      </c>
    </row>
    <row r="367" spans="24:44" ht="17.100000000000001" customHeight="1" thickBot="1" x14ac:dyDescent="0.3">
      <c r="Z367" s="493" t="str">
        <f t="shared" ref="Z367:Z372" si="43">AH320</f>
        <v>Estadísticas de la regresión</v>
      </c>
      <c r="AA367" s="493"/>
      <c r="AB367" s="493"/>
      <c r="AC367" s="493"/>
      <c r="AE367" s="502" t="s">
        <v>722</v>
      </c>
      <c r="AF367" s="658" t="s">
        <v>1055</v>
      </c>
      <c r="AG367" s="658"/>
      <c r="AH367" s="658"/>
      <c r="AI367" s="658"/>
      <c r="AJ367" s="658"/>
      <c r="AK367" s="658"/>
    </row>
    <row r="368" spans="24:44" x14ac:dyDescent="0.25">
      <c r="Z368" t="str">
        <f t="shared" si="43"/>
        <v>Coeficiente de correlación múltiple</v>
      </c>
      <c r="AC368">
        <f>AI321</f>
        <v>0.97506775359521836</v>
      </c>
      <c r="AF368" s="658"/>
      <c r="AG368" s="658"/>
      <c r="AH368" s="658"/>
      <c r="AI368" s="658"/>
      <c r="AJ368" s="658"/>
      <c r="AK368" s="658"/>
    </row>
    <row r="369" spans="24:49" x14ac:dyDescent="0.25">
      <c r="Z369" t="str">
        <f t="shared" si="43"/>
        <v>Coeficiente de determinación R^2</v>
      </c>
      <c r="AC369">
        <f>AI322</f>
        <v>0.95075712410122548</v>
      </c>
    </row>
    <row r="370" spans="24:49" x14ac:dyDescent="0.25">
      <c r="Z370" t="str">
        <f t="shared" si="43"/>
        <v>R^2  ajustado</v>
      </c>
      <c r="AC370">
        <f>AI323</f>
        <v>0.94628049901951872</v>
      </c>
      <c r="AO370" s="613" t="s">
        <v>1063</v>
      </c>
    </row>
    <row r="371" spans="24:49" x14ac:dyDescent="0.25">
      <c r="Z371" t="str">
        <f t="shared" si="43"/>
        <v>Error típico</v>
      </c>
      <c r="AC371">
        <f>AI324</f>
        <v>154.87530019753439</v>
      </c>
    </row>
    <row r="372" spans="24:49" ht="15.75" thickBot="1" x14ac:dyDescent="0.3">
      <c r="Z372" s="98" t="str">
        <f t="shared" si="43"/>
        <v>Observaciones</v>
      </c>
      <c r="AA372" s="98"/>
      <c r="AB372" s="98"/>
      <c r="AC372" s="98">
        <f>AI325</f>
        <v>13</v>
      </c>
      <c r="AN372" s="652" t="s">
        <v>1064</v>
      </c>
      <c r="AO372" s="652" t="s">
        <v>748</v>
      </c>
      <c r="AP372" s="652"/>
      <c r="AQ372" s="652"/>
      <c r="AR372" s="652"/>
      <c r="AS372" s="652" t="s">
        <v>1064</v>
      </c>
      <c r="AT372" s="653" t="s">
        <v>748</v>
      </c>
      <c r="AU372" s="653"/>
      <c r="AV372" s="653"/>
      <c r="AW372" s="653"/>
    </row>
    <row r="373" spans="24:49" x14ac:dyDescent="0.25">
      <c r="AN373" s="652"/>
      <c r="AO373" s="614">
        <v>0.95</v>
      </c>
      <c r="AP373" s="614">
        <v>0.9</v>
      </c>
      <c r="AQ373" s="614">
        <v>0.8</v>
      </c>
      <c r="AR373" s="614">
        <v>0.5</v>
      </c>
      <c r="AS373" s="652"/>
      <c r="AT373" s="614">
        <v>0.95</v>
      </c>
      <c r="AU373" s="614">
        <v>0.9</v>
      </c>
      <c r="AV373" s="615">
        <v>0.8</v>
      </c>
      <c r="AW373" s="616">
        <v>0.5</v>
      </c>
    </row>
    <row r="374" spans="24:49" x14ac:dyDescent="0.25">
      <c r="X374" s="658" t="s">
        <v>724</v>
      </c>
      <c r="Y374" s="658"/>
      <c r="Z374" s="658"/>
      <c r="AA374" s="658"/>
      <c r="AB374" s="658"/>
      <c r="AC374" s="658"/>
      <c r="AD374" s="658"/>
      <c r="AE374" s="658"/>
      <c r="AF374" s="658"/>
      <c r="AG374" s="658"/>
      <c r="AH374" s="658"/>
      <c r="AI374" s="658"/>
      <c r="AJ374" s="658"/>
      <c r="AK374" s="658"/>
      <c r="AL374" s="658"/>
      <c r="AN374" s="617">
        <v>2</v>
      </c>
      <c r="AO374" s="618" t="s">
        <v>1065</v>
      </c>
      <c r="AP374" s="618" t="s">
        <v>1066</v>
      </c>
      <c r="AQ374" s="618" t="s">
        <v>1067</v>
      </c>
      <c r="AR374" s="618" t="s">
        <v>1068</v>
      </c>
      <c r="AS374" s="618">
        <v>17</v>
      </c>
      <c r="AT374" s="618" t="s">
        <v>1069</v>
      </c>
      <c r="AU374" s="618" t="s">
        <v>1070</v>
      </c>
      <c r="AV374" s="619" t="s">
        <v>1071</v>
      </c>
      <c r="AW374" s="620" t="s">
        <v>1072</v>
      </c>
    </row>
    <row r="375" spans="24:49" x14ac:dyDescent="0.25">
      <c r="X375" s="658"/>
      <c r="Y375" s="658"/>
      <c r="Z375" s="658"/>
      <c r="AA375" s="658"/>
      <c r="AB375" s="658"/>
      <c r="AC375" s="658"/>
      <c r="AD375" s="658"/>
      <c r="AE375" s="658"/>
      <c r="AF375" s="658"/>
      <c r="AG375" s="658"/>
      <c r="AH375" s="658"/>
      <c r="AI375" s="658"/>
      <c r="AJ375" s="658"/>
      <c r="AK375" s="658"/>
      <c r="AL375" s="658"/>
      <c r="AN375" s="617">
        <v>3</v>
      </c>
      <c r="AO375" s="618" t="s">
        <v>1073</v>
      </c>
      <c r="AP375" s="618" t="s">
        <v>1074</v>
      </c>
      <c r="AQ375" s="618" t="s">
        <v>1075</v>
      </c>
      <c r="AR375" s="618" t="s">
        <v>1076</v>
      </c>
      <c r="AS375" s="618">
        <v>18</v>
      </c>
      <c r="AT375" s="618" t="s">
        <v>1069</v>
      </c>
      <c r="AU375" s="618" t="s">
        <v>1077</v>
      </c>
      <c r="AV375" s="619" t="s">
        <v>1078</v>
      </c>
      <c r="AW375" s="620" t="s">
        <v>1072</v>
      </c>
    </row>
    <row r="376" spans="24:49" x14ac:dyDescent="0.25">
      <c r="AN376" s="617">
        <v>4</v>
      </c>
      <c r="AO376" s="618" t="s">
        <v>1079</v>
      </c>
      <c r="AP376" s="618" t="s">
        <v>1080</v>
      </c>
      <c r="AQ376" s="618" t="s">
        <v>1081</v>
      </c>
      <c r="AR376" s="618" t="s">
        <v>1082</v>
      </c>
      <c r="AS376" s="618">
        <v>19</v>
      </c>
      <c r="AT376" s="618" t="s">
        <v>1083</v>
      </c>
      <c r="AU376" s="618" t="s">
        <v>1084</v>
      </c>
      <c r="AV376" s="619" t="s">
        <v>1078</v>
      </c>
      <c r="AW376" s="620" t="s">
        <v>1072</v>
      </c>
    </row>
    <row r="377" spans="24:49" x14ac:dyDescent="0.25">
      <c r="X377" t="s">
        <v>723</v>
      </c>
      <c r="AN377" s="617">
        <v>5</v>
      </c>
      <c r="AO377" s="618" t="s">
        <v>1085</v>
      </c>
      <c r="AP377" s="618" t="s">
        <v>1086</v>
      </c>
      <c r="AQ377" s="618" t="s">
        <v>1087</v>
      </c>
      <c r="AR377" s="618" t="s">
        <v>1088</v>
      </c>
      <c r="AS377" s="618">
        <v>20</v>
      </c>
      <c r="AT377" s="618" t="s">
        <v>1089</v>
      </c>
      <c r="AU377" s="618" t="s">
        <v>1084</v>
      </c>
      <c r="AV377" s="619" t="s">
        <v>1078</v>
      </c>
      <c r="AW377" s="620" t="s">
        <v>1072</v>
      </c>
    </row>
    <row r="378" spans="24:49" x14ac:dyDescent="0.25">
      <c r="AN378" s="617">
        <v>6</v>
      </c>
      <c r="AO378" s="618" t="s">
        <v>1090</v>
      </c>
      <c r="AP378" s="618" t="s">
        <v>1091</v>
      </c>
      <c r="AQ378" s="618" t="s">
        <v>1092</v>
      </c>
      <c r="AR378" s="618" t="s">
        <v>1093</v>
      </c>
      <c r="AS378" s="618">
        <v>21</v>
      </c>
      <c r="AT378" s="618" t="s">
        <v>1094</v>
      </c>
      <c r="AU378" s="618" t="s">
        <v>1095</v>
      </c>
      <c r="AV378" s="619" t="s">
        <v>1078</v>
      </c>
      <c r="AW378" s="620" t="s">
        <v>1072</v>
      </c>
    </row>
    <row r="379" spans="24:49" x14ac:dyDescent="0.25">
      <c r="X379" t="s">
        <v>708</v>
      </c>
      <c r="AN379" s="617">
        <v>7</v>
      </c>
      <c r="AO379" s="618" t="s">
        <v>1096</v>
      </c>
      <c r="AP379" s="618" t="s">
        <v>1097</v>
      </c>
      <c r="AQ379" s="618" t="s">
        <v>1098</v>
      </c>
      <c r="AR379" s="618" t="s">
        <v>1099</v>
      </c>
      <c r="AS379" s="618">
        <v>22</v>
      </c>
      <c r="AT379" s="618" t="s">
        <v>1100</v>
      </c>
      <c r="AU379" s="618" t="s">
        <v>1095</v>
      </c>
      <c r="AV379" s="619" t="s">
        <v>1101</v>
      </c>
      <c r="AW379" s="620" t="s">
        <v>1072</v>
      </c>
    </row>
    <row r="380" spans="24:49" x14ac:dyDescent="0.25">
      <c r="X380" s="658" t="s">
        <v>725</v>
      </c>
      <c r="Y380" s="658"/>
      <c r="Z380" s="658"/>
      <c r="AA380" s="658"/>
      <c r="AB380" s="658"/>
      <c r="AC380" s="658"/>
      <c r="AD380" s="658"/>
      <c r="AE380" s="658"/>
      <c r="AF380" s="658"/>
      <c r="AG380" s="658"/>
      <c r="AH380" s="658"/>
      <c r="AI380" s="658"/>
      <c r="AJ380" s="658"/>
      <c r="AK380" s="658"/>
      <c r="AL380" s="658"/>
      <c r="AN380" s="617">
        <v>8</v>
      </c>
      <c r="AO380" s="618" t="s">
        <v>1102</v>
      </c>
      <c r="AP380" s="618" t="s">
        <v>1075</v>
      </c>
      <c r="AQ380" s="618" t="s">
        <v>1103</v>
      </c>
      <c r="AR380" s="618" t="s">
        <v>1104</v>
      </c>
      <c r="AS380" s="618">
        <v>23</v>
      </c>
      <c r="AT380" s="618" t="s">
        <v>1105</v>
      </c>
      <c r="AU380" s="618" t="s">
        <v>1095</v>
      </c>
      <c r="AV380" s="619" t="s">
        <v>1101</v>
      </c>
      <c r="AW380" s="620" t="s">
        <v>1072</v>
      </c>
    </row>
    <row r="381" spans="24:49" x14ac:dyDescent="0.25">
      <c r="X381" s="658"/>
      <c r="Y381" s="658"/>
      <c r="Z381" s="658"/>
      <c r="AA381" s="658"/>
      <c r="AB381" s="658"/>
      <c r="AC381" s="658"/>
      <c r="AD381" s="658"/>
      <c r="AE381" s="658"/>
      <c r="AF381" s="658"/>
      <c r="AG381" s="658"/>
      <c r="AH381" s="658"/>
      <c r="AI381" s="658"/>
      <c r="AJ381" s="658"/>
      <c r="AK381" s="658"/>
      <c r="AL381" s="658"/>
      <c r="AN381" s="617">
        <v>9</v>
      </c>
      <c r="AO381" s="618" t="s">
        <v>1106</v>
      </c>
      <c r="AP381" s="618" t="s">
        <v>1107</v>
      </c>
      <c r="AQ381" s="618" t="s">
        <v>1108</v>
      </c>
      <c r="AR381" s="618" t="s">
        <v>1104</v>
      </c>
      <c r="AS381" s="618">
        <v>24</v>
      </c>
      <c r="AT381" s="618" t="s">
        <v>1105</v>
      </c>
      <c r="AU381" s="618" t="s">
        <v>1109</v>
      </c>
      <c r="AV381" s="619" t="s">
        <v>1101</v>
      </c>
      <c r="AW381" s="620" t="s">
        <v>1072</v>
      </c>
    </row>
    <row r="382" spans="24:49" x14ac:dyDescent="0.25">
      <c r="X382" s="501"/>
      <c r="Y382" s="501"/>
      <c r="Z382" s="501"/>
      <c r="AA382" s="501"/>
      <c r="AB382" s="501"/>
      <c r="AC382" s="501"/>
      <c r="AD382" s="501"/>
      <c r="AE382" s="501"/>
      <c r="AF382" s="501"/>
      <c r="AG382" s="501"/>
      <c r="AH382" s="501"/>
      <c r="AI382" s="501"/>
      <c r="AJ382" s="501"/>
      <c r="AK382" s="501"/>
      <c r="AL382" s="501"/>
      <c r="AN382" s="617">
        <v>10</v>
      </c>
      <c r="AO382" s="618" t="s">
        <v>1110</v>
      </c>
      <c r="AP382" s="618" t="s">
        <v>1111</v>
      </c>
      <c r="AQ382" s="618" t="s">
        <v>1112</v>
      </c>
      <c r="AR382" s="618" t="s">
        <v>1113</v>
      </c>
      <c r="AS382" s="618">
        <v>25</v>
      </c>
      <c r="AT382" s="618" t="s">
        <v>1114</v>
      </c>
      <c r="AU382" s="618" t="s">
        <v>1109</v>
      </c>
      <c r="AV382" s="619" t="s">
        <v>1101</v>
      </c>
      <c r="AW382" s="620" t="s">
        <v>1072</v>
      </c>
    </row>
    <row r="383" spans="24:49" ht="15" customHeight="1" x14ac:dyDescent="0.25">
      <c r="X383" s="501"/>
      <c r="Y383" s="501"/>
      <c r="Z383" s="503"/>
      <c r="AA383" s="503" t="str">
        <f t="shared" ref="AA383:AD385" si="44">AI333</f>
        <v>Coeficientes</v>
      </c>
      <c r="AB383" s="503" t="str">
        <f t="shared" si="44"/>
        <v>Error típico</v>
      </c>
      <c r="AC383" s="503" t="str">
        <f t="shared" si="44"/>
        <v>Estadístico t</v>
      </c>
      <c r="AD383" s="503" t="str">
        <f t="shared" si="44"/>
        <v>Probabilidad</v>
      </c>
      <c r="AE383" s="501"/>
      <c r="AF383" s="501"/>
      <c r="AG383" s="501"/>
      <c r="AH383" s="501"/>
      <c r="AI383" s="501"/>
      <c r="AJ383" s="501"/>
      <c r="AK383" s="501"/>
      <c r="AL383" s="501"/>
      <c r="AN383" s="617">
        <v>11</v>
      </c>
      <c r="AO383" s="618" t="s">
        <v>1115</v>
      </c>
      <c r="AP383" s="618" t="s">
        <v>1116</v>
      </c>
      <c r="AQ383" s="618" t="s">
        <v>1117</v>
      </c>
      <c r="AR383" s="618" t="s">
        <v>1113</v>
      </c>
      <c r="AS383" s="618">
        <v>26</v>
      </c>
      <c r="AT383" s="618" t="s">
        <v>1114</v>
      </c>
      <c r="AU383" s="618" t="s">
        <v>1109</v>
      </c>
      <c r="AV383" s="619" t="s">
        <v>1101</v>
      </c>
      <c r="AW383" s="620" t="s">
        <v>1072</v>
      </c>
    </row>
    <row r="384" spans="24:49" x14ac:dyDescent="0.25">
      <c r="X384" s="501"/>
      <c r="Y384" s="501"/>
      <c r="Z384" s="501" t="str">
        <f>AH334</f>
        <v>Intercepción</v>
      </c>
      <c r="AA384" s="501">
        <f t="shared" si="44"/>
        <v>7792.1210227408765</v>
      </c>
      <c r="AB384" s="501">
        <f t="shared" si="44"/>
        <v>112.83849376547367</v>
      </c>
      <c r="AC384" s="501">
        <f t="shared" si="44"/>
        <v>69.055521415734376</v>
      </c>
      <c r="AD384" s="501">
        <f t="shared" si="44"/>
        <v>7.2909458092886621E-16</v>
      </c>
      <c r="AE384" s="501"/>
      <c r="AF384" s="501"/>
      <c r="AG384" s="501"/>
      <c r="AH384" s="501"/>
      <c r="AI384" s="501"/>
      <c r="AJ384" s="501"/>
      <c r="AK384" s="501"/>
      <c r="AL384" s="501"/>
      <c r="AN384" s="617">
        <v>12</v>
      </c>
      <c r="AO384" s="618" t="s">
        <v>1118</v>
      </c>
      <c r="AP384" s="618" t="s">
        <v>1119</v>
      </c>
      <c r="AQ384" s="618" t="s">
        <v>1120</v>
      </c>
      <c r="AR384" s="618" t="s">
        <v>1113</v>
      </c>
      <c r="AS384" s="618">
        <v>27</v>
      </c>
      <c r="AT384" s="618" t="s">
        <v>1114</v>
      </c>
      <c r="AU384" s="618" t="s">
        <v>1109</v>
      </c>
      <c r="AV384" s="619" t="s">
        <v>1121</v>
      </c>
      <c r="AW384" s="620" t="s">
        <v>1072</v>
      </c>
    </row>
    <row r="385" spans="24:49" x14ac:dyDescent="0.25">
      <c r="X385" s="501"/>
      <c r="Y385" s="501"/>
      <c r="Z385" s="504" t="str">
        <f>AH335</f>
        <v>Variable X 1</v>
      </c>
      <c r="AA385" s="504">
        <f t="shared" si="44"/>
        <v>9.8813264618573786</v>
      </c>
      <c r="AB385" s="504">
        <f t="shared" si="44"/>
        <v>0.6780407811508119</v>
      </c>
      <c r="AC385" s="504">
        <f t="shared" si="44"/>
        <v>14.573351244575868</v>
      </c>
      <c r="AD385" s="504">
        <f t="shared" si="44"/>
        <v>1.5435645791203232E-8</v>
      </c>
      <c r="AE385" s="501"/>
      <c r="AF385" s="501"/>
      <c r="AG385" s="501"/>
      <c r="AH385" s="501"/>
      <c r="AI385" s="501"/>
      <c r="AJ385" s="501"/>
      <c r="AK385" s="501"/>
      <c r="AL385" s="501"/>
      <c r="AN385" s="617">
        <v>13</v>
      </c>
      <c r="AO385" s="618" t="s">
        <v>1122</v>
      </c>
      <c r="AP385" s="618" t="s">
        <v>1123</v>
      </c>
      <c r="AQ385" s="618" t="s">
        <v>1120</v>
      </c>
      <c r="AR385" s="618" t="s">
        <v>1113</v>
      </c>
      <c r="AS385" s="618">
        <v>28</v>
      </c>
      <c r="AT385" s="618" t="s">
        <v>1124</v>
      </c>
      <c r="AU385" s="618" t="s">
        <v>1125</v>
      </c>
      <c r="AV385" s="619" t="s">
        <v>1121</v>
      </c>
      <c r="AW385" s="620" t="s">
        <v>1072</v>
      </c>
    </row>
    <row r="386" spans="24:49" x14ac:dyDescent="0.25">
      <c r="X386" s="501"/>
      <c r="Y386" s="501"/>
      <c r="Z386" s="501"/>
      <c r="AA386" s="501"/>
      <c r="AB386" s="501"/>
      <c r="AC386" s="501"/>
      <c r="AD386" s="501"/>
      <c r="AE386" s="501"/>
      <c r="AF386" s="501"/>
      <c r="AG386" s="501"/>
      <c r="AH386" s="501"/>
      <c r="AI386" s="501"/>
      <c r="AJ386" s="501"/>
      <c r="AK386" s="501"/>
      <c r="AL386" s="501"/>
      <c r="AN386" s="617">
        <v>14</v>
      </c>
      <c r="AO386" s="618" t="s">
        <v>1126</v>
      </c>
      <c r="AP386" s="618" t="s">
        <v>1127</v>
      </c>
      <c r="AQ386" s="618" t="s">
        <v>1128</v>
      </c>
      <c r="AR386" s="618" t="s">
        <v>1072</v>
      </c>
      <c r="AS386" s="618">
        <v>29</v>
      </c>
      <c r="AT386" s="618" t="s">
        <v>1124</v>
      </c>
      <c r="AU386" s="618" t="s">
        <v>1125</v>
      </c>
      <c r="AV386" s="619" t="s">
        <v>1121</v>
      </c>
      <c r="AW386" s="620" t="s">
        <v>1072</v>
      </c>
    </row>
    <row r="387" spans="24:49" ht="15" customHeight="1" x14ac:dyDescent="0.25">
      <c r="X387" s="501"/>
      <c r="Y387" s="501"/>
      <c r="Z387" s="506">
        <f>AC385</f>
        <v>14.573351244575868</v>
      </c>
      <c r="AA387" s="505" t="s">
        <v>726</v>
      </c>
      <c r="AB387" s="659" t="s">
        <v>1056</v>
      </c>
      <c r="AC387" s="659"/>
      <c r="AD387" s="659"/>
      <c r="AE387" s="501"/>
      <c r="AF387" s="501"/>
      <c r="AG387" s="501"/>
      <c r="AH387" s="501"/>
      <c r="AI387" s="501"/>
      <c r="AJ387" s="501"/>
      <c r="AK387" s="501"/>
      <c r="AL387" s="501"/>
      <c r="AN387" s="617">
        <v>15</v>
      </c>
      <c r="AO387" s="618" t="s">
        <v>1129</v>
      </c>
      <c r="AP387" s="618" t="s">
        <v>1130</v>
      </c>
      <c r="AQ387" s="618" t="s">
        <v>1128</v>
      </c>
      <c r="AR387" s="618" t="s">
        <v>1072</v>
      </c>
      <c r="AS387" s="618">
        <v>30</v>
      </c>
      <c r="AT387" s="618" t="s">
        <v>1124</v>
      </c>
      <c r="AU387" s="618" t="s">
        <v>1125</v>
      </c>
      <c r="AV387" s="619" t="s">
        <v>1121</v>
      </c>
      <c r="AW387" s="620" t="s">
        <v>1072</v>
      </c>
    </row>
    <row r="388" spans="24:49" x14ac:dyDescent="0.25">
      <c r="X388" s="501"/>
      <c r="Y388" s="501"/>
      <c r="Z388" s="501"/>
      <c r="AA388" s="501"/>
      <c r="AB388" s="501"/>
      <c r="AC388" s="501"/>
      <c r="AD388" s="501"/>
      <c r="AE388" s="501"/>
      <c r="AF388" s="501"/>
      <c r="AG388" s="501"/>
      <c r="AH388" s="501"/>
      <c r="AI388" s="501"/>
      <c r="AJ388" s="501"/>
      <c r="AK388" s="501"/>
      <c r="AL388" s="501"/>
      <c r="AN388" s="617">
        <v>16</v>
      </c>
      <c r="AO388" s="618" t="s">
        <v>1086</v>
      </c>
      <c r="AP388" s="618" t="s">
        <v>1070</v>
      </c>
      <c r="AQ388" s="618" t="s">
        <v>1071</v>
      </c>
      <c r="AR388" s="618" t="s">
        <v>1072</v>
      </c>
      <c r="AS388" s="618" t="s">
        <v>1131</v>
      </c>
      <c r="AT388" s="618" t="s">
        <v>1132</v>
      </c>
      <c r="AU388" s="618" t="s">
        <v>1081</v>
      </c>
      <c r="AV388" s="619" t="s">
        <v>1133</v>
      </c>
      <c r="AW388" s="620" t="s">
        <v>1072</v>
      </c>
    </row>
    <row r="389" spans="24:49" x14ac:dyDescent="0.25">
      <c r="X389" s="501"/>
      <c r="Y389" s="501"/>
      <c r="Z389" s="501"/>
      <c r="AA389" s="501"/>
      <c r="AB389" s="501"/>
      <c r="AC389" s="501"/>
      <c r="AD389" s="501"/>
      <c r="AE389" s="501"/>
      <c r="AF389" s="501"/>
      <c r="AG389" s="501"/>
      <c r="AH389" s="501"/>
      <c r="AI389" s="501"/>
      <c r="AJ389" s="501"/>
      <c r="AK389" s="501"/>
      <c r="AL389" s="501"/>
    </row>
    <row r="390" spans="24:49" x14ac:dyDescent="0.25">
      <c r="X390" s="501"/>
      <c r="Y390" s="501"/>
      <c r="Z390" s="501"/>
      <c r="AA390" s="501"/>
      <c r="AB390" s="501"/>
      <c r="AC390" s="501"/>
      <c r="AD390" s="501"/>
      <c r="AE390" s="501"/>
      <c r="AF390" s="501"/>
      <c r="AG390" s="501"/>
      <c r="AH390" s="501"/>
      <c r="AI390" s="501"/>
      <c r="AJ390" s="501"/>
      <c r="AK390" s="501"/>
      <c r="AL390" s="501"/>
    </row>
    <row r="391" spans="24:49" x14ac:dyDescent="0.25">
      <c r="X391" s="501"/>
      <c r="Y391" s="501"/>
      <c r="Z391" s="501"/>
      <c r="AA391" s="501"/>
      <c r="AB391" s="501"/>
      <c r="AC391" s="501"/>
      <c r="AD391" s="501"/>
      <c r="AE391" s="501"/>
      <c r="AF391" s="501"/>
      <c r="AG391" s="501"/>
      <c r="AH391" s="501"/>
      <c r="AI391" s="501"/>
      <c r="AJ391" s="501"/>
      <c r="AK391" s="501"/>
      <c r="AL391" s="501"/>
    </row>
    <row r="392" spans="24:49" x14ac:dyDescent="0.25">
      <c r="X392" s="501"/>
      <c r="Y392" s="501"/>
      <c r="Z392" s="501"/>
      <c r="AA392" s="501"/>
      <c r="AB392" s="501"/>
      <c r="AC392" s="501"/>
      <c r="AD392" s="501"/>
      <c r="AE392" s="501"/>
      <c r="AF392" s="501"/>
      <c r="AG392" s="501"/>
      <c r="AH392" s="501"/>
      <c r="AI392" s="501"/>
      <c r="AJ392" s="501"/>
      <c r="AK392" s="501"/>
      <c r="AL392" s="501"/>
    </row>
    <row r="393" spans="24:49" x14ac:dyDescent="0.25">
      <c r="X393" s="501"/>
      <c r="Y393" s="501"/>
      <c r="Z393" s="501"/>
      <c r="AA393" s="501"/>
      <c r="AB393" s="501"/>
      <c r="AC393" s="501"/>
      <c r="AD393" s="501"/>
      <c r="AE393" s="501"/>
      <c r="AF393" s="501"/>
      <c r="AG393" s="501"/>
      <c r="AH393" s="501"/>
      <c r="AI393" s="501"/>
      <c r="AJ393" s="501"/>
      <c r="AK393" s="501"/>
      <c r="AL393" s="501"/>
    </row>
    <row r="394" spans="24:49" x14ac:dyDescent="0.25">
      <c r="X394" s="501"/>
      <c r="Y394" s="501"/>
      <c r="Z394" s="501"/>
      <c r="AA394" s="501"/>
      <c r="AB394" s="501"/>
      <c r="AC394" s="501"/>
      <c r="AD394" s="501"/>
      <c r="AE394" s="501"/>
      <c r="AF394" s="501"/>
      <c r="AG394" s="501"/>
      <c r="AH394" s="501"/>
      <c r="AI394" s="501"/>
      <c r="AJ394" s="501"/>
      <c r="AK394" s="501"/>
      <c r="AL394" s="501"/>
    </row>
    <row r="395" spans="24:49" x14ac:dyDescent="0.25">
      <c r="X395" s="501"/>
      <c r="Y395" s="501"/>
      <c r="Z395" s="501"/>
      <c r="AA395" s="501"/>
      <c r="AB395" s="501"/>
      <c r="AC395" s="501"/>
      <c r="AD395" s="501"/>
      <c r="AE395" s="501"/>
      <c r="AF395" s="501"/>
      <c r="AG395" s="501"/>
      <c r="AH395" s="501"/>
      <c r="AI395" s="501"/>
      <c r="AJ395" s="501"/>
      <c r="AK395" s="501"/>
      <c r="AL395" s="501"/>
    </row>
    <row r="396" spans="24:49" x14ac:dyDescent="0.25">
      <c r="X396" s="501"/>
      <c r="Y396" s="501"/>
      <c r="Z396" s="501"/>
      <c r="AA396" s="501"/>
      <c r="AB396" s="501"/>
      <c r="AC396" s="501"/>
      <c r="AD396" s="501"/>
      <c r="AE396" s="501"/>
      <c r="AF396" s="501"/>
      <c r="AG396" s="501"/>
      <c r="AH396" s="501"/>
      <c r="AI396" s="501"/>
      <c r="AJ396" s="501"/>
      <c r="AK396" s="501"/>
      <c r="AL396" s="501"/>
    </row>
    <row r="398" spans="24:49" x14ac:dyDescent="0.25">
      <c r="X398" t="s">
        <v>709</v>
      </c>
    </row>
    <row r="399" spans="24:49" x14ac:dyDescent="0.25">
      <c r="X399" t="s">
        <v>728</v>
      </c>
    </row>
    <row r="400" spans="24:49" x14ac:dyDescent="0.25">
      <c r="X400" s="16" t="s">
        <v>729</v>
      </c>
      <c r="Y400" s="16"/>
      <c r="Z400" s="16"/>
    </row>
    <row r="402" spans="24:32" x14ac:dyDescent="0.25">
      <c r="X402" t="s">
        <v>730</v>
      </c>
    </row>
    <row r="403" spans="24:32" x14ac:dyDescent="0.25">
      <c r="Y403" s="507" t="s">
        <v>731</v>
      </c>
      <c r="Z403" s="507"/>
    </row>
    <row r="405" spans="24:32" x14ac:dyDescent="0.25">
      <c r="Y405" t="s">
        <v>732</v>
      </c>
      <c r="AD405" t="s">
        <v>733</v>
      </c>
    </row>
    <row r="407" spans="24:32" x14ac:dyDescent="0.25">
      <c r="X407" t="s">
        <v>734</v>
      </c>
    </row>
    <row r="409" spans="24:32" x14ac:dyDescent="0.25">
      <c r="X409" t="s">
        <v>735</v>
      </c>
    </row>
    <row r="411" spans="24:32" x14ac:dyDescent="0.25">
      <c r="Z411" s="493" t="str">
        <f t="shared" ref="Z411:Z416" si="45">AH320</f>
        <v>Estadísticas de la regresión</v>
      </c>
      <c r="AA411" s="493"/>
      <c r="AB411" s="493"/>
      <c r="AC411" s="493"/>
      <c r="AE411" s="32" t="s">
        <v>737</v>
      </c>
      <c r="AF411" s="297">
        <v>2.1800000000000002</v>
      </c>
    </row>
    <row r="412" spans="24:32" x14ac:dyDescent="0.25">
      <c r="Z412" t="str">
        <f t="shared" si="45"/>
        <v>Coeficiente de correlación múltiple</v>
      </c>
      <c r="AC412">
        <f>AI321</f>
        <v>0.97506775359521836</v>
      </c>
      <c r="AE412" s="508" t="s">
        <v>736</v>
      </c>
      <c r="AF412" s="509">
        <f>AF411*AC415</f>
        <v>337.62815443062499</v>
      </c>
    </row>
    <row r="413" spans="24:32" x14ac:dyDescent="0.25">
      <c r="Z413" t="str">
        <f t="shared" si="45"/>
        <v>Coeficiente de determinación R^2</v>
      </c>
      <c r="AC413">
        <f>AI322</f>
        <v>0.95075712410122548</v>
      </c>
    </row>
    <row r="414" spans="24:32" x14ac:dyDescent="0.25">
      <c r="Z414" t="str">
        <f t="shared" si="45"/>
        <v>R^2  ajustado</v>
      </c>
      <c r="AC414">
        <f>AI323</f>
        <v>0.94628049901951872</v>
      </c>
    </row>
    <row r="415" spans="24:32" x14ac:dyDescent="0.25">
      <c r="Z415" t="str">
        <f t="shared" si="45"/>
        <v>Error típico</v>
      </c>
      <c r="AC415" s="507">
        <f>AI324</f>
        <v>154.87530019753439</v>
      </c>
    </row>
    <row r="416" spans="24:32" ht="15.75" thickBot="1" x14ac:dyDescent="0.3">
      <c r="Z416" s="98" t="str">
        <f t="shared" si="45"/>
        <v>Observaciones</v>
      </c>
      <c r="AA416" s="98"/>
      <c r="AB416" s="98"/>
      <c r="AC416" s="98">
        <f>AI325</f>
        <v>13</v>
      </c>
    </row>
    <row r="419" spans="24:30" x14ac:dyDescent="0.25">
      <c r="X419" t="s">
        <v>710</v>
      </c>
    </row>
    <row r="420" spans="24:30" x14ac:dyDescent="0.25">
      <c r="X420" t="s">
        <v>738</v>
      </c>
    </row>
    <row r="422" spans="24:30" x14ac:dyDescent="0.25">
      <c r="X422" t="s">
        <v>739</v>
      </c>
      <c r="Z422" s="507" t="s">
        <v>740</v>
      </c>
    </row>
    <row r="423" spans="24:30" x14ac:dyDescent="0.25">
      <c r="X423" t="s">
        <v>741</v>
      </c>
    </row>
    <row r="425" spans="24:30" x14ac:dyDescent="0.25">
      <c r="AD425" s="21"/>
    </row>
    <row r="426" spans="24:30" x14ac:dyDescent="0.25">
      <c r="X426" s="32" t="s">
        <v>743</v>
      </c>
      <c r="Y426">
        <f>AA385</f>
        <v>9.8813264618573786</v>
      </c>
    </row>
    <row r="427" spans="24:30" x14ac:dyDescent="0.25">
      <c r="X427" s="32" t="s">
        <v>744</v>
      </c>
      <c r="Y427" s="24">
        <f>AVERAGE(Y320:Y332)</f>
        <v>153.88868769230768</v>
      </c>
    </row>
    <row r="428" spans="24:30" x14ac:dyDescent="0.25">
      <c r="X428" s="32" t="s">
        <v>742</v>
      </c>
      <c r="Y428">
        <f>AA384</f>
        <v>7792.1210227408765</v>
      </c>
    </row>
    <row r="429" spans="24:30" x14ac:dyDescent="0.25">
      <c r="X429" s="510" t="s">
        <v>745</v>
      </c>
      <c r="Y429" s="511">
        <f>Y426*Y427+Y428</f>
        <v>9312.7453846153821</v>
      </c>
      <c r="Z429" s="46">
        <f>AVERAGE(Z320:Z332)</f>
        <v>9312.7453846153821</v>
      </c>
    </row>
    <row r="431" spans="24:30" x14ac:dyDescent="0.25">
      <c r="X431" s="508" t="str">
        <f>AE412</f>
        <v>Presión absoluta =</v>
      </c>
      <c r="Y431" s="442">
        <f>AF412/Y429</f>
        <v>3.6254416983029017E-2</v>
      </c>
      <c r="AB431" s="21"/>
    </row>
    <row r="434" spans="24:28" x14ac:dyDescent="0.25">
      <c r="X434" s="16" t="s">
        <v>779</v>
      </c>
    </row>
    <row r="436" spans="24:28" x14ac:dyDescent="0.25">
      <c r="X436" s="162" t="s">
        <v>643</v>
      </c>
      <c r="Y436" s="514"/>
      <c r="Z436" s="523">
        <f>Y426</f>
        <v>9.8813264618573786</v>
      </c>
      <c r="AA436" s="518" t="s">
        <v>753</v>
      </c>
      <c r="AB436" s="515">
        <f>Y428</f>
        <v>7792.1210227408765</v>
      </c>
    </row>
    <row r="437" spans="24:28" x14ac:dyDescent="0.25">
      <c r="X437" s="162" t="s">
        <v>777</v>
      </c>
      <c r="Y437" s="514"/>
      <c r="Z437" s="525">
        <f>Y429</f>
        <v>9312.7453846153821</v>
      </c>
      <c r="AA437" s="518"/>
      <c r="AB437" s="515"/>
    </row>
    <row r="438" spans="24:28" x14ac:dyDescent="0.25">
      <c r="X438" s="162" t="s">
        <v>778</v>
      </c>
      <c r="Y438" s="514"/>
      <c r="Z438" s="604">
        <f>Y427</f>
        <v>153.88868769230768</v>
      </c>
      <c r="AA438" s="518"/>
      <c r="AB438" s="515"/>
    </row>
    <row r="439" spans="24:28" x14ac:dyDescent="0.25">
      <c r="X439" s="162" t="s">
        <v>757</v>
      </c>
      <c r="Y439" s="514"/>
      <c r="Z439" s="526">
        <f>AC415</f>
        <v>154.87530019753439</v>
      </c>
      <c r="AA439" s="493"/>
      <c r="AB439" s="514"/>
    </row>
    <row r="440" spans="24:28" x14ac:dyDescent="0.25">
      <c r="X440" s="162" t="s">
        <v>775</v>
      </c>
      <c r="Y440" s="514"/>
      <c r="Z440" s="524">
        <f>Z439/(AVERAGE(Z320:Z331))</f>
        <v>1.6505735853056813E-2</v>
      </c>
      <c r="AA440" s="493"/>
      <c r="AB440" s="514"/>
    </row>
    <row r="441" spans="24:28" x14ac:dyDescent="0.25">
      <c r="X441" s="162" t="s">
        <v>748</v>
      </c>
      <c r="Y441" s="514"/>
      <c r="Z441" s="516">
        <v>0.95</v>
      </c>
      <c r="AA441" s="493"/>
      <c r="AB441" s="514"/>
    </row>
    <row r="442" spans="24:28" x14ac:dyDescent="0.25">
      <c r="X442" s="162" t="s">
        <v>749</v>
      </c>
      <c r="Y442" s="514"/>
      <c r="Z442" s="519">
        <f>Y431</f>
        <v>3.6254416983029017E-2</v>
      </c>
      <c r="AA442" s="493" t="s">
        <v>754</v>
      </c>
      <c r="AB442" s="514"/>
    </row>
    <row r="443" spans="24:28" x14ac:dyDescent="0.25">
      <c r="X443" s="162" t="s">
        <v>750</v>
      </c>
      <c r="Y443" s="514"/>
      <c r="Z443" s="524">
        <f>AC413</f>
        <v>0.95075712410122548</v>
      </c>
      <c r="AA443" s="493"/>
      <c r="AB443" s="514"/>
    </row>
    <row r="444" spans="24:28" x14ac:dyDescent="0.25">
      <c r="X444" s="162" t="s">
        <v>752</v>
      </c>
      <c r="Y444" s="514"/>
      <c r="Z444" s="517" t="s">
        <v>755</v>
      </c>
      <c r="AA444" s="493"/>
      <c r="AB444" s="514"/>
    </row>
    <row r="445" spans="24:28" x14ac:dyDescent="0.25">
      <c r="X445" s="162" t="s">
        <v>751</v>
      </c>
      <c r="Y445" s="514"/>
      <c r="Z445" s="162"/>
      <c r="AA445" s="493"/>
      <c r="AB445" s="514"/>
    </row>
    <row r="447" spans="24:28" x14ac:dyDescent="0.25">
      <c r="X447" s="535"/>
      <c r="Y447" s="535"/>
      <c r="Z447" s="535"/>
    </row>
    <row r="448" spans="24:28" x14ac:dyDescent="0.25">
      <c r="X448" s="684" t="s">
        <v>819</v>
      </c>
      <c r="Y448" s="684"/>
      <c r="Z448" s="684"/>
    </row>
    <row r="449" spans="24:26" ht="30" x14ac:dyDescent="0.25">
      <c r="X449" s="183" t="s">
        <v>3</v>
      </c>
      <c r="Y449" s="45" t="s">
        <v>1046</v>
      </c>
      <c r="Z449" s="45" t="s">
        <v>645</v>
      </c>
    </row>
    <row r="450" spans="24:26" x14ac:dyDescent="0.25">
      <c r="X450" s="603">
        <f>X320</f>
        <v>44562</v>
      </c>
      <c r="Y450" s="70">
        <f>Y320</f>
        <v>72.344580000000008</v>
      </c>
      <c r="Z450" s="70">
        <f>Z320</f>
        <v>8674.83</v>
      </c>
    </row>
    <row r="451" spans="24:26" x14ac:dyDescent="0.25">
      <c r="X451" s="603">
        <f t="shared" ref="X451:Z461" si="46">X321</f>
        <v>44652</v>
      </c>
      <c r="Y451" s="70">
        <f t="shared" si="46"/>
        <v>198.85866000000001</v>
      </c>
      <c r="Z451" s="70">
        <f t="shared" si="46"/>
        <v>9823.56</v>
      </c>
    </row>
    <row r="452" spans="24:26" x14ac:dyDescent="0.25">
      <c r="X452" s="603">
        <f t="shared" si="46"/>
        <v>44682</v>
      </c>
      <c r="Y452" s="70">
        <f t="shared" si="46"/>
        <v>265.41000000000003</v>
      </c>
      <c r="Z452" s="70">
        <f t="shared" si="46"/>
        <v>10503.89</v>
      </c>
    </row>
    <row r="453" spans="24:26" x14ac:dyDescent="0.25">
      <c r="X453" s="603">
        <f t="shared" si="46"/>
        <v>44743</v>
      </c>
      <c r="Y453" s="70">
        <f t="shared" si="46"/>
        <v>177.69752000000003</v>
      </c>
      <c r="Z453" s="70">
        <f t="shared" si="46"/>
        <v>9668.73</v>
      </c>
    </row>
    <row r="454" spans="24:26" x14ac:dyDescent="0.25">
      <c r="X454" s="603">
        <f t="shared" si="46"/>
        <v>44774</v>
      </c>
      <c r="Y454" s="70">
        <f t="shared" si="46"/>
        <v>190.06218000000001</v>
      </c>
      <c r="Z454" s="70">
        <f t="shared" si="46"/>
        <v>9498.1299999999992</v>
      </c>
    </row>
    <row r="455" spans="24:26" x14ac:dyDescent="0.25">
      <c r="X455" s="603">
        <f t="shared" si="46"/>
        <v>44835</v>
      </c>
      <c r="Y455" s="70">
        <f t="shared" si="46"/>
        <v>112</v>
      </c>
      <c r="Z455" s="70">
        <f t="shared" si="46"/>
        <v>9045.56</v>
      </c>
    </row>
    <row r="456" spans="24:26" x14ac:dyDescent="0.25">
      <c r="X456" s="603">
        <f t="shared" si="46"/>
        <v>44927</v>
      </c>
      <c r="Y456" s="70">
        <f t="shared" si="46"/>
        <v>81.25</v>
      </c>
      <c r="Z456" s="70">
        <f t="shared" si="46"/>
        <v>8475</v>
      </c>
    </row>
    <row r="457" spans="24:26" x14ac:dyDescent="0.25">
      <c r="X457" s="603">
        <f t="shared" si="46"/>
        <v>44958</v>
      </c>
      <c r="Y457" s="70">
        <f t="shared" si="46"/>
        <v>104.56</v>
      </c>
      <c r="Z457" s="70">
        <f t="shared" si="46"/>
        <v>8802.64</v>
      </c>
    </row>
    <row r="458" spans="24:26" x14ac:dyDescent="0.25">
      <c r="X458" s="603">
        <f t="shared" si="46"/>
        <v>45017</v>
      </c>
      <c r="Y458" s="70">
        <f t="shared" si="46"/>
        <v>214.56</v>
      </c>
      <c r="Z458" s="70">
        <f t="shared" si="46"/>
        <v>9796.5</v>
      </c>
    </row>
    <row r="459" spans="24:26" x14ac:dyDescent="0.25">
      <c r="X459" s="603">
        <f>X329</f>
        <v>45078</v>
      </c>
      <c r="Y459" s="70">
        <f>Y329</f>
        <v>199.52</v>
      </c>
      <c r="Z459" s="70">
        <f>Z329</f>
        <v>9636.34</v>
      </c>
    </row>
    <row r="460" spans="24:26" x14ac:dyDescent="0.25">
      <c r="X460" s="603">
        <f t="shared" si="46"/>
        <v>45108</v>
      </c>
      <c r="Y460" s="70">
        <f t="shared" ref="Y460:Z462" si="47">Y330</f>
        <v>212.12</v>
      </c>
      <c r="Z460" s="70">
        <f t="shared" si="47"/>
        <v>10051.65</v>
      </c>
    </row>
    <row r="461" spans="24:26" x14ac:dyDescent="0.25">
      <c r="X461" s="603">
        <f t="shared" si="46"/>
        <v>45139</v>
      </c>
      <c r="Y461" s="70">
        <f t="shared" si="47"/>
        <v>112.32</v>
      </c>
      <c r="Z461" s="70">
        <f t="shared" si="47"/>
        <v>8620.61</v>
      </c>
    </row>
    <row r="462" spans="24:26" x14ac:dyDescent="0.25">
      <c r="X462" s="603">
        <f>X332</f>
        <v>45261</v>
      </c>
      <c r="Y462" s="70">
        <f t="shared" si="47"/>
        <v>59.85</v>
      </c>
      <c r="Z462" s="70">
        <f t="shared" si="47"/>
        <v>8468.25</v>
      </c>
    </row>
    <row r="464" spans="24:26" x14ac:dyDescent="0.25">
      <c r="X464" s="483" t="s">
        <v>38</v>
      </c>
      <c r="Y464" s="24">
        <f>AVERAGE(Y450:Y462)</f>
        <v>153.88868769230768</v>
      </c>
      <c r="Z464" s="24">
        <f>AVERAGE(Z450:Z462)</f>
        <v>9312.7453846153821</v>
      </c>
    </row>
    <row r="466" spans="24:30" x14ac:dyDescent="0.25">
      <c r="X466" s="499"/>
      <c r="Y466" s="499"/>
    </row>
    <row r="469" spans="24:30" x14ac:dyDescent="0.25">
      <c r="X469" s="660" t="s">
        <v>780</v>
      </c>
      <c r="Y469" s="660"/>
      <c r="Z469" s="660"/>
      <c r="AA469" t="s">
        <v>1053</v>
      </c>
      <c r="AC469" t="s">
        <v>1057</v>
      </c>
    </row>
    <row r="471" spans="24:30" ht="30" x14ac:dyDescent="0.25">
      <c r="X471" s="183" t="s">
        <v>3</v>
      </c>
      <c r="Y471" s="45" t="s">
        <v>1046</v>
      </c>
      <c r="Z471" s="45" t="s">
        <v>645</v>
      </c>
      <c r="AA471" s="45" t="s">
        <v>758</v>
      </c>
      <c r="AB471" s="45" t="s">
        <v>759</v>
      </c>
      <c r="AC471" s="45" t="s">
        <v>760</v>
      </c>
      <c r="AD471" s="45" t="s">
        <v>761</v>
      </c>
    </row>
    <row r="472" spans="24:30" x14ac:dyDescent="0.25">
      <c r="X472" s="603">
        <f>X289</f>
        <v>44562</v>
      </c>
      <c r="Y472" s="38">
        <f>Y289</f>
        <v>72.344580000000008</v>
      </c>
      <c r="Z472" s="38">
        <f>Z289</f>
        <v>8674.83</v>
      </c>
      <c r="AA472" s="595">
        <f>(9.5209*Y472)+8058.7</f>
        <v>8747.4855117219995</v>
      </c>
      <c r="AB472" s="595">
        <f>Z472-AA472</f>
        <v>-72.655511721999574</v>
      </c>
      <c r="AC472" s="595">
        <f>($Z$436*Y472)+$AB$436</f>
        <v>8506.9814354668342</v>
      </c>
      <c r="AD472" s="595">
        <f>AA472-AC472</f>
        <v>240.50407625516527</v>
      </c>
    </row>
    <row r="473" spans="24:30" x14ac:dyDescent="0.25">
      <c r="X473" s="603">
        <f t="shared" ref="X473:Z493" si="48">X290</f>
        <v>44621</v>
      </c>
      <c r="Y473" s="38">
        <f t="shared" si="48"/>
        <v>104.69536000000001</v>
      </c>
      <c r="Z473" s="38">
        <f t="shared" si="48"/>
        <v>9689.25</v>
      </c>
      <c r="AA473" s="595">
        <f t="shared" ref="AA473:AA494" si="49">(9.5209*Y473)+8058.7</f>
        <v>9055.4940530240001</v>
      </c>
      <c r="AB473" s="595">
        <f t="shared" ref="AB473:AB494" si="50">Z473-AA473</f>
        <v>633.7559469759999</v>
      </c>
      <c r="AC473" s="595">
        <f t="shared" ref="AC473:AC494" si="51">($Z$436*Y473)+$AB$436</f>
        <v>8826.6500539425615</v>
      </c>
      <c r="AD473" s="595">
        <f t="shared" ref="AD473:AD494" si="52">AA473-AC473</f>
        <v>228.8439990814386</v>
      </c>
    </row>
    <row r="474" spans="24:30" x14ac:dyDescent="0.25">
      <c r="X474" s="603">
        <f t="shared" si="48"/>
        <v>44652</v>
      </c>
      <c r="Y474" s="38">
        <f t="shared" si="48"/>
        <v>198.85866000000001</v>
      </c>
      <c r="Z474" s="38">
        <f t="shared" si="48"/>
        <v>9823.56</v>
      </c>
      <c r="AA474" s="595">
        <f t="shared" si="49"/>
        <v>9952.0134159939989</v>
      </c>
      <c r="AB474" s="595">
        <f t="shared" si="50"/>
        <v>-128.45341599399944</v>
      </c>
      <c r="AC474" s="595">
        <f t="shared" si="51"/>
        <v>9757.1083619683759</v>
      </c>
      <c r="AD474" s="595">
        <f t="shared" si="52"/>
        <v>194.90505402562303</v>
      </c>
    </row>
    <row r="475" spans="24:30" x14ac:dyDescent="0.25">
      <c r="X475" s="603">
        <f t="shared" si="48"/>
        <v>44682</v>
      </c>
      <c r="Y475" s="38">
        <f t="shared" si="48"/>
        <v>265.41000000000003</v>
      </c>
      <c r="Z475" s="38">
        <f t="shared" si="48"/>
        <v>10503.89</v>
      </c>
      <c r="AA475" s="595">
        <f t="shared" si="49"/>
        <v>10585.642069</v>
      </c>
      <c r="AB475" s="595">
        <f t="shared" si="50"/>
        <v>-81.75206900000012</v>
      </c>
      <c r="AC475" s="595">
        <f t="shared" si="51"/>
        <v>10414.723878982444</v>
      </c>
      <c r="AD475" s="595">
        <f t="shared" si="52"/>
        <v>170.91819001755539</v>
      </c>
    </row>
    <row r="476" spans="24:30" x14ac:dyDescent="0.25">
      <c r="X476" s="603">
        <f t="shared" si="48"/>
        <v>44713</v>
      </c>
      <c r="Y476" s="38">
        <f t="shared" si="48"/>
        <v>188.35893999999999</v>
      </c>
      <c r="Z476" s="38">
        <f t="shared" si="48"/>
        <v>9931.33</v>
      </c>
      <c r="AA476" s="595">
        <f t="shared" si="49"/>
        <v>9852.0466318460003</v>
      </c>
      <c r="AB476" s="595">
        <f t="shared" si="50"/>
        <v>79.283368153999618</v>
      </c>
      <c r="AC476" s="595">
        <f t="shared" si="51"/>
        <v>9653.3572008902829</v>
      </c>
      <c r="AD476" s="595">
        <f t="shared" si="52"/>
        <v>198.6894309557174</v>
      </c>
    </row>
    <row r="477" spans="24:30" x14ac:dyDescent="0.25">
      <c r="X477" s="603">
        <f t="shared" si="48"/>
        <v>44743</v>
      </c>
      <c r="Y477" s="38">
        <f t="shared" si="48"/>
        <v>177.69752000000003</v>
      </c>
      <c r="Z477" s="38">
        <f t="shared" si="48"/>
        <v>9668.73</v>
      </c>
      <c r="AA477" s="595">
        <f t="shared" si="49"/>
        <v>9750.5403181679994</v>
      </c>
      <c r="AB477" s="595">
        <f t="shared" si="50"/>
        <v>-81.810318167999867</v>
      </c>
      <c r="AC477" s="595">
        <f t="shared" si="51"/>
        <v>9548.0082293233081</v>
      </c>
      <c r="AD477" s="595">
        <f t="shared" si="52"/>
        <v>202.53208884469132</v>
      </c>
    </row>
    <row r="478" spans="24:30" x14ac:dyDescent="0.25">
      <c r="X478" s="603">
        <f t="shared" si="48"/>
        <v>44774</v>
      </c>
      <c r="Y478" s="38">
        <f t="shared" si="48"/>
        <v>190.06218000000001</v>
      </c>
      <c r="Z478" s="38">
        <f t="shared" si="48"/>
        <v>9498.1299999999992</v>
      </c>
      <c r="AA478" s="595">
        <f t="shared" si="49"/>
        <v>9868.2630095620007</v>
      </c>
      <c r="AB478" s="595">
        <f t="shared" si="50"/>
        <v>-370.13300956200146</v>
      </c>
      <c r="AC478" s="595">
        <f t="shared" si="51"/>
        <v>9670.1874713731777</v>
      </c>
      <c r="AD478" s="595">
        <f t="shared" si="52"/>
        <v>198.07553818882297</v>
      </c>
    </row>
    <row r="479" spans="24:30" x14ac:dyDescent="0.25">
      <c r="X479" s="603">
        <f t="shared" si="48"/>
        <v>44805</v>
      </c>
      <c r="Y479" s="38">
        <f t="shared" si="48"/>
        <v>118.91</v>
      </c>
      <c r="Z479" s="38">
        <f t="shared" si="48"/>
        <v>9284.99</v>
      </c>
      <c r="AA479" s="595">
        <f t="shared" si="49"/>
        <v>9190.8302189999995</v>
      </c>
      <c r="AB479" s="595">
        <f t="shared" si="50"/>
        <v>94.159781000000294</v>
      </c>
      <c r="AC479" s="595">
        <f t="shared" si="51"/>
        <v>8967.1095523203367</v>
      </c>
      <c r="AD479" s="595">
        <f t="shared" si="52"/>
        <v>223.72066667966283</v>
      </c>
    </row>
    <row r="480" spans="24:30" x14ac:dyDescent="0.25">
      <c r="X480" s="603">
        <f t="shared" si="48"/>
        <v>44835</v>
      </c>
      <c r="Y480" s="38">
        <f t="shared" si="48"/>
        <v>112</v>
      </c>
      <c r="Z480" s="38">
        <f t="shared" si="48"/>
        <v>9045.56</v>
      </c>
      <c r="AA480" s="595">
        <f t="shared" si="49"/>
        <v>9125.0407999999989</v>
      </c>
      <c r="AB480" s="595">
        <f t="shared" si="50"/>
        <v>-79.480799999999363</v>
      </c>
      <c r="AC480" s="595">
        <f t="shared" si="51"/>
        <v>8898.8295864689026</v>
      </c>
      <c r="AD480" s="595">
        <f t="shared" si="52"/>
        <v>226.21121353109629</v>
      </c>
    </row>
    <row r="481" spans="24:30" x14ac:dyDescent="0.25">
      <c r="X481" s="603">
        <f t="shared" si="48"/>
        <v>44866</v>
      </c>
      <c r="Y481" s="38">
        <f t="shared" si="48"/>
        <v>151.82552000000001</v>
      </c>
      <c r="Z481" s="38">
        <f t="shared" si="48"/>
        <v>9676.81</v>
      </c>
      <c r="AA481" s="595">
        <f t="shared" si="49"/>
        <v>9504.2155933680006</v>
      </c>
      <c r="AB481" s="595">
        <f t="shared" si="50"/>
        <v>172.59440663199894</v>
      </c>
      <c r="AC481" s="595">
        <f t="shared" si="51"/>
        <v>9292.3585511021338</v>
      </c>
      <c r="AD481" s="595">
        <f t="shared" si="52"/>
        <v>211.85704226586677</v>
      </c>
    </row>
    <row r="482" spans="24:30" x14ac:dyDescent="0.25">
      <c r="X482" s="603">
        <f t="shared" si="48"/>
        <v>44896</v>
      </c>
      <c r="Y482" s="38">
        <f t="shared" si="48"/>
        <v>41.00712</v>
      </c>
      <c r="Z482" s="38">
        <f t="shared" si="48"/>
        <v>8577.93</v>
      </c>
      <c r="AA482" s="595">
        <f t="shared" si="49"/>
        <v>8449.1246888080004</v>
      </c>
      <c r="AB482" s="595">
        <f t="shared" si="50"/>
        <v>128.80531119199986</v>
      </c>
      <c r="AC482" s="595">
        <f t="shared" si="51"/>
        <v>8197.3257627214371</v>
      </c>
      <c r="AD482" s="595">
        <f t="shared" si="52"/>
        <v>251.79892608656337</v>
      </c>
    </row>
    <row r="483" spans="24:30" x14ac:dyDescent="0.25">
      <c r="X483" s="603">
        <f t="shared" si="48"/>
        <v>44927</v>
      </c>
      <c r="Y483" s="38">
        <f t="shared" si="48"/>
        <v>81.25</v>
      </c>
      <c r="Z483" s="38">
        <f t="shared" si="48"/>
        <v>8475</v>
      </c>
      <c r="AA483" s="595">
        <f t="shared" si="49"/>
        <v>8832.2731249999997</v>
      </c>
      <c r="AB483" s="595">
        <f t="shared" si="50"/>
        <v>-357.27312499999971</v>
      </c>
      <c r="AC483" s="595">
        <f t="shared" si="51"/>
        <v>8594.9787977667893</v>
      </c>
      <c r="AD483" s="595">
        <f t="shared" si="52"/>
        <v>237.29432723321042</v>
      </c>
    </row>
    <row r="484" spans="24:30" x14ac:dyDescent="0.25">
      <c r="X484" s="603">
        <f t="shared" si="48"/>
        <v>44958</v>
      </c>
      <c r="Y484" s="38">
        <f t="shared" si="48"/>
        <v>104.56</v>
      </c>
      <c r="Z484" s="38">
        <f t="shared" si="48"/>
        <v>8802.64</v>
      </c>
      <c r="AA484" s="595">
        <f t="shared" si="49"/>
        <v>9054.2053039999992</v>
      </c>
      <c r="AB484" s="595">
        <f t="shared" si="50"/>
        <v>-251.56530399999974</v>
      </c>
      <c r="AC484" s="595">
        <f t="shared" si="51"/>
        <v>8825.3125175926834</v>
      </c>
      <c r="AD484" s="595">
        <f t="shared" si="52"/>
        <v>228.89278640731573</v>
      </c>
    </row>
    <row r="485" spans="24:30" x14ac:dyDescent="0.25">
      <c r="X485" s="603">
        <f t="shared" si="48"/>
        <v>44986</v>
      </c>
      <c r="Y485" s="38">
        <f t="shared" si="48"/>
        <v>117.89</v>
      </c>
      <c r="Z485" s="38">
        <f t="shared" si="48"/>
        <v>9633.16</v>
      </c>
      <c r="AA485" s="595">
        <f t="shared" si="49"/>
        <v>9181.1189009999998</v>
      </c>
      <c r="AB485" s="595">
        <f t="shared" si="50"/>
        <v>452.04109900000003</v>
      </c>
      <c r="AC485" s="595">
        <f t="shared" si="51"/>
        <v>8957.0305993292422</v>
      </c>
      <c r="AD485" s="595">
        <f t="shared" si="52"/>
        <v>224.08830167075757</v>
      </c>
    </row>
    <row r="486" spans="24:30" x14ac:dyDescent="0.25">
      <c r="X486" s="603">
        <f t="shared" si="48"/>
        <v>45017</v>
      </c>
      <c r="Y486" s="38">
        <f t="shared" si="48"/>
        <v>214.56</v>
      </c>
      <c r="Z486" s="38">
        <f t="shared" si="48"/>
        <v>9796.5</v>
      </c>
      <c r="AA486" s="595">
        <f t="shared" si="49"/>
        <v>10101.504304</v>
      </c>
      <c r="AB486" s="595">
        <f t="shared" si="50"/>
        <v>-305.00430400000005</v>
      </c>
      <c r="AC486" s="595">
        <f t="shared" si="51"/>
        <v>9912.2584283969954</v>
      </c>
      <c r="AD486" s="595">
        <f t="shared" si="52"/>
        <v>189.24587560300461</v>
      </c>
    </row>
    <row r="487" spans="24:30" x14ac:dyDescent="0.25">
      <c r="X487" s="603">
        <f t="shared" si="48"/>
        <v>45047</v>
      </c>
      <c r="Y487" s="38">
        <f t="shared" si="48"/>
        <v>314.16000000000003</v>
      </c>
      <c r="Z487" s="38">
        <f t="shared" si="48"/>
        <v>11503.69</v>
      </c>
      <c r="AA487" s="595">
        <f t="shared" si="49"/>
        <v>11049.785943999999</v>
      </c>
      <c r="AB487" s="595">
        <f t="shared" si="50"/>
        <v>453.90405600000122</v>
      </c>
      <c r="AC487" s="595">
        <f t="shared" si="51"/>
        <v>10896.438543997991</v>
      </c>
      <c r="AD487" s="595">
        <f t="shared" si="52"/>
        <v>153.34740000200873</v>
      </c>
    </row>
    <row r="488" spans="24:30" x14ac:dyDescent="0.25">
      <c r="X488" s="603">
        <f t="shared" si="48"/>
        <v>45078</v>
      </c>
      <c r="Y488" s="38">
        <f t="shared" si="48"/>
        <v>199.52</v>
      </c>
      <c r="Z488" s="38">
        <f t="shared" si="48"/>
        <v>9636.34</v>
      </c>
      <c r="AA488" s="595">
        <f t="shared" si="49"/>
        <v>9958.3099679999996</v>
      </c>
      <c r="AB488" s="595">
        <f t="shared" si="50"/>
        <v>-321.96996799999943</v>
      </c>
      <c r="AC488" s="595">
        <f t="shared" si="51"/>
        <v>9763.6432784106601</v>
      </c>
      <c r="AD488" s="595">
        <f t="shared" si="52"/>
        <v>194.66668958933951</v>
      </c>
    </row>
    <row r="489" spans="24:30" x14ac:dyDescent="0.25">
      <c r="X489" s="603">
        <f>X306</f>
        <v>45108</v>
      </c>
      <c r="Y489" s="38">
        <f>Y306</f>
        <v>212.12</v>
      </c>
      <c r="Z489" s="38">
        <f>Z306</f>
        <v>10051.65</v>
      </c>
      <c r="AA489" s="595">
        <f>(9.5209*Y489)+8058.7</f>
        <v>10078.273308</v>
      </c>
      <c r="AB489" s="595">
        <f>Z489-AA489</f>
        <v>-26.623308000000179</v>
      </c>
      <c r="AC489" s="595">
        <f>($Z$436*Y489)+$AB$436</f>
        <v>9888.1479918300647</v>
      </c>
      <c r="AD489" s="595">
        <f>AA489-AC489</f>
        <v>190.1253161699351</v>
      </c>
    </row>
    <row r="490" spans="24:30" x14ac:dyDescent="0.25">
      <c r="X490" s="603">
        <f t="shared" si="48"/>
        <v>45139</v>
      </c>
      <c r="Y490" s="38">
        <f t="shared" ref="Y490:Z494" si="53">Y307</f>
        <v>112.32</v>
      </c>
      <c r="Z490" s="38">
        <f t="shared" si="53"/>
        <v>8620.61</v>
      </c>
      <c r="AA490" s="595">
        <f t="shared" si="49"/>
        <v>9128.0874879999992</v>
      </c>
      <c r="AB490" s="595">
        <f t="shared" si="50"/>
        <v>-507.47748799999863</v>
      </c>
      <c r="AC490" s="595">
        <f t="shared" si="51"/>
        <v>8901.9916109366968</v>
      </c>
      <c r="AD490" s="595">
        <f t="shared" si="52"/>
        <v>226.0958770633024</v>
      </c>
    </row>
    <row r="491" spans="24:30" x14ac:dyDescent="0.25">
      <c r="X491" s="603">
        <f t="shared" si="48"/>
        <v>45170</v>
      </c>
      <c r="Y491" s="38">
        <f t="shared" si="53"/>
        <v>81.5</v>
      </c>
      <c r="Z491" s="38">
        <f t="shared" si="53"/>
        <v>9013.66</v>
      </c>
      <c r="AA491" s="595">
        <f t="shared" si="49"/>
        <v>8834.6533500000005</v>
      </c>
      <c r="AB491" s="595">
        <f t="shared" si="50"/>
        <v>179.00664999999935</v>
      </c>
      <c r="AC491" s="595">
        <f t="shared" si="51"/>
        <v>8597.4491293822521</v>
      </c>
      <c r="AD491" s="595">
        <f t="shared" si="52"/>
        <v>237.20422061774843</v>
      </c>
    </row>
    <row r="492" spans="24:30" x14ac:dyDescent="0.25">
      <c r="X492" s="603">
        <f>X309</f>
        <v>45200</v>
      </c>
      <c r="Y492" s="38">
        <f t="shared" si="53"/>
        <v>70.14</v>
      </c>
      <c r="Z492" s="38">
        <f t="shared" si="53"/>
        <v>9003.9</v>
      </c>
      <c r="AA492" s="595">
        <f t="shared" si="49"/>
        <v>8726.4959259999996</v>
      </c>
      <c r="AB492" s="595">
        <f t="shared" si="50"/>
        <v>277.40407400000004</v>
      </c>
      <c r="AC492" s="595">
        <f t="shared" si="51"/>
        <v>8485.1972607755524</v>
      </c>
      <c r="AD492" s="595">
        <f t="shared" si="52"/>
        <v>241.29866522444718</v>
      </c>
    </row>
    <row r="493" spans="24:30" x14ac:dyDescent="0.25">
      <c r="X493" s="603">
        <f t="shared" si="48"/>
        <v>45231</v>
      </c>
      <c r="Y493" s="38">
        <f t="shared" si="53"/>
        <v>181.45</v>
      </c>
      <c r="Z493" s="38">
        <f t="shared" si="53"/>
        <v>10060.049999999999</v>
      </c>
      <c r="AA493" s="595">
        <f t="shared" si="49"/>
        <v>9786.2673049999994</v>
      </c>
      <c r="AB493" s="595">
        <f t="shared" si="50"/>
        <v>273.78269499999988</v>
      </c>
      <c r="AC493" s="595">
        <f t="shared" si="51"/>
        <v>9585.0877092448973</v>
      </c>
      <c r="AD493" s="595">
        <f t="shared" si="52"/>
        <v>201.17959575510213</v>
      </c>
    </row>
    <row r="494" spans="24:30" x14ac:dyDescent="0.25">
      <c r="X494" s="603">
        <f>X311</f>
        <v>45261</v>
      </c>
      <c r="Y494" s="38">
        <f t="shared" si="53"/>
        <v>59.85</v>
      </c>
      <c r="Z494" s="38">
        <f t="shared" si="53"/>
        <v>8468.25</v>
      </c>
      <c r="AA494" s="595">
        <f t="shared" si="49"/>
        <v>8628.5258649999996</v>
      </c>
      <c r="AB494" s="595">
        <f t="shared" si="50"/>
        <v>-160.27586499999961</v>
      </c>
      <c r="AC494" s="595">
        <f t="shared" si="51"/>
        <v>8383.5184114830408</v>
      </c>
      <c r="AD494" s="595">
        <f t="shared" si="52"/>
        <v>245.00745351695878</v>
      </c>
    </row>
    <row r="495" spans="24:30" x14ac:dyDescent="0.25">
      <c r="X495" s="499"/>
      <c r="Y495" s="521">
        <f>SUM(Y472:Y494)</f>
        <v>3370.4898799999996</v>
      </c>
      <c r="Z495" s="521">
        <f>SUM(Z472:Z494)</f>
        <v>217440.45999999996</v>
      </c>
      <c r="AA495" s="521">
        <f>SUM(AA472:AA494)</f>
        <v>217440.197098492</v>
      </c>
      <c r="AB495" s="528"/>
      <c r="AC495" s="521">
        <f>SUM(AC472:AC494)</f>
        <v>212523.69436370669</v>
      </c>
      <c r="AD495" s="521">
        <f>SUM(AD472:AD494)</f>
        <v>4916.5027347853338</v>
      </c>
    </row>
    <row r="496" spans="24:30" x14ac:dyDescent="0.25">
      <c r="X496" s="499"/>
      <c r="Y496" s="499"/>
      <c r="AC496" t="s">
        <v>1141</v>
      </c>
      <c r="AD496" s="641">
        <f>AD495/Z495</f>
        <v>2.2610799916378647E-2</v>
      </c>
    </row>
    <row r="497" spans="24:37" x14ac:dyDescent="0.25">
      <c r="X497" s="499"/>
      <c r="Y497" s="499"/>
    </row>
    <row r="498" spans="24:37" x14ac:dyDescent="0.25">
      <c r="X498" s="499"/>
      <c r="Y498" s="499"/>
      <c r="AD498" s="1"/>
    </row>
    <row r="499" spans="24:37" x14ac:dyDescent="0.25">
      <c r="X499" s="499"/>
      <c r="Y499" s="499"/>
      <c r="AD499" s="292"/>
    </row>
    <row r="500" spans="24:37" x14ac:dyDescent="0.25">
      <c r="X500" s="660" t="s">
        <v>781</v>
      </c>
      <c r="Y500" s="690"/>
      <c r="Z500" s="660"/>
      <c r="AE500" s="93"/>
    </row>
    <row r="501" spans="24:37" x14ac:dyDescent="0.25">
      <c r="X501" s="499"/>
      <c r="Y501" s="499"/>
      <c r="AD501" s="527"/>
      <c r="AE501" s="292"/>
    </row>
    <row r="502" spans="24:37" x14ac:dyDescent="0.25">
      <c r="X502" s="499"/>
      <c r="Y502" s="499"/>
    </row>
    <row r="503" spans="24:37" x14ac:dyDescent="0.25">
      <c r="X503" s="499"/>
      <c r="Y503" s="1" t="s">
        <v>769</v>
      </c>
      <c r="Z503" s="1" t="s">
        <v>770</v>
      </c>
    </row>
    <row r="504" spans="24:37" x14ac:dyDescent="0.25">
      <c r="X504" s="499"/>
      <c r="Y504" s="1" t="s">
        <v>112</v>
      </c>
      <c r="AC504" s="1" t="s">
        <v>512</v>
      </c>
    </row>
    <row r="505" spans="24:37" ht="30" x14ac:dyDescent="0.25">
      <c r="X505" s="183" t="s">
        <v>3</v>
      </c>
      <c r="Y505" s="45" t="s">
        <v>1046</v>
      </c>
      <c r="Z505" s="45" t="s">
        <v>645</v>
      </c>
      <c r="AA505" s="183" t="s">
        <v>762</v>
      </c>
      <c r="AB505" s="45" t="s">
        <v>763</v>
      </c>
      <c r="AC505" s="45" t="s">
        <v>764</v>
      </c>
      <c r="AD505" s="45" t="s">
        <v>765</v>
      </c>
      <c r="AE505" s="45" t="s">
        <v>766</v>
      </c>
      <c r="AF505" s="45" t="s">
        <v>767</v>
      </c>
      <c r="AG505" s="45" t="s">
        <v>768</v>
      </c>
      <c r="AH505" s="45" t="s">
        <v>811</v>
      </c>
      <c r="AI505" s="183" t="s">
        <v>676</v>
      </c>
      <c r="AJ505" s="45" t="s">
        <v>813</v>
      </c>
      <c r="AK505" s="45" t="s">
        <v>814</v>
      </c>
    </row>
    <row r="506" spans="24:37" x14ac:dyDescent="0.25">
      <c r="X506" s="390">
        <f>X289</f>
        <v>44562</v>
      </c>
      <c r="Y506" s="37">
        <f>Y289</f>
        <v>72.344580000000008</v>
      </c>
      <c r="Z506" s="559">
        <f>Z289</f>
        <v>8674.83</v>
      </c>
      <c r="AA506" s="60">
        <f>Z506^2</f>
        <v>75252675.528899997</v>
      </c>
      <c r="AB506" s="60">
        <f>Y506*Z506</f>
        <v>627576.93292140006</v>
      </c>
      <c r="AC506" s="262">
        <f t="shared" ref="AC506:AC528" si="54">Y506-$Y$530</f>
        <v>-74.198458260869529</v>
      </c>
      <c r="AD506" s="70">
        <f t="shared" ref="AD506:AD528" si="55">Z506-$Z$530</f>
        <v>-779.10304347825877</v>
      </c>
      <c r="AE506" s="71">
        <f>AD506^2</f>
        <v>607001.55235708563</v>
      </c>
      <c r="AF506" s="71">
        <f>AC506^2</f>
        <v>5505.4112082899974</v>
      </c>
      <c r="AG506" s="60">
        <f>AC506*AD506</f>
        <v>57808.244652437999</v>
      </c>
      <c r="AH506" s="529">
        <f>AG529/AF529</f>
        <v>9.5209380575881735</v>
      </c>
      <c r="AI506" s="532">
        <f>Z530-(AH506*Y530)</f>
        <v>8058.7058534257458</v>
      </c>
      <c r="AJ506" s="533">
        <f>(AH506*Y531)/Z531</f>
        <v>0.9151874208329277</v>
      </c>
      <c r="AK506" s="529">
        <f>AJ506^2</f>
        <v>0.83756801525082636</v>
      </c>
    </row>
    <row r="507" spans="24:37" x14ac:dyDescent="0.25">
      <c r="X507" s="390">
        <f t="shared" ref="X507:Z527" si="56">X290</f>
        <v>44621</v>
      </c>
      <c r="Y507" s="37">
        <f t="shared" si="56"/>
        <v>104.69536000000001</v>
      </c>
      <c r="Z507" s="37">
        <f t="shared" si="56"/>
        <v>9689.25</v>
      </c>
      <c r="AA507" s="60">
        <f t="shared" ref="AA507:AA528" si="57">Z507^2</f>
        <v>93881565.5625</v>
      </c>
      <c r="AB507" s="60">
        <f t="shared" ref="AB507:AB528" si="58">Y507*Z507</f>
        <v>1014419.5168800001</v>
      </c>
      <c r="AC507" s="262">
        <f t="shared" si="54"/>
        <v>-41.847678260869529</v>
      </c>
      <c r="AD507" s="70">
        <f t="shared" si="55"/>
        <v>235.3169565217413</v>
      </c>
      <c r="AE507" s="71">
        <f t="shared" ref="AE507:AE528" si="59">AD507^2</f>
        <v>55374.070026655085</v>
      </c>
      <c r="AF507" s="71">
        <f t="shared" ref="AF507:AF528" si="60">AC507^2</f>
        <v>1751.228175825252</v>
      </c>
      <c r="AG507" s="60">
        <f t="shared" ref="AG507:AG528" si="61">AC507*AD507</f>
        <v>-9847.4682858488541</v>
      </c>
    </row>
    <row r="508" spans="24:37" x14ac:dyDescent="0.25">
      <c r="X508" s="390">
        <f t="shared" si="56"/>
        <v>44652</v>
      </c>
      <c r="Y508" s="37">
        <f t="shared" si="56"/>
        <v>198.85866000000001</v>
      </c>
      <c r="Z508" s="559">
        <f t="shared" si="56"/>
        <v>9823.56</v>
      </c>
      <c r="AA508" s="60">
        <f t="shared" si="57"/>
        <v>96502331.073599994</v>
      </c>
      <c r="AB508" s="60">
        <f t="shared" si="58"/>
        <v>1953499.9780296001</v>
      </c>
      <c r="AC508" s="262">
        <f t="shared" si="54"/>
        <v>52.315621739130478</v>
      </c>
      <c r="AD508" s="70">
        <f t="shared" si="55"/>
        <v>369.62695652174079</v>
      </c>
      <c r="AE508" s="71">
        <f t="shared" si="59"/>
        <v>136624.08698752485</v>
      </c>
      <c r="AF508" s="71">
        <f t="shared" si="60"/>
        <v>2736.9242779517813</v>
      </c>
      <c r="AG508" s="60">
        <f t="shared" si="61"/>
        <v>19337.264041977418</v>
      </c>
    </row>
    <row r="509" spans="24:37" x14ac:dyDescent="0.25">
      <c r="X509" s="390">
        <f t="shared" si="56"/>
        <v>44682</v>
      </c>
      <c r="Y509" s="37">
        <f t="shared" si="56"/>
        <v>265.41000000000003</v>
      </c>
      <c r="Z509" s="559">
        <f t="shared" si="56"/>
        <v>10503.89</v>
      </c>
      <c r="AA509" s="60">
        <f t="shared" si="57"/>
        <v>110331705.13209999</v>
      </c>
      <c r="AB509" s="60">
        <f t="shared" si="58"/>
        <v>2787837.4449</v>
      </c>
      <c r="AC509" s="262">
        <f t="shared" si="54"/>
        <v>118.86696173913049</v>
      </c>
      <c r="AD509" s="70">
        <f t="shared" si="55"/>
        <v>1049.9569565217407</v>
      </c>
      <c r="AE509" s="71">
        <f t="shared" si="59"/>
        <v>1102409.6105483966</v>
      </c>
      <c r="AF509" s="71">
        <f t="shared" si="60"/>
        <v>14129.354593091912</v>
      </c>
      <c r="AG509" s="60">
        <f t="shared" si="61"/>
        <v>124805.19337860365</v>
      </c>
    </row>
    <row r="510" spans="24:37" x14ac:dyDescent="0.25">
      <c r="X510" s="390">
        <f t="shared" si="56"/>
        <v>44713</v>
      </c>
      <c r="Y510" s="37">
        <f t="shared" si="56"/>
        <v>188.35893999999999</v>
      </c>
      <c r="Z510" s="37">
        <f t="shared" si="56"/>
        <v>9931.33</v>
      </c>
      <c r="AA510" s="60">
        <f t="shared" si="57"/>
        <v>98631315.568900004</v>
      </c>
      <c r="AB510" s="60">
        <f t="shared" si="58"/>
        <v>1870654.7915901998</v>
      </c>
      <c r="AC510" s="262">
        <f t="shared" si="54"/>
        <v>41.815901739130453</v>
      </c>
      <c r="AD510" s="70">
        <f t="shared" si="55"/>
        <v>477.39695652174123</v>
      </c>
      <c r="AE510" s="71">
        <f t="shared" si="59"/>
        <v>227907.8540962213</v>
      </c>
      <c r="AF510" s="71">
        <f t="shared" si="60"/>
        <v>1748.5696382566132</v>
      </c>
      <c r="AG510" s="60">
        <f t="shared" si="61"/>
        <v>19962.784224473064</v>
      </c>
    </row>
    <row r="511" spans="24:37" x14ac:dyDescent="0.25">
      <c r="X511" s="390">
        <f t="shared" si="56"/>
        <v>44743</v>
      </c>
      <c r="Y511" s="37">
        <f t="shared" si="56"/>
        <v>177.69752000000003</v>
      </c>
      <c r="Z511" s="559">
        <f t="shared" si="56"/>
        <v>9668.73</v>
      </c>
      <c r="AA511" s="60">
        <f t="shared" si="57"/>
        <v>93484339.812899992</v>
      </c>
      <c r="AB511" s="60">
        <f t="shared" si="58"/>
        <v>1718109.3425496002</v>
      </c>
      <c r="AC511" s="262">
        <f t="shared" si="54"/>
        <v>31.154481739130489</v>
      </c>
      <c r="AD511" s="70">
        <f t="shared" si="55"/>
        <v>214.79695652174087</v>
      </c>
      <c r="AE511" s="71">
        <f t="shared" si="59"/>
        <v>46137.732531002635</v>
      </c>
      <c r="AF511" s="71">
        <f t="shared" si="60"/>
        <v>970.60173243381507</v>
      </c>
      <c r="AG511" s="60">
        <f t="shared" si="61"/>
        <v>6691.8878595773813</v>
      </c>
    </row>
    <row r="512" spans="24:37" x14ac:dyDescent="0.25">
      <c r="X512" s="390">
        <f t="shared" si="56"/>
        <v>44774</v>
      </c>
      <c r="Y512" s="37">
        <f t="shared" si="56"/>
        <v>190.06218000000001</v>
      </c>
      <c r="Z512" s="559">
        <f t="shared" si="56"/>
        <v>9498.1299999999992</v>
      </c>
      <c r="AA512" s="60">
        <f t="shared" si="57"/>
        <v>90214473.496899992</v>
      </c>
      <c r="AB512" s="60">
        <f t="shared" si="58"/>
        <v>1805235.2937234</v>
      </c>
      <c r="AC512" s="262">
        <f t="shared" si="54"/>
        <v>43.519141739130475</v>
      </c>
      <c r="AD512" s="70">
        <f t="shared" si="55"/>
        <v>44.196956521740503</v>
      </c>
      <c r="AE512" s="71">
        <f t="shared" si="59"/>
        <v>1953.3709657846205</v>
      </c>
      <c r="AF512" s="71">
        <f t="shared" si="60"/>
        <v>1893.9156977105283</v>
      </c>
      <c r="AG512" s="60">
        <f t="shared" si="61"/>
        <v>1923.4136153078121</v>
      </c>
    </row>
    <row r="513" spans="24:33" x14ac:dyDescent="0.25">
      <c r="X513" s="390">
        <f t="shared" si="56"/>
        <v>44805</v>
      </c>
      <c r="Y513" s="37">
        <f t="shared" si="56"/>
        <v>118.91</v>
      </c>
      <c r="Z513" s="37">
        <f t="shared" si="56"/>
        <v>9284.99</v>
      </c>
      <c r="AA513" s="60">
        <f t="shared" si="57"/>
        <v>86211039.300099999</v>
      </c>
      <c r="AB513" s="60">
        <f t="shared" si="58"/>
        <v>1104078.1609</v>
      </c>
      <c r="AC513" s="262">
        <f t="shared" si="54"/>
        <v>-27.63303826086954</v>
      </c>
      <c r="AD513" s="70">
        <f t="shared" si="55"/>
        <v>-168.94304347825891</v>
      </c>
      <c r="AE513" s="71">
        <f t="shared" si="59"/>
        <v>28541.751939696882</v>
      </c>
      <c r="AF513" s="71">
        <f t="shared" si="60"/>
        <v>763.58480352667993</v>
      </c>
      <c r="AG513" s="60">
        <f t="shared" si="61"/>
        <v>4668.4095843424748</v>
      </c>
    </row>
    <row r="514" spans="24:33" x14ac:dyDescent="0.25">
      <c r="X514" s="390">
        <f t="shared" si="56"/>
        <v>44835</v>
      </c>
      <c r="Y514" s="37">
        <f t="shared" si="56"/>
        <v>112</v>
      </c>
      <c r="Z514" s="559">
        <f t="shared" si="56"/>
        <v>9045.56</v>
      </c>
      <c r="AA514" s="60">
        <f t="shared" si="57"/>
        <v>81822155.713599995</v>
      </c>
      <c r="AB514" s="60">
        <f t="shared" si="58"/>
        <v>1013102.72</v>
      </c>
      <c r="AC514" s="262">
        <f t="shared" si="54"/>
        <v>-34.543038260869537</v>
      </c>
      <c r="AD514" s="70">
        <f t="shared" si="55"/>
        <v>-408.37304347825921</v>
      </c>
      <c r="AE514" s="71">
        <f t="shared" si="59"/>
        <v>166768.54263969618</v>
      </c>
      <c r="AF514" s="71">
        <f t="shared" si="60"/>
        <v>1193.2214922918968</v>
      </c>
      <c r="AG514" s="60">
        <f t="shared" si="61"/>
        <v>14106.445665577246</v>
      </c>
    </row>
    <row r="515" spans="24:33" x14ac:dyDescent="0.25">
      <c r="X515" s="390">
        <f t="shared" si="56"/>
        <v>44866</v>
      </c>
      <c r="Y515" s="37">
        <f t="shared" si="56"/>
        <v>151.82552000000001</v>
      </c>
      <c r="Z515" s="37">
        <f t="shared" si="56"/>
        <v>9676.81</v>
      </c>
      <c r="AA515" s="60">
        <f t="shared" si="57"/>
        <v>93640651.776099995</v>
      </c>
      <c r="AB515" s="60">
        <f t="shared" si="58"/>
        <v>1469186.7101912</v>
      </c>
      <c r="AC515" s="262">
        <f t="shared" si="54"/>
        <v>5.2824817391304748</v>
      </c>
      <c r="AD515" s="70">
        <f t="shared" si="55"/>
        <v>222.87695652174079</v>
      </c>
      <c r="AE515" s="71">
        <f t="shared" si="59"/>
        <v>49674.137748393936</v>
      </c>
      <c r="AF515" s="71">
        <f t="shared" si="60"/>
        <v>27.904613324246927</v>
      </c>
      <c r="AG515" s="60">
        <f t="shared" si="61"/>
        <v>1177.3434528990724</v>
      </c>
    </row>
    <row r="516" spans="24:33" x14ac:dyDescent="0.25">
      <c r="X516" s="390">
        <f t="shared" si="56"/>
        <v>44896</v>
      </c>
      <c r="Y516" s="37">
        <f t="shared" si="56"/>
        <v>41.00712</v>
      </c>
      <c r="Z516" s="37">
        <f t="shared" si="56"/>
        <v>8577.93</v>
      </c>
      <c r="AA516" s="60">
        <f t="shared" si="57"/>
        <v>73580883.084900007</v>
      </c>
      <c r="AB516" s="60">
        <f t="shared" si="58"/>
        <v>351756.20486160001</v>
      </c>
      <c r="AC516" s="262">
        <f t="shared" si="54"/>
        <v>-105.53591826086954</v>
      </c>
      <c r="AD516" s="70">
        <f t="shared" si="55"/>
        <v>-876.00304347825841</v>
      </c>
      <c r="AE516" s="71">
        <f t="shared" si="59"/>
        <v>767381.33218317153</v>
      </c>
      <c r="AF516" s="71">
        <f t="shared" si="60"/>
        <v>11137.830043164937</v>
      </c>
      <c r="AG516" s="60">
        <f t="shared" si="61"/>
        <v>92449.785592794418</v>
      </c>
    </row>
    <row r="517" spans="24:33" x14ac:dyDescent="0.25">
      <c r="X517" s="390">
        <f t="shared" si="56"/>
        <v>44927</v>
      </c>
      <c r="Y517" s="37">
        <f t="shared" si="56"/>
        <v>81.25</v>
      </c>
      <c r="Z517" s="559">
        <f t="shared" si="56"/>
        <v>8475</v>
      </c>
      <c r="AA517" s="60">
        <f t="shared" si="57"/>
        <v>71825625</v>
      </c>
      <c r="AB517" s="60">
        <f t="shared" si="58"/>
        <v>688593.75</v>
      </c>
      <c r="AC517" s="262">
        <f t="shared" si="54"/>
        <v>-65.293038260869537</v>
      </c>
      <c r="AD517" s="70">
        <f t="shared" si="55"/>
        <v>-978.9330434782587</v>
      </c>
      <c r="AE517" s="71">
        <f t="shared" si="59"/>
        <v>958309.90361360635</v>
      </c>
      <c r="AF517" s="71">
        <f t="shared" si="60"/>
        <v>4263.1808453353733</v>
      </c>
      <c r="AG517" s="60">
        <f t="shared" si="61"/>
        <v>63917.512662655405</v>
      </c>
    </row>
    <row r="518" spans="24:33" x14ac:dyDescent="0.25">
      <c r="X518" s="390">
        <f t="shared" si="56"/>
        <v>44958</v>
      </c>
      <c r="Y518" s="37">
        <f t="shared" si="56"/>
        <v>104.56</v>
      </c>
      <c r="Z518" s="559">
        <f t="shared" si="56"/>
        <v>8802.64</v>
      </c>
      <c r="AA518" s="60">
        <f t="shared" si="57"/>
        <v>77486470.969599992</v>
      </c>
      <c r="AB518" s="60">
        <f t="shared" si="58"/>
        <v>920404.03839999996</v>
      </c>
      <c r="AC518" s="262">
        <f t="shared" si="54"/>
        <v>-41.983038260869534</v>
      </c>
      <c r="AD518" s="70">
        <f t="shared" si="55"/>
        <v>-651.29304347825928</v>
      </c>
      <c r="AE518" s="71">
        <f t="shared" si="59"/>
        <v>424182.62848317373</v>
      </c>
      <c r="AF518" s="71">
        <f t="shared" si="60"/>
        <v>1762.5755016136352</v>
      </c>
      <c r="AG518" s="60">
        <f t="shared" si="61"/>
        <v>27343.260763385926</v>
      </c>
    </row>
    <row r="519" spans="24:33" x14ac:dyDescent="0.25">
      <c r="X519" s="390">
        <f t="shared" si="56"/>
        <v>44986</v>
      </c>
      <c r="Y519" s="37">
        <f t="shared" si="56"/>
        <v>117.89</v>
      </c>
      <c r="Z519" s="37">
        <f t="shared" si="56"/>
        <v>9633.16</v>
      </c>
      <c r="AA519" s="60">
        <f t="shared" si="57"/>
        <v>92797771.585600004</v>
      </c>
      <c r="AB519" s="60">
        <f t="shared" si="58"/>
        <v>1135653.2324000001</v>
      </c>
      <c r="AC519" s="262">
        <f t="shared" si="54"/>
        <v>-28.653038260869536</v>
      </c>
      <c r="AD519" s="70">
        <f t="shared" si="55"/>
        <v>179.22695652174116</v>
      </c>
      <c r="AE519" s="71">
        <f t="shared" si="59"/>
        <v>32122.301944046096</v>
      </c>
      <c r="AF519" s="71">
        <f t="shared" si="60"/>
        <v>820.99660157885353</v>
      </c>
      <c r="AG519" s="60">
        <f t="shared" si="61"/>
        <v>-5135.3968425966505</v>
      </c>
    </row>
    <row r="520" spans="24:33" x14ac:dyDescent="0.25">
      <c r="X520" s="390">
        <f t="shared" si="56"/>
        <v>45017</v>
      </c>
      <c r="Y520" s="37">
        <f t="shared" si="56"/>
        <v>214.56</v>
      </c>
      <c r="Z520" s="559">
        <f t="shared" si="56"/>
        <v>9796.5</v>
      </c>
      <c r="AA520" s="60">
        <f t="shared" si="57"/>
        <v>95971412.25</v>
      </c>
      <c r="AB520" s="60">
        <f t="shared" si="58"/>
        <v>2101937.04</v>
      </c>
      <c r="AC520" s="262">
        <f t="shared" si="54"/>
        <v>68.016961739130466</v>
      </c>
      <c r="AD520" s="70">
        <f t="shared" si="55"/>
        <v>342.5669565217413</v>
      </c>
      <c r="AE520" s="71">
        <f t="shared" si="59"/>
        <v>117352.1197005686</v>
      </c>
      <c r="AF520" s="71">
        <f t="shared" si="60"/>
        <v>4626.3070842223378</v>
      </c>
      <c r="AG520" s="60">
        <f t="shared" si="61"/>
        <v>23300.363574829647</v>
      </c>
    </row>
    <row r="521" spans="24:33" x14ac:dyDescent="0.25">
      <c r="X521" s="390">
        <f t="shared" si="56"/>
        <v>45047</v>
      </c>
      <c r="Y521" s="37">
        <f t="shared" si="56"/>
        <v>314.16000000000003</v>
      </c>
      <c r="Z521" s="37">
        <f t="shared" si="56"/>
        <v>11503.69</v>
      </c>
      <c r="AA521" s="60">
        <f t="shared" si="57"/>
        <v>132334883.61610001</v>
      </c>
      <c r="AB521" s="60">
        <f t="shared" si="58"/>
        <v>3613999.2504000003</v>
      </c>
      <c r="AC521" s="262">
        <f t="shared" si="54"/>
        <v>167.61696173913049</v>
      </c>
      <c r="AD521" s="70">
        <f t="shared" si="55"/>
        <v>2049.7569565217418</v>
      </c>
      <c r="AE521" s="71">
        <f t="shared" si="59"/>
        <v>4201503.5808092738</v>
      </c>
      <c r="AF521" s="71">
        <f t="shared" si="60"/>
        <v>28095.445862657132</v>
      </c>
      <c r="AG521" s="60">
        <f t="shared" si="61"/>
        <v>343574.03335582133</v>
      </c>
    </row>
    <row r="522" spans="24:33" x14ac:dyDescent="0.25">
      <c r="X522" s="390">
        <f t="shared" si="56"/>
        <v>45078</v>
      </c>
      <c r="Y522" s="37">
        <f t="shared" si="56"/>
        <v>199.52</v>
      </c>
      <c r="Z522" s="559">
        <f t="shared" si="56"/>
        <v>9636.34</v>
      </c>
      <c r="AA522" s="60">
        <f t="shared" si="57"/>
        <v>92859048.595600009</v>
      </c>
      <c r="AB522" s="60">
        <f t="shared" si="58"/>
        <v>1922642.5568000001</v>
      </c>
      <c r="AC522" s="262">
        <f t="shared" si="54"/>
        <v>52.976961739130473</v>
      </c>
      <c r="AD522" s="70">
        <f t="shared" si="55"/>
        <v>182.40695652174145</v>
      </c>
      <c r="AE522" s="71">
        <f t="shared" si="59"/>
        <v>33272.297787524476</v>
      </c>
      <c r="AF522" s="71">
        <f t="shared" si="60"/>
        <v>2806.5584751092942</v>
      </c>
      <c r="AG522" s="60">
        <f t="shared" si="61"/>
        <v>9663.366356603532</v>
      </c>
    </row>
    <row r="523" spans="24:33" x14ac:dyDescent="0.25">
      <c r="X523" s="390">
        <f>X306</f>
        <v>45108</v>
      </c>
      <c r="Y523" s="37">
        <f>Y306</f>
        <v>212.12</v>
      </c>
      <c r="Z523" s="559">
        <f>Z306</f>
        <v>10051.65</v>
      </c>
      <c r="AA523" s="60">
        <f>Z523^2</f>
        <v>101035667.7225</v>
      </c>
      <c r="AB523" s="60">
        <f>Y523*Z523</f>
        <v>2132155.9980000001</v>
      </c>
      <c r="AC523" s="262">
        <f t="shared" si="54"/>
        <v>65.576961739130468</v>
      </c>
      <c r="AD523" s="70">
        <f t="shared" si="55"/>
        <v>597.71695652174094</v>
      </c>
      <c r="AE523" s="71">
        <f>AD523^2</f>
        <v>357265.56011361274</v>
      </c>
      <c r="AF523" s="71">
        <f>AC523^2</f>
        <v>4300.3379109353809</v>
      </c>
      <c r="AG523" s="60">
        <f>AC523*AD523</f>
        <v>39196.461988655712</v>
      </c>
    </row>
    <row r="524" spans="24:33" x14ac:dyDescent="0.25">
      <c r="X524" s="390">
        <f t="shared" si="56"/>
        <v>45139</v>
      </c>
      <c r="Y524" s="37">
        <f t="shared" ref="Y524:Z528" si="62">Y307</f>
        <v>112.32</v>
      </c>
      <c r="Z524" s="559">
        <f t="shared" si="62"/>
        <v>8620.61</v>
      </c>
      <c r="AA524" s="60">
        <f t="shared" si="57"/>
        <v>74314916.772100016</v>
      </c>
      <c r="AB524" s="60">
        <f t="shared" si="58"/>
        <v>968266.91520000005</v>
      </c>
      <c r="AC524" s="262">
        <f t="shared" si="54"/>
        <v>-34.223038260869544</v>
      </c>
      <c r="AD524" s="70">
        <f t="shared" si="55"/>
        <v>-833.32304347825811</v>
      </c>
      <c r="AE524" s="71">
        <f t="shared" si="59"/>
        <v>694427.29479186691</v>
      </c>
      <c r="AF524" s="71">
        <f t="shared" si="60"/>
        <v>1171.2163478049406</v>
      </c>
      <c r="AG524" s="60">
        <f t="shared" si="61"/>
        <v>28518.846400620681</v>
      </c>
    </row>
    <row r="525" spans="24:33" x14ac:dyDescent="0.25">
      <c r="X525" s="390">
        <f t="shared" si="56"/>
        <v>45170</v>
      </c>
      <c r="Y525" s="37">
        <f t="shared" si="62"/>
        <v>81.5</v>
      </c>
      <c r="Z525" s="37">
        <f t="shared" si="62"/>
        <v>9013.66</v>
      </c>
      <c r="AA525" s="60">
        <f t="shared" si="57"/>
        <v>81246066.595599994</v>
      </c>
      <c r="AB525" s="60">
        <f t="shared" si="58"/>
        <v>734613.29</v>
      </c>
      <c r="AC525" s="262">
        <f t="shared" si="54"/>
        <v>-65.043038260869537</v>
      </c>
      <c r="AD525" s="70">
        <f t="shared" si="55"/>
        <v>-440.27304347825884</v>
      </c>
      <c r="AE525" s="71">
        <f t="shared" si="59"/>
        <v>193840.3528136088</v>
      </c>
      <c r="AF525" s="71">
        <f t="shared" si="60"/>
        <v>4230.5968262049382</v>
      </c>
      <c r="AG525" s="60">
        <f t="shared" si="61"/>
        <v>28636.696412185865</v>
      </c>
    </row>
    <row r="526" spans="24:33" x14ac:dyDescent="0.25">
      <c r="X526" s="390">
        <f t="shared" si="56"/>
        <v>45200</v>
      </c>
      <c r="Y526" s="37">
        <f t="shared" si="62"/>
        <v>70.14</v>
      </c>
      <c r="Z526" s="37">
        <f t="shared" si="62"/>
        <v>9003.9</v>
      </c>
      <c r="AA526" s="60">
        <f t="shared" si="57"/>
        <v>81070215.209999993</v>
      </c>
      <c r="AB526" s="60">
        <f t="shared" si="58"/>
        <v>631533.54599999997</v>
      </c>
      <c r="AC526" s="262">
        <f t="shared" si="54"/>
        <v>-76.403038260869536</v>
      </c>
      <c r="AD526" s="70">
        <f t="shared" si="55"/>
        <v>-450.03304347825906</v>
      </c>
      <c r="AE526" s="71">
        <f t="shared" si="59"/>
        <v>202529.74022230462</v>
      </c>
      <c r="AF526" s="71">
        <f t="shared" si="60"/>
        <v>5837.4242554918947</v>
      </c>
      <c r="AG526" s="60">
        <f t="shared" si="61"/>
        <v>34383.891839524993</v>
      </c>
    </row>
    <row r="527" spans="24:33" x14ac:dyDescent="0.25">
      <c r="X527" s="390">
        <f t="shared" si="56"/>
        <v>45231</v>
      </c>
      <c r="Y527" s="37">
        <f t="shared" si="62"/>
        <v>181.45</v>
      </c>
      <c r="Z527" s="37">
        <f t="shared" si="62"/>
        <v>10060.049999999999</v>
      </c>
      <c r="AA527" s="60">
        <f t="shared" si="57"/>
        <v>101204606.00249998</v>
      </c>
      <c r="AB527" s="60">
        <f t="shared" si="58"/>
        <v>1825396.0724999998</v>
      </c>
      <c r="AC527" s="262">
        <f t="shared" si="54"/>
        <v>34.906961739130452</v>
      </c>
      <c r="AD527" s="70">
        <f t="shared" si="55"/>
        <v>606.11695652174058</v>
      </c>
      <c r="AE527" s="71">
        <f t="shared" si="59"/>
        <v>367377.76498317753</v>
      </c>
      <c r="AF527" s="71">
        <f t="shared" si="60"/>
        <v>1218.4959778571172</v>
      </c>
      <c r="AG527" s="60">
        <f t="shared" si="61"/>
        <v>21157.701410742593</v>
      </c>
    </row>
    <row r="528" spans="24:33" x14ac:dyDescent="0.25">
      <c r="X528" s="390">
        <f>X311</f>
        <v>45261</v>
      </c>
      <c r="Y528" s="37">
        <f t="shared" si="62"/>
        <v>59.85</v>
      </c>
      <c r="Z528" s="559">
        <f t="shared" si="62"/>
        <v>8468.25</v>
      </c>
      <c r="AA528" s="60">
        <f t="shared" si="57"/>
        <v>71711258.0625</v>
      </c>
      <c r="AB528" s="60">
        <f t="shared" si="58"/>
        <v>506824.76250000001</v>
      </c>
      <c r="AC528" s="262">
        <f t="shared" si="54"/>
        <v>-86.693038260869542</v>
      </c>
      <c r="AD528" s="70">
        <f t="shared" si="55"/>
        <v>-985.6830434782587</v>
      </c>
      <c r="AE528" s="71">
        <f t="shared" si="59"/>
        <v>971571.0622005628</v>
      </c>
      <c r="AF528" s="71">
        <f t="shared" si="60"/>
        <v>7515.6828829005908</v>
      </c>
      <c r="AG528" s="60">
        <f t="shared" si="61"/>
        <v>85451.857801351012</v>
      </c>
    </row>
    <row r="529" spans="24:33" x14ac:dyDescent="0.25">
      <c r="X529" s="17" t="s">
        <v>64</v>
      </c>
      <c r="Y529" s="521">
        <f t="shared" ref="Y529:AG529" si="63">SUM(Y506:Y528)</f>
        <v>3370.4898799999996</v>
      </c>
      <c r="Z529" s="521">
        <f t="shared" si="63"/>
        <v>217440.45999999996</v>
      </c>
      <c r="AA529" s="520">
        <f t="shared" si="63"/>
        <v>2067411078.4326</v>
      </c>
      <c r="AB529" s="520">
        <f t="shared" si="63"/>
        <v>32897477.548746999</v>
      </c>
      <c r="AC529" s="262">
        <f t="shared" si="63"/>
        <v>7.815970093361102E-13</v>
      </c>
      <c r="AD529" s="521">
        <f t="shared" si="63"/>
        <v>4.5474735088646412E-11</v>
      </c>
      <c r="AE529" s="520">
        <f t="shared" si="63"/>
        <v>11743528.649486955</v>
      </c>
      <c r="AF529" s="520">
        <f t="shared" si="63"/>
        <v>108507.36484757916</v>
      </c>
      <c r="AG529" s="520">
        <f t="shared" si="63"/>
        <v>1033091.8995059216</v>
      </c>
    </row>
    <row r="530" spans="24:33" x14ac:dyDescent="0.25">
      <c r="X530" s="17" t="s">
        <v>62</v>
      </c>
      <c r="Y530" s="70">
        <f>AVERAGE(Y506:Y528)</f>
        <v>146.54303826086954</v>
      </c>
      <c r="Z530" s="70">
        <f>AVERAGE(Z506:Z528)</f>
        <v>9453.9330434782587</v>
      </c>
    </row>
    <row r="531" spans="24:33" x14ac:dyDescent="0.25">
      <c r="X531" s="17" t="s">
        <v>812</v>
      </c>
      <c r="Y531" s="605">
        <f>STDEV(Y506:Y528)</f>
        <v>70.229288388942436</v>
      </c>
      <c r="Z531" s="605">
        <f>STDEV(Z506:Z528)</f>
        <v>730.61395880099474</v>
      </c>
    </row>
    <row r="532" spans="24:33" x14ac:dyDescent="0.25">
      <c r="X532" s="499"/>
      <c r="Y532" s="499"/>
    </row>
    <row r="533" spans="24:33" x14ac:dyDescent="0.25">
      <c r="X533" s="499"/>
      <c r="Y533" s="499"/>
    </row>
    <row r="536" spans="24:33" x14ac:dyDescent="0.25">
      <c r="X536" s="655" t="s">
        <v>782</v>
      </c>
      <c r="Y536" s="655"/>
      <c r="Z536" s="655"/>
      <c r="AC536" t="s">
        <v>784</v>
      </c>
      <c r="AD536" s="1" t="s">
        <v>785</v>
      </c>
      <c r="AE536" t="s">
        <v>793</v>
      </c>
    </row>
    <row r="537" spans="24:33" x14ac:dyDescent="0.25">
      <c r="Y537" s="1"/>
      <c r="Z537" s="1"/>
      <c r="AA537" s="297"/>
      <c r="AB537" s="297"/>
      <c r="AC537" s="297"/>
      <c r="AD537" s="1" t="s">
        <v>786</v>
      </c>
      <c r="AE537" t="s">
        <v>794</v>
      </c>
    </row>
    <row r="538" spans="24:33" x14ac:dyDescent="0.25">
      <c r="X538" s="655" t="s">
        <v>783</v>
      </c>
      <c r="Y538" s="655"/>
      <c r="Z538" s="655"/>
      <c r="AA538" s="297"/>
      <c r="AB538" s="297"/>
      <c r="AC538" s="297"/>
      <c r="AD538" s="1" t="s">
        <v>787</v>
      </c>
      <c r="AE538" t="s">
        <v>633</v>
      </c>
    </row>
    <row r="539" spans="24:33" x14ac:dyDescent="0.25">
      <c r="AD539" s="1" t="s">
        <v>788</v>
      </c>
      <c r="AE539" t="s">
        <v>634</v>
      </c>
    </row>
    <row r="540" spans="24:33" x14ac:dyDescent="0.25">
      <c r="X540" t="s">
        <v>798</v>
      </c>
      <c r="AD540" s="1" t="s">
        <v>789</v>
      </c>
      <c r="AE540" t="s">
        <v>795</v>
      </c>
    </row>
    <row r="541" spans="24:33" x14ac:dyDescent="0.25">
      <c r="AD541" s="1" t="s">
        <v>790</v>
      </c>
      <c r="AE541" t="s">
        <v>796</v>
      </c>
    </row>
    <row r="542" spans="24:33" x14ac:dyDescent="0.25">
      <c r="AD542" s="1" t="s">
        <v>791</v>
      </c>
      <c r="AE542" t="s">
        <v>797</v>
      </c>
    </row>
    <row r="543" spans="24:33" x14ac:dyDescent="0.25">
      <c r="AD543" s="1" t="s">
        <v>792</v>
      </c>
      <c r="AE543" t="s">
        <v>800</v>
      </c>
    </row>
    <row r="544" spans="24:33" x14ac:dyDescent="0.25">
      <c r="X544" t="s">
        <v>799</v>
      </c>
      <c r="AD544" s="1"/>
    </row>
    <row r="545" spans="24:34" x14ac:dyDescent="0.25">
      <c r="AD545" s="1"/>
    </row>
    <row r="546" spans="24:34" x14ac:dyDescent="0.25">
      <c r="AD546" s="1"/>
    </row>
    <row r="547" spans="24:34" x14ac:dyDescent="0.25">
      <c r="AD547" s="1"/>
    </row>
    <row r="548" spans="24:34" x14ac:dyDescent="0.25">
      <c r="X548" s="488" t="s">
        <v>801</v>
      </c>
      <c r="Y548" s="488" t="s">
        <v>173</v>
      </c>
      <c r="AC548">
        <f>(Y549-Y550)*Y551</f>
        <v>-52.81241171559585</v>
      </c>
      <c r="AD548" s="655" t="s">
        <v>816</v>
      </c>
      <c r="AE548" s="655"/>
      <c r="AF548" s="655"/>
      <c r="AG548" s="655"/>
    </row>
    <row r="549" spans="24:34" x14ac:dyDescent="0.25">
      <c r="X549" s="17" t="s">
        <v>802</v>
      </c>
      <c r="Y549" s="530">
        <f>AH506</f>
        <v>9.5209380575881735</v>
      </c>
      <c r="Z549" t="s">
        <v>809</v>
      </c>
      <c r="AD549" s="1"/>
    </row>
    <row r="550" spans="24:34" x14ac:dyDescent="0.25">
      <c r="X550" s="17" t="s">
        <v>803</v>
      </c>
      <c r="Y550" s="530">
        <f>Z436</f>
        <v>9.8813264618573786</v>
      </c>
      <c r="Z550" t="s">
        <v>810</v>
      </c>
      <c r="AC550">
        <f>(Y550*Y555)-(Y549*Y554)</f>
        <v>125.3971718219932</v>
      </c>
      <c r="AD550" s="655" t="s">
        <v>817</v>
      </c>
      <c r="AE550" s="655"/>
      <c r="AF550" s="655"/>
      <c r="AG550" s="655"/>
    </row>
    <row r="551" spans="24:34" x14ac:dyDescent="0.25">
      <c r="X551" s="17" t="s">
        <v>804</v>
      </c>
      <c r="Y551" s="531">
        <f>Y530</f>
        <v>146.54303826086954</v>
      </c>
      <c r="AD551" s="1"/>
    </row>
    <row r="552" spans="24:34" x14ac:dyDescent="0.25">
      <c r="X552" s="17" t="s">
        <v>805</v>
      </c>
      <c r="Y552" s="530">
        <f>Z530</f>
        <v>9453.9330434782587</v>
      </c>
      <c r="Z552" s="87"/>
      <c r="AC552" s="374">
        <f>Y552-Y553</f>
        <v>141.18765886287656</v>
      </c>
      <c r="AD552" s="655" t="s">
        <v>818</v>
      </c>
      <c r="AE552" s="655"/>
      <c r="AF552" s="655"/>
      <c r="AG552" s="655"/>
      <c r="AH552" s="655"/>
    </row>
    <row r="553" spans="24:34" x14ac:dyDescent="0.25">
      <c r="X553" s="17" t="s">
        <v>806</v>
      </c>
      <c r="Y553" s="530">
        <f>Z334</f>
        <v>9312.7453846153821</v>
      </c>
      <c r="Z553" s="87"/>
      <c r="AD553" s="1"/>
    </row>
    <row r="554" spans="24:34" x14ac:dyDescent="0.25">
      <c r="X554" s="17" t="s">
        <v>807</v>
      </c>
      <c r="Y554" s="530">
        <f>Y530</f>
        <v>146.54303826086954</v>
      </c>
      <c r="Z554" s="87"/>
      <c r="AC554" s="649">
        <f>AC548+AC552+AC550</f>
        <v>213.7724189692739</v>
      </c>
      <c r="AD554" s="1" t="s">
        <v>815</v>
      </c>
      <c r="AF554" s="647">
        <f>AC554/Z530</f>
        <v>2.261200898992442E-2</v>
      </c>
      <c r="AG554" s="622"/>
    </row>
    <row r="555" spans="24:34" x14ac:dyDescent="0.25">
      <c r="X555" s="17" t="s">
        <v>808</v>
      </c>
      <c r="Y555" s="530">
        <f>Y334</f>
        <v>153.88868769230768</v>
      </c>
      <c r="Z555" s="24"/>
    </row>
    <row r="556" spans="24:34" x14ac:dyDescent="0.25">
      <c r="AF556" s="648">
        <f>AC548+AC550</f>
        <v>72.58476010639734</v>
      </c>
      <c r="AG556" t="s">
        <v>1179</v>
      </c>
    </row>
    <row r="557" spans="24:34" x14ac:dyDescent="0.25">
      <c r="X557" s="1"/>
      <c r="Z557" s="32" t="s">
        <v>838</v>
      </c>
      <c r="AA557" t="s">
        <v>834</v>
      </c>
      <c r="AB557" s="1" t="s">
        <v>835</v>
      </c>
      <c r="AE557" s="1"/>
    </row>
    <row r="558" spans="24:34" x14ac:dyDescent="0.25">
      <c r="X558" s="1"/>
      <c r="Z558" s="1"/>
      <c r="AA558" t="s">
        <v>836</v>
      </c>
      <c r="AB558" s="1"/>
      <c r="AE558" s="1"/>
    </row>
    <row r="559" spans="24:34" x14ac:dyDescent="0.25">
      <c r="AA559" t="s">
        <v>837</v>
      </c>
    </row>
    <row r="561" spans="2:29" x14ac:dyDescent="0.25">
      <c r="Z561" s="32" t="s">
        <v>838</v>
      </c>
      <c r="AA561" t="s">
        <v>839</v>
      </c>
      <c r="AB561" s="376" t="s">
        <v>835</v>
      </c>
      <c r="AC561" t="s">
        <v>840</v>
      </c>
    </row>
    <row r="563" spans="2:29" x14ac:dyDescent="0.25">
      <c r="AA563" t="s">
        <v>841</v>
      </c>
      <c r="AB563" s="1"/>
      <c r="AC563" s="534"/>
    </row>
    <row r="564" spans="2:29" x14ac:dyDescent="0.25">
      <c r="X564" s="1"/>
    </row>
    <row r="565" spans="2:29" x14ac:dyDescent="0.25">
      <c r="X565" s="1"/>
      <c r="AA565" t="s">
        <v>842</v>
      </c>
    </row>
    <row r="566" spans="2:29" x14ac:dyDescent="0.25">
      <c r="AA566" t="s">
        <v>843</v>
      </c>
    </row>
    <row r="568" spans="2:29" x14ac:dyDescent="0.25">
      <c r="AA568" t="s">
        <v>844</v>
      </c>
    </row>
    <row r="569" spans="2:29" x14ac:dyDescent="0.25">
      <c r="AA569" t="s">
        <v>845</v>
      </c>
    </row>
    <row r="571" spans="2:29" x14ac:dyDescent="0.25">
      <c r="AA571" t="s">
        <v>861</v>
      </c>
    </row>
    <row r="575" spans="2:29" s="407" customFormat="1" x14ac:dyDescent="0.25">
      <c r="B575" s="487"/>
      <c r="C575" s="487"/>
      <c r="D575" s="487"/>
      <c r="E575" s="487"/>
    </row>
    <row r="577" spans="23:31" x14ac:dyDescent="0.25">
      <c r="X577" s="657" t="s">
        <v>872</v>
      </c>
      <c r="Y577" s="657"/>
      <c r="Z577" s="657"/>
      <c r="AA577" s="657"/>
      <c r="AB577" s="657"/>
      <c r="AC577" s="657"/>
    </row>
    <row r="578" spans="23:31" x14ac:dyDescent="0.25">
      <c r="X578" s="657"/>
      <c r="Y578" s="657"/>
      <c r="Z578" s="657"/>
      <c r="AA578" s="657"/>
      <c r="AB578" s="657"/>
      <c r="AC578" s="657"/>
    </row>
    <row r="580" spans="23:31" x14ac:dyDescent="0.25">
      <c r="W580">
        <v>1</v>
      </c>
      <c r="X580" s="660" t="s">
        <v>846</v>
      </c>
      <c r="Y580" s="660"/>
      <c r="Z580" s="660"/>
    </row>
    <row r="582" spans="23:31" x14ac:dyDescent="0.25">
      <c r="X582" t="s">
        <v>1034</v>
      </c>
    </row>
    <row r="583" spans="23:31" x14ac:dyDescent="0.25">
      <c r="X583" t="s">
        <v>847</v>
      </c>
    </row>
    <row r="585" spans="23:31" x14ac:dyDescent="0.25">
      <c r="Z585" t="s">
        <v>784</v>
      </c>
      <c r="AA585" s="1" t="s">
        <v>848</v>
      </c>
      <c r="AB585" t="s">
        <v>853</v>
      </c>
      <c r="AE585" s="35">
        <f>11/24</f>
        <v>0.45833333333333331</v>
      </c>
    </row>
    <row r="586" spans="23:31" x14ac:dyDescent="0.25">
      <c r="Z586" s="297"/>
      <c r="AA586" s="1" t="s">
        <v>849</v>
      </c>
      <c r="AB586" t="s">
        <v>854</v>
      </c>
    </row>
    <row r="587" spans="23:31" x14ac:dyDescent="0.25">
      <c r="Z587" s="297"/>
      <c r="AA587" s="1" t="s">
        <v>850</v>
      </c>
      <c r="AB587" t="s">
        <v>633</v>
      </c>
    </row>
    <row r="588" spans="23:31" x14ac:dyDescent="0.25">
      <c r="AA588" s="1" t="s">
        <v>851</v>
      </c>
      <c r="AB588" t="s">
        <v>855</v>
      </c>
    </row>
    <row r="589" spans="23:31" x14ac:dyDescent="0.25">
      <c r="AA589" s="1" t="s">
        <v>852</v>
      </c>
      <c r="AB589" t="s">
        <v>862</v>
      </c>
    </row>
    <row r="591" spans="23:31" x14ac:dyDescent="0.25">
      <c r="W591">
        <v>2</v>
      </c>
      <c r="X591" s="660" t="s">
        <v>863</v>
      </c>
      <c r="Y591" s="660"/>
      <c r="Z591" s="660"/>
      <c r="AA591" s="1"/>
    </row>
    <row r="592" spans="23:31" x14ac:dyDescent="0.25">
      <c r="AA592" s="1"/>
    </row>
    <row r="593" spans="23:34" x14ac:dyDescent="0.25">
      <c r="X593" t="s">
        <v>1162</v>
      </c>
      <c r="AA593" s="1"/>
    </row>
    <row r="594" spans="23:34" x14ac:dyDescent="0.25">
      <c r="AA594" s="1"/>
    </row>
    <row r="595" spans="23:34" x14ac:dyDescent="0.25">
      <c r="Z595" t="s">
        <v>864</v>
      </c>
      <c r="AA595" s="1"/>
    </row>
    <row r="596" spans="23:34" x14ac:dyDescent="0.25">
      <c r="AA596" s="1"/>
      <c r="AE596" s="374"/>
      <c r="AF596" s="374"/>
    </row>
    <row r="597" spans="23:34" x14ac:dyDescent="0.25">
      <c r="AA597" s="1"/>
      <c r="AE597" s="635"/>
      <c r="AF597" s="374"/>
    </row>
    <row r="598" spans="23:34" x14ac:dyDescent="0.25">
      <c r="AA598" s="1"/>
    </row>
    <row r="599" spans="23:34" x14ac:dyDescent="0.25">
      <c r="Y599" s="537"/>
      <c r="Z599" s="537"/>
      <c r="AA599" s="1"/>
      <c r="AC599" s="374"/>
      <c r="AD599" s="374"/>
      <c r="AE599" s="374"/>
    </row>
    <row r="600" spans="23:34" x14ac:dyDescent="0.25">
      <c r="Y600" s="537"/>
      <c r="Z600" s="537"/>
      <c r="AA600" s="1"/>
      <c r="AC600" s="374"/>
      <c r="AD600" s="374"/>
      <c r="AF600" s="1"/>
      <c r="AG600" s="1"/>
      <c r="AH600" s="1"/>
    </row>
    <row r="601" spans="23:34" x14ac:dyDescent="0.25">
      <c r="AC601" s="374"/>
      <c r="AD601" s="376"/>
      <c r="AE601" s="1"/>
      <c r="AF601" s="376"/>
      <c r="AG601" s="1"/>
      <c r="AH601" s="53"/>
    </row>
    <row r="602" spans="23:34" x14ac:dyDescent="0.25">
      <c r="Z602" s="1" t="s">
        <v>856</v>
      </c>
      <c r="AA602" t="s">
        <v>1053</v>
      </c>
      <c r="AC602" s="1" t="s">
        <v>870</v>
      </c>
    </row>
    <row r="603" spans="23:34" x14ac:dyDescent="0.25">
      <c r="Z603" t="s">
        <v>1058</v>
      </c>
      <c r="AA603" s="1" t="s">
        <v>857</v>
      </c>
    </row>
    <row r="604" spans="23:34" ht="30" x14ac:dyDescent="0.25">
      <c r="X604" s="183" t="str">
        <f>X288</f>
        <v>Mes</v>
      </c>
      <c r="Y604" s="45" t="str">
        <f>Y288</f>
        <v>Producción [m³/mes]</v>
      </c>
      <c r="Z604" s="45" t="str">
        <f>Z288</f>
        <v>Consumo [kWh/mes]</v>
      </c>
      <c r="AA604" s="45" t="str">
        <f>AA288</f>
        <v>Consumo Teórico [kWh/mes]</v>
      </c>
      <c r="AB604" s="45" t="s">
        <v>858</v>
      </c>
      <c r="AC604" s="45" t="s">
        <v>859</v>
      </c>
      <c r="AD604" s="45" t="s">
        <v>860</v>
      </c>
    </row>
    <row r="605" spans="23:34" x14ac:dyDescent="0.25">
      <c r="W605">
        <v>100</v>
      </c>
      <c r="X605" s="606">
        <f>X74</f>
        <v>44562</v>
      </c>
      <c r="Y605" s="318">
        <f>Y74</f>
        <v>72.344580000000008</v>
      </c>
      <c r="Z605" s="318">
        <f>Z74</f>
        <v>8674.83</v>
      </c>
      <c r="AA605" s="318">
        <f>(9.5209*Y605)+8058.7</f>
        <v>8747.4855117219995</v>
      </c>
      <c r="AB605" s="536">
        <f t="shared" ref="AB605:AB628" si="64">(AA605/Z605)*100</f>
        <v>100.83754392561006</v>
      </c>
      <c r="AC605" s="318">
        <f>$AH$506+($AI$506/Y605)</f>
        <v>120.91429818803256</v>
      </c>
      <c r="AD605" s="318">
        <f>(Z605/Y605)</f>
        <v>119.90988129311137</v>
      </c>
      <c r="AH605" s="25"/>
    </row>
    <row r="606" spans="23:34" x14ac:dyDescent="0.25">
      <c r="W606">
        <v>100</v>
      </c>
      <c r="X606" s="606">
        <f t="shared" ref="X606:Z628" si="65">X75</f>
        <v>44593</v>
      </c>
      <c r="Y606" s="318">
        <f t="shared" si="65"/>
        <v>99.44550000000001</v>
      </c>
      <c r="Z606" s="318">
        <f t="shared" si="65"/>
        <v>9893.119999999999</v>
      </c>
      <c r="AA606" s="318">
        <f t="shared" ref="AA606:AA628" si="66">(9.5209*Y606)+8058.7</f>
        <v>9005.5106609499999</v>
      </c>
      <c r="AB606" s="536">
        <f t="shared" si="64"/>
        <v>91.028014023381914</v>
      </c>
      <c r="AC606" s="318">
        <f t="shared" ref="AC606:AC622" si="67">$AH$506+($AI$506/Y606)</f>
        <v>90.55734345980089</v>
      </c>
      <c r="AD606" s="318">
        <f>(Z606/Y606)</f>
        <v>99.482832305131936</v>
      </c>
      <c r="AH606" s="25"/>
    </row>
    <row r="607" spans="23:34" x14ac:dyDescent="0.25">
      <c r="W607">
        <v>100</v>
      </c>
      <c r="X607" s="606">
        <f t="shared" si="65"/>
        <v>44621</v>
      </c>
      <c r="Y607" s="318">
        <f t="shared" si="65"/>
        <v>104.69536000000001</v>
      </c>
      <c r="Z607" s="318">
        <f t="shared" si="65"/>
        <v>9689.25</v>
      </c>
      <c r="AA607" s="318">
        <f t="shared" si="66"/>
        <v>9055.4940530240001</v>
      </c>
      <c r="AB607" s="536">
        <f t="shared" si="64"/>
        <v>93.459184694625492</v>
      </c>
      <c r="AC607" s="318">
        <f t="shared" si="67"/>
        <v>86.493841665023538</v>
      </c>
      <c r="AD607" s="318">
        <f>(Z607/Y607)</f>
        <v>92.547081360625711</v>
      </c>
      <c r="AH607" s="25"/>
    </row>
    <row r="608" spans="23:34" x14ac:dyDescent="0.25">
      <c r="W608">
        <v>100</v>
      </c>
      <c r="X608" s="606">
        <f t="shared" si="65"/>
        <v>44652</v>
      </c>
      <c r="Y608" s="318">
        <f t="shared" si="65"/>
        <v>198.85866000000001</v>
      </c>
      <c r="Z608" s="318">
        <f t="shared" si="65"/>
        <v>9823.56</v>
      </c>
      <c r="AA608" s="318">
        <f t="shared" si="66"/>
        <v>9952.0134159939989</v>
      </c>
      <c r="AB608" s="536">
        <f t="shared" si="64"/>
        <v>101.30760555230486</v>
      </c>
      <c r="AC608" s="318">
        <f t="shared" si="67"/>
        <v>50.045730155783673</v>
      </c>
      <c r="AD608" s="318">
        <f>(Z608/Y608)</f>
        <v>49.399709321183188</v>
      </c>
      <c r="AH608" s="25"/>
    </row>
    <row r="609" spans="23:37" x14ac:dyDescent="0.25">
      <c r="W609">
        <v>100</v>
      </c>
      <c r="X609" s="606">
        <f t="shared" si="65"/>
        <v>44682</v>
      </c>
      <c r="Y609" s="318">
        <f t="shared" si="65"/>
        <v>265.41000000000003</v>
      </c>
      <c r="Z609" s="318">
        <f t="shared" si="65"/>
        <v>10503.89</v>
      </c>
      <c r="AA609" s="318">
        <f t="shared" si="66"/>
        <v>10585.642069</v>
      </c>
      <c r="AB609" s="536">
        <f t="shared" si="64"/>
        <v>100.77830279068041</v>
      </c>
      <c r="AC609" s="318">
        <f t="shared" si="67"/>
        <v>39.884171746694633</v>
      </c>
      <c r="AD609" s="318">
        <f t="shared" ref="AD609:AD622" si="68">(Z609/Y609)</f>
        <v>39.576089823292257</v>
      </c>
      <c r="AH609" s="25"/>
    </row>
    <row r="610" spans="23:37" x14ac:dyDescent="0.25">
      <c r="W610">
        <v>100</v>
      </c>
      <c r="X610" s="606">
        <f t="shared" si="65"/>
        <v>44713</v>
      </c>
      <c r="Y610" s="318">
        <f t="shared" si="65"/>
        <v>188.35893999999999</v>
      </c>
      <c r="Z610" s="318">
        <f t="shared" si="65"/>
        <v>9931.33</v>
      </c>
      <c r="AA610" s="318">
        <f t="shared" si="66"/>
        <v>9852.0466318460003</v>
      </c>
      <c r="AB610" s="536">
        <f t="shared" si="64"/>
        <v>99.201684284441257</v>
      </c>
      <c r="AC610" s="318">
        <f t="shared" si="67"/>
        <v>52.304709581391329</v>
      </c>
      <c r="AD610" s="318">
        <f t="shared" si="68"/>
        <v>52.725556854376016</v>
      </c>
      <c r="AH610" s="25"/>
    </row>
    <row r="611" spans="23:37" x14ac:dyDescent="0.25">
      <c r="W611">
        <v>100</v>
      </c>
      <c r="X611" s="606">
        <f t="shared" si="65"/>
        <v>44743</v>
      </c>
      <c r="Y611" s="318">
        <f t="shared" si="65"/>
        <v>177.69752000000003</v>
      </c>
      <c r="Z611" s="318">
        <f t="shared" si="65"/>
        <v>9668.73</v>
      </c>
      <c r="AA611" s="318">
        <f t="shared" si="66"/>
        <v>9750.5403181679994</v>
      </c>
      <c r="AB611" s="536">
        <f t="shared" si="64"/>
        <v>100.84613303058416</v>
      </c>
      <c r="AC611" s="318">
        <f t="shared" si="67"/>
        <v>54.871632053912627</v>
      </c>
      <c r="AD611" s="318">
        <f t="shared" si="68"/>
        <v>54.41117017277449</v>
      </c>
      <c r="AH611" s="25"/>
    </row>
    <row r="612" spans="23:37" x14ac:dyDescent="0.25">
      <c r="W612">
        <v>100</v>
      </c>
      <c r="X612" s="606">
        <f t="shared" si="65"/>
        <v>44774</v>
      </c>
      <c r="Y612" s="318">
        <f t="shared" si="65"/>
        <v>190.06218000000001</v>
      </c>
      <c r="Z612" s="318">
        <f t="shared" si="65"/>
        <v>9498.1299999999992</v>
      </c>
      <c r="AA612" s="318">
        <f t="shared" si="66"/>
        <v>9868.2630095620007</v>
      </c>
      <c r="AB612" s="536">
        <f t="shared" si="64"/>
        <v>103.89690401754874</v>
      </c>
      <c r="AC612" s="318">
        <f t="shared" si="67"/>
        <v>51.921303313978193</v>
      </c>
      <c r="AD612" s="318">
        <f t="shared" si="68"/>
        <v>49.973803310053576</v>
      </c>
      <c r="AH612" s="25"/>
    </row>
    <row r="613" spans="23:37" x14ac:dyDescent="0.25">
      <c r="W613">
        <v>100</v>
      </c>
      <c r="X613" s="606">
        <f t="shared" si="65"/>
        <v>44805</v>
      </c>
      <c r="Y613" s="318">
        <f t="shared" si="65"/>
        <v>118.91</v>
      </c>
      <c r="Z613" s="318">
        <f t="shared" si="65"/>
        <v>9284.99</v>
      </c>
      <c r="AA613" s="318">
        <f t="shared" si="66"/>
        <v>9190.8302189999995</v>
      </c>
      <c r="AB613" s="536">
        <f t="shared" si="64"/>
        <v>98.985892488844897</v>
      </c>
      <c r="AC613" s="318">
        <f t="shared" si="67"/>
        <v>77.292411049142672</v>
      </c>
      <c r="AD613" s="318">
        <f t="shared" si="68"/>
        <v>78.084181313598521</v>
      </c>
      <c r="AH613" s="25"/>
    </row>
    <row r="614" spans="23:37" x14ac:dyDescent="0.25">
      <c r="W614">
        <v>100</v>
      </c>
      <c r="X614" s="606">
        <f t="shared" si="65"/>
        <v>44835</v>
      </c>
      <c r="Y614" s="318">
        <f t="shared" si="65"/>
        <v>112</v>
      </c>
      <c r="Z614" s="318">
        <f t="shared" si="65"/>
        <v>9045.56</v>
      </c>
      <c r="AA614" s="318">
        <f t="shared" si="66"/>
        <v>9125.0407999999989</v>
      </c>
      <c r="AB614" s="536">
        <f t="shared" si="64"/>
        <v>100.87867196724139</v>
      </c>
      <c r="AC614" s="318">
        <f t="shared" si="67"/>
        <v>81.473668891746613</v>
      </c>
      <c r="AD614" s="318">
        <f t="shared" si="68"/>
        <v>80.763928571428565</v>
      </c>
      <c r="AH614" s="25"/>
    </row>
    <row r="615" spans="23:37" x14ac:dyDescent="0.25">
      <c r="W615">
        <v>100</v>
      </c>
      <c r="X615" s="606">
        <f t="shared" si="65"/>
        <v>44866</v>
      </c>
      <c r="Y615" s="318">
        <f t="shared" si="65"/>
        <v>151.82552000000001</v>
      </c>
      <c r="Z615" s="318">
        <f t="shared" si="65"/>
        <v>9676.81</v>
      </c>
      <c r="AA615" s="318">
        <f t="shared" si="66"/>
        <v>9504.2155933680006</v>
      </c>
      <c r="AB615" s="536">
        <f t="shared" si="64"/>
        <v>98.216412158221573</v>
      </c>
      <c r="AC615" s="318">
        <f t="shared" si="67"/>
        <v>62.599668520199103</v>
      </c>
      <c r="AD615" s="318">
        <f t="shared" si="68"/>
        <v>63.736386346643165</v>
      </c>
      <c r="AH615" s="25"/>
    </row>
    <row r="616" spans="23:37" x14ac:dyDescent="0.25">
      <c r="W616">
        <v>100</v>
      </c>
      <c r="X616" s="606">
        <f t="shared" si="65"/>
        <v>44896</v>
      </c>
      <c r="Y616" s="318">
        <f t="shared" si="65"/>
        <v>41.00712</v>
      </c>
      <c r="Z616" s="318">
        <f t="shared" si="65"/>
        <v>8577.93</v>
      </c>
      <c r="AA616" s="318">
        <f t="shared" si="66"/>
        <v>8449.1246888080004</v>
      </c>
      <c r="AB616" s="536">
        <f t="shared" si="64"/>
        <v>98.49841032519501</v>
      </c>
      <c r="AC616" s="318">
        <f t="shared" si="67"/>
        <v>206.04061204166084</v>
      </c>
      <c r="AD616" s="318">
        <f t="shared" si="68"/>
        <v>209.18147872857202</v>
      </c>
      <c r="AH616" s="25"/>
    </row>
    <row r="617" spans="23:37" x14ac:dyDescent="0.25">
      <c r="W617">
        <v>100</v>
      </c>
      <c r="X617" s="606">
        <f t="shared" si="65"/>
        <v>44927</v>
      </c>
      <c r="Y617" s="318">
        <f t="shared" si="65"/>
        <v>81.25</v>
      </c>
      <c r="Z617" s="318">
        <f t="shared" si="65"/>
        <v>8475</v>
      </c>
      <c r="AA617" s="318">
        <f t="shared" si="66"/>
        <v>8832.2731249999997</v>
      </c>
      <c r="AB617" s="536">
        <f t="shared" si="64"/>
        <v>104.21561209439527</v>
      </c>
      <c r="AC617" s="318">
        <f t="shared" si="67"/>
        <v>108.70501009975119</v>
      </c>
      <c r="AD617" s="318">
        <f t="shared" si="68"/>
        <v>104.30769230769231</v>
      </c>
      <c r="AH617" s="25"/>
    </row>
    <row r="618" spans="23:37" x14ac:dyDescent="0.25">
      <c r="W618">
        <v>100</v>
      </c>
      <c r="X618" s="606">
        <f t="shared" si="65"/>
        <v>44958</v>
      </c>
      <c r="Y618" s="318">
        <f t="shared" si="65"/>
        <v>104.56</v>
      </c>
      <c r="Z618" s="318">
        <f t="shared" si="65"/>
        <v>8802.64</v>
      </c>
      <c r="AA618" s="318">
        <f t="shared" si="66"/>
        <v>9054.2053039999992</v>
      </c>
      <c r="AB618" s="536">
        <f t="shared" si="64"/>
        <v>102.85783928457826</v>
      </c>
      <c r="AC618" s="318">
        <f t="shared" si="67"/>
        <v>86.593488300757116</v>
      </c>
      <c r="AD618" s="318">
        <f t="shared" si="68"/>
        <v>84.187452180566169</v>
      </c>
      <c r="AH618" s="25"/>
      <c r="AI618" s="689" t="s">
        <v>899</v>
      </c>
      <c r="AJ618" s="689"/>
    </row>
    <row r="619" spans="23:37" x14ac:dyDescent="0.25">
      <c r="W619">
        <v>100</v>
      </c>
      <c r="X619" s="606">
        <f t="shared" si="65"/>
        <v>44986</v>
      </c>
      <c r="Y619" s="318">
        <f t="shared" si="65"/>
        <v>117.89</v>
      </c>
      <c r="Z619" s="318">
        <f t="shared" si="65"/>
        <v>9633.16</v>
      </c>
      <c r="AA619" s="318">
        <f t="shared" si="66"/>
        <v>9181.1189009999998</v>
      </c>
      <c r="AB619" s="536">
        <f t="shared" si="64"/>
        <v>95.307447410818469</v>
      </c>
      <c r="AC619" s="318">
        <f t="shared" si="67"/>
        <v>77.878778870428491</v>
      </c>
      <c r="AD619" s="318">
        <f t="shared" si="68"/>
        <v>81.713122402239378</v>
      </c>
      <c r="AH619" s="25"/>
      <c r="AI619" s="32"/>
    </row>
    <row r="620" spans="23:37" x14ac:dyDescent="0.25">
      <c r="W620">
        <v>100</v>
      </c>
      <c r="X620" s="606">
        <f t="shared" si="65"/>
        <v>45017</v>
      </c>
      <c r="Y620" s="318">
        <f t="shared" si="65"/>
        <v>214.56</v>
      </c>
      <c r="Z620" s="318">
        <f t="shared" si="65"/>
        <v>9796.5</v>
      </c>
      <c r="AA620" s="318">
        <f t="shared" si="66"/>
        <v>10101.504304</v>
      </c>
      <c r="AB620" s="536">
        <f t="shared" si="64"/>
        <v>103.11340074516409</v>
      </c>
      <c r="AC620" s="318">
        <f t="shared" si="67"/>
        <v>47.080156240966929</v>
      </c>
      <c r="AD620" s="318">
        <f t="shared" si="68"/>
        <v>45.658557046979865</v>
      </c>
      <c r="AH620" s="25"/>
    </row>
    <row r="621" spans="23:37" x14ac:dyDescent="0.25">
      <c r="W621">
        <v>100</v>
      </c>
      <c r="X621" s="606">
        <f t="shared" si="65"/>
        <v>45047</v>
      </c>
      <c r="Y621" s="318">
        <f t="shared" si="65"/>
        <v>314.16000000000003</v>
      </c>
      <c r="Z621" s="318">
        <f t="shared" si="65"/>
        <v>11503.69</v>
      </c>
      <c r="AA621" s="318">
        <f t="shared" si="66"/>
        <v>11049.785943999999</v>
      </c>
      <c r="AB621" s="536">
        <f t="shared" si="64"/>
        <v>96.054274271994458</v>
      </c>
      <c r="AC621" s="318">
        <f t="shared" si="67"/>
        <v>35.172535502920951</v>
      </c>
      <c r="AD621" s="318">
        <f t="shared" si="68"/>
        <v>36.617296918767508</v>
      </c>
      <c r="AH621" s="25"/>
      <c r="AK621" t="s">
        <v>900</v>
      </c>
    </row>
    <row r="622" spans="23:37" x14ac:dyDescent="0.25">
      <c r="W622">
        <v>100</v>
      </c>
      <c r="X622" s="606">
        <f t="shared" si="65"/>
        <v>45078</v>
      </c>
      <c r="Y622" s="318">
        <f t="shared" si="65"/>
        <v>199.52</v>
      </c>
      <c r="Z622" s="318">
        <f t="shared" si="65"/>
        <v>9636.34</v>
      </c>
      <c r="AA622" s="318">
        <f t="shared" si="66"/>
        <v>9958.3099679999996</v>
      </c>
      <c r="AB622" s="536">
        <f t="shared" si="64"/>
        <v>103.34120597654295</v>
      </c>
      <c r="AC622" s="318">
        <f t="shared" si="67"/>
        <v>49.9114044440444</v>
      </c>
      <c r="AD622" s="318">
        <f t="shared" si="68"/>
        <v>48.297614274258216</v>
      </c>
      <c r="AH622" s="25"/>
    </row>
    <row r="623" spans="23:37" x14ac:dyDescent="0.25">
      <c r="W623">
        <v>100</v>
      </c>
      <c r="X623" s="606">
        <f t="shared" si="65"/>
        <v>45108</v>
      </c>
      <c r="Y623" s="318">
        <f t="shared" si="65"/>
        <v>212.12</v>
      </c>
      <c r="Z623" s="318">
        <f t="shared" si="65"/>
        <v>10051.65</v>
      </c>
      <c r="AA623" s="318">
        <f t="shared" si="66"/>
        <v>10078.273308</v>
      </c>
      <c r="AB623" s="536">
        <f t="shared" si="64"/>
        <v>100.26486505200639</v>
      </c>
      <c r="AC623" s="318">
        <f t="shared" ref="AC623:AC628" si="69">$AH$506+($AI$506/Y623)</f>
        <v>47.512197030932249</v>
      </c>
      <c r="AD623" s="318">
        <f t="shared" ref="AD623:AD628" si="70">(Z623/Y623)</f>
        <v>47.386620780690173</v>
      </c>
      <c r="AH623" s="25"/>
    </row>
    <row r="624" spans="23:37" x14ac:dyDescent="0.25">
      <c r="W624">
        <v>100</v>
      </c>
      <c r="X624" s="606">
        <f t="shared" si="65"/>
        <v>45139</v>
      </c>
      <c r="Y624" s="318">
        <f t="shared" si="65"/>
        <v>112.32</v>
      </c>
      <c r="Z624" s="318">
        <f t="shared" si="65"/>
        <v>8620.61</v>
      </c>
      <c r="AA624" s="318">
        <f t="shared" si="66"/>
        <v>9128.0874879999992</v>
      </c>
      <c r="AB624" s="536">
        <f t="shared" si="64"/>
        <v>105.88679325476966</v>
      </c>
      <c r="AC624" s="318">
        <f t="shared" si="69"/>
        <v>81.268675356606565</v>
      </c>
      <c r="AD624" s="318">
        <f t="shared" si="70"/>
        <v>76.750445156695164</v>
      </c>
      <c r="AH624" s="25"/>
    </row>
    <row r="625" spans="22:40" x14ac:dyDescent="0.25">
      <c r="W625">
        <v>100</v>
      </c>
      <c r="X625" s="606">
        <f t="shared" si="65"/>
        <v>45170</v>
      </c>
      <c r="Y625" s="318">
        <f t="shared" si="65"/>
        <v>81.5</v>
      </c>
      <c r="Z625" s="318">
        <f t="shared" si="65"/>
        <v>9013.66</v>
      </c>
      <c r="AA625" s="318">
        <f t="shared" si="66"/>
        <v>8834.6533500000005</v>
      </c>
      <c r="AB625" s="536">
        <f t="shared" si="64"/>
        <v>98.014051450798021</v>
      </c>
      <c r="AC625" s="318">
        <f t="shared" si="69"/>
        <v>108.40076447998996</v>
      </c>
      <c r="AD625" s="318">
        <f t="shared" si="70"/>
        <v>110.59705521472392</v>
      </c>
      <c r="AH625" s="25"/>
    </row>
    <row r="626" spans="22:40" x14ac:dyDescent="0.25">
      <c r="W626">
        <v>100</v>
      </c>
      <c r="X626" s="606">
        <f t="shared" si="65"/>
        <v>45200</v>
      </c>
      <c r="Y626" s="318">
        <f t="shared" si="65"/>
        <v>70.14</v>
      </c>
      <c r="Z626" s="318">
        <f t="shared" si="65"/>
        <v>9003.9</v>
      </c>
      <c r="AA626" s="318">
        <f t="shared" si="66"/>
        <v>8726.4959259999996</v>
      </c>
      <c r="AB626" s="536">
        <f t="shared" si="64"/>
        <v>96.919067581825658</v>
      </c>
      <c r="AC626" s="318">
        <f t="shared" si="69"/>
        <v>124.41551823189307</v>
      </c>
      <c r="AD626" s="318">
        <f t="shared" si="70"/>
        <v>128.37040205303677</v>
      </c>
      <c r="AH626" s="25"/>
      <c r="AI626" t="s">
        <v>901</v>
      </c>
    </row>
    <row r="627" spans="22:40" x14ac:dyDescent="0.25">
      <c r="W627">
        <v>100</v>
      </c>
      <c r="X627" s="606">
        <f>X96</f>
        <v>45231</v>
      </c>
      <c r="Y627" s="318">
        <f>Y96</f>
        <v>181.45</v>
      </c>
      <c r="Z627" s="318">
        <f>Z96</f>
        <v>10060.049999999999</v>
      </c>
      <c r="AA627" s="318">
        <f t="shared" si="66"/>
        <v>9786.2673049999994</v>
      </c>
      <c r="AB627" s="536">
        <f t="shared" si="64"/>
        <v>97.278515564037946</v>
      </c>
      <c r="AC627" s="318">
        <f t="shared" si="69"/>
        <v>53.933756208184739</v>
      </c>
      <c r="AD627" s="318">
        <f t="shared" si="70"/>
        <v>55.442546155965829</v>
      </c>
      <c r="AH627" s="25"/>
    </row>
    <row r="628" spans="22:40" x14ac:dyDescent="0.25">
      <c r="W628">
        <v>100</v>
      </c>
      <c r="X628" s="606">
        <f t="shared" si="65"/>
        <v>45261</v>
      </c>
      <c r="Y628" s="318">
        <f>Y97</f>
        <v>59.85</v>
      </c>
      <c r="Z628" s="318">
        <f>Z97</f>
        <v>8468.25</v>
      </c>
      <c r="AA628" s="318">
        <f t="shared" si="66"/>
        <v>8628.5258649999996</v>
      </c>
      <c r="AB628" s="536">
        <f t="shared" si="64"/>
        <v>101.8926680837245</v>
      </c>
      <c r="AC628" s="318">
        <f t="shared" si="69"/>
        <v>144.16932324431744</v>
      </c>
      <c r="AD628" s="318">
        <f t="shared" si="70"/>
        <v>141.49122807017542</v>
      </c>
      <c r="AH628" s="25"/>
      <c r="AI628" t="s">
        <v>902</v>
      </c>
    </row>
    <row r="629" spans="22:40" x14ac:dyDescent="0.25">
      <c r="X629" s="483" t="s">
        <v>865</v>
      </c>
      <c r="Y629" s="566">
        <f>MAX(Y605:Y628)</f>
        <v>314.16000000000003</v>
      </c>
      <c r="AB629" s="1" t="s">
        <v>868</v>
      </c>
      <c r="AC629" s="318">
        <f>AVERAGE(AC605:AC628)</f>
        <v>80.81004161158998</v>
      </c>
      <c r="AD629" s="318">
        <f>AVERAGE(AD605:AD628)</f>
        <v>81.275505498440893</v>
      </c>
      <c r="AH629" s="25"/>
    </row>
    <row r="630" spans="22:40" x14ac:dyDescent="0.25">
      <c r="X630" s="483" t="s">
        <v>866</v>
      </c>
      <c r="Y630" s="566">
        <f>MIN(Y605:Y628)</f>
        <v>41.00712</v>
      </c>
      <c r="AI630" t="s">
        <v>903</v>
      </c>
    </row>
    <row r="631" spans="22:40" x14ac:dyDescent="0.25">
      <c r="X631" s="483" t="s">
        <v>867</v>
      </c>
      <c r="Y631" s="53">
        <f>Y629-Y630</f>
        <v>273.15288000000004</v>
      </c>
      <c r="AI631" t="s">
        <v>904</v>
      </c>
    </row>
    <row r="632" spans="22:40" x14ac:dyDescent="0.25">
      <c r="Y632" s="297">
        <f>AVERAGE(Y605:Y628)</f>
        <v>144.58064083333332</v>
      </c>
      <c r="AD632" s="276"/>
      <c r="AE632" s="276"/>
      <c r="AI632" s="16" t="s">
        <v>905</v>
      </c>
    </row>
    <row r="633" spans="22:40" x14ac:dyDescent="0.25">
      <c r="AA633" s="1"/>
      <c r="AM633" s="276"/>
    </row>
    <row r="634" spans="22:40" x14ac:dyDescent="0.25">
      <c r="AJ634" s="539"/>
      <c r="AM634" s="276"/>
    </row>
    <row r="635" spans="22:40" x14ac:dyDescent="0.25">
      <c r="AJ635" s="276"/>
      <c r="AM635" s="276"/>
      <c r="AN635" s="540"/>
    </row>
    <row r="636" spans="22:40" x14ac:dyDescent="0.25">
      <c r="AE636" s="538" t="s">
        <v>875</v>
      </c>
    </row>
    <row r="637" spans="22:40" ht="30" x14ac:dyDescent="0.25">
      <c r="X637" s="183" t="s">
        <v>3</v>
      </c>
      <c r="Y637" s="45" t="s">
        <v>1046</v>
      </c>
      <c r="Z637" s="45" t="s">
        <v>645</v>
      </c>
      <c r="AA637" s="45" t="s">
        <v>869</v>
      </c>
      <c r="AB637" s="45" t="s">
        <v>858</v>
      </c>
      <c r="AC637" s="45" t="s">
        <v>859</v>
      </c>
      <c r="AD637" s="45" t="s">
        <v>860</v>
      </c>
      <c r="AE637" s="45" t="s">
        <v>874</v>
      </c>
      <c r="AF637" s="45" t="s">
        <v>873</v>
      </c>
    </row>
    <row r="638" spans="22:40" x14ac:dyDescent="0.25">
      <c r="V638">
        <v>1</v>
      </c>
      <c r="W638">
        <f>IF(AB638&gt;=100,1,0)</f>
        <v>0</v>
      </c>
      <c r="X638" s="606">
        <v>44896</v>
      </c>
      <c r="Y638" s="318">
        <v>41.00712</v>
      </c>
      <c r="Z638" s="183">
        <v>8577.93</v>
      </c>
      <c r="AA638" s="318">
        <v>8449.1246888080004</v>
      </c>
      <c r="AB638" s="536">
        <f t="shared" ref="AB638:AB661" si="71">(AA638/Z638)*100</f>
        <v>98.49841032519501</v>
      </c>
      <c r="AC638" s="318">
        <f t="shared" ref="AC638:AC661" si="72">$AH$506+($AI$506/Y638)</f>
        <v>206.04061204166084</v>
      </c>
      <c r="AD638" s="318">
        <f t="shared" ref="AD638:AD661" si="73">(Z638/Y638)</f>
        <v>209.18147872857202</v>
      </c>
      <c r="AE638" s="607">
        <f t="shared" ref="AE638:AE661" si="74">-$AI$506/Y638^2</f>
        <v>-4.7923305509890151</v>
      </c>
      <c r="AF638" s="607">
        <f>AE638</f>
        <v>-4.7923305509890151</v>
      </c>
      <c r="AJ638" s="276"/>
      <c r="AK638" s="689" t="s">
        <v>906</v>
      </c>
      <c r="AL638" s="689"/>
      <c r="AM638" s="689"/>
      <c r="AN638" s="689"/>
    </row>
    <row r="639" spans="22:40" x14ac:dyDescent="0.25">
      <c r="V639">
        <v>2</v>
      </c>
      <c r="W639">
        <f t="shared" ref="W639:W661" si="75">IF(AB639&gt;=100,1,0)</f>
        <v>1</v>
      </c>
      <c r="X639" s="606">
        <v>45261</v>
      </c>
      <c r="Y639" s="318">
        <v>59.85</v>
      </c>
      <c r="Z639" s="183">
        <v>8468.25</v>
      </c>
      <c r="AA639" s="318">
        <v>8628.5258649999996</v>
      </c>
      <c r="AB639" s="536">
        <f t="shared" si="71"/>
        <v>101.8926680837245</v>
      </c>
      <c r="AC639" s="318">
        <f t="shared" si="72"/>
        <v>144.16932324431744</v>
      </c>
      <c r="AD639" s="318">
        <f t="shared" si="73"/>
        <v>141.49122807017542</v>
      </c>
      <c r="AE639" s="607">
        <f t="shared" si="74"/>
        <v>-2.2497641635209567</v>
      </c>
      <c r="AF639" s="607">
        <f>AF638+AE639</f>
        <v>-7.0420947145099717</v>
      </c>
      <c r="AJ639" s="276"/>
      <c r="AM639" s="541"/>
      <c r="AN639" s="541"/>
    </row>
    <row r="640" spans="22:40" x14ac:dyDescent="0.25">
      <c r="V640">
        <v>3</v>
      </c>
      <c r="W640">
        <f t="shared" si="75"/>
        <v>0</v>
      </c>
      <c r="X640" s="606">
        <v>45200</v>
      </c>
      <c r="Y640" s="318">
        <v>70.14</v>
      </c>
      <c r="Z640" s="183">
        <v>9003.9</v>
      </c>
      <c r="AA640" s="318">
        <v>8726.4959259999996</v>
      </c>
      <c r="AB640" s="536">
        <f t="shared" si="71"/>
        <v>96.919067581825658</v>
      </c>
      <c r="AC640" s="318">
        <f t="shared" si="72"/>
        <v>124.41551823189307</v>
      </c>
      <c r="AD640" s="318">
        <f t="shared" si="73"/>
        <v>128.37040205303677</v>
      </c>
      <c r="AE640" s="607">
        <f t="shared" si="74"/>
        <v>-1.6380749953564999</v>
      </c>
      <c r="AF640" s="607">
        <f t="shared" ref="AF640:AF661" si="76">AF639+AE640</f>
        <v>-8.6801697098664725</v>
      </c>
      <c r="AJ640" s="276"/>
      <c r="AL640" t="s">
        <v>907</v>
      </c>
      <c r="AM640" s="541"/>
      <c r="AN640" s="541"/>
    </row>
    <row r="641" spans="22:41" x14ac:dyDescent="0.25">
      <c r="V641">
        <v>4</v>
      </c>
      <c r="W641">
        <f t="shared" si="75"/>
        <v>1</v>
      </c>
      <c r="X641" s="606">
        <v>44562</v>
      </c>
      <c r="Y641" s="318">
        <v>72.344580000000008</v>
      </c>
      <c r="Z641" s="183">
        <v>8674.83</v>
      </c>
      <c r="AA641" s="318">
        <v>8747.4855117219995</v>
      </c>
      <c r="AB641" s="536">
        <f t="shared" si="71"/>
        <v>100.83754392561006</v>
      </c>
      <c r="AC641" s="318">
        <f t="shared" si="72"/>
        <v>120.91429818803256</v>
      </c>
      <c r="AD641" s="318">
        <f t="shared" si="73"/>
        <v>119.90988129311137</v>
      </c>
      <c r="AE641" s="607">
        <f t="shared" si="74"/>
        <v>-1.5397609624721629</v>
      </c>
      <c r="AF641" s="607">
        <f t="shared" si="76"/>
        <v>-10.219930672338636</v>
      </c>
      <c r="AJ641" s="276"/>
      <c r="AL641" t="s">
        <v>908</v>
      </c>
      <c r="AM641" s="541"/>
      <c r="AN641" s="541"/>
    </row>
    <row r="642" spans="22:41" x14ac:dyDescent="0.25">
      <c r="V642">
        <v>5</v>
      </c>
      <c r="W642">
        <f t="shared" si="75"/>
        <v>1</v>
      </c>
      <c r="X642" s="606">
        <v>44927</v>
      </c>
      <c r="Y642" s="318">
        <v>81.25</v>
      </c>
      <c r="Z642" s="318">
        <v>8475</v>
      </c>
      <c r="AA642" s="318">
        <v>8832.2731249999997</v>
      </c>
      <c r="AB642" s="536">
        <f t="shared" si="71"/>
        <v>104.21561209439527</v>
      </c>
      <c r="AC642" s="318">
        <f t="shared" si="72"/>
        <v>108.70501009975119</v>
      </c>
      <c r="AD642" s="318">
        <f t="shared" si="73"/>
        <v>104.30769230769231</v>
      </c>
      <c r="AE642" s="607">
        <f t="shared" si="74"/>
        <v>-1.2207270405189294</v>
      </c>
      <c r="AF642" s="607">
        <f t="shared" si="76"/>
        <v>-11.440657712857565</v>
      </c>
      <c r="AJ642" s="276"/>
      <c r="AM642" s="541"/>
      <c r="AN642" s="541"/>
    </row>
    <row r="643" spans="22:41" x14ac:dyDescent="0.25">
      <c r="V643">
        <v>6</v>
      </c>
      <c r="W643">
        <f t="shared" si="75"/>
        <v>0</v>
      </c>
      <c r="X643" s="606">
        <v>45170</v>
      </c>
      <c r="Y643" s="318">
        <v>81.5</v>
      </c>
      <c r="Z643" s="183">
        <v>9013.66</v>
      </c>
      <c r="AA643" s="318">
        <v>8834.6533500000005</v>
      </c>
      <c r="AB643" s="536">
        <f t="shared" si="71"/>
        <v>98.014051450798021</v>
      </c>
      <c r="AC643" s="318">
        <f t="shared" si="72"/>
        <v>108.40076447998996</v>
      </c>
      <c r="AD643" s="318">
        <f t="shared" si="73"/>
        <v>110.59705521472392</v>
      </c>
      <c r="AE643" s="607">
        <f t="shared" si="74"/>
        <v>-1.2132494039558501</v>
      </c>
      <c r="AF643" s="607">
        <f t="shared" si="76"/>
        <v>-12.653907116813414</v>
      </c>
      <c r="AJ643" s="276"/>
      <c r="AK643" t="s">
        <v>909</v>
      </c>
      <c r="AM643" s="541"/>
      <c r="AN643" s="541"/>
    </row>
    <row r="644" spans="22:41" x14ac:dyDescent="0.25">
      <c r="V644">
        <v>7</v>
      </c>
      <c r="W644">
        <f t="shared" si="75"/>
        <v>0</v>
      </c>
      <c r="X644" s="606">
        <v>44593</v>
      </c>
      <c r="Y644" s="318">
        <v>99.44550000000001</v>
      </c>
      <c r="Z644" s="183">
        <v>9893.1200000000008</v>
      </c>
      <c r="AA644" s="318">
        <v>9005.5106609499999</v>
      </c>
      <c r="AB644" s="536">
        <f t="shared" si="71"/>
        <v>91.0280140233819</v>
      </c>
      <c r="AC644" s="318">
        <f t="shared" si="72"/>
        <v>90.55734345980089</v>
      </c>
      <c r="AD644" s="318">
        <f t="shared" si="73"/>
        <v>99.48283230513195</v>
      </c>
      <c r="AE644" s="607">
        <f t="shared" si="74"/>
        <v>-0.81488257791667507</v>
      </c>
      <c r="AF644" s="607">
        <f t="shared" si="76"/>
        <v>-13.46878969473009</v>
      </c>
      <c r="AJ644" s="276"/>
      <c r="AM644" s="541"/>
      <c r="AN644" s="541"/>
    </row>
    <row r="645" spans="22:41" x14ac:dyDescent="0.25">
      <c r="V645">
        <v>8</v>
      </c>
      <c r="W645">
        <f t="shared" si="75"/>
        <v>1</v>
      </c>
      <c r="X645" s="606">
        <v>44958</v>
      </c>
      <c r="Y645" s="318">
        <v>104.56</v>
      </c>
      <c r="Z645" s="183">
        <v>8802.64</v>
      </c>
      <c r="AA645" s="318">
        <v>9054.2053039999992</v>
      </c>
      <c r="AB645" s="536">
        <f t="shared" si="71"/>
        <v>102.85783928457826</v>
      </c>
      <c r="AC645" s="318">
        <f t="shared" si="72"/>
        <v>86.593488300757116</v>
      </c>
      <c r="AD645" s="318">
        <f t="shared" si="73"/>
        <v>84.187452180566169</v>
      </c>
      <c r="AE645" s="607">
        <f t="shared" si="74"/>
        <v>-0.73711314310605347</v>
      </c>
      <c r="AF645" s="607">
        <f t="shared" si="76"/>
        <v>-14.205902837836144</v>
      </c>
      <c r="AJ645" s="276"/>
      <c r="AK645" t="s">
        <v>910</v>
      </c>
      <c r="AM645" s="541"/>
      <c r="AN645" s="541"/>
    </row>
    <row r="646" spans="22:41" x14ac:dyDescent="0.25">
      <c r="V646">
        <v>9</v>
      </c>
      <c r="W646">
        <f t="shared" si="75"/>
        <v>0</v>
      </c>
      <c r="X646" s="606">
        <v>44621</v>
      </c>
      <c r="Y646" s="318">
        <v>104.69536000000001</v>
      </c>
      <c r="Z646" s="183">
        <v>9689.25</v>
      </c>
      <c r="AA646" s="318">
        <v>9055.4940530240001</v>
      </c>
      <c r="AB646" s="536">
        <f t="shared" si="71"/>
        <v>93.459184694625492</v>
      </c>
      <c r="AC646" s="318">
        <f t="shared" si="72"/>
        <v>86.493841665023538</v>
      </c>
      <c r="AD646" s="318">
        <f t="shared" si="73"/>
        <v>92.547081360625711</v>
      </c>
      <c r="AE646" s="607">
        <f t="shared" si="74"/>
        <v>-0.73520835696477249</v>
      </c>
      <c r="AF646" s="607">
        <f t="shared" si="76"/>
        <v>-14.941111194800916</v>
      </c>
      <c r="AJ646" s="276"/>
      <c r="AM646" s="541"/>
      <c r="AN646" s="541"/>
    </row>
    <row r="647" spans="22:41" x14ac:dyDescent="0.25">
      <c r="V647">
        <v>10</v>
      </c>
      <c r="W647">
        <f t="shared" si="75"/>
        <v>1</v>
      </c>
      <c r="X647" s="606">
        <v>44835</v>
      </c>
      <c r="Y647" s="318">
        <v>112</v>
      </c>
      <c r="Z647" s="183">
        <v>9045.56</v>
      </c>
      <c r="AA647" s="318">
        <v>9125.0407999999989</v>
      </c>
      <c r="AB647" s="536">
        <f t="shared" si="71"/>
        <v>100.87867196724139</v>
      </c>
      <c r="AC647" s="318">
        <f t="shared" si="72"/>
        <v>81.473668891746613</v>
      </c>
      <c r="AD647" s="318">
        <f t="shared" si="73"/>
        <v>80.763928571428565</v>
      </c>
      <c r="AE647" s="607">
        <f t="shared" si="74"/>
        <v>-0.64243509673355759</v>
      </c>
      <c r="AF647" s="607">
        <f t="shared" si="76"/>
        <v>-15.583546291534473</v>
      </c>
      <c r="AJ647" s="276"/>
      <c r="AK647" t="s">
        <v>911</v>
      </c>
      <c r="AM647" s="541"/>
      <c r="AN647" s="541"/>
    </row>
    <row r="648" spans="22:41" x14ac:dyDescent="0.25">
      <c r="V648">
        <v>11</v>
      </c>
      <c r="W648">
        <f t="shared" si="75"/>
        <v>1</v>
      </c>
      <c r="X648" s="606">
        <v>45139</v>
      </c>
      <c r="Y648" s="318">
        <v>112.32</v>
      </c>
      <c r="Z648" s="183">
        <v>8620.61</v>
      </c>
      <c r="AA648" s="318">
        <v>9128.0874879999992</v>
      </c>
      <c r="AB648" s="536">
        <f t="shared" si="71"/>
        <v>105.88679325476966</v>
      </c>
      <c r="AC648" s="318">
        <f t="shared" si="72"/>
        <v>81.268675356606565</v>
      </c>
      <c r="AD648" s="318">
        <f t="shared" si="73"/>
        <v>76.750445156695164</v>
      </c>
      <c r="AE648" s="607">
        <f t="shared" si="74"/>
        <v>-0.63877971242003562</v>
      </c>
      <c r="AF648" s="607">
        <f t="shared" si="76"/>
        <v>-16.22232600395451</v>
      </c>
      <c r="AJ648" s="276"/>
      <c r="AM648" s="541"/>
      <c r="AN648" s="541"/>
    </row>
    <row r="649" spans="22:41" x14ac:dyDescent="0.25">
      <c r="V649">
        <v>12</v>
      </c>
      <c r="W649">
        <f t="shared" si="75"/>
        <v>0</v>
      </c>
      <c r="X649" s="606">
        <v>44986</v>
      </c>
      <c r="Y649" s="318">
        <v>117.89</v>
      </c>
      <c r="Z649" s="183">
        <v>9633.16</v>
      </c>
      <c r="AA649" s="318">
        <v>9181.1189009999998</v>
      </c>
      <c r="AB649" s="536">
        <f t="shared" si="71"/>
        <v>95.307447410818469</v>
      </c>
      <c r="AC649" s="318">
        <f t="shared" si="72"/>
        <v>77.878778870428491</v>
      </c>
      <c r="AD649" s="318">
        <f t="shared" si="73"/>
        <v>81.713122402239378</v>
      </c>
      <c r="AE649" s="607">
        <f t="shared" si="74"/>
        <v>-0.57984426849470116</v>
      </c>
      <c r="AF649" s="607">
        <f t="shared" si="76"/>
        <v>-16.80217027244921</v>
      </c>
      <c r="AJ649" s="276"/>
      <c r="AK649" t="s">
        <v>912</v>
      </c>
      <c r="AM649" s="541"/>
      <c r="AN649" s="541"/>
    </row>
    <row r="650" spans="22:41" x14ac:dyDescent="0.25">
      <c r="V650">
        <v>13</v>
      </c>
      <c r="W650">
        <f t="shared" si="75"/>
        <v>0</v>
      </c>
      <c r="X650" s="606">
        <v>44805</v>
      </c>
      <c r="Y650" s="543">
        <v>118.91</v>
      </c>
      <c r="Z650" s="542">
        <v>9284.99</v>
      </c>
      <c r="AA650" s="543">
        <v>9190.8302189999995</v>
      </c>
      <c r="AB650" s="544">
        <f t="shared" si="71"/>
        <v>98.985892488844897</v>
      </c>
      <c r="AC650" s="543">
        <f t="shared" si="72"/>
        <v>77.292411049142672</v>
      </c>
      <c r="AD650" s="543">
        <f t="shared" si="73"/>
        <v>78.084181313598521</v>
      </c>
      <c r="AE650" s="608">
        <f t="shared" si="74"/>
        <v>-0.56993922287069643</v>
      </c>
      <c r="AF650" s="608">
        <f t="shared" si="76"/>
        <v>-17.372109495319908</v>
      </c>
      <c r="AJ650" s="276"/>
      <c r="AM650" s="541"/>
      <c r="AN650" s="541"/>
    </row>
    <row r="651" spans="22:41" x14ac:dyDescent="0.25">
      <c r="V651">
        <v>14</v>
      </c>
      <c r="W651">
        <f t="shared" si="75"/>
        <v>0</v>
      </c>
      <c r="X651" s="606">
        <v>44866</v>
      </c>
      <c r="Y651" s="318">
        <v>151.82552000000001</v>
      </c>
      <c r="Z651" s="183">
        <v>9676.81</v>
      </c>
      <c r="AA651" s="318">
        <v>9504.2155933680006</v>
      </c>
      <c r="AB651" s="536">
        <f t="shared" si="71"/>
        <v>98.216412158221573</v>
      </c>
      <c r="AC651" s="318">
        <f t="shared" si="72"/>
        <v>62.599668520199103</v>
      </c>
      <c r="AD651" s="318">
        <f t="shared" si="73"/>
        <v>63.736386346643165</v>
      </c>
      <c r="AE651" s="607">
        <f t="shared" si="74"/>
        <v>-0.34960348209320097</v>
      </c>
      <c r="AF651" s="607">
        <f t="shared" si="76"/>
        <v>-17.721712977413109</v>
      </c>
      <c r="AJ651" s="276"/>
      <c r="AK651" s="655" t="s">
        <v>1138</v>
      </c>
      <c r="AL651" s="655"/>
      <c r="AM651" s="541"/>
      <c r="AN651" s="541" t="s">
        <v>913</v>
      </c>
    </row>
    <row r="652" spans="22:41" x14ac:dyDescent="0.25">
      <c r="V652">
        <v>15</v>
      </c>
      <c r="W652">
        <f t="shared" si="75"/>
        <v>1</v>
      </c>
      <c r="X652" s="606">
        <v>44743</v>
      </c>
      <c r="Y652" s="318">
        <v>177.69752000000003</v>
      </c>
      <c r="Z652" s="183">
        <v>9668.73</v>
      </c>
      <c r="AA652" s="318">
        <v>9750.5403181679994</v>
      </c>
      <c r="AB652" s="536">
        <f t="shared" si="71"/>
        <v>100.84613303058416</v>
      </c>
      <c r="AC652" s="318">
        <f t="shared" si="72"/>
        <v>54.871632053912627</v>
      </c>
      <c r="AD652" s="318">
        <f t="shared" si="73"/>
        <v>54.41117017277449</v>
      </c>
      <c r="AE652" s="607">
        <f t="shared" si="74"/>
        <v>-0.25521286957929662</v>
      </c>
      <c r="AF652" s="607">
        <f t="shared" si="76"/>
        <v>-17.976925846992405</v>
      </c>
      <c r="AJ652" s="276"/>
      <c r="AM652" s="541"/>
      <c r="AN652" s="541"/>
    </row>
    <row r="653" spans="22:41" x14ac:dyDescent="0.25">
      <c r="V653">
        <v>16</v>
      </c>
      <c r="W653">
        <f t="shared" si="75"/>
        <v>0</v>
      </c>
      <c r="X653" s="606">
        <v>45231</v>
      </c>
      <c r="Y653" s="318">
        <v>181.45</v>
      </c>
      <c r="Z653" s="183">
        <v>10060.050000000001</v>
      </c>
      <c r="AA653" s="318">
        <v>9786.2673049999994</v>
      </c>
      <c r="AB653" s="536">
        <f t="shared" si="71"/>
        <v>97.278515564037932</v>
      </c>
      <c r="AC653" s="318">
        <f t="shared" si="72"/>
        <v>53.933756208184739</v>
      </c>
      <c r="AD653" s="318">
        <f t="shared" si="73"/>
        <v>55.442546155965843</v>
      </c>
      <c r="AE653" s="607">
        <f t="shared" si="74"/>
        <v>-0.2447661512846325</v>
      </c>
      <c r="AF653" s="607">
        <f t="shared" si="76"/>
        <v>-18.221691998277038</v>
      </c>
      <c r="AJ653" s="276"/>
      <c r="AM653" s="541"/>
      <c r="AN653" s="541"/>
    </row>
    <row r="654" spans="22:41" x14ac:dyDescent="0.25">
      <c r="V654">
        <v>17</v>
      </c>
      <c r="W654">
        <f t="shared" si="75"/>
        <v>0</v>
      </c>
      <c r="X654" s="606">
        <v>44713</v>
      </c>
      <c r="Y654" s="318">
        <v>188.35893999999999</v>
      </c>
      <c r="Z654" s="183">
        <v>9931.33</v>
      </c>
      <c r="AA654" s="318">
        <v>9852.0466318460003</v>
      </c>
      <c r="AB654" s="536">
        <f t="shared" si="71"/>
        <v>99.201684284441257</v>
      </c>
      <c r="AC654" s="318">
        <f t="shared" si="72"/>
        <v>52.304709581391329</v>
      </c>
      <c r="AD654" s="318">
        <f t="shared" si="73"/>
        <v>52.725556854376016</v>
      </c>
      <c r="AE654" s="607">
        <f t="shared" si="74"/>
        <v>-0.22713958532471648</v>
      </c>
      <c r="AF654" s="607">
        <f t="shared" si="76"/>
        <v>-18.448831583601756</v>
      </c>
      <c r="AJ654" s="276"/>
      <c r="AM654" s="541"/>
      <c r="AN654" s="541"/>
    </row>
    <row r="655" spans="22:41" x14ac:dyDescent="0.25">
      <c r="V655">
        <v>18</v>
      </c>
      <c r="W655">
        <f t="shared" si="75"/>
        <v>1</v>
      </c>
      <c r="X655" s="606">
        <v>44774</v>
      </c>
      <c r="Y655" s="318">
        <v>190.06218000000001</v>
      </c>
      <c r="Z655" s="183">
        <v>9498.1299999999992</v>
      </c>
      <c r="AA655" s="318">
        <v>9868.2630095620007</v>
      </c>
      <c r="AB655" s="536">
        <f t="shared" si="71"/>
        <v>103.89690401754874</v>
      </c>
      <c r="AC655" s="318">
        <f t="shared" si="72"/>
        <v>51.921303313978193</v>
      </c>
      <c r="AD655" s="318">
        <f t="shared" si="73"/>
        <v>49.973803310053576</v>
      </c>
      <c r="AE655" s="607">
        <f t="shared" si="74"/>
        <v>-0.223086809045282</v>
      </c>
      <c r="AF655" s="607">
        <f t="shared" si="76"/>
        <v>-18.671918392647036</v>
      </c>
      <c r="AJ655" s="276"/>
      <c r="AM655" s="541"/>
      <c r="AN655" s="541"/>
    </row>
    <row r="656" spans="22:41" x14ac:dyDescent="0.25">
      <c r="V656">
        <v>19</v>
      </c>
      <c r="W656">
        <f t="shared" si="75"/>
        <v>1</v>
      </c>
      <c r="X656" s="606">
        <v>44652</v>
      </c>
      <c r="Y656" s="318">
        <v>198.85866000000001</v>
      </c>
      <c r="Z656" s="183">
        <v>9823.56</v>
      </c>
      <c r="AA656" s="318">
        <v>9952.0134159939989</v>
      </c>
      <c r="AB656" s="536">
        <f t="shared" si="71"/>
        <v>101.30760555230486</v>
      </c>
      <c r="AC656" s="318">
        <f t="shared" si="72"/>
        <v>50.045730155783673</v>
      </c>
      <c r="AD656" s="318">
        <f t="shared" si="73"/>
        <v>49.399709321183188</v>
      </c>
      <c r="AE656" s="607">
        <f t="shared" si="74"/>
        <v>-0.20378691125745038</v>
      </c>
      <c r="AF656" s="607">
        <f t="shared" si="76"/>
        <v>-18.875705303904486</v>
      </c>
      <c r="AJ656" s="276"/>
      <c r="AM656" s="541"/>
      <c r="AN656" s="689" t="s">
        <v>914</v>
      </c>
      <c r="AO656" s="689"/>
    </row>
    <row r="657" spans="19:40" x14ac:dyDescent="0.25">
      <c r="V657">
        <v>20</v>
      </c>
      <c r="W657">
        <f t="shared" si="75"/>
        <v>1</v>
      </c>
      <c r="X657" s="606">
        <v>45078</v>
      </c>
      <c r="Y657" s="318">
        <v>199.52</v>
      </c>
      <c r="Z657" s="183">
        <v>9636.34</v>
      </c>
      <c r="AA657" s="318">
        <v>9958.3099679999996</v>
      </c>
      <c r="AB657" s="536">
        <f t="shared" si="71"/>
        <v>103.34120597654295</v>
      </c>
      <c r="AC657" s="318">
        <f t="shared" si="72"/>
        <v>49.9114044440444</v>
      </c>
      <c r="AD657" s="318">
        <f t="shared" si="73"/>
        <v>48.297614274258216</v>
      </c>
      <c r="AE657" s="607">
        <f t="shared" si="74"/>
        <v>-0.20243818357285592</v>
      </c>
      <c r="AF657" s="607">
        <f t="shared" si="76"/>
        <v>-19.078143487477341</v>
      </c>
      <c r="AJ657" s="276"/>
      <c r="AM657" s="541"/>
      <c r="AN657" s="541"/>
    </row>
    <row r="658" spans="19:40" x14ac:dyDescent="0.25">
      <c r="V658">
        <v>21</v>
      </c>
      <c r="W658">
        <f t="shared" si="75"/>
        <v>1</v>
      </c>
      <c r="X658" s="606">
        <v>45108</v>
      </c>
      <c r="Y658" s="318">
        <v>212.12</v>
      </c>
      <c r="Z658" s="183">
        <v>10051.65</v>
      </c>
      <c r="AA658" s="318">
        <v>10078.273308</v>
      </c>
      <c r="AB658" s="536">
        <f t="shared" si="71"/>
        <v>100.26486505200639</v>
      </c>
      <c r="AC658" s="318">
        <f t="shared" si="72"/>
        <v>47.512197030932249</v>
      </c>
      <c r="AD658" s="318">
        <f t="shared" si="73"/>
        <v>47.386620780690173</v>
      </c>
      <c r="AE658" s="607">
        <f t="shared" si="74"/>
        <v>-0.17910267288961002</v>
      </c>
      <c r="AF658" s="607">
        <f t="shared" si="76"/>
        <v>-19.25724616036695</v>
      </c>
      <c r="AJ658" s="276"/>
      <c r="AM658" s="541"/>
      <c r="AN658" s="541" t="s">
        <v>915</v>
      </c>
    </row>
    <row r="659" spans="19:40" x14ac:dyDescent="0.25">
      <c r="V659">
        <v>22</v>
      </c>
      <c r="W659">
        <f t="shared" si="75"/>
        <v>1</v>
      </c>
      <c r="X659" s="606">
        <v>45017</v>
      </c>
      <c r="Y659" s="318">
        <v>214.56</v>
      </c>
      <c r="Z659" s="318">
        <v>9796.5</v>
      </c>
      <c r="AA659" s="318">
        <v>10101.504304</v>
      </c>
      <c r="AB659" s="536">
        <f t="shared" si="71"/>
        <v>103.11340074516409</v>
      </c>
      <c r="AC659" s="318">
        <f t="shared" si="72"/>
        <v>47.080156240966929</v>
      </c>
      <c r="AD659" s="318">
        <f t="shared" si="73"/>
        <v>45.658557046979865</v>
      </c>
      <c r="AE659" s="607">
        <f t="shared" si="74"/>
        <v>-0.17505228459814856</v>
      </c>
      <c r="AF659" s="607">
        <f t="shared" si="76"/>
        <v>-19.432298444965099</v>
      </c>
      <c r="AJ659" s="276"/>
      <c r="AM659" s="541"/>
      <c r="AN659" s="541" t="s">
        <v>1163</v>
      </c>
    </row>
    <row r="660" spans="19:40" x14ac:dyDescent="0.25">
      <c r="V660">
        <v>23</v>
      </c>
      <c r="W660">
        <f t="shared" si="75"/>
        <v>1</v>
      </c>
      <c r="X660" s="606">
        <v>44682</v>
      </c>
      <c r="Y660" s="318">
        <v>265.41000000000003</v>
      </c>
      <c r="Z660" s="183">
        <v>10503.89</v>
      </c>
      <c r="AA660" s="318">
        <v>10585.642069</v>
      </c>
      <c r="AB660" s="536">
        <f t="shared" si="71"/>
        <v>100.77830279068041</v>
      </c>
      <c r="AC660" s="318">
        <f t="shared" si="72"/>
        <v>39.884171746694633</v>
      </c>
      <c r="AD660" s="318">
        <f t="shared" si="73"/>
        <v>39.576089823292257</v>
      </c>
      <c r="AE660" s="607">
        <f t="shared" si="74"/>
        <v>-0.11440124218795997</v>
      </c>
      <c r="AF660" s="607">
        <f t="shared" si="76"/>
        <v>-19.546699687153058</v>
      </c>
      <c r="AJ660" s="276"/>
      <c r="AM660" s="541"/>
      <c r="AN660" s="541" t="s">
        <v>916</v>
      </c>
    </row>
    <row r="661" spans="19:40" x14ac:dyDescent="0.25">
      <c r="V661">
        <v>24</v>
      </c>
      <c r="W661">
        <f t="shared" si="75"/>
        <v>0</v>
      </c>
      <c r="X661" s="606">
        <v>45047</v>
      </c>
      <c r="Y661" s="318">
        <v>314.16000000000003</v>
      </c>
      <c r="Z661" s="183">
        <v>11503.69</v>
      </c>
      <c r="AA661" s="318">
        <v>11049.785943999999</v>
      </c>
      <c r="AB661" s="536">
        <f t="shared" si="71"/>
        <v>96.054274271994458</v>
      </c>
      <c r="AC661" s="318">
        <f t="shared" si="72"/>
        <v>35.172535502920951</v>
      </c>
      <c r="AD661" s="318">
        <f t="shared" si="73"/>
        <v>36.617296918767508</v>
      </c>
      <c r="AE661" s="607">
        <f t="shared" si="74"/>
        <v>-8.1651379696119089E-2</v>
      </c>
      <c r="AF661" s="607">
        <f t="shared" si="76"/>
        <v>-19.628351066849177</v>
      </c>
      <c r="AJ661" s="276"/>
      <c r="AM661" s="541"/>
      <c r="AN661" s="541" t="s">
        <v>917</v>
      </c>
    </row>
    <row r="662" spans="19:40" x14ac:dyDescent="0.25">
      <c r="AB662" s="483" t="s">
        <v>62</v>
      </c>
      <c r="AC662" s="318">
        <f>AVERAGE(AC638:AC661)</f>
        <v>80.810041611590009</v>
      </c>
      <c r="AD662" s="318">
        <f>AVERAGE(AD638:AD661)</f>
        <v>81.275505498440893</v>
      </c>
    </row>
    <row r="663" spans="19:40" x14ac:dyDescent="0.25">
      <c r="S663" s="483" t="s">
        <v>865</v>
      </c>
      <c r="T663" s="492">
        <f>MAX(Y638:Y661)</f>
        <v>314.16000000000003</v>
      </c>
      <c r="AB663" s="483"/>
      <c r="AC663" s="565"/>
      <c r="AD663" s="565"/>
      <c r="AE663" s="22"/>
      <c r="AF663" s="22"/>
    </row>
    <row r="664" spans="19:40" x14ac:dyDescent="0.25">
      <c r="S664" s="483" t="s">
        <v>866</v>
      </c>
      <c r="T664" s="492">
        <f>MIN(Y638:Y661)</f>
        <v>41.00712</v>
      </c>
      <c r="W664">
        <f>SUM(W638:W661)</f>
        <v>13</v>
      </c>
      <c r="AA664" s="1" t="s">
        <v>1160</v>
      </c>
      <c r="AB664" s="636">
        <f>W664/24</f>
        <v>0.54166666666666663</v>
      </c>
      <c r="AC664" s="565"/>
      <c r="AD664" s="565"/>
      <c r="AE664" s="22"/>
      <c r="AF664" s="22"/>
    </row>
    <row r="665" spans="19:40" x14ac:dyDescent="0.25">
      <c r="S665" s="483" t="s">
        <v>867</v>
      </c>
      <c r="T665" s="1">
        <f>T663-T664</f>
        <v>273.15288000000004</v>
      </c>
      <c r="W665">
        <f>24-W664</f>
        <v>11</v>
      </c>
      <c r="AA665" s="1" t="s">
        <v>1161</v>
      </c>
      <c r="AB665" s="636">
        <f>W665/24</f>
        <v>0.45833333333333331</v>
      </c>
    </row>
    <row r="666" spans="19:40" x14ac:dyDescent="0.25">
      <c r="S666" s="483" t="s">
        <v>62</v>
      </c>
      <c r="T666" s="297">
        <f>AVERAGE(Y638:Y661)</f>
        <v>144.58064083333332</v>
      </c>
      <c r="U666" s="297">
        <f>AVERAGE(Z638:Z661)</f>
        <v>9472.2325000000001</v>
      </c>
    </row>
    <row r="668" spans="19:40" x14ac:dyDescent="0.25">
      <c r="X668" s="285" t="s">
        <v>918</v>
      </c>
      <c r="Y668" s="285"/>
      <c r="Z668" s="285"/>
      <c r="AA668" s="285"/>
      <c r="AB668" s="547"/>
      <c r="AC668" s="285"/>
      <c r="AD668" s="285"/>
    </row>
    <row r="670" spans="19:40" x14ac:dyDescent="0.25">
      <c r="X670" t="s">
        <v>919</v>
      </c>
    </row>
    <row r="671" spans="19:40" x14ac:dyDescent="0.25">
      <c r="X671" t="s">
        <v>1159</v>
      </c>
    </row>
    <row r="672" spans="19:40" x14ac:dyDescent="0.25">
      <c r="X672" t="s">
        <v>920</v>
      </c>
    </row>
    <row r="673" spans="23:30" x14ac:dyDescent="0.25">
      <c r="Z673" s="483"/>
      <c r="AA673" s="297"/>
      <c r="AB673" s="297"/>
      <c r="AC673" s="22"/>
    </row>
    <row r="674" spans="23:30" x14ac:dyDescent="0.25">
      <c r="Z674" s="483"/>
      <c r="AA674" s="297"/>
      <c r="AB674" s="297"/>
      <c r="AC674" s="546" t="s">
        <v>921</v>
      </c>
      <c r="AD674" s="548">
        <f>AC650</f>
        <v>77.292411049142672</v>
      </c>
    </row>
    <row r="676" spans="23:30" x14ac:dyDescent="0.25">
      <c r="Z676" s="32" t="s">
        <v>895</v>
      </c>
      <c r="AA676" s="545">
        <f>T666*(AD662-AD674)</f>
        <v>575.87834797922972</v>
      </c>
    </row>
    <row r="678" spans="23:30" x14ac:dyDescent="0.25">
      <c r="Z678" s="32" t="s">
        <v>896</v>
      </c>
      <c r="AA678" s="442">
        <f>AA676/U666</f>
        <v>6.0796475168787265E-2</v>
      </c>
      <c r="AB678" t="s">
        <v>897</v>
      </c>
    </row>
    <row r="682" spans="23:30" x14ac:dyDescent="0.25">
      <c r="W682">
        <v>3</v>
      </c>
      <c r="X682" s="660" t="s">
        <v>890</v>
      </c>
      <c r="Y682" s="660"/>
      <c r="Z682" s="660"/>
    </row>
    <row r="684" spans="23:30" x14ac:dyDescent="0.25">
      <c r="X684" t="s">
        <v>876</v>
      </c>
    </row>
    <row r="685" spans="23:30" x14ac:dyDescent="0.25">
      <c r="X685" t="s">
        <v>877</v>
      </c>
    </row>
    <row r="686" spans="23:30" x14ac:dyDescent="0.25">
      <c r="X686" t="s">
        <v>878</v>
      </c>
    </row>
    <row r="689" spans="24:38" x14ac:dyDescent="0.25">
      <c r="Z689" t="s">
        <v>784</v>
      </c>
      <c r="AA689" s="1" t="s">
        <v>879</v>
      </c>
      <c r="AB689" t="s">
        <v>882</v>
      </c>
    </row>
    <row r="690" spans="24:38" x14ac:dyDescent="0.25">
      <c r="Z690" s="297"/>
      <c r="AA690" s="1" t="s">
        <v>880</v>
      </c>
      <c r="AB690" t="s">
        <v>883</v>
      </c>
    </row>
    <row r="691" spans="24:38" x14ac:dyDescent="0.25">
      <c r="Z691" s="297"/>
      <c r="AA691" s="1" t="s">
        <v>881</v>
      </c>
      <c r="AB691" t="s">
        <v>884</v>
      </c>
    </row>
    <row r="692" spans="24:38" x14ac:dyDescent="0.25">
      <c r="Z692" s="297"/>
      <c r="AA692" s="1"/>
    </row>
    <row r="693" spans="24:38" x14ac:dyDescent="0.25">
      <c r="Z693" s="1" t="s">
        <v>856</v>
      </c>
    </row>
    <row r="694" spans="24:38" x14ac:dyDescent="0.25">
      <c r="Z694" t="s">
        <v>871</v>
      </c>
      <c r="AA694" s="1" t="s">
        <v>857</v>
      </c>
      <c r="AI694" t="s">
        <v>1164</v>
      </c>
      <c r="AJ694">
        <v>4</v>
      </c>
    </row>
    <row r="695" spans="24:38" ht="30" x14ac:dyDescent="0.25">
      <c r="X695" s="45" t="str">
        <f t="shared" ref="X695:AA696" si="77">X604</f>
        <v>Mes</v>
      </c>
      <c r="Y695" s="45" t="str">
        <f t="shared" si="77"/>
        <v>Producción [m³/mes]</v>
      </c>
      <c r="Z695" s="45" t="str">
        <f t="shared" si="77"/>
        <v>Consumo [kWh/mes]</v>
      </c>
      <c r="AA695" s="45" t="str">
        <f t="shared" si="77"/>
        <v>Consumo Teórico [kWh/mes]</v>
      </c>
      <c r="AB695" s="45" t="s">
        <v>885</v>
      </c>
      <c r="AC695" s="45" t="s">
        <v>886</v>
      </c>
      <c r="AI695" t="s">
        <v>1169</v>
      </c>
      <c r="AJ695" t="s">
        <v>1170</v>
      </c>
      <c r="AK695" s="1" t="s">
        <v>1165</v>
      </c>
      <c r="AL695" s="1" t="s">
        <v>1166</v>
      </c>
    </row>
    <row r="696" spans="24:38" x14ac:dyDescent="0.25">
      <c r="X696" s="606">
        <f t="shared" si="77"/>
        <v>44562</v>
      </c>
      <c r="Y696" s="320">
        <f t="shared" si="77"/>
        <v>72.344580000000008</v>
      </c>
      <c r="Z696" s="320">
        <f t="shared" si="77"/>
        <v>8674.83</v>
      </c>
      <c r="AA696" s="320">
        <f t="shared" si="77"/>
        <v>8747.4855117219995</v>
      </c>
      <c r="AB696" s="595">
        <f>Z696-AA696</f>
        <v>-72.655511721999574</v>
      </c>
      <c r="AC696" s="38">
        <f>AB696</f>
        <v>-72.655511721999574</v>
      </c>
      <c r="AI696" s="22">
        <f>$AB$720+($AJ$694*$AB$721)</f>
        <v>1417.8826149569936</v>
      </c>
      <c r="AJ696" s="22">
        <f>$AB$720-($AJ$694*$AB$721)</f>
        <v>-1343.89326157716</v>
      </c>
      <c r="AK696" s="43">
        <f>ABS((AB696-$AB$720)/2)*$AB$721</f>
        <v>18926.827825840948</v>
      </c>
      <c r="AL696">
        <f>+MAX(0,AB696-($AB$720-AK696)+0)</f>
        <v>18817.177637429035</v>
      </c>
    </row>
    <row r="697" spans="24:38" x14ac:dyDescent="0.25">
      <c r="X697" s="606">
        <f t="shared" ref="X697:AA719" si="78">X606</f>
        <v>44593</v>
      </c>
      <c r="Y697" s="320">
        <f t="shared" si="78"/>
        <v>99.44550000000001</v>
      </c>
      <c r="Z697" s="320">
        <f t="shared" si="78"/>
        <v>9893.119999999999</v>
      </c>
      <c r="AA697" s="320">
        <f t="shared" si="78"/>
        <v>9005.5106609499999</v>
      </c>
      <c r="AB697" s="595">
        <f t="shared" ref="AB697:AB719" si="79">Z697-AA697</f>
        <v>887.60933904999911</v>
      </c>
      <c r="AC697" s="38">
        <f>AC696+AB697</f>
        <v>814.95382732799953</v>
      </c>
      <c r="AI697" s="22">
        <f t="shared" ref="AI697:AI719" si="80">$AB$720+($AJ$694*$AB$721)</f>
        <v>1417.8826149569936</v>
      </c>
      <c r="AJ697" s="22">
        <f t="shared" ref="AJ697:AJ719" si="81">$AB$720-($AJ$694*$AB$721)</f>
        <v>-1343.89326157716</v>
      </c>
      <c r="AK697" s="43">
        <f t="shared" ref="AK697:AK719" si="82">ABS((AB697-$AB$720)/2)*$AB$721</f>
        <v>146825.44092076999</v>
      </c>
    </row>
    <row r="698" spans="24:38" x14ac:dyDescent="0.25">
      <c r="X698" s="606">
        <f t="shared" si="78"/>
        <v>44621</v>
      </c>
      <c r="Y698" s="320">
        <f t="shared" si="78"/>
        <v>104.69536000000001</v>
      </c>
      <c r="Z698" s="320">
        <f t="shared" si="78"/>
        <v>9689.25</v>
      </c>
      <c r="AA698" s="320">
        <f t="shared" si="78"/>
        <v>9055.4940530240001</v>
      </c>
      <c r="AB698" s="595">
        <f t="shared" si="79"/>
        <v>633.7559469759999</v>
      </c>
      <c r="AC698" s="38">
        <f t="shared" ref="AC698:AC719" si="83">AC697+AB698</f>
        <v>1448.7097743039994</v>
      </c>
      <c r="AI698" s="22">
        <f t="shared" si="80"/>
        <v>1417.8826149569936</v>
      </c>
      <c r="AJ698" s="22">
        <f t="shared" si="81"/>
        <v>-1343.89326157716</v>
      </c>
      <c r="AK698" s="43">
        <f t="shared" si="82"/>
        <v>103007.55502037391</v>
      </c>
    </row>
    <row r="699" spans="24:38" x14ac:dyDescent="0.25">
      <c r="X699" s="606">
        <f t="shared" si="78"/>
        <v>44652</v>
      </c>
      <c r="Y699" s="320">
        <f t="shared" si="78"/>
        <v>198.85866000000001</v>
      </c>
      <c r="Z699" s="320">
        <f t="shared" si="78"/>
        <v>9823.56</v>
      </c>
      <c r="AA699" s="320">
        <f t="shared" si="78"/>
        <v>9952.0134159939989</v>
      </c>
      <c r="AB699" s="595">
        <f t="shared" si="79"/>
        <v>-128.45341599399944</v>
      </c>
      <c r="AC699" s="38">
        <f t="shared" si="83"/>
        <v>1320.25635831</v>
      </c>
      <c r="AI699" s="22">
        <f t="shared" si="80"/>
        <v>1417.8826149569936</v>
      </c>
      <c r="AJ699" s="22">
        <f t="shared" si="81"/>
        <v>-1343.89326157716</v>
      </c>
      <c r="AK699" s="43">
        <f t="shared" si="82"/>
        <v>28558.159449564151</v>
      </c>
    </row>
    <row r="700" spans="24:38" x14ac:dyDescent="0.25">
      <c r="X700" s="606">
        <f t="shared" si="78"/>
        <v>44682</v>
      </c>
      <c r="Y700" s="320">
        <f t="shared" si="78"/>
        <v>265.41000000000003</v>
      </c>
      <c r="Z700" s="320">
        <f t="shared" si="78"/>
        <v>10503.89</v>
      </c>
      <c r="AA700" s="320">
        <f t="shared" si="78"/>
        <v>10585.642069</v>
      </c>
      <c r="AB700" s="595">
        <f t="shared" si="79"/>
        <v>-81.75206900000012</v>
      </c>
      <c r="AC700" s="38">
        <f t="shared" si="83"/>
        <v>1238.5042893099999</v>
      </c>
      <c r="AI700" s="22">
        <f t="shared" si="80"/>
        <v>1417.8826149569936</v>
      </c>
      <c r="AJ700" s="22">
        <f t="shared" si="81"/>
        <v>-1343.89326157716</v>
      </c>
      <c r="AK700" s="43">
        <f t="shared" si="82"/>
        <v>20496.993603959265</v>
      </c>
    </row>
    <row r="701" spans="24:38" x14ac:dyDescent="0.25">
      <c r="X701" s="606">
        <f t="shared" si="78"/>
        <v>44713</v>
      </c>
      <c r="Y701" s="320">
        <f t="shared" si="78"/>
        <v>188.35893999999999</v>
      </c>
      <c r="Z701" s="320">
        <f t="shared" si="78"/>
        <v>9931.33</v>
      </c>
      <c r="AA701" s="320">
        <f t="shared" si="78"/>
        <v>9852.0466318460003</v>
      </c>
      <c r="AB701" s="595">
        <f t="shared" si="79"/>
        <v>79.283368153999618</v>
      </c>
      <c r="AC701" s="38">
        <f t="shared" si="83"/>
        <v>1317.7876574639995</v>
      </c>
      <c r="AI701" s="22">
        <f t="shared" si="80"/>
        <v>1417.8826149569936</v>
      </c>
      <c r="AJ701" s="22">
        <f t="shared" si="81"/>
        <v>-1343.89326157716</v>
      </c>
      <c r="AK701" s="43">
        <f t="shared" si="82"/>
        <v>7299.4929959812471</v>
      </c>
    </row>
    <row r="702" spans="24:38" x14ac:dyDescent="0.25">
      <c r="X702" s="606">
        <f t="shared" si="78"/>
        <v>44743</v>
      </c>
      <c r="Y702" s="320">
        <f t="shared" si="78"/>
        <v>177.69752000000003</v>
      </c>
      <c r="Z702" s="320">
        <f t="shared" si="78"/>
        <v>9668.73</v>
      </c>
      <c r="AA702" s="320">
        <f t="shared" si="78"/>
        <v>9750.5403181679994</v>
      </c>
      <c r="AB702" s="595">
        <f t="shared" si="79"/>
        <v>-81.810318167999867</v>
      </c>
      <c r="AC702" s="38">
        <f t="shared" si="83"/>
        <v>1235.9773392959996</v>
      </c>
      <c r="AI702" s="22">
        <f t="shared" si="80"/>
        <v>1417.8826149569936</v>
      </c>
      <c r="AJ702" s="22">
        <f t="shared" si="81"/>
        <v>-1343.89326157716</v>
      </c>
      <c r="AK702" s="43">
        <f t="shared" si="82"/>
        <v>20507.048050647383</v>
      </c>
    </row>
    <row r="703" spans="24:38" x14ac:dyDescent="0.25">
      <c r="X703" s="606">
        <f t="shared" si="78"/>
        <v>44774</v>
      </c>
      <c r="Y703" s="320">
        <f t="shared" si="78"/>
        <v>190.06218000000001</v>
      </c>
      <c r="Z703" s="320">
        <f t="shared" si="78"/>
        <v>9498.1299999999992</v>
      </c>
      <c r="AA703" s="320">
        <f t="shared" si="78"/>
        <v>9868.2630095620007</v>
      </c>
      <c r="AB703" s="595">
        <f t="shared" si="79"/>
        <v>-370.13300956200146</v>
      </c>
      <c r="AC703" s="38">
        <f t="shared" si="83"/>
        <v>865.84432973399817</v>
      </c>
      <c r="AI703" s="22">
        <f t="shared" si="80"/>
        <v>1417.8826149569936</v>
      </c>
      <c r="AJ703" s="22">
        <f t="shared" si="81"/>
        <v>-1343.89326157716</v>
      </c>
      <c r="AK703" s="43">
        <f t="shared" si="82"/>
        <v>70274.713909982078</v>
      </c>
    </row>
    <row r="704" spans="24:38" x14ac:dyDescent="0.25">
      <c r="X704" s="606">
        <f t="shared" si="78"/>
        <v>44805</v>
      </c>
      <c r="Y704" s="320">
        <f t="shared" si="78"/>
        <v>118.91</v>
      </c>
      <c r="Z704" s="320">
        <f t="shared" si="78"/>
        <v>9284.99</v>
      </c>
      <c r="AA704" s="320">
        <f t="shared" si="78"/>
        <v>9190.8302189999995</v>
      </c>
      <c r="AB704" s="595">
        <f t="shared" si="79"/>
        <v>94.159781000000294</v>
      </c>
      <c r="AC704" s="38">
        <f t="shared" si="83"/>
        <v>960.00411073399846</v>
      </c>
      <c r="AI704" s="22">
        <f t="shared" si="80"/>
        <v>1417.8826149569936</v>
      </c>
      <c r="AJ704" s="22">
        <f t="shared" si="81"/>
        <v>-1343.89326157716</v>
      </c>
      <c r="AK704" s="43">
        <f t="shared" si="82"/>
        <v>9867.3253789467144</v>
      </c>
    </row>
    <row r="705" spans="24:37" x14ac:dyDescent="0.25">
      <c r="X705" s="606">
        <f t="shared" si="78"/>
        <v>44835</v>
      </c>
      <c r="Y705" s="320">
        <f t="shared" si="78"/>
        <v>112</v>
      </c>
      <c r="Z705" s="320">
        <f t="shared" si="78"/>
        <v>9045.56</v>
      </c>
      <c r="AA705" s="320">
        <f t="shared" si="78"/>
        <v>9125.0407999999989</v>
      </c>
      <c r="AB705" s="595">
        <f t="shared" si="79"/>
        <v>-79.480799999999363</v>
      </c>
      <c r="AC705" s="38">
        <f t="shared" si="83"/>
        <v>880.5233107339991</v>
      </c>
      <c r="AI705" s="22">
        <f t="shared" si="80"/>
        <v>1417.8826149569936</v>
      </c>
      <c r="AJ705" s="22">
        <f t="shared" si="81"/>
        <v>-1343.89326157716</v>
      </c>
      <c r="AK705" s="43">
        <f t="shared" si="82"/>
        <v>20104.947608126644</v>
      </c>
    </row>
    <row r="706" spans="24:37" x14ac:dyDescent="0.25">
      <c r="X706" s="606">
        <f t="shared" si="78"/>
        <v>44866</v>
      </c>
      <c r="Y706" s="320">
        <f t="shared" si="78"/>
        <v>151.82552000000001</v>
      </c>
      <c r="Z706" s="320">
        <f t="shared" si="78"/>
        <v>9676.81</v>
      </c>
      <c r="AA706" s="320">
        <f t="shared" si="78"/>
        <v>9504.2155933680006</v>
      </c>
      <c r="AB706" s="595">
        <f t="shared" si="79"/>
        <v>172.59440663199894</v>
      </c>
      <c r="AC706" s="38">
        <f t="shared" si="83"/>
        <v>1053.117717365998</v>
      </c>
      <c r="AI706" s="22">
        <f t="shared" si="80"/>
        <v>1417.8826149569936</v>
      </c>
      <c r="AJ706" s="22">
        <f t="shared" si="81"/>
        <v>-1343.89326157716</v>
      </c>
      <c r="AK706" s="43">
        <f t="shared" si="82"/>
        <v>23406.003938661794</v>
      </c>
    </row>
    <row r="707" spans="24:37" x14ac:dyDescent="0.25">
      <c r="X707" s="606">
        <f t="shared" si="78"/>
        <v>44896</v>
      </c>
      <c r="Y707" s="320">
        <f t="shared" si="78"/>
        <v>41.00712</v>
      </c>
      <c r="Z707" s="320">
        <f t="shared" si="78"/>
        <v>8577.93</v>
      </c>
      <c r="AA707" s="320">
        <f t="shared" si="78"/>
        <v>8449.1246888080004</v>
      </c>
      <c r="AB707" s="595">
        <f t="shared" si="79"/>
        <v>128.80531119199986</v>
      </c>
      <c r="AC707" s="38">
        <f t="shared" si="83"/>
        <v>1181.9230285579979</v>
      </c>
      <c r="AI707" s="22">
        <f t="shared" si="80"/>
        <v>1417.8826149569936</v>
      </c>
      <c r="AJ707" s="22">
        <f t="shared" si="81"/>
        <v>-1343.89326157716</v>
      </c>
      <c r="AK707" s="43">
        <f t="shared" si="82"/>
        <v>15847.524723571722</v>
      </c>
    </row>
    <row r="708" spans="24:37" x14ac:dyDescent="0.25">
      <c r="X708" s="606">
        <f t="shared" si="78"/>
        <v>44927</v>
      </c>
      <c r="Y708" s="320">
        <f t="shared" si="78"/>
        <v>81.25</v>
      </c>
      <c r="Z708" s="320">
        <f t="shared" si="78"/>
        <v>8475</v>
      </c>
      <c r="AA708" s="320">
        <f t="shared" si="78"/>
        <v>8832.2731249999997</v>
      </c>
      <c r="AB708" s="595">
        <f t="shared" si="79"/>
        <v>-357.27312499999971</v>
      </c>
      <c r="AC708" s="38">
        <f t="shared" si="83"/>
        <v>824.64990355799819</v>
      </c>
      <c r="AI708" s="22">
        <f t="shared" si="80"/>
        <v>1417.8826149569936</v>
      </c>
      <c r="AJ708" s="22">
        <f t="shared" si="81"/>
        <v>-1343.89326157716</v>
      </c>
      <c r="AK708" s="43">
        <f t="shared" si="82"/>
        <v>68054.956475085171</v>
      </c>
    </row>
    <row r="709" spans="24:37" x14ac:dyDescent="0.25">
      <c r="X709" s="606">
        <f t="shared" si="78"/>
        <v>44958</v>
      </c>
      <c r="Y709" s="320">
        <f t="shared" si="78"/>
        <v>104.56</v>
      </c>
      <c r="Z709" s="320">
        <f t="shared" si="78"/>
        <v>8802.64</v>
      </c>
      <c r="AA709" s="320">
        <f t="shared" si="78"/>
        <v>9054.2053039999992</v>
      </c>
      <c r="AB709" s="595">
        <f t="shared" si="79"/>
        <v>-251.56530399999974</v>
      </c>
      <c r="AC709" s="38">
        <f t="shared" si="83"/>
        <v>573.08459955799844</v>
      </c>
      <c r="AI709" s="22">
        <f t="shared" si="80"/>
        <v>1417.8826149569936</v>
      </c>
      <c r="AJ709" s="22">
        <f t="shared" si="81"/>
        <v>-1343.89326157716</v>
      </c>
      <c r="AK709" s="43">
        <f t="shared" si="82"/>
        <v>49808.62460016078</v>
      </c>
    </row>
    <row r="710" spans="24:37" x14ac:dyDescent="0.25">
      <c r="X710" s="606">
        <f t="shared" si="78"/>
        <v>44986</v>
      </c>
      <c r="Y710" s="320">
        <f t="shared" si="78"/>
        <v>117.89</v>
      </c>
      <c r="Z710" s="320">
        <f t="shared" si="78"/>
        <v>9633.16</v>
      </c>
      <c r="AA710" s="320">
        <f t="shared" si="78"/>
        <v>9181.1189009999998</v>
      </c>
      <c r="AB710" s="595">
        <f t="shared" si="79"/>
        <v>452.04109900000003</v>
      </c>
      <c r="AC710" s="38">
        <f t="shared" si="83"/>
        <v>1025.1256985579985</v>
      </c>
      <c r="AI710" s="22">
        <f t="shared" si="80"/>
        <v>1417.8826149569936</v>
      </c>
      <c r="AJ710" s="22">
        <f t="shared" si="81"/>
        <v>-1343.89326157716</v>
      </c>
      <c r="AK710" s="43">
        <f t="shared" si="82"/>
        <v>71641.574798612171</v>
      </c>
    </row>
    <row r="711" spans="24:37" x14ac:dyDescent="0.25">
      <c r="X711" s="606">
        <f t="shared" si="78"/>
        <v>45017</v>
      </c>
      <c r="Y711" s="320">
        <f t="shared" si="78"/>
        <v>214.56</v>
      </c>
      <c r="Z711" s="320">
        <f t="shared" si="78"/>
        <v>9796.5</v>
      </c>
      <c r="AA711" s="320">
        <f t="shared" si="78"/>
        <v>10101.504304</v>
      </c>
      <c r="AB711" s="595">
        <f t="shared" si="79"/>
        <v>-305.00430400000005</v>
      </c>
      <c r="AC711" s="38">
        <f t="shared" si="83"/>
        <v>720.12139455799843</v>
      </c>
      <c r="AI711" s="22">
        <f t="shared" si="80"/>
        <v>1417.8826149569936</v>
      </c>
      <c r="AJ711" s="22">
        <f t="shared" si="81"/>
        <v>-1343.89326157716</v>
      </c>
      <c r="AK711" s="43">
        <f t="shared" si="82"/>
        <v>59032.783416792627</v>
      </c>
    </row>
    <row r="712" spans="24:37" x14ac:dyDescent="0.25">
      <c r="X712" s="606">
        <f t="shared" si="78"/>
        <v>45047</v>
      </c>
      <c r="Y712" s="320">
        <f t="shared" si="78"/>
        <v>314.16000000000003</v>
      </c>
      <c r="Z712" s="320">
        <f t="shared" si="78"/>
        <v>11503.69</v>
      </c>
      <c r="AA712" s="320">
        <f t="shared" si="78"/>
        <v>11049.785943999999</v>
      </c>
      <c r="AB712" s="595">
        <f t="shared" si="79"/>
        <v>453.90405600000122</v>
      </c>
      <c r="AC712" s="38">
        <f t="shared" si="83"/>
        <v>1174.0254505579996</v>
      </c>
      <c r="AI712" s="22">
        <f t="shared" si="80"/>
        <v>1417.8826149569936</v>
      </c>
      <c r="AJ712" s="22">
        <f t="shared" si="81"/>
        <v>-1343.89326157716</v>
      </c>
      <c r="AK712" s="43">
        <f t="shared" si="82"/>
        <v>71963.141654963663</v>
      </c>
    </row>
    <row r="713" spans="24:37" x14ac:dyDescent="0.25">
      <c r="X713" s="606">
        <f t="shared" si="78"/>
        <v>45078</v>
      </c>
      <c r="Y713" s="320">
        <f t="shared" si="78"/>
        <v>199.52</v>
      </c>
      <c r="Z713" s="320">
        <f t="shared" si="78"/>
        <v>9636.34</v>
      </c>
      <c r="AA713" s="320">
        <f t="shared" si="78"/>
        <v>9958.3099679999996</v>
      </c>
      <c r="AB713" s="595">
        <f t="shared" si="79"/>
        <v>-321.96996799999943</v>
      </c>
      <c r="AC713" s="38">
        <f t="shared" si="83"/>
        <v>852.05548255800022</v>
      </c>
      <c r="AI713" s="22">
        <f t="shared" si="80"/>
        <v>1417.8826149569936</v>
      </c>
      <c r="AJ713" s="22">
        <f t="shared" si="81"/>
        <v>-1343.89326157716</v>
      </c>
      <c r="AK713" s="43">
        <f t="shared" si="82"/>
        <v>61961.243514579015</v>
      </c>
    </row>
    <row r="714" spans="24:37" x14ac:dyDescent="0.25">
      <c r="X714" s="606">
        <f t="shared" si="78"/>
        <v>45108</v>
      </c>
      <c r="Y714" s="320">
        <f t="shared" si="78"/>
        <v>212.12</v>
      </c>
      <c r="Z714" s="320">
        <f t="shared" si="78"/>
        <v>10051.65</v>
      </c>
      <c r="AA714" s="320">
        <f t="shared" si="78"/>
        <v>10078.273308</v>
      </c>
      <c r="AB714" s="595">
        <f t="shared" si="79"/>
        <v>-26.623308000000179</v>
      </c>
      <c r="AC714" s="38">
        <f t="shared" si="83"/>
        <v>825.43217455800004</v>
      </c>
      <c r="AI714" s="22">
        <f t="shared" si="80"/>
        <v>1417.8826149569936</v>
      </c>
      <c r="AJ714" s="22">
        <f t="shared" si="81"/>
        <v>-1343.89326157716</v>
      </c>
      <c r="AK714" s="43">
        <f t="shared" si="82"/>
        <v>10981.163464395724</v>
      </c>
    </row>
    <row r="715" spans="24:37" x14ac:dyDescent="0.25">
      <c r="X715" s="606">
        <f t="shared" si="78"/>
        <v>45139</v>
      </c>
      <c r="Y715" s="320">
        <f t="shared" si="78"/>
        <v>112.32</v>
      </c>
      <c r="Z715" s="320">
        <f t="shared" si="78"/>
        <v>8620.61</v>
      </c>
      <c r="AA715" s="320">
        <f t="shared" si="78"/>
        <v>9128.0874879999992</v>
      </c>
      <c r="AB715" s="595">
        <f t="shared" si="79"/>
        <v>-507.47748799999863</v>
      </c>
      <c r="AC715" s="38">
        <f t="shared" si="83"/>
        <v>317.95468655800141</v>
      </c>
      <c r="AI715" s="22">
        <f t="shared" si="80"/>
        <v>1417.8826149569936</v>
      </c>
      <c r="AJ715" s="22">
        <f t="shared" si="81"/>
        <v>-1343.89326157716</v>
      </c>
      <c r="AK715" s="43">
        <f t="shared" si="82"/>
        <v>93981.880617808682</v>
      </c>
    </row>
    <row r="716" spans="24:37" x14ac:dyDescent="0.25">
      <c r="X716" s="606">
        <f t="shared" si="78"/>
        <v>45170</v>
      </c>
      <c r="Y716" s="320">
        <f t="shared" si="78"/>
        <v>81.5</v>
      </c>
      <c r="Z716" s="320">
        <f t="shared" si="78"/>
        <v>9013.66</v>
      </c>
      <c r="AA716" s="320">
        <f t="shared" si="78"/>
        <v>8834.6533500000005</v>
      </c>
      <c r="AB716" s="595">
        <f t="shared" si="79"/>
        <v>179.00664999999935</v>
      </c>
      <c r="AC716" s="38">
        <f t="shared" si="83"/>
        <v>496.96133655800077</v>
      </c>
      <c r="AI716" s="22">
        <f t="shared" si="80"/>
        <v>1417.8826149569936</v>
      </c>
      <c r="AJ716" s="22">
        <f t="shared" si="81"/>
        <v>-1343.89326157716</v>
      </c>
      <c r="AK716" s="43">
        <f t="shared" si="82"/>
        <v>24512.827629174895</v>
      </c>
    </row>
    <row r="717" spans="24:37" x14ac:dyDescent="0.25">
      <c r="X717" s="606">
        <f t="shared" si="78"/>
        <v>45200</v>
      </c>
      <c r="Y717" s="320">
        <f t="shared" si="78"/>
        <v>70.14</v>
      </c>
      <c r="Z717" s="320">
        <f t="shared" si="78"/>
        <v>9003.9</v>
      </c>
      <c r="AA717" s="320">
        <f t="shared" si="78"/>
        <v>8726.4959259999996</v>
      </c>
      <c r="AB717" s="595">
        <f t="shared" si="79"/>
        <v>277.40407400000004</v>
      </c>
      <c r="AC717" s="38">
        <f t="shared" si="83"/>
        <v>774.3654105580008</v>
      </c>
      <c r="AI717" s="22">
        <f t="shared" si="80"/>
        <v>1417.8826149569936</v>
      </c>
      <c r="AJ717" s="22">
        <f t="shared" si="81"/>
        <v>-1343.89326157716</v>
      </c>
      <c r="AK717" s="43">
        <f t="shared" si="82"/>
        <v>41497.304623943935</v>
      </c>
    </row>
    <row r="718" spans="24:37" x14ac:dyDescent="0.25">
      <c r="X718" s="606">
        <f t="shared" si="78"/>
        <v>45231</v>
      </c>
      <c r="Y718" s="320">
        <f t="shared" si="78"/>
        <v>181.45</v>
      </c>
      <c r="Z718" s="320">
        <f t="shared" si="78"/>
        <v>10060.049999999999</v>
      </c>
      <c r="AA718" s="320">
        <f t="shared" si="78"/>
        <v>9786.2673049999994</v>
      </c>
      <c r="AB718" s="595">
        <f t="shared" si="79"/>
        <v>273.78269499999988</v>
      </c>
      <c r="AC718" s="38">
        <f t="shared" si="83"/>
        <v>1048.1481055580007</v>
      </c>
      <c r="AI718" s="22">
        <f t="shared" si="80"/>
        <v>1417.8826149569936</v>
      </c>
      <c r="AJ718" s="22">
        <f t="shared" si="81"/>
        <v>-1343.89326157716</v>
      </c>
      <c r="AK718" s="43">
        <f t="shared" si="82"/>
        <v>40872.2148013197</v>
      </c>
    </row>
    <row r="719" spans="24:37" x14ac:dyDescent="0.25">
      <c r="X719" s="606">
        <f t="shared" si="78"/>
        <v>45261</v>
      </c>
      <c r="Y719" s="320">
        <f t="shared" si="78"/>
        <v>59.85</v>
      </c>
      <c r="Z719" s="320">
        <f t="shared" si="78"/>
        <v>8468.25</v>
      </c>
      <c r="AA719" s="320">
        <f t="shared" si="78"/>
        <v>8628.5258649999996</v>
      </c>
      <c r="AB719" s="595">
        <f t="shared" si="79"/>
        <v>-160.27586499999961</v>
      </c>
      <c r="AC719" s="38">
        <f t="shared" si="83"/>
        <v>887.87224055800107</v>
      </c>
      <c r="AI719" s="22">
        <f t="shared" si="80"/>
        <v>1417.8826149569936</v>
      </c>
      <c r="AJ719" s="22">
        <f t="shared" si="81"/>
        <v>-1343.89326157716</v>
      </c>
      <c r="AK719" s="43">
        <f t="shared" si="82"/>
        <v>34051.063949377247</v>
      </c>
    </row>
    <row r="720" spans="24:37" x14ac:dyDescent="0.25">
      <c r="Z720" s="22">
        <f>AVERAGE(Z696:Z719)</f>
        <v>9472.2325000000001</v>
      </c>
      <c r="AA720" s="22">
        <f>AVERAGE(AA696:AA719)</f>
        <v>9435.2378233100844</v>
      </c>
      <c r="AB720" s="22">
        <f>AVERAGE(AB696:AB719)</f>
        <v>36.994676689916709</v>
      </c>
    </row>
    <row r="721" spans="23:35" x14ac:dyDescent="0.25">
      <c r="Z721" s="637">
        <f>STDEV(Z696:Z718)</f>
        <v>703.12842595683583</v>
      </c>
      <c r="AA721" s="637">
        <f>STDEV(AA696:AA718)</f>
        <v>651.90422354873101</v>
      </c>
      <c r="AB721" s="637">
        <f>STDEV(AB696:AB718)</f>
        <v>345.22198456676921</v>
      </c>
    </row>
    <row r="723" spans="23:35" x14ac:dyDescent="0.25">
      <c r="W723">
        <v>4</v>
      </c>
      <c r="X723" s="660" t="s">
        <v>889</v>
      </c>
      <c r="Y723" s="660"/>
      <c r="Z723" s="660"/>
      <c r="AI723" s="22">
        <f>AB720+$AJ$694*$AB$721</f>
        <v>1417.8826149569936</v>
      </c>
    </row>
    <row r="725" spans="23:35" x14ac:dyDescent="0.25">
      <c r="X725" t="s">
        <v>898</v>
      </c>
    </row>
    <row r="726" spans="23:35" x14ac:dyDescent="0.25">
      <c r="X726" t="s">
        <v>887</v>
      </c>
    </row>
    <row r="727" spans="23:35" x14ac:dyDescent="0.25">
      <c r="AC727" s="1" t="s">
        <v>922</v>
      </c>
      <c r="AD727">
        <v>17253.75</v>
      </c>
      <c r="AE727" t="s">
        <v>923</v>
      </c>
    </row>
    <row r="728" spans="23:35" x14ac:dyDescent="0.25">
      <c r="Z728" s="549">
        <f>I33</f>
        <v>114268.13</v>
      </c>
      <c r="AA728" t="s">
        <v>542</v>
      </c>
      <c r="AC728" s="1" t="s">
        <v>924</v>
      </c>
      <c r="AD728">
        <v>929.96</v>
      </c>
      <c r="AE728" t="s">
        <v>498</v>
      </c>
    </row>
    <row r="729" spans="23:35" x14ac:dyDescent="0.25">
      <c r="Z729" s="46">
        <v>335999.4</v>
      </c>
      <c r="AA729" t="s">
        <v>498</v>
      </c>
      <c r="AC729" s="1" t="s">
        <v>922</v>
      </c>
      <c r="AD729">
        <f>AD727*AD728</f>
        <v>16045297.350000001</v>
      </c>
      <c r="AE729" t="s">
        <v>498</v>
      </c>
    </row>
    <row r="730" spans="23:35" x14ac:dyDescent="0.25">
      <c r="Z730" s="46"/>
      <c r="AC730" s="1"/>
    </row>
    <row r="731" spans="23:35" x14ac:dyDescent="0.25">
      <c r="Y731" s="32" t="s">
        <v>925</v>
      </c>
      <c r="Z731" s="550">
        <f>Z728/Z729</f>
        <v>0.34008432753153722</v>
      </c>
      <c r="AC731" s="1"/>
    </row>
    <row r="734" spans="23:35" x14ac:dyDescent="0.25">
      <c r="W734">
        <v>5</v>
      </c>
      <c r="X734" s="660" t="s">
        <v>888</v>
      </c>
      <c r="Y734" s="660"/>
      <c r="Z734" s="660"/>
    </row>
    <row r="736" spans="23:35" x14ac:dyDescent="0.25">
      <c r="X736" t="s">
        <v>941</v>
      </c>
    </row>
    <row r="738" spans="14:44" x14ac:dyDescent="0.25">
      <c r="AA738" s="32" t="s">
        <v>937</v>
      </c>
      <c r="AB738" t="s">
        <v>930</v>
      </c>
      <c r="AD738" t="s">
        <v>935</v>
      </c>
      <c r="AE738" t="s">
        <v>936</v>
      </c>
      <c r="AF738" s="557">
        <f>AB745</f>
        <v>255.1420588235294</v>
      </c>
      <c r="AG738" s="537"/>
    </row>
    <row r="739" spans="14:44" x14ac:dyDescent="0.25">
      <c r="N739" s="537"/>
      <c r="AA739" s="32" t="s">
        <v>931</v>
      </c>
      <c r="AB739" t="s">
        <v>932</v>
      </c>
      <c r="AE739" s="32" t="s">
        <v>937</v>
      </c>
      <c r="AF739">
        <f>Z745</f>
        <v>8674.83</v>
      </c>
      <c r="AG739" s="22"/>
    </row>
    <row r="740" spans="14:44" x14ac:dyDescent="0.25">
      <c r="AA740" s="32" t="s">
        <v>933</v>
      </c>
      <c r="AB740" t="s">
        <v>934</v>
      </c>
      <c r="AE740" s="1" t="s">
        <v>938</v>
      </c>
      <c r="AF740" s="23">
        <f>AF739/AF738</f>
        <v>34</v>
      </c>
      <c r="AG740" s="23"/>
    </row>
    <row r="742" spans="14:44" x14ac:dyDescent="0.25">
      <c r="Z742" s="1"/>
      <c r="AF742" t="s">
        <v>1059</v>
      </c>
    </row>
    <row r="743" spans="14:44" x14ac:dyDescent="0.25">
      <c r="Q743" s="23"/>
      <c r="U743" s="23"/>
      <c r="AD743" s="688" t="s">
        <v>3</v>
      </c>
      <c r="AE743" s="688" t="s">
        <v>939</v>
      </c>
      <c r="AF743" s="688" t="s">
        <v>942</v>
      </c>
    </row>
    <row r="744" spans="14:44" ht="30" x14ac:dyDescent="0.25">
      <c r="Q744" s="23"/>
      <c r="U744" s="23"/>
      <c r="X744" s="45" t="str">
        <f t="shared" ref="X744:Z745" si="84">X695</f>
        <v>Mes</v>
      </c>
      <c r="Y744" s="45" t="str">
        <f t="shared" si="84"/>
        <v>Producción [m³/mes]</v>
      </c>
      <c r="Z744" s="45" t="str">
        <f t="shared" si="84"/>
        <v>Consumo [kWh/mes]</v>
      </c>
      <c r="AA744" s="45" t="s">
        <v>891</v>
      </c>
      <c r="AB744" s="45" t="s">
        <v>892</v>
      </c>
      <c r="AD744" s="688"/>
      <c r="AE744" s="688"/>
      <c r="AF744" s="688"/>
      <c r="AO744" s="255"/>
      <c r="AP744" s="259"/>
    </row>
    <row r="745" spans="14:44" x14ac:dyDescent="0.25">
      <c r="Q745" s="23"/>
      <c r="U745" s="23"/>
      <c r="V745" s="22"/>
      <c r="X745" s="606">
        <f t="shared" si="84"/>
        <v>44562</v>
      </c>
      <c r="Y745" s="318">
        <f t="shared" si="84"/>
        <v>72.344580000000008</v>
      </c>
      <c r="Z745" s="183">
        <f t="shared" si="84"/>
        <v>8674.83</v>
      </c>
      <c r="AA745" s="17">
        <v>34</v>
      </c>
      <c r="AB745" s="312">
        <f>Z745/AA745</f>
        <v>255.1420588235294</v>
      </c>
      <c r="AC745" s="236"/>
      <c r="AD745" s="11">
        <v>1</v>
      </c>
      <c r="AE745" s="558">
        <f t="shared" ref="AE745:AE768" si="85">AB745</f>
        <v>255.1420588235294</v>
      </c>
      <c r="AF745" s="567">
        <f>0.0316*Z745-26.646</f>
        <v>247.47862800000001</v>
      </c>
      <c r="AO745" s="255"/>
      <c r="AP745" s="259"/>
    </row>
    <row r="746" spans="14:44" x14ac:dyDescent="0.25">
      <c r="Q746" s="23"/>
      <c r="U746" s="23"/>
      <c r="X746" s="606">
        <f t="shared" ref="X746:X768" si="86">X697</f>
        <v>44593</v>
      </c>
      <c r="Y746" s="318">
        <f t="shared" ref="Y746:Z768" si="87">Y697</f>
        <v>99.44550000000001</v>
      </c>
      <c r="Z746" s="183">
        <f t="shared" si="87"/>
        <v>9893.119999999999</v>
      </c>
      <c r="AA746" s="17">
        <v>36</v>
      </c>
      <c r="AB746" s="312">
        <f t="shared" ref="AB746:AB768" si="88">Z746/AA746</f>
        <v>274.80888888888887</v>
      </c>
      <c r="AC746" s="236"/>
      <c r="AD746" s="11">
        <v>2</v>
      </c>
      <c r="AE746" s="558">
        <f t="shared" si="85"/>
        <v>274.80888888888887</v>
      </c>
      <c r="AF746" s="567">
        <f t="shared" ref="AF746:AF768" si="89">0.0316*Z746-26.646</f>
        <v>285.97659199999998</v>
      </c>
      <c r="AO746" s="87"/>
      <c r="AP746" s="1"/>
      <c r="AR746" s="44"/>
    </row>
    <row r="747" spans="14:44" x14ac:dyDescent="0.25">
      <c r="P747" s="288"/>
      <c r="X747" s="606">
        <f t="shared" si="86"/>
        <v>44621</v>
      </c>
      <c r="Y747" s="318">
        <f t="shared" si="87"/>
        <v>104.69536000000001</v>
      </c>
      <c r="Z747" s="183">
        <f t="shared" si="87"/>
        <v>9689.25</v>
      </c>
      <c r="AA747" s="17">
        <v>38</v>
      </c>
      <c r="AB747" s="312">
        <f t="shared" si="88"/>
        <v>254.98026315789474</v>
      </c>
      <c r="AC747" s="236"/>
      <c r="AD747" s="11">
        <v>3</v>
      </c>
      <c r="AE747" s="558">
        <f t="shared" si="85"/>
        <v>254.98026315789474</v>
      </c>
      <c r="AF747" s="567">
        <f t="shared" si="89"/>
        <v>279.53430000000003</v>
      </c>
      <c r="AO747" s="87"/>
      <c r="AP747" s="1"/>
      <c r="AR747" s="44"/>
    </row>
    <row r="748" spans="14:44" x14ac:dyDescent="0.25">
      <c r="P748" s="288"/>
      <c r="X748" s="606">
        <f t="shared" si="86"/>
        <v>44652</v>
      </c>
      <c r="Y748" s="318">
        <f t="shared" si="87"/>
        <v>198.85866000000001</v>
      </c>
      <c r="Z748" s="183">
        <f t="shared" si="87"/>
        <v>9823.56</v>
      </c>
      <c r="AA748" s="17">
        <v>34</v>
      </c>
      <c r="AB748" s="312">
        <f t="shared" si="88"/>
        <v>288.92823529411766</v>
      </c>
      <c r="AC748" s="236"/>
      <c r="AD748" s="11">
        <v>4</v>
      </c>
      <c r="AE748" s="558">
        <f t="shared" si="85"/>
        <v>288.92823529411766</v>
      </c>
      <c r="AF748" s="567">
        <f t="shared" si="89"/>
        <v>283.77849600000002</v>
      </c>
      <c r="AO748" s="87"/>
      <c r="AP748" s="1"/>
      <c r="AR748" s="44"/>
    </row>
    <row r="749" spans="14:44" x14ac:dyDescent="0.25">
      <c r="P749" s="288"/>
      <c r="X749" s="606">
        <f t="shared" si="86"/>
        <v>44682</v>
      </c>
      <c r="Y749" s="318">
        <f t="shared" si="87"/>
        <v>265.41000000000003</v>
      </c>
      <c r="Z749" s="183">
        <f t="shared" si="87"/>
        <v>10503.89</v>
      </c>
      <c r="AA749" s="17">
        <v>34</v>
      </c>
      <c r="AB749" s="312">
        <f t="shared" si="88"/>
        <v>308.93794117647059</v>
      </c>
      <c r="AC749" s="236"/>
      <c r="AD749" s="11">
        <v>5</v>
      </c>
      <c r="AE749" s="558">
        <f t="shared" si="85"/>
        <v>308.93794117647059</v>
      </c>
      <c r="AF749" s="567">
        <f t="shared" si="89"/>
        <v>305.27692400000001</v>
      </c>
      <c r="AO749" s="87"/>
      <c r="AP749" s="1"/>
      <c r="AR749" s="44"/>
    </row>
    <row r="750" spans="14:44" x14ac:dyDescent="0.25">
      <c r="P750" s="288"/>
      <c r="X750" s="606">
        <f t="shared" si="86"/>
        <v>44713</v>
      </c>
      <c r="Y750" s="318">
        <f t="shared" si="87"/>
        <v>188.35893999999999</v>
      </c>
      <c r="Z750" s="183">
        <f t="shared" si="87"/>
        <v>9931.33</v>
      </c>
      <c r="AA750" s="17">
        <v>33</v>
      </c>
      <c r="AB750" s="312">
        <f t="shared" si="88"/>
        <v>300.94939393939393</v>
      </c>
      <c r="AC750" s="236"/>
      <c r="AD750" s="11">
        <v>6</v>
      </c>
      <c r="AE750" s="558">
        <f t="shared" si="85"/>
        <v>300.94939393939393</v>
      </c>
      <c r="AF750" s="567">
        <f t="shared" si="89"/>
        <v>287.18402800000001</v>
      </c>
      <c r="AO750" s="87"/>
      <c r="AP750" s="1"/>
      <c r="AR750" s="44"/>
    </row>
    <row r="751" spans="14:44" x14ac:dyDescent="0.25">
      <c r="P751" s="288"/>
      <c r="X751" s="606">
        <f t="shared" si="86"/>
        <v>44743</v>
      </c>
      <c r="Y751" s="318">
        <f t="shared" si="87"/>
        <v>177.69752000000003</v>
      </c>
      <c r="Z751" s="183">
        <f t="shared" si="87"/>
        <v>9668.73</v>
      </c>
      <c r="AA751" s="17">
        <v>33</v>
      </c>
      <c r="AB751" s="312">
        <f t="shared" si="88"/>
        <v>292.99181818181819</v>
      </c>
      <c r="AC751" s="236"/>
      <c r="AD751" s="11">
        <v>7</v>
      </c>
      <c r="AE751" s="558">
        <f t="shared" si="85"/>
        <v>292.99181818181819</v>
      </c>
      <c r="AF751" s="567">
        <f t="shared" si="89"/>
        <v>278.88586800000002</v>
      </c>
      <c r="AO751" s="87"/>
      <c r="AP751" s="1"/>
      <c r="AR751" s="44"/>
    </row>
    <row r="752" spans="14:44" x14ac:dyDescent="0.25">
      <c r="P752" s="288"/>
      <c r="X752" s="606">
        <f t="shared" si="86"/>
        <v>44774</v>
      </c>
      <c r="Y752" s="318">
        <f t="shared" si="87"/>
        <v>190.06218000000001</v>
      </c>
      <c r="Z752" s="183">
        <f t="shared" si="87"/>
        <v>9498.1299999999992</v>
      </c>
      <c r="AA752" s="17">
        <v>34</v>
      </c>
      <c r="AB752" s="312">
        <f t="shared" si="88"/>
        <v>279.35676470588231</v>
      </c>
      <c r="AC752" s="236"/>
      <c r="AD752" s="11">
        <v>8</v>
      </c>
      <c r="AE752" s="558">
        <f t="shared" si="85"/>
        <v>279.35676470588231</v>
      </c>
      <c r="AF752" s="567">
        <f t="shared" si="89"/>
        <v>273.49490800000001</v>
      </c>
      <c r="AO752" s="87"/>
      <c r="AP752" s="1"/>
      <c r="AR752" s="44"/>
    </row>
    <row r="753" spans="16:44" x14ac:dyDescent="0.25">
      <c r="P753" s="288"/>
      <c r="X753" s="606">
        <f t="shared" si="86"/>
        <v>44805</v>
      </c>
      <c r="Y753" s="318">
        <f t="shared" si="87"/>
        <v>118.91</v>
      </c>
      <c r="Z753" s="183">
        <f t="shared" si="87"/>
        <v>9284.99</v>
      </c>
      <c r="AA753" s="17">
        <v>35</v>
      </c>
      <c r="AB753" s="312">
        <f t="shared" si="88"/>
        <v>265.28542857142855</v>
      </c>
      <c r="AC753" s="236"/>
      <c r="AD753" s="11">
        <v>9</v>
      </c>
      <c r="AE753" s="558">
        <f t="shared" si="85"/>
        <v>265.28542857142855</v>
      </c>
      <c r="AF753" s="567">
        <f t="shared" si="89"/>
        <v>266.75968399999999</v>
      </c>
      <c r="AO753" s="87"/>
      <c r="AP753" s="1"/>
      <c r="AR753" s="44"/>
    </row>
    <row r="754" spans="16:44" x14ac:dyDescent="0.25">
      <c r="P754" s="288"/>
      <c r="X754" s="606">
        <f t="shared" si="86"/>
        <v>44835</v>
      </c>
      <c r="Y754" s="318">
        <f t="shared" si="87"/>
        <v>112</v>
      </c>
      <c r="Z754" s="183">
        <f t="shared" si="87"/>
        <v>9045.56</v>
      </c>
      <c r="AA754" s="17">
        <v>36</v>
      </c>
      <c r="AB754" s="312">
        <f t="shared" si="88"/>
        <v>251.26555555555555</v>
      </c>
      <c r="AC754" s="236"/>
      <c r="AD754" s="11">
        <v>10</v>
      </c>
      <c r="AE754" s="558">
        <f t="shared" si="85"/>
        <v>251.26555555555555</v>
      </c>
      <c r="AF754" s="567">
        <f t="shared" si="89"/>
        <v>259.19369599999999</v>
      </c>
      <c r="AO754" s="87"/>
      <c r="AP754" s="1"/>
      <c r="AR754" s="44"/>
    </row>
    <row r="755" spans="16:44" x14ac:dyDescent="0.25">
      <c r="P755" s="288"/>
      <c r="X755" s="606">
        <f t="shared" si="86"/>
        <v>44866</v>
      </c>
      <c r="Y755" s="318">
        <f t="shared" si="87"/>
        <v>151.82552000000001</v>
      </c>
      <c r="Z755" s="183">
        <f t="shared" si="87"/>
        <v>9676.81</v>
      </c>
      <c r="AA755" s="17">
        <v>36</v>
      </c>
      <c r="AB755" s="312">
        <f t="shared" si="88"/>
        <v>268.80027777777775</v>
      </c>
      <c r="AC755" s="236"/>
      <c r="AD755" s="11">
        <v>11</v>
      </c>
      <c r="AE755" s="558">
        <f t="shared" si="85"/>
        <v>268.80027777777775</v>
      </c>
      <c r="AF755" s="567">
        <f t="shared" si="89"/>
        <v>279.14119599999998</v>
      </c>
      <c r="AO755" s="87"/>
      <c r="AP755" s="1"/>
      <c r="AR755" s="44"/>
    </row>
    <row r="756" spans="16:44" x14ac:dyDescent="0.25">
      <c r="P756" s="288"/>
      <c r="X756" s="606">
        <f t="shared" si="86"/>
        <v>44896</v>
      </c>
      <c r="Y756" s="318">
        <f t="shared" si="87"/>
        <v>41.00712</v>
      </c>
      <c r="Z756" s="183">
        <f t="shared" si="87"/>
        <v>8577.93</v>
      </c>
      <c r="AA756" s="17">
        <v>35</v>
      </c>
      <c r="AB756" s="312">
        <f t="shared" si="88"/>
        <v>245.08371428571431</v>
      </c>
      <c r="AC756" s="236"/>
      <c r="AD756" s="11">
        <v>12</v>
      </c>
      <c r="AE756" s="558">
        <f t="shared" si="85"/>
        <v>245.08371428571431</v>
      </c>
      <c r="AF756" s="567">
        <f t="shared" si="89"/>
        <v>244.41658800000005</v>
      </c>
      <c r="AO756" s="87"/>
      <c r="AP756" s="1"/>
      <c r="AR756" s="44"/>
    </row>
    <row r="757" spans="16:44" x14ac:dyDescent="0.25">
      <c r="P757" s="288"/>
      <c r="X757" s="606">
        <f t="shared" si="86"/>
        <v>44927</v>
      </c>
      <c r="Y757" s="318">
        <f t="shared" si="87"/>
        <v>81.25</v>
      </c>
      <c r="Z757" s="183">
        <f t="shared" si="87"/>
        <v>8475</v>
      </c>
      <c r="AA757" s="17">
        <v>26</v>
      </c>
      <c r="AB757" s="312">
        <f t="shared" si="88"/>
        <v>325.96153846153845</v>
      </c>
      <c r="AC757" s="236"/>
      <c r="AD757" s="11">
        <v>13</v>
      </c>
      <c r="AE757" s="558">
        <f t="shared" si="85"/>
        <v>325.96153846153845</v>
      </c>
      <c r="AF757" s="567">
        <f t="shared" si="89"/>
        <v>241.16399999999999</v>
      </c>
      <c r="AO757" s="87"/>
      <c r="AP757" s="1"/>
      <c r="AR757" s="44"/>
    </row>
    <row r="758" spans="16:44" x14ac:dyDescent="0.25">
      <c r="P758" s="288"/>
      <c r="X758" s="606">
        <f t="shared" si="86"/>
        <v>44958</v>
      </c>
      <c r="Y758" s="318">
        <f t="shared" si="87"/>
        <v>104.56</v>
      </c>
      <c r="Z758" s="183">
        <f t="shared" si="87"/>
        <v>8802.64</v>
      </c>
      <c r="AA758" s="17">
        <v>33</v>
      </c>
      <c r="AB758" s="312">
        <f t="shared" si="88"/>
        <v>266.74666666666667</v>
      </c>
      <c r="AC758" s="236"/>
      <c r="AD758" s="11">
        <v>14</v>
      </c>
      <c r="AE758" s="558">
        <f t="shared" si="85"/>
        <v>266.74666666666667</v>
      </c>
      <c r="AF758" s="567">
        <f t="shared" si="89"/>
        <v>251.51742400000001</v>
      </c>
      <c r="AO758" s="87"/>
      <c r="AP758" s="1"/>
      <c r="AR758" s="44"/>
    </row>
    <row r="759" spans="16:44" x14ac:dyDescent="0.25">
      <c r="P759" s="288"/>
      <c r="X759" s="606">
        <f t="shared" si="86"/>
        <v>44986</v>
      </c>
      <c r="Y759" s="318">
        <f t="shared" si="87"/>
        <v>117.89</v>
      </c>
      <c r="Z759" s="183">
        <f t="shared" si="87"/>
        <v>9633.16</v>
      </c>
      <c r="AA759" s="17">
        <v>33</v>
      </c>
      <c r="AB759" s="312">
        <f t="shared" si="88"/>
        <v>291.91393939393942</v>
      </c>
      <c r="AC759" s="236"/>
      <c r="AD759" s="11">
        <v>15</v>
      </c>
      <c r="AE759" s="558">
        <f t="shared" si="85"/>
        <v>291.91393939393942</v>
      </c>
      <c r="AF759" s="567">
        <f t="shared" si="89"/>
        <v>277.76185600000002</v>
      </c>
      <c r="AO759" s="87"/>
      <c r="AP759" s="1"/>
      <c r="AR759" s="44"/>
    </row>
    <row r="760" spans="16:44" x14ac:dyDescent="0.25">
      <c r="P760" s="288"/>
      <c r="X760" s="606">
        <f t="shared" si="86"/>
        <v>45017</v>
      </c>
      <c r="Y760" s="318">
        <f t="shared" si="87"/>
        <v>214.56</v>
      </c>
      <c r="Z760" s="183">
        <f t="shared" si="87"/>
        <v>9796.5</v>
      </c>
      <c r="AA760" s="17">
        <v>33</v>
      </c>
      <c r="AB760" s="312">
        <f t="shared" si="88"/>
        <v>296.86363636363637</v>
      </c>
      <c r="AC760" s="236"/>
      <c r="AD760" s="11">
        <v>16</v>
      </c>
      <c r="AE760" s="558">
        <f t="shared" si="85"/>
        <v>296.86363636363637</v>
      </c>
      <c r="AF760" s="567">
        <f t="shared" si="89"/>
        <v>282.92340000000002</v>
      </c>
      <c r="AO760" s="87"/>
      <c r="AP760" s="1"/>
      <c r="AR760" s="44"/>
    </row>
    <row r="761" spans="16:44" x14ac:dyDescent="0.25">
      <c r="P761" s="288"/>
      <c r="X761" s="606">
        <f t="shared" si="86"/>
        <v>45047</v>
      </c>
      <c r="Y761" s="318">
        <f t="shared" si="87"/>
        <v>314.16000000000003</v>
      </c>
      <c r="Z761" s="183">
        <f t="shared" si="87"/>
        <v>11503.69</v>
      </c>
      <c r="AA761" s="17">
        <v>33</v>
      </c>
      <c r="AB761" s="312">
        <f t="shared" si="88"/>
        <v>348.59666666666669</v>
      </c>
      <c r="AC761" s="236"/>
      <c r="AD761" s="11">
        <v>17</v>
      </c>
      <c r="AE761" s="558">
        <f t="shared" si="85"/>
        <v>348.59666666666669</v>
      </c>
      <c r="AF761" s="567">
        <f t="shared" si="89"/>
        <v>336.87060400000001</v>
      </c>
      <c r="AO761" s="87"/>
      <c r="AP761" s="1"/>
      <c r="AR761" s="44"/>
    </row>
    <row r="762" spans="16:44" x14ac:dyDescent="0.25">
      <c r="P762" s="288"/>
      <c r="X762" s="606">
        <f t="shared" si="86"/>
        <v>45078</v>
      </c>
      <c r="Y762" s="318">
        <f t="shared" si="87"/>
        <v>199.52</v>
      </c>
      <c r="Z762" s="183">
        <f t="shared" si="87"/>
        <v>9636.34</v>
      </c>
      <c r="AA762" s="17">
        <v>33</v>
      </c>
      <c r="AB762" s="312">
        <f t="shared" si="88"/>
        <v>292.01030303030302</v>
      </c>
      <c r="AC762" s="236"/>
      <c r="AD762" s="11">
        <v>18</v>
      </c>
      <c r="AE762" s="558">
        <f t="shared" si="85"/>
        <v>292.01030303030302</v>
      </c>
      <c r="AF762" s="567">
        <f t="shared" si="89"/>
        <v>277.86234400000001</v>
      </c>
      <c r="AO762" s="87"/>
      <c r="AP762" s="1"/>
      <c r="AR762" s="44"/>
    </row>
    <row r="763" spans="16:44" x14ac:dyDescent="0.25">
      <c r="P763" s="288"/>
      <c r="X763" s="606">
        <f t="shared" si="86"/>
        <v>45108</v>
      </c>
      <c r="Y763" s="318">
        <f t="shared" si="87"/>
        <v>212.12</v>
      </c>
      <c r="Z763" s="183">
        <f t="shared" si="87"/>
        <v>10051.65</v>
      </c>
      <c r="AA763" s="17">
        <v>35</v>
      </c>
      <c r="AB763" s="312">
        <f t="shared" si="88"/>
        <v>287.19</v>
      </c>
      <c r="AC763" s="236"/>
      <c r="AD763" s="11">
        <v>19</v>
      </c>
      <c r="AE763" s="558">
        <f t="shared" si="85"/>
        <v>287.19</v>
      </c>
      <c r="AF763" s="567">
        <f t="shared" si="89"/>
        <v>290.98613999999998</v>
      </c>
      <c r="AO763" s="87"/>
      <c r="AP763" s="1"/>
      <c r="AR763" s="44"/>
    </row>
    <row r="764" spans="16:44" x14ac:dyDescent="0.25">
      <c r="P764" s="288"/>
      <c r="X764" s="606">
        <f t="shared" si="86"/>
        <v>45139</v>
      </c>
      <c r="Y764" s="318">
        <f t="shared" si="87"/>
        <v>112.32</v>
      </c>
      <c r="Z764" s="183">
        <f t="shared" si="87"/>
        <v>8620.61</v>
      </c>
      <c r="AA764" s="17">
        <v>35</v>
      </c>
      <c r="AB764" s="312">
        <f t="shared" si="88"/>
        <v>246.30314285714289</v>
      </c>
      <c r="AC764" s="236"/>
      <c r="AD764" s="11">
        <v>20</v>
      </c>
      <c r="AE764" s="558">
        <f t="shared" si="85"/>
        <v>246.30314285714289</v>
      </c>
      <c r="AF764" s="567">
        <f t="shared" si="89"/>
        <v>245.76527600000003</v>
      </c>
      <c r="AO764" s="87"/>
      <c r="AP764" s="1"/>
      <c r="AR764" s="44"/>
    </row>
    <row r="765" spans="16:44" x14ac:dyDescent="0.25">
      <c r="P765" s="288"/>
      <c r="X765" s="606">
        <f t="shared" si="86"/>
        <v>45170</v>
      </c>
      <c r="Y765" s="318">
        <f t="shared" si="87"/>
        <v>81.5</v>
      </c>
      <c r="Z765" s="183">
        <f t="shared" si="87"/>
        <v>9013.66</v>
      </c>
      <c r="AA765" s="17">
        <v>34</v>
      </c>
      <c r="AB765" s="312">
        <f t="shared" si="88"/>
        <v>265.10764705882355</v>
      </c>
      <c r="AC765" s="236"/>
      <c r="AD765" s="11">
        <v>21</v>
      </c>
      <c r="AE765" s="558">
        <f t="shared" si="85"/>
        <v>265.10764705882355</v>
      </c>
      <c r="AF765" s="567">
        <f t="shared" si="89"/>
        <v>258.18565599999999</v>
      </c>
      <c r="AO765" s="87"/>
      <c r="AP765" s="1"/>
      <c r="AR765" s="44"/>
    </row>
    <row r="766" spans="16:44" x14ac:dyDescent="0.25">
      <c r="P766" s="288"/>
      <c r="X766" s="606">
        <f t="shared" si="86"/>
        <v>45200</v>
      </c>
      <c r="Y766" s="318">
        <f t="shared" si="87"/>
        <v>70.14</v>
      </c>
      <c r="Z766" s="183">
        <f t="shared" si="87"/>
        <v>9003.9</v>
      </c>
      <c r="AA766" s="17">
        <v>35</v>
      </c>
      <c r="AB766" s="312">
        <f t="shared" si="88"/>
        <v>257.25428571428569</v>
      </c>
      <c r="AC766" s="236"/>
      <c r="AD766" s="11">
        <v>22</v>
      </c>
      <c r="AE766" s="558">
        <f t="shared" si="85"/>
        <v>257.25428571428569</v>
      </c>
      <c r="AF766" s="567">
        <f t="shared" si="89"/>
        <v>257.87724000000003</v>
      </c>
      <c r="AO766" s="87"/>
      <c r="AP766" s="1"/>
      <c r="AR766" s="44"/>
    </row>
    <row r="767" spans="16:44" x14ac:dyDescent="0.25">
      <c r="P767" s="288"/>
      <c r="X767" s="606">
        <f t="shared" si="86"/>
        <v>45231</v>
      </c>
      <c r="Y767" s="318">
        <f t="shared" si="87"/>
        <v>181.45</v>
      </c>
      <c r="Z767" s="183">
        <f t="shared" si="87"/>
        <v>10060.049999999999</v>
      </c>
      <c r="AA767" s="17">
        <v>35</v>
      </c>
      <c r="AB767" s="312">
        <f t="shared" si="88"/>
        <v>287.43</v>
      </c>
      <c r="AC767" s="236"/>
      <c r="AD767" s="11">
        <v>23</v>
      </c>
      <c r="AE767" s="558">
        <f t="shared" si="85"/>
        <v>287.43</v>
      </c>
      <c r="AF767" s="567">
        <f t="shared" si="89"/>
        <v>291.25157999999999</v>
      </c>
      <c r="AO767" s="87"/>
      <c r="AP767" s="1"/>
      <c r="AR767" s="44"/>
    </row>
    <row r="768" spans="16:44" x14ac:dyDescent="0.25">
      <c r="P768" s="288"/>
      <c r="X768" s="606">
        <f t="shared" si="86"/>
        <v>45261</v>
      </c>
      <c r="Y768" s="183">
        <f t="shared" si="87"/>
        <v>59.85</v>
      </c>
      <c r="Z768" s="183">
        <f t="shared" si="87"/>
        <v>8468.25</v>
      </c>
      <c r="AA768" s="17">
        <v>34</v>
      </c>
      <c r="AB768" s="312">
        <f t="shared" si="88"/>
        <v>249.06617647058823</v>
      </c>
      <c r="AC768" s="236"/>
      <c r="AD768" s="11">
        <v>24</v>
      </c>
      <c r="AE768" s="558">
        <f t="shared" si="85"/>
        <v>249.06617647058823</v>
      </c>
      <c r="AF768" s="567">
        <f t="shared" si="89"/>
        <v>240.95069999999998</v>
      </c>
      <c r="AO768" s="87"/>
      <c r="AP768" s="1"/>
      <c r="AR768" s="44"/>
    </row>
    <row r="769" spans="13:44" x14ac:dyDescent="0.25">
      <c r="Y769" s="297">
        <f>AVERAGE(Y745:Y768)</f>
        <v>144.58064083333332</v>
      </c>
      <c r="Z769" s="297">
        <f>AVERAGE(Z745:Z768)</f>
        <v>9472.2325000000001</v>
      </c>
      <c r="AA769" s="297">
        <f>AVERAGE(AA745:AA768)</f>
        <v>34.041666666666664</v>
      </c>
      <c r="AB769" s="297">
        <f>AVERAGE(AB745:AB768)</f>
        <v>279.20726429341926</v>
      </c>
      <c r="AO769" s="87"/>
      <c r="AP769" s="1"/>
      <c r="AR769" s="44"/>
    </row>
    <row r="770" spans="13:44" x14ac:dyDescent="0.25">
      <c r="Z770" s="655" t="s">
        <v>1015</v>
      </c>
      <c r="AA770" s="655"/>
      <c r="AB770" s="297">
        <f>SUM(AB745:AB756)</f>
        <v>3286.5303403584721</v>
      </c>
    </row>
    <row r="771" spans="13:44" x14ac:dyDescent="0.25">
      <c r="Z771" s="655" t="s">
        <v>1016</v>
      </c>
      <c r="AA771" s="655"/>
      <c r="AB771" s="568">
        <f>SUM(AB757:AB768)</f>
        <v>3414.4440026835914</v>
      </c>
      <c r="AC771" s="368" t="s">
        <v>446</v>
      </c>
    </row>
    <row r="772" spans="13:44" x14ac:dyDescent="0.25">
      <c r="Z772" s="655" t="s">
        <v>1017</v>
      </c>
      <c r="AA772" s="655"/>
      <c r="AB772" s="297">
        <f>AVERAGE(AB770:AB771)</f>
        <v>3350.487171521032</v>
      </c>
    </row>
    <row r="776" spans="13:44" x14ac:dyDescent="0.25">
      <c r="AD776" s="22"/>
    </row>
    <row r="777" spans="13:44" x14ac:dyDescent="0.25">
      <c r="S777" s="522">
        <v>34</v>
      </c>
      <c r="T777" t="s">
        <v>891</v>
      </c>
      <c r="U777">
        <v>340</v>
      </c>
      <c r="V777" t="s">
        <v>466</v>
      </c>
      <c r="W777">
        <v>6</v>
      </c>
      <c r="X777" s="691" t="s">
        <v>893</v>
      </c>
      <c r="Y777" s="691"/>
      <c r="Z777" s="691"/>
      <c r="AA777" s="691"/>
      <c r="AB777" s="691"/>
    </row>
    <row r="778" spans="13:44" x14ac:dyDescent="0.25">
      <c r="S778" s="579">
        <f>S784/$S$777</f>
        <v>3360.8273529411767</v>
      </c>
      <c r="T778" t="s">
        <v>953</v>
      </c>
      <c r="U778">
        <v>2997.44</v>
      </c>
      <c r="V778" t="s">
        <v>957</v>
      </c>
    </row>
    <row r="779" spans="13:44" x14ac:dyDescent="0.25">
      <c r="S779" s="579">
        <f>S785/$S$777</f>
        <v>3954.649597253861</v>
      </c>
      <c r="T779" t="s">
        <v>958</v>
      </c>
      <c r="U779">
        <v>973.84</v>
      </c>
      <c r="V779" t="s">
        <v>957</v>
      </c>
      <c r="X779" t="s">
        <v>894</v>
      </c>
    </row>
    <row r="780" spans="13:44" x14ac:dyDescent="0.25">
      <c r="M780" s="655" t="s">
        <v>959</v>
      </c>
      <c r="N780" s="655"/>
      <c r="O780" s="22">
        <f>SUM(M788:M799)</f>
        <v>114268.13</v>
      </c>
      <c r="S780" s="522"/>
      <c r="T780" t="s">
        <v>960</v>
      </c>
      <c r="U780">
        <v>697.92</v>
      </c>
      <c r="V780" t="s">
        <v>957</v>
      </c>
    </row>
    <row r="781" spans="13:44" x14ac:dyDescent="0.25">
      <c r="M781" s="655" t="s">
        <v>961</v>
      </c>
      <c r="N781" s="655"/>
      <c r="O781" s="22">
        <f>SUM(M800:M810)</f>
        <v>104597.2</v>
      </c>
      <c r="S781" s="580">
        <f>SUM(S778:S780)</f>
        <v>7315.4769501950377</v>
      </c>
      <c r="T781" t="s">
        <v>962</v>
      </c>
      <c r="U781">
        <f>SUM(U778:U780)</f>
        <v>4669.2</v>
      </c>
      <c r="V781" t="s">
        <v>957</v>
      </c>
      <c r="AA781" s="32" t="s">
        <v>937</v>
      </c>
      <c r="AB781" t="s">
        <v>963</v>
      </c>
      <c r="AD781" t="s">
        <v>935</v>
      </c>
      <c r="AE781" t="s">
        <v>940</v>
      </c>
      <c r="AF781" s="537">
        <f>AB788</f>
        <v>457.97401143953124</v>
      </c>
      <c r="AG781" s="537"/>
    </row>
    <row r="782" spans="13:44" x14ac:dyDescent="0.25">
      <c r="S782" s="522"/>
      <c r="AA782" s="32" t="s">
        <v>931</v>
      </c>
      <c r="AB782" t="s">
        <v>932</v>
      </c>
      <c r="AE782" s="32" t="s">
        <v>937</v>
      </c>
      <c r="AF782">
        <f>M788</f>
        <v>8674.83</v>
      </c>
    </row>
    <row r="783" spans="13:44" x14ac:dyDescent="0.25">
      <c r="N783" t="s">
        <v>964</v>
      </c>
      <c r="S783" s="522"/>
      <c r="AA783" s="32" t="s">
        <v>965</v>
      </c>
      <c r="AB783" t="s">
        <v>966</v>
      </c>
      <c r="AE783" s="1" t="s">
        <v>1035</v>
      </c>
      <c r="AF783" s="23">
        <f>AF782/AF781</f>
        <v>18.941751678731194</v>
      </c>
      <c r="AG783" s="23"/>
      <c r="AH783" s="265"/>
    </row>
    <row r="784" spans="13:44" x14ac:dyDescent="0.25">
      <c r="R784" s="579">
        <f>$S$777*S778</f>
        <v>114268.13</v>
      </c>
      <c r="S784" s="581">
        <f>L812</f>
        <v>114268.13</v>
      </c>
      <c r="T784" t="s">
        <v>949</v>
      </c>
      <c r="U784" s="23">
        <f>U778*$U$777</f>
        <v>1019129.6</v>
      </c>
      <c r="V784" t="s">
        <v>967</v>
      </c>
      <c r="AA784" s="32" t="s">
        <v>968</v>
      </c>
      <c r="AH784" s="265"/>
    </row>
    <row r="785" spans="13:42" x14ac:dyDescent="0.25">
      <c r="R785" s="579">
        <f>$S$777*S779</f>
        <v>134458.08630663127</v>
      </c>
      <c r="S785" s="581">
        <f>P812</f>
        <v>134458.08630663127</v>
      </c>
      <c r="T785" t="s">
        <v>950</v>
      </c>
      <c r="U785" s="23">
        <f>U779*$U$777</f>
        <v>331105.60000000003</v>
      </c>
      <c r="V785" t="s">
        <v>967</v>
      </c>
      <c r="Z785" s="1" t="s">
        <v>969</v>
      </c>
      <c r="AF785" t="s">
        <v>1060</v>
      </c>
      <c r="AH785" s="265"/>
    </row>
    <row r="786" spans="13:42" x14ac:dyDescent="0.25">
      <c r="M786" s="1" t="s">
        <v>1021</v>
      </c>
      <c r="N786" s="1" t="s">
        <v>979</v>
      </c>
      <c r="O786" s="1" t="s">
        <v>970</v>
      </c>
      <c r="R786" s="579">
        <f>$S$777*S780</f>
        <v>0</v>
      </c>
      <c r="S786" s="581"/>
      <c r="T786" t="s">
        <v>951</v>
      </c>
      <c r="U786" s="23">
        <f>U780*$U$777</f>
        <v>237292.79999999999</v>
      </c>
      <c r="V786" t="s">
        <v>967</v>
      </c>
      <c r="Z786" s="1" t="s">
        <v>971</v>
      </c>
      <c r="AA786" s="1" t="s">
        <v>972</v>
      </c>
      <c r="AB786" s="1" t="s">
        <v>973</v>
      </c>
      <c r="AD786" s="688" t="s">
        <v>3</v>
      </c>
      <c r="AE786" s="688" t="s">
        <v>974</v>
      </c>
      <c r="AF786" s="688" t="s">
        <v>942</v>
      </c>
      <c r="AH786" s="265"/>
    </row>
    <row r="787" spans="13:42" ht="30" x14ac:dyDescent="0.25">
      <c r="M787" s="45" t="s">
        <v>645</v>
      </c>
      <c r="N787" s="45" t="s">
        <v>645</v>
      </c>
      <c r="O787" s="45" t="s">
        <v>645</v>
      </c>
      <c r="R787" s="581">
        <f>SUM(R784:R786)</f>
        <v>248726.21630663128</v>
      </c>
      <c r="S787" s="581">
        <f>SUM(S784:S786)</f>
        <v>248726.21630663128</v>
      </c>
      <c r="T787" t="s">
        <v>952</v>
      </c>
      <c r="U787" s="23">
        <f>SUM(U784:U786)</f>
        <v>1587528</v>
      </c>
      <c r="V787" t="s">
        <v>967</v>
      </c>
      <c r="X787" s="45" t="str">
        <f>X744</f>
        <v>Mes</v>
      </c>
      <c r="Y787" s="45" t="str">
        <f>Y744</f>
        <v>Producción [m³/mes]</v>
      </c>
      <c r="Z787" s="45" t="str">
        <f>Z744</f>
        <v>Consumo [kWh/mes]</v>
      </c>
      <c r="AA787" s="45" t="str">
        <f>AA744</f>
        <v>Trabajadores</v>
      </c>
      <c r="AB787" s="45" t="str">
        <f>AB744</f>
        <v>kWh/trabajador</v>
      </c>
      <c r="AD787" s="688"/>
      <c r="AE787" s="688"/>
      <c r="AF787" s="688"/>
      <c r="AL787" s="259"/>
      <c r="AM787" s="265"/>
      <c r="AN787" s="259"/>
      <c r="AO787" s="255"/>
      <c r="AP787" s="259"/>
    </row>
    <row r="788" spans="13:42" x14ac:dyDescent="0.25">
      <c r="M788" s="569">
        <f t="shared" ref="M788:M811" si="90">Z745</f>
        <v>8674.83</v>
      </c>
      <c r="N788" s="569">
        <f>'Consumo Térmico de la empresa'!S26</f>
        <v>6896.2863889440605</v>
      </c>
      <c r="O788" s="569"/>
      <c r="X788" s="606">
        <f>X745</f>
        <v>44562</v>
      </c>
      <c r="Y788" s="318">
        <f>Y745</f>
        <v>72.344580000000008</v>
      </c>
      <c r="Z788" s="38">
        <f>M788+N788+O788</f>
        <v>15571.116388944061</v>
      </c>
      <c r="AA788" s="183">
        <f>AA745</f>
        <v>34</v>
      </c>
      <c r="AB788" s="312">
        <f>Z788/AA788</f>
        <v>457.97401143953124</v>
      </c>
      <c r="AC788" s="236"/>
      <c r="AD788" s="11">
        <v>1</v>
      </c>
      <c r="AE788" s="558">
        <f t="shared" ref="AE788:AE811" si="91">AB788</f>
        <v>457.97401143953124</v>
      </c>
      <c r="AF788" s="567">
        <f>0.0316*Z788-55.698</f>
        <v>436.34927789063238</v>
      </c>
      <c r="AO788" s="255"/>
      <c r="AP788" s="259"/>
    </row>
    <row r="789" spans="13:42" x14ac:dyDescent="0.25">
      <c r="M789" s="569">
        <f t="shared" si="90"/>
        <v>9893.119999999999</v>
      </c>
      <c r="N789" s="569">
        <f>'Consumo Térmico de la empresa'!S27</f>
        <v>8948.624527849368</v>
      </c>
      <c r="O789" s="569"/>
      <c r="X789" s="606">
        <f t="shared" ref="X789:X811" si="92">X746</f>
        <v>44593</v>
      </c>
      <c r="Y789" s="318">
        <f t="shared" ref="Y789:AA804" si="93">Y746</f>
        <v>99.44550000000001</v>
      </c>
      <c r="Z789" s="38">
        <f t="shared" ref="Z789:Z811" si="94">M789+N789+O789</f>
        <v>18841.744527849369</v>
      </c>
      <c r="AA789" s="183">
        <f t="shared" si="93"/>
        <v>36</v>
      </c>
      <c r="AB789" s="312">
        <f t="shared" ref="AB789:AB811" si="95">Z789/AA789</f>
        <v>523.38179244026026</v>
      </c>
      <c r="AC789" s="236"/>
      <c r="AD789" s="11">
        <v>2</v>
      </c>
      <c r="AE789" s="558">
        <f t="shared" si="91"/>
        <v>523.38179244026026</v>
      </c>
      <c r="AF789" s="567">
        <f t="shared" ref="AF789:AF811" si="96">0.0316*Z789-55.698</f>
        <v>539.70112708004012</v>
      </c>
      <c r="AO789" s="87"/>
      <c r="AP789" s="1"/>
    </row>
    <row r="790" spans="13:42" x14ac:dyDescent="0.25">
      <c r="M790" s="569">
        <f t="shared" si="90"/>
        <v>9689.25</v>
      </c>
      <c r="N790" s="569">
        <f>'Consumo Térmico de la empresa'!S28</f>
        <v>9345.7711945192113</v>
      </c>
      <c r="O790" s="569"/>
      <c r="X790" s="606">
        <f t="shared" si="92"/>
        <v>44621</v>
      </c>
      <c r="Y790" s="318">
        <f t="shared" si="93"/>
        <v>104.69536000000001</v>
      </c>
      <c r="Z790" s="38">
        <f t="shared" si="94"/>
        <v>19035.021194519213</v>
      </c>
      <c r="AA790" s="183">
        <f t="shared" si="93"/>
        <v>38</v>
      </c>
      <c r="AB790" s="312">
        <f t="shared" si="95"/>
        <v>500.92161038208457</v>
      </c>
      <c r="AC790" s="236"/>
      <c r="AD790" s="11">
        <v>3</v>
      </c>
      <c r="AE790" s="558">
        <f t="shared" si="91"/>
        <v>500.92161038208457</v>
      </c>
      <c r="AF790" s="567">
        <f t="shared" si="96"/>
        <v>545.80866974680725</v>
      </c>
      <c r="AO790" s="87"/>
      <c r="AP790" s="1"/>
    </row>
    <row r="791" spans="13:42" x14ac:dyDescent="0.25">
      <c r="M791" s="569">
        <f t="shared" si="90"/>
        <v>9823.56</v>
      </c>
      <c r="N791" s="569">
        <f>'Consumo Térmico de la empresa'!S29</f>
        <v>16474.553861242908</v>
      </c>
      <c r="O791" s="569"/>
      <c r="X791" s="606">
        <f t="shared" si="92"/>
        <v>44652</v>
      </c>
      <c r="Y791" s="318">
        <f t="shared" si="93"/>
        <v>198.85866000000001</v>
      </c>
      <c r="Z791" s="38">
        <f t="shared" si="94"/>
        <v>26298.113861242906</v>
      </c>
      <c r="AA791" s="183">
        <f t="shared" si="93"/>
        <v>34</v>
      </c>
      <c r="AB791" s="312">
        <f t="shared" si="95"/>
        <v>773.4739370953796</v>
      </c>
      <c r="AC791" s="236"/>
      <c r="AD791" s="11">
        <v>4</v>
      </c>
      <c r="AE791" s="558">
        <f t="shared" si="91"/>
        <v>773.4739370953796</v>
      </c>
      <c r="AF791" s="567">
        <f t="shared" si="96"/>
        <v>775.32239801527589</v>
      </c>
      <c r="AO791" s="87"/>
      <c r="AP791" s="1"/>
    </row>
    <row r="792" spans="13:42" x14ac:dyDescent="0.25">
      <c r="M792" s="569">
        <f t="shared" si="90"/>
        <v>10503.89</v>
      </c>
      <c r="N792" s="569">
        <f>'Consumo Térmico de la empresa'!S30</f>
        <v>15489.547389012809</v>
      </c>
      <c r="O792" s="569"/>
      <c r="X792" s="606">
        <f t="shared" si="92"/>
        <v>44682</v>
      </c>
      <c r="Y792" s="318">
        <f t="shared" si="93"/>
        <v>265.41000000000003</v>
      </c>
      <c r="Z792" s="38">
        <f t="shared" si="94"/>
        <v>25993.437389012808</v>
      </c>
      <c r="AA792" s="183">
        <f t="shared" si="93"/>
        <v>34</v>
      </c>
      <c r="AB792" s="312">
        <f t="shared" si="95"/>
        <v>764.51286438272962</v>
      </c>
      <c r="AC792" s="236"/>
      <c r="AD792" s="11">
        <v>5</v>
      </c>
      <c r="AE792" s="558">
        <f t="shared" si="91"/>
        <v>764.51286438272962</v>
      </c>
      <c r="AF792" s="567">
        <f t="shared" si="96"/>
        <v>765.6946214928048</v>
      </c>
      <c r="AO792" s="87"/>
      <c r="AP792" s="1"/>
    </row>
    <row r="793" spans="13:42" x14ac:dyDescent="0.25">
      <c r="M793" s="569">
        <f t="shared" si="90"/>
        <v>9931.33</v>
      </c>
      <c r="N793" s="569">
        <f>'Consumo Térmico de la empresa'!S31</f>
        <v>15679.433139014327</v>
      </c>
      <c r="O793" s="569"/>
      <c r="X793" s="606">
        <f t="shared" si="92"/>
        <v>44713</v>
      </c>
      <c r="Y793" s="318">
        <f t="shared" si="93"/>
        <v>188.35893999999999</v>
      </c>
      <c r="Z793" s="38">
        <f t="shared" si="94"/>
        <v>25610.763139014329</v>
      </c>
      <c r="AA793" s="183">
        <f t="shared" si="93"/>
        <v>33</v>
      </c>
      <c r="AB793" s="312">
        <f t="shared" si="95"/>
        <v>776.08373148528267</v>
      </c>
      <c r="AC793" s="236"/>
      <c r="AD793" s="11">
        <v>6</v>
      </c>
      <c r="AE793" s="558">
        <f t="shared" si="91"/>
        <v>776.08373148528267</v>
      </c>
      <c r="AF793" s="567">
        <f t="shared" si="96"/>
        <v>753.60211519285292</v>
      </c>
      <c r="AO793" s="87"/>
      <c r="AP793" s="1"/>
    </row>
    <row r="794" spans="13:42" x14ac:dyDescent="0.25">
      <c r="M794" s="569">
        <f t="shared" si="90"/>
        <v>9668.73</v>
      </c>
      <c r="N794" s="569">
        <f>'Consumo Térmico de la empresa'!S32</f>
        <v>14872.315277896758</v>
      </c>
      <c r="O794" s="569"/>
      <c r="X794" s="606">
        <f t="shared" si="92"/>
        <v>44743</v>
      </c>
      <c r="Y794" s="318">
        <f t="shared" si="93"/>
        <v>177.69752000000003</v>
      </c>
      <c r="Z794" s="38">
        <f t="shared" si="94"/>
        <v>24541.045277896759</v>
      </c>
      <c r="AA794" s="183">
        <f t="shared" si="93"/>
        <v>33</v>
      </c>
      <c r="AB794" s="312">
        <f t="shared" si="95"/>
        <v>743.66803872414425</v>
      </c>
      <c r="AC794" s="236"/>
      <c r="AD794" s="11">
        <v>7</v>
      </c>
      <c r="AE794" s="558">
        <f t="shared" si="91"/>
        <v>743.66803872414425</v>
      </c>
      <c r="AF794" s="567">
        <f t="shared" si="96"/>
        <v>719.79903078153768</v>
      </c>
      <c r="AO794" s="87"/>
      <c r="AP794" s="1"/>
    </row>
    <row r="795" spans="13:42" x14ac:dyDescent="0.25">
      <c r="M795" s="569">
        <f t="shared" si="90"/>
        <v>9498.1299999999992</v>
      </c>
      <c r="N795" s="569">
        <f>'Consumo Térmico de la empresa'!S33</f>
        <v>15808.505805682027</v>
      </c>
      <c r="O795" s="569"/>
      <c r="X795" s="606">
        <f t="shared" si="92"/>
        <v>44774</v>
      </c>
      <c r="Y795" s="318">
        <f t="shared" si="93"/>
        <v>190.06218000000001</v>
      </c>
      <c r="Z795" s="38">
        <f t="shared" si="94"/>
        <v>25306.635805682025</v>
      </c>
      <c r="AA795" s="183">
        <f t="shared" si="93"/>
        <v>34</v>
      </c>
      <c r="AB795" s="312">
        <f t="shared" si="95"/>
        <v>744.31281781417715</v>
      </c>
      <c r="AC795" s="236"/>
      <c r="AD795" s="11">
        <v>8</v>
      </c>
      <c r="AE795" s="558">
        <f t="shared" si="91"/>
        <v>744.31281781417715</v>
      </c>
      <c r="AF795" s="567">
        <f t="shared" si="96"/>
        <v>743.99169145955204</v>
      </c>
      <c r="AO795" s="87"/>
      <c r="AP795" s="1"/>
    </row>
    <row r="796" spans="13:42" x14ac:dyDescent="0.25">
      <c r="M796" s="569">
        <f t="shared" si="90"/>
        <v>9284.99</v>
      </c>
      <c r="N796" s="569">
        <f>'Consumo Térmico de la empresa'!S34</f>
        <v>6774.6602222764204</v>
      </c>
      <c r="O796" s="569"/>
      <c r="X796" s="606">
        <f t="shared" si="92"/>
        <v>44805</v>
      </c>
      <c r="Y796" s="318">
        <f t="shared" si="93"/>
        <v>118.91</v>
      </c>
      <c r="Z796" s="38">
        <f t="shared" si="94"/>
        <v>16059.650222276421</v>
      </c>
      <c r="AA796" s="183">
        <f t="shared" si="93"/>
        <v>35</v>
      </c>
      <c r="AB796" s="312">
        <f t="shared" si="95"/>
        <v>458.84714920789776</v>
      </c>
      <c r="AC796" s="236"/>
      <c r="AD796" s="11">
        <v>9</v>
      </c>
      <c r="AE796" s="558">
        <f t="shared" si="91"/>
        <v>458.84714920789776</v>
      </c>
      <c r="AF796" s="567">
        <f t="shared" si="96"/>
        <v>451.786947023935</v>
      </c>
      <c r="AO796" s="87"/>
      <c r="AP796" s="1"/>
    </row>
    <row r="797" spans="13:42" x14ac:dyDescent="0.25">
      <c r="M797" s="569">
        <f t="shared" si="90"/>
        <v>9045.56</v>
      </c>
      <c r="N797" s="569">
        <f>'Consumo Térmico de la empresa'!S35</f>
        <v>6730.3402778316204</v>
      </c>
      <c r="O797" s="569"/>
      <c r="X797" s="606">
        <f t="shared" si="92"/>
        <v>44835</v>
      </c>
      <c r="Y797" s="318">
        <f t="shared" si="93"/>
        <v>112</v>
      </c>
      <c r="Z797" s="38">
        <f t="shared" si="94"/>
        <v>15775.900277831621</v>
      </c>
      <c r="AA797" s="183">
        <f t="shared" si="93"/>
        <v>36</v>
      </c>
      <c r="AB797" s="312">
        <f t="shared" si="95"/>
        <v>438.21945216198947</v>
      </c>
      <c r="AC797" s="236"/>
      <c r="AD797" s="11">
        <v>10</v>
      </c>
      <c r="AE797" s="558">
        <f t="shared" si="91"/>
        <v>438.21945216198947</v>
      </c>
      <c r="AF797" s="567">
        <f t="shared" si="96"/>
        <v>442.82044877947931</v>
      </c>
      <c r="AO797" s="87"/>
      <c r="AP797" s="1"/>
    </row>
    <row r="798" spans="13:42" x14ac:dyDescent="0.25">
      <c r="M798" s="569">
        <f t="shared" si="90"/>
        <v>9676.81</v>
      </c>
      <c r="N798" s="569">
        <f>'Consumo Térmico de la empresa'!S36</f>
        <v>12914.29947232554</v>
      </c>
      <c r="O798" s="569"/>
      <c r="X798" s="606">
        <f t="shared" si="92"/>
        <v>44866</v>
      </c>
      <c r="Y798" s="318">
        <f t="shared" si="93"/>
        <v>151.82552000000001</v>
      </c>
      <c r="Z798" s="38">
        <f t="shared" si="94"/>
        <v>22591.109472325537</v>
      </c>
      <c r="AA798" s="183">
        <f t="shared" si="93"/>
        <v>36</v>
      </c>
      <c r="AB798" s="312">
        <f t="shared" si="95"/>
        <v>627.53081867570938</v>
      </c>
      <c r="AC798" s="236"/>
      <c r="AD798" s="11">
        <v>11</v>
      </c>
      <c r="AE798" s="558">
        <f t="shared" si="91"/>
        <v>627.53081867570938</v>
      </c>
      <c r="AF798" s="567">
        <f t="shared" si="96"/>
        <v>658.18105932548713</v>
      </c>
      <c r="AO798" s="87"/>
      <c r="AP798" s="1"/>
    </row>
    <row r="799" spans="13:42" x14ac:dyDescent="0.25">
      <c r="M799" s="569">
        <f t="shared" si="90"/>
        <v>8577.93</v>
      </c>
      <c r="N799" s="569">
        <f>'Consumo Térmico de la empresa'!S37</f>
        <v>4523.7487500361913</v>
      </c>
      <c r="O799" s="569"/>
      <c r="X799" s="606">
        <f t="shared" si="92"/>
        <v>44896</v>
      </c>
      <c r="Y799" s="318">
        <f t="shared" si="93"/>
        <v>41.00712</v>
      </c>
      <c r="Z799" s="38">
        <f t="shared" si="94"/>
        <v>13101.678750036192</v>
      </c>
      <c r="AA799" s="183">
        <f t="shared" si="93"/>
        <v>35</v>
      </c>
      <c r="AB799" s="312">
        <f t="shared" si="95"/>
        <v>374.33367857246259</v>
      </c>
      <c r="AC799" s="236"/>
      <c r="AD799" s="11">
        <v>12</v>
      </c>
      <c r="AE799" s="558">
        <f t="shared" si="91"/>
        <v>374.33367857246259</v>
      </c>
      <c r="AF799" s="567">
        <f t="shared" si="96"/>
        <v>358.31504850114374</v>
      </c>
      <c r="AO799" s="87"/>
      <c r="AP799" s="1"/>
    </row>
    <row r="800" spans="13:42" x14ac:dyDescent="0.25">
      <c r="M800" s="318">
        <f t="shared" si="90"/>
        <v>8475</v>
      </c>
      <c r="N800" s="318">
        <f>'Consumo Térmico de la empresa'!S56</f>
        <v>6440.754166718194</v>
      </c>
      <c r="O800" s="318"/>
      <c r="X800" s="606">
        <f t="shared" si="92"/>
        <v>44927</v>
      </c>
      <c r="Y800" s="318">
        <f t="shared" si="93"/>
        <v>81.25</v>
      </c>
      <c r="Z800" s="38">
        <f t="shared" si="94"/>
        <v>14915.754166718194</v>
      </c>
      <c r="AA800" s="183">
        <f t="shared" si="93"/>
        <v>26</v>
      </c>
      <c r="AB800" s="312">
        <f t="shared" si="95"/>
        <v>573.68285256608442</v>
      </c>
      <c r="AC800" s="236"/>
      <c r="AD800" s="11">
        <v>13</v>
      </c>
      <c r="AE800" s="558">
        <f t="shared" si="91"/>
        <v>573.68285256608442</v>
      </c>
      <c r="AF800" s="567">
        <f t="shared" si="96"/>
        <v>415.63983166829502</v>
      </c>
      <c r="AO800" s="87"/>
      <c r="AP800" s="1"/>
    </row>
    <row r="801" spans="12:42" x14ac:dyDescent="0.25">
      <c r="M801" s="318">
        <f t="shared" si="90"/>
        <v>8802.64</v>
      </c>
      <c r="N801" s="318">
        <f>'Consumo Térmico de la empresa'!S57</f>
        <v>8779.7825556257958</v>
      </c>
      <c r="O801" s="318"/>
      <c r="X801" s="606">
        <f t="shared" si="92"/>
        <v>44958</v>
      </c>
      <c r="Y801" s="318">
        <f t="shared" si="93"/>
        <v>104.56</v>
      </c>
      <c r="Z801" s="38">
        <f t="shared" si="94"/>
        <v>17582.422555625795</v>
      </c>
      <c r="AA801" s="183">
        <f t="shared" si="93"/>
        <v>33</v>
      </c>
      <c r="AB801" s="312">
        <f t="shared" si="95"/>
        <v>532.80068350381202</v>
      </c>
      <c r="AC801" s="236"/>
      <c r="AD801" s="11">
        <v>14</v>
      </c>
      <c r="AE801" s="558">
        <f t="shared" si="91"/>
        <v>532.80068350381202</v>
      </c>
      <c r="AF801" s="567">
        <f t="shared" si="96"/>
        <v>499.90655275777522</v>
      </c>
      <c r="AO801" s="87"/>
      <c r="AP801" s="1"/>
    </row>
    <row r="802" spans="12:42" x14ac:dyDescent="0.25">
      <c r="M802" s="318">
        <f t="shared" si="90"/>
        <v>9633.16</v>
      </c>
      <c r="N802" s="318">
        <f>'Consumo Térmico de la empresa'!S58</f>
        <v>9169.4358889622472</v>
      </c>
      <c r="O802" s="318"/>
      <c r="X802" s="606">
        <f t="shared" si="92"/>
        <v>44986</v>
      </c>
      <c r="Y802" s="318">
        <f t="shared" si="93"/>
        <v>117.89</v>
      </c>
      <c r="Z802" s="38">
        <f t="shared" si="94"/>
        <v>18802.595888962249</v>
      </c>
      <c r="AA802" s="183">
        <f t="shared" si="93"/>
        <v>33</v>
      </c>
      <c r="AB802" s="312">
        <f t="shared" si="95"/>
        <v>569.77563299885605</v>
      </c>
      <c r="AC802" s="236"/>
      <c r="AD802" s="11">
        <v>15</v>
      </c>
      <c r="AE802" s="558">
        <f t="shared" si="91"/>
        <v>569.77563299885605</v>
      </c>
      <c r="AF802" s="567">
        <f t="shared" si="96"/>
        <v>538.46403009120718</v>
      </c>
      <c r="AO802" s="87"/>
      <c r="AP802" s="1"/>
    </row>
    <row r="803" spans="12:42" x14ac:dyDescent="0.25">
      <c r="M803" s="318">
        <f t="shared" si="90"/>
        <v>9796.5</v>
      </c>
      <c r="N803" s="318">
        <f>'Consumo Térmico de la empresa'!S59</f>
        <v>16163.713222351536</v>
      </c>
      <c r="O803" s="318"/>
      <c r="X803" s="606">
        <f t="shared" si="92"/>
        <v>45017</v>
      </c>
      <c r="Y803" s="318">
        <f t="shared" si="93"/>
        <v>214.56</v>
      </c>
      <c r="Z803" s="38">
        <f t="shared" si="94"/>
        <v>25960.213222351536</v>
      </c>
      <c r="AA803" s="183">
        <f t="shared" si="93"/>
        <v>33</v>
      </c>
      <c r="AB803" s="312">
        <f t="shared" si="95"/>
        <v>786.67312795004659</v>
      </c>
      <c r="AC803" s="236"/>
      <c r="AD803" s="11">
        <v>16</v>
      </c>
      <c r="AE803" s="558">
        <f t="shared" si="91"/>
        <v>786.67312795004659</v>
      </c>
      <c r="AF803" s="567">
        <f t="shared" si="96"/>
        <v>764.64473782630864</v>
      </c>
      <c r="AO803" s="87"/>
      <c r="AP803" s="1"/>
    </row>
    <row r="804" spans="12:42" x14ac:dyDescent="0.25">
      <c r="M804" s="318">
        <f t="shared" si="90"/>
        <v>11503.69</v>
      </c>
      <c r="N804" s="318">
        <f>'Consumo Térmico de la empresa'!S60</f>
        <v>14174.397139002285</v>
      </c>
      <c r="O804" s="318"/>
      <c r="X804" s="606">
        <f t="shared" si="92"/>
        <v>45047</v>
      </c>
      <c r="Y804" s="318">
        <f t="shared" si="93"/>
        <v>314.16000000000003</v>
      </c>
      <c r="Z804" s="38">
        <f t="shared" si="94"/>
        <v>25678.087139002288</v>
      </c>
      <c r="AA804" s="183">
        <f t="shared" si="93"/>
        <v>33</v>
      </c>
      <c r="AB804" s="312">
        <f>Z804/AA804</f>
        <v>778.12385269703907</v>
      </c>
      <c r="AC804" s="236"/>
      <c r="AD804" s="11">
        <v>17</v>
      </c>
      <c r="AE804" s="558">
        <f t="shared" si="91"/>
        <v>778.12385269703907</v>
      </c>
      <c r="AF804" s="567">
        <f t="shared" si="96"/>
        <v>755.72955359247237</v>
      </c>
      <c r="AO804" s="87"/>
      <c r="AP804" s="1"/>
    </row>
    <row r="805" spans="12:42" x14ac:dyDescent="0.25">
      <c r="M805" s="318">
        <f t="shared" si="90"/>
        <v>9636.34</v>
      </c>
      <c r="N805" s="318">
        <f>'Consumo Térmico de la empresa'!S61</f>
        <v>13756.48379177672</v>
      </c>
      <c r="O805" s="318"/>
      <c r="X805" s="606">
        <f t="shared" si="92"/>
        <v>45078</v>
      </c>
      <c r="Y805" s="318">
        <f t="shared" ref="Y805:AA811" si="97">Y762</f>
        <v>199.52</v>
      </c>
      <c r="Z805" s="38">
        <f t="shared" si="94"/>
        <v>23392.823791776718</v>
      </c>
      <c r="AA805" s="183">
        <f t="shared" si="97"/>
        <v>33</v>
      </c>
      <c r="AB805" s="312">
        <f t="shared" si="95"/>
        <v>708.87344823565809</v>
      </c>
      <c r="AC805" s="236"/>
      <c r="AD805" s="11">
        <v>18</v>
      </c>
      <c r="AE805" s="558">
        <f t="shared" si="91"/>
        <v>708.87344823565809</v>
      </c>
      <c r="AF805" s="567">
        <f t="shared" si="96"/>
        <v>683.51523182014444</v>
      </c>
      <c r="AO805" s="87"/>
      <c r="AP805" s="1"/>
    </row>
    <row r="806" spans="12:42" x14ac:dyDescent="0.25">
      <c r="M806" s="318">
        <f t="shared" si="90"/>
        <v>10051.65</v>
      </c>
      <c r="N806" s="318">
        <f>'Consumo Térmico de la empresa'!S62</f>
        <v>14311.095833447824</v>
      </c>
      <c r="O806" s="318"/>
      <c r="X806" s="606">
        <f t="shared" si="92"/>
        <v>45108</v>
      </c>
      <c r="Y806" s="318">
        <f t="shared" si="97"/>
        <v>212.12</v>
      </c>
      <c r="Z806" s="38">
        <f t="shared" si="94"/>
        <v>24362.745833447821</v>
      </c>
      <c r="AA806" s="183">
        <f t="shared" si="97"/>
        <v>35</v>
      </c>
      <c r="AB806" s="312">
        <f t="shared" si="95"/>
        <v>696.07845238422351</v>
      </c>
      <c r="AC806" s="236"/>
      <c r="AD806" s="11">
        <v>19</v>
      </c>
      <c r="AE806" s="558">
        <f t="shared" si="91"/>
        <v>696.07845238422351</v>
      </c>
      <c r="AF806" s="567">
        <f t="shared" si="96"/>
        <v>714.16476833695128</v>
      </c>
      <c r="AO806" s="87"/>
      <c r="AP806" s="1"/>
    </row>
    <row r="807" spans="12:42" x14ac:dyDescent="0.25">
      <c r="M807" s="318">
        <f t="shared" si="90"/>
        <v>8620.61</v>
      </c>
      <c r="N807" s="318">
        <f>'Consumo Térmico de la empresa'!S63</f>
        <v>15211.958416788366</v>
      </c>
      <c r="O807" s="318"/>
      <c r="X807" s="606">
        <f t="shared" si="92"/>
        <v>45139</v>
      </c>
      <c r="Y807" s="318">
        <f t="shared" si="97"/>
        <v>112.32</v>
      </c>
      <c r="Z807" s="38">
        <f t="shared" si="94"/>
        <v>23832.568416788366</v>
      </c>
      <c r="AA807" s="183">
        <f t="shared" si="97"/>
        <v>35</v>
      </c>
      <c r="AB807" s="312">
        <f t="shared" si="95"/>
        <v>680.93052619395337</v>
      </c>
      <c r="AC807" s="236"/>
      <c r="AD807" s="11">
        <v>20</v>
      </c>
      <c r="AE807" s="558">
        <f t="shared" si="91"/>
        <v>680.93052619395337</v>
      </c>
      <c r="AF807" s="567">
        <f t="shared" si="96"/>
        <v>697.41116197051247</v>
      </c>
      <c r="AO807" s="87"/>
      <c r="AP807" s="1"/>
    </row>
    <row r="808" spans="12:42" x14ac:dyDescent="0.25">
      <c r="M808" s="318">
        <f t="shared" si="90"/>
        <v>9013.66</v>
      </c>
      <c r="N808" s="318">
        <f>'Consumo Térmico de la empresa'!S64</f>
        <v>6519.0126667188197</v>
      </c>
      <c r="O808" s="318"/>
      <c r="X808" s="606">
        <f t="shared" si="92"/>
        <v>45170</v>
      </c>
      <c r="Y808" s="318">
        <f t="shared" si="97"/>
        <v>81.5</v>
      </c>
      <c r="Z808" s="38">
        <f t="shared" si="94"/>
        <v>15532.67266671882</v>
      </c>
      <c r="AA808" s="183">
        <f t="shared" si="97"/>
        <v>34</v>
      </c>
      <c r="AB808" s="312">
        <f t="shared" si="95"/>
        <v>456.84331372702411</v>
      </c>
      <c r="AC808" s="236"/>
      <c r="AD808" s="11">
        <v>21</v>
      </c>
      <c r="AE808" s="558">
        <f t="shared" si="91"/>
        <v>456.84331372702411</v>
      </c>
      <c r="AF808" s="567">
        <f t="shared" si="96"/>
        <v>435.13445626831475</v>
      </c>
      <c r="AO808" s="87"/>
      <c r="AP808" s="1"/>
    </row>
    <row r="809" spans="12:42" x14ac:dyDescent="0.25">
      <c r="M809" s="318">
        <f t="shared" si="90"/>
        <v>9003.9</v>
      </c>
      <c r="N809" s="318">
        <f>'Consumo Térmico de la empresa'!S65</f>
        <v>6460.6583333850194</v>
      </c>
      <c r="O809" s="318"/>
      <c r="X809" s="606">
        <f t="shared" si="92"/>
        <v>45200</v>
      </c>
      <c r="Y809" s="318">
        <f t="shared" si="97"/>
        <v>70.14</v>
      </c>
      <c r="Z809" s="38">
        <f t="shared" si="94"/>
        <v>15464.558333385019</v>
      </c>
      <c r="AA809" s="183">
        <f t="shared" si="97"/>
        <v>35</v>
      </c>
      <c r="AB809" s="312">
        <f t="shared" si="95"/>
        <v>441.84452381100056</v>
      </c>
      <c r="AC809" s="236"/>
      <c r="AD809" s="11">
        <v>22</v>
      </c>
      <c r="AE809" s="558">
        <f t="shared" si="91"/>
        <v>441.84452381100056</v>
      </c>
      <c r="AF809" s="567">
        <f t="shared" si="96"/>
        <v>432.98204333496665</v>
      </c>
      <c r="AO809" s="87"/>
      <c r="AP809" s="1"/>
    </row>
    <row r="810" spans="12:42" x14ac:dyDescent="0.25">
      <c r="M810" s="318">
        <f t="shared" si="90"/>
        <v>10060.049999999999</v>
      </c>
      <c r="N810" s="318">
        <f>'Consumo Térmico de la empresa'!S66</f>
        <v>12426.967416766085</v>
      </c>
      <c r="O810" s="318"/>
      <c r="X810" s="606">
        <f t="shared" si="92"/>
        <v>45231</v>
      </c>
      <c r="Y810" s="318">
        <f t="shared" si="97"/>
        <v>181.45</v>
      </c>
      <c r="Z810" s="38">
        <f t="shared" si="94"/>
        <v>22487.017416766084</v>
      </c>
      <c r="AA810" s="183">
        <f t="shared" si="97"/>
        <v>35</v>
      </c>
      <c r="AB810" s="312">
        <f t="shared" si="95"/>
        <v>642.48621190760241</v>
      </c>
      <c r="AC810" s="236"/>
      <c r="AD810" s="11">
        <v>23</v>
      </c>
      <c r="AE810" s="558">
        <f t="shared" si="91"/>
        <v>642.48621190760241</v>
      </c>
      <c r="AF810" s="567">
        <f t="shared" si="96"/>
        <v>654.89175036980839</v>
      </c>
      <c r="AO810" s="87"/>
      <c r="AP810" s="1"/>
    </row>
    <row r="811" spans="12:42" x14ac:dyDescent="0.25">
      <c r="M811" s="318">
        <f t="shared" si="90"/>
        <v>8468.25</v>
      </c>
      <c r="N811" s="318">
        <f>'Consumo Térmico de la empresa'!S67</f>
        <v>4353.0412500348248</v>
      </c>
      <c r="O811" s="318"/>
      <c r="X811" s="606">
        <f t="shared" si="92"/>
        <v>45261</v>
      </c>
      <c r="Y811" s="318">
        <f t="shared" si="97"/>
        <v>59.85</v>
      </c>
      <c r="Z811" s="38">
        <f t="shared" si="94"/>
        <v>12821.291250034825</v>
      </c>
      <c r="AA811" s="183">
        <f t="shared" si="97"/>
        <v>34</v>
      </c>
      <c r="AB811" s="312">
        <f t="shared" si="95"/>
        <v>377.09680147161248</v>
      </c>
      <c r="AC811" s="236"/>
      <c r="AD811" s="11">
        <v>24</v>
      </c>
      <c r="AE811" s="558">
        <f t="shared" si="91"/>
        <v>377.09680147161248</v>
      </c>
      <c r="AF811" s="567">
        <f t="shared" si="96"/>
        <v>349.45480350110051</v>
      </c>
      <c r="AO811" s="87"/>
      <c r="AP811" s="1"/>
    </row>
    <row r="812" spans="12:42" x14ac:dyDescent="0.25">
      <c r="L812" s="22">
        <f>SUM(M788:M799)</f>
        <v>114268.13</v>
      </c>
      <c r="M812" s="571">
        <f>SUM(M788:M811)</f>
        <v>227333.58000000002</v>
      </c>
      <c r="N812" s="571">
        <f>SUM(N788:N811)</f>
        <v>262225.38698820898</v>
      </c>
      <c r="O812" s="22">
        <f>SUM(O788:O811)</f>
        <v>0</v>
      </c>
      <c r="P812" s="22">
        <f>SUM(N788:N799)</f>
        <v>134458.08630663127</v>
      </c>
      <c r="Y812" s="297">
        <f>AVERAGE(Y788:Y811)</f>
        <v>144.58064083333332</v>
      </c>
      <c r="Z812" s="297">
        <f>AVERAGE(Z788:Z811)</f>
        <v>20398.290291175374</v>
      </c>
      <c r="AA812" s="297">
        <f>AVERAGE(AA788:AA811)</f>
        <v>34.041666666666664</v>
      </c>
      <c r="AB812" s="297">
        <f>AVERAGE(AB788:AB811)</f>
        <v>601.18622207619012</v>
      </c>
      <c r="AO812" s="87"/>
      <c r="AP812" s="1"/>
    </row>
    <row r="813" spans="12:42" x14ac:dyDescent="0.25">
      <c r="M813" s="46">
        <f>SUM(M800:M811)</f>
        <v>113065.45</v>
      </c>
      <c r="N813" s="46">
        <f>SUM(N800:N811)</f>
        <v>127767.3006815777</v>
      </c>
      <c r="O813" s="87">
        <f>SUM(O800:O811)</f>
        <v>0</v>
      </c>
      <c r="U813">
        <v>2997.44</v>
      </c>
      <c r="V813" s="43">
        <f>U813/12</f>
        <v>249.78666666666666</v>
      </c>
      <c r="W813" t="s">
        <v>975</v>
      </c>
      <c r="Z813" s="655" t="s">
        <v>1015</v>
      </c>
      <c r="AA813" s="655"/>
      <c r="AB813" s="297">
        <f>SUM(AB788:AB799)</f>
        <v>7183.2599023816483</v>
      </c>
    </row>
    <row r="814" spans="12:42" x14ac:dyDescent="0.25">
      <c r="M814" s="87">
        <f>S784/12</f>
        <v>9522.3441666666677</v>
      </c>
      <c r="N814" s="87">
        <f>S785/12</f>
        <v>11204.840525552607</v>
      </c>
      <c r="O814" s="87">
        <f>U786/12</f>
        <v>19774.399999999998</v>
      </c>
      <c r="U814">
        <v>973.84</v>
      </c>
      <c r="V814" s="43">
        <f>U814/12</f>
        <v>81.153333333333336</v>
      </c>
      <c r="W814" t="s">
        <v>976</v>
      </c>
      <c r="Z814" s="655" t="s">
        <v>1016</v>
      </c>
      <c r="AA814" s="655"/>
      <c r="AB814" s="568">
        <f>SUM(AB800:AB811)</f>
        <v>7245.2094274469137</v>
      </c>
      <c r="AC814" s="368" t="s">
        <v>446</v>
      </c>
    </row>
    <row r="815" spans="12:42" x14ac:dyDescent="0.25">
      <c r="U815">
        <v>697.92</v>
      </c>
      <c r="V815" s="43">
        <f>U815/12</f>
        <v>58.16</v>
      </c>
      <c r="W815" t="s">
        <v>977</v>
      </c>
      <c r="Z815" s="655" t="s">
        <v>1017</v>
      </c>
      <c r="AA815" s="655"/>
      <c r="AB815" s="297">
        <f>AVERAGE(AB813:AB814)</f>
        <v>7214.234664914281</v>
      </c>
    </row>
    <row r="816" spans="12:42" x14ac:dyDescent="0.25">
      <c r="U816">
        <f>SUM(U813:U815)</f>
        <v>4669.2</v>
      </c>
      <c r="V816">
        <f>SUM(V813:V815)</f>
        <v>389.1</v>
      </c>
      <c r="W816" t="s">
        <v>978</v>
      </c>
    </row>
    <row r="817" spans="4:28" x14ac:dyDescent="0.25">
      <c r="Q817" t="s">
        <v>1139</v>
      </c>
    </row>
    <row r="819" spans="4:28" x14ac:dyDescent="0.25">
      <c r="T819" t="s">
        <v>944</v>
      </c>
      <c r="U819">
        <v>9000</v>
      </c>
      <c r="V819" t="s">
        <v>980</v>
      </c>
    </row>
    <row r="820" spans="4:28" x14ac:dyDescent="0.25">
      <c r="O820" s="582" t="s">
        <v>981</v>
      </c>
      <c r="P820" s="1"/>
      <c r="Q820" s="582" t="s">
        <v>982</v>
      </c>
      <c r="R820" s="522"/>
      <c r="S820" s="1" t="s">
        <v>981</v>
      </c>
      <c r="T820" s="1"/>
      <c r="U820" s="1" t="s">
        <v>982</v>
      </c>
      <c r="V820" s="1"/>
    </row>
    <row r="821" spans="4:28" x14ac:dyDescent="0.25">
      <c r="O821" s="583">
        <f>Q821/12</f>
        <v>1.0580382407407407</v>
      </c>
      <c r="P821" s="1" t="s">
        <v>945</v>
      </c>
      <c r="Q821" s="626">
        <f>Q827/$U$819</f>
        <v>12.696458888888889</v>
      </c>
      <c r="R821" s="582" t="s">
        <v>983</v>
      </c>
      <c r="S821" s="624">
        <f>U821/12</f>
        <v>2.0508333333333333</v>
      </c>
      <c r="T821" s="1" t="s">
        <v>945</v>
      </c>
      <c r="U821" s="625">
        <v>24.61</v>
      </c>
      <c r="V821" s="546" t="s">
        <v>983</v>
      </c>
      <c r="W821">
        <v>7</v>
      </c>
      <c r="X821" s="691" t="s">
        <v>943</v>
      </c>
      <c r="Y821" s="691"/>
      <c r="Z821" s="691"/>
      <c r="AA821" s="691"/>
      <c r="AB821" s="691"/>
    </row>
    <row r="822" spans="4:28" x14ac:dyDescent="0.25">
      <c r="O822" s="583">
        <f>Q822/12</f>
        <v>1.2449822806169564</v>
      </c>
      <c r="P822" s="1" t="s">
        <v>946</v>
      </c>
      <c r="Q822" s="626">
        <f>Q828/$U$819</f>
        <v>14.939787367403476</v>
      </c>
      <c r="R822" s="582" t="s">
        <v>983</v>
      </c>
      <c r="S822" s="624">
        <f>U822/12</f>
        <v>0.6875</v>
      </c>
      <c r="T822" s="1" t="s">
        <v>946</v>
      </c>
      <c r="U822" s="546">
        <v>8.25</v>
      </c>
      <c r="V822" s="546" t="s">
        <v>983</v>
      </c>
    </row>
    <row r="823" spans="4:28" x14ac:dyDescent="0.25">
      <c r="O823" s="583">
        <f>Q823/12</f>
        <v>0</v>
      </c>
      <c r="P823" s="1" t="s">
        <v>947</v>
      </c>
      <c r="Q823" s="585">
        <f>Q829/$U$819</f>
        <v>0</v>
      </c>
      <c r="R823" s="582" t="s">
        <v>983</v>
      </c>
      <c r="S823" s="624">
        <f>U823/12</f>
        <v>0.4975</v>
      </c>
      <c r="T823" s="1" t="s">
        <v>947</v>
      </c>
      <c r="U823" s="546">
        <v>5.97</v>
      </c>
      <c r="V823" s="546" t="s">
        <v>983</v>
      </c>
      <c r="X823" t="s">
        <v>984</v>
      </c>
    </row>
    <row r="824" spans="4:28" x14ac:dyDescent="0.25">
      <c r="O824" s="583">
        <f>Q824/12</f>
        <v>2.3030205213576971</v>
      </c>
      <c r="P824" s="1" t="s">
        <v>948</v>
      </c>
      <c r="Q824" s="626">
        <f>Q830/$U$819</f>
        <v>27.636246256292363</v>
      </c>
      <c r="R824" s="582" t="s">
        <v>983</v>
      </c>
      <c r="S824" s="624">
        <f>U824/12</f>
        <v>3.2383333333333333</v>
      </c>
      <c r="T824" s="1" t="s">
        <v>948</v>
      </c>
      <c r="U824" s="546">
        <v>38.86</v>
      </c>
      <c r="V824" s="546" t="s">
        <v>983</v>
      </c>
    </row>
    <row r="825" spans="4:28" x14ac:dyDescent="0.25">
      <c r="O825" s="583"/>
      <c r="P825" s="1"/>
      <c r="Q825" s="582"/>
      <c r="R825" s="582"/>
      <c r="S825" s="624"/>
      <c r="T825" s="1"/>
      <c r="U825" s="546"/>
      <c r="V825" s="546"/>
      <c r="AA825" t="s">
        <v>985</v>
      </c>
    </row>
    <row r="826" spans="4:28" x14ac:dyDescent="0.25">
      <c r="O826" s="583"/>
      <c r="P826" s="1"/>
      <c r="Q826" s="582" t="s">
        <v>982</v>
      </c>
      <c r="R826" s="582"/>
      <c r="S826" s="624"/>
      <c r="T826" s="1"/>
      <c r="U826" s="546" t="s">
        <v>982</v>
      </c>
      <c r="V826" s="546"/>
      <c r="AA826" t="s">
        <v>986</v>
      </c>
    </row>
    <row r="827" spans="4:28" x14ac:dyDescent="0.25">
      <c r="O827" s="584">
        <f>O821*$U$819</f>
        <v>9522.3441666666658</v>
      </c>
      <c r="P827" s="1" t="s">
        <v>949</v>
      </c>
      <c r="Q827" s="584">
        <f>L812</f>
        <v>114268.13</v>
      </c>
      <c r="R827" s="582" t="s">
        <v>967</v>
      </c>
      <c r="S827" s="623">
        <f>S821*$U$819</f>
        <v>18457.5</v>
      </c>
      <c r="T827" s="1" t="s">
        <v>949</v>
      </c>
      <c r="U827" s="623">
        <f>U821*$U$819</f>
        <v>221490</v>
      </c>
      <c r="V827" s="546" t="s">
        <v>967</v>
      </c>
      <c r="AA827" t="s">
        <v>987</v>
      </c>
    </row>
    <row r="828" spans="4:28" x14ac:dyDescent="0.25">
      <c r="O828" s="584">
        <f>O822*$U$819</f>
        <v>11204.840525552607</v>
      </c>
      <c r="P828" s="1" t="s">
        <v>950</v>
      </c>
      <c r="Q828" s="584">
        <f>P812</f>
        <v>134458.08630663127</v>
      </c>
      <c r="R828" s="582" t="s">
        <v>967</v>
      </c>
      <c r="S828" s="623">
        <f>S822*$U$819</f>
        <v>6187.5</v>
      </c>
      <c r="T828" s="1" t="s">
        <v>950</v>
      </c>
      <c r="U828" s="623">
        <f>U822*$U$819</f>
        <v>74250</v>
      </c>
      <c r="V828" s="546" t="s">
        <v>967</v>
      </c>
    </row>
    <row r="829" spans="4:28" x14ac:dyDescent="0.25">
      <c r="O829" s="584">
        <f>O823*$U$819</f>
        <v>0</v>
      </c>
      <c r="P829" s="1" t="s">
        <v>951</v>
      </c>
      <c r="Q829" s="584"/>
      <c r="R829" s="582" t="s">
        <v>967</v>
      </c>
      <c r="S829" s="623">
        <f>S823*$U$819</f>
        <v>4477.5</v>
      </c>
      <c r="T829" s="1" t="s">
        <v>951</v>
      </c>
      <c r="U829" s="623">
        <f>U823*$U$819</f>
        <v>53730</v>
      </c>
      <c r="V829" s="546" t="s">
        <v>967</v>
      </c>
      <c r="X829" t="s">
        <v>988</v>
      </c>
      <c r="Y829">
        <v>24.61</v>
      </c>
      <c r="Z829" t="s">
        <v>983</v>
      </c>
    </row>
    <row r="830" spans="4:28" x14ac:dyDescent="0.25">
      <c r="O830" s="584">
        <f>O824*$U$819</f>
        <v>20727.184692219274</v>
      </c>
      <c r="P830" s="1" t="s">
        <v>952</v>
      </c>
      <c r="Q830" s="584">
        <f>SUM(Q827:Q829)</f>
        <v>248726.21630663128</v>
      </c>
      <c r="R830" s="582" t="s">
        <v>967</v>
      </c>
      <c r="S830" s="623">
        <f>S824*$U$819</f>
        <v>29145</v>
      </c>
      <c r="T830" s="1" t="s">
        <v>952</v>
      </c>
      <c r="U830" s="623">
        <f>U824*$U$819</f>
        <v>349740</v>
      </c>
      <c r="V830" s="546" t="s">
        <v>967</v>
      </c>
      <c r="X830" t="s">
        <v>989</v>
      </c>
      <c r="Y830">
        <v>8.2799999999999994</v>
      </c>
      <c r="Z830" t="s">
        <v>983</v>
      </c>
    </row>
    <row r="831" spans="4:28" x14ac:dyDescent="0.25">
      <c r="D831" s="651" t="s">
        <v>1005</v>
      </c>
      <c r="E831" s="651"/>
      <c r="F831" s="651"/>
      <c r="G831" s="651"/>
      <c r="L831">
        <f>U821</f>
        <v>24.61</v>
      </c>
      <c r="M831" s="43">
        <f>L831/12</f>
        <v>2.0508333333333333</v>
      </c>
      <c r="N831" t="s">
        <v>975</v>
      </c>
      <c r="X831" t="s">
        <v>990</v>
      </c>
      <c r="Y831">
        <v>5.97</v>
      </c>
      <c r="Z831" t="s">
        <v>983</v>
      </c>
    </row>
    <row r="832" spans="4:28" x14ac:dyDescent="0.25">
      <c r="D832" s="651"/>
      <c r="E832" s="651"/>
      <c r="F832" s="651"/>
      <c r="G832" s="651"/>
      <c r="L832">
        <f>U822</f>
        <v>8.25</v>
      </c>
      <c r="M832" s="43">
        <f>L832/12</f>
        <v>0.6875</v>
      </c>
      <c r="N832" t="s">
        <v>976</v>
      </c>
      <c r="X832" t="s">
        <v>991</v>
      </c>
      <c r="Y832">
        <f>SUM(Y829:Y831)</f>
        <v>38.86</v>
      </c>
      <c r="Z832" t="s">
        <v>983</v>
      </c>
    </row>
    <row r="833" spans="3:32" x14ac:dyDescent="0.25">
      <c r="D833" s="651"/>
      <c r="E833" s="651"/>
      <c r="F833" s="651"/>
      <c r="G833" s="651"/>
      <c r="L833">
        <f>U823</f>
        <v>5.97</v>
      </c>
      <c r="M833" s="43">
        <f>L833/12</f>
        <v>0.4975</v>
      </c>
      <c r="N833" t="s">
        <v>977</v>
      </c>
    </row>
    <row r="834" spans="3:32" x14ac:dyDescent="0.25">
      <c r="L834">
        <f>SUM(L831:L833)</f>
        <v>38.83</v>
      </c>
      <c r="M834" s="43">
        <f>SUM(M831:M833)</f>
        <v>3.2358333333333333</v>
      </c>
      <c r="N834" t="s">
        <v>978</v>
      </c>
      <c r="X834" t="s">
        <v>992</v>
      </c>
      <c r="Z834">
        <v>9000</v>
      </c>
      <c r="AA834" t="s">
        <v>980</v>
      </c>
    </row>
    <row r="835" spans="3:32" x14ac:dyDescent="0.25">
      <c r="U835" s="692" t="s">
        <v>993</v>
      </c>
      <c r="V835" s="692"/>
      <c r="AF835" t="s">
        <v>1061</v>
      </c>
    </row>
    <row r="836" spans="3:32" x14ac:dyDescent="0.25">
      <c r="D836"/>
      <c r="E836" s="1" t="s">
        <v>1021</v>
      </c>
      <c r="G836" s="1" t="s">
        <v>979</v>
      </c>
      <c r="M836" s="1" t="s">
        <v>1021</v>
      </c>
      <c r="N836" s="1" t="s">
        <v>979</v>
      </c>
      <c r="O836" s="1" t="s">
        <v>970</v>
      </c>
      <c r="Z836" s="1" t="s">
        <v>994</v>
      </c>
      <c r="AA836" s="1" t="s">
        <v>995</v>
      </c>
      <c r="AB836" s="1" t="s">
        <v>996</v>
      </c>
      <c r="AD836" s="688" t="s">
        <v>3</v>
      </c>
      <c r="AE836" s="688" t="s">
        <v>974</v>
      </c>
      <c r="AF836" s="688" t="s">
        <v>942</v>
      </c>
    </row>
    <row r="837" spans="3:32" ht="30" x14ac:dyDescent="0.25">
      <c r="D837" s="45" t="s">
        <v>645</v>
      </c>
      <c r="E837" s="45" t="s">
        <v>997</v>
      </c>
      <c r="F837" s="45" t="s">
        <v>645</v>
      </c>
      <c r="G837" s="45" t="s">
        <v>997</v>
      </c>
      <c r="J837" s="45" t="s">
        <v>645</v>
      </c>
      <c r="K837" s="45" t="s">
        <v>645</v>
      </c>
      <c r="L837" s="45" t="s">
        <v>645</v>
      </c>
      <c r="M837" s="45" t="s">
        <v>997</v>
      </c>
      <c r="N837" s="45" t="s">
        <v>997</v>
      </c>
      <c r="O837" s="45" t="s">
        <v>997</v>
      </c>
      <c r="X837" s="45" t="s">
        <v>3</v>
      </c>
      <c r="Y837" s="45" t="s">
        <v>1046</v>
      </c>
      <c r="Z837" s="45" t="s">
        <v>645</v>
      </c>
      <c r="AA837" s="45" t="s">
        <v>944</v>
      </c>
      <c r="AB837" s="45" t="s">
        <v>998</v>
      </c>
      <c r="AD837" s="688"/>
      <c r="AE837" s="688"/>
      <c r="AF837" s="688"/>
    </row>
    <row r="838" spans="3:32" x14ac:dyDescent="0.25">
      <c r="C838"/>
      <c r="D838" s="52">
        <f t="shared" ref="D838:D850" si="98">M788</f>
        <v>8674.83</v>
      </c>
      <c r="E838" s="52">
        <f>D838/$Z$834</f>
        <v>0.96387</v>
      </c>
      <c r="F838" s="52">
        <f>N788</f>
        <v>6896.2863889440605</v>
      </c>
      <c r="G838" s="52">
        <f>F838/$Z$834</f>
        <v>0.76625404321600676</v>
      </c>
      <c r="J838" s="285">
        <f t="shared" ref="J838:J854" si="99">M838*$U$819</f>
        <v>18180</v>
      </c>
      <c r="K838" s="285">
        <f t="shared" ref="K838:L853" si="100">N838*$U$819</f>
        <v>6318</v>
      </c>
      <c r="L838" s="285">
        <f t="shared" si="100"/>
        <v>0</v>
      </c>
      <c r="M838" s="569">
        <v>2.02</v>
      </c>
      <c r="N838" s="569">
        <v>0.70199999999999996</v>
      </c>
      <c r="O838" s="569"/>
      <c r="X838" s="606">
        <f>X788</f>
        <v>44562</v>
      </c>
      <c r="Y838" s="318">
        <f>Y788</f>
        <v>72.344580000000008</v>
      </c>
      <c r="Z838" s="60">
        <f>D838+F838</f>
        <v>15571.116388944061</v>
      </c>
      <c r="AA838" s="183">
        <f>$Z$834</f>
        <v>9000</v>
      </c>
      <c r="AB838" s="572">
        <f>Z838/AA838</f>
        <v>1.7301240432160068</v>
      </c>
      <c r="AD838" s="11">
        <v>1</v>
      </c>
      <c r="AE838" s="558">
        <f t="shared" ref="AE838:AE861" si="101">AB838</f>
        <v>1.7301240432160068</v>
      </c>
      <c r="AF838" s="567">
        <f>0.0001*Z838+0.00000000000001</f>
        <v>1.5571116388944162</v>
      </c>
    </row>
    <row r="839" spans="3:32" x14ac:dyDescent="0.25">
      <c r="C839"/>
      <c r="D839" s="52">
        <f t="shared" si="98"/>
        <v>9893.119999999999</v>
      </c>
      <c r="E839" s="52">
        <f t="shared" ref="E839:E861" si="102">D839/$Z$834</f>
        <v>1.0992355555555555</v>
      </c>
      <c r="F839" s="52">
        <f t="shared" ref="F839:F849" si="103">N789</f>
        <v>8948.624527849368</v>
      </c>
      <c r="G839" s="52">
        <f t="shared" ref="G839:G861" si="104">F839/$Z$834</f>
        <v>0.99429161420548529</v>
      </c>
      <c r="J839" s="285">
        <f t="shared" si="99"/>
        <v>18450</v>
      </c>
      <c r="K839" s="285">
        <f t="shared" si="100"/>
        <v>6525</v>
      </c>
      <c r="L839" s="285">
        <f t="shared" si="100"/>
        <v>0</v>
      </c>
      <c r="M839" s="569">
        <v>2.0499999999999998</v>
      </c>
      <c r="N839" s="569">
        <v>0.72499999999999998</v>
      </c>
      <c r="O839" s="569"/>
      <c r="X839" s="606">
        <f t="shared" ref="X839:X861" si="105">X789</f>
        <v>44593</v>
      </c>
      <c r="Y839" s="318">
        <f t="shared" ref="Y839:Y854" si="106">Y789</f>
        <v>99.44550000000001</v>
      </c>
      <c r="Z839" s="60">
        <f t="shared" ref="Z839:Z861" si="107">D839+F839</f>
        <v>18841.744527849369</v>
      </c>
      <c r="AA839" s="183">
        <f t="shared" ref="AA839:AA861" si="108">$Z$834</f>
        <v>9000</v>
      </c>
      <c r="AB839" s="572">
        <f t="shared" ref="AB839:AB860" si="109">Z839/AA839</f>
        <v>2.0935271697610411</v>
      </c>
      <c r="AD839" s="11">
        <v>2</v>
      </c>
      <c r="AE839" s="558">
        <f t="shared" si="101"/>
        <v>2.0935271697610411</v>
      </c>
      <c r="AF839" s="567">
        <f t="shared" ref="AF839:AF861" si="110">0.0001*Z839+0.00000000000001</f>
        <v>1.8841744527849469</v>
      </c>
    </row>
    <row r="840" spans="3:32" x14ac:dyDescent="0.25">
      <c r="C840"/>
      <c r="D840" s="52">
        <f t="shared" si="98"/>
        <v>9689.25</v>
      </c>
      <c r="E840" s="52">
        <f t="shared" si="102"/>
        <v>1.0765833333333332</v>
      </c>
      <c r="F840" s="52">
        <f t="shared" si="103"/>
        <v>9345.7711945192113</v>
      </c>
      <c r="G840" s="52">
        <f t="shared" si="104"/>
        <v>1.0384190216132456</v>
      </c>
      <c r="J840" s="285">
        <f t="shared" si="99"/>
        <v>17820</v>
      </c>
      <c r="K840" s="285">
        <f t="shared" si="100"/>
        <v>6209.9999999999991</v>
      </c>
      <c r="L840" s="285">
        <f t="shared" si="100"/>
        <v>0</v>
      </c>
      <c r="M840" s="569">
        <v>1.98</v>
      </c>
      <c r="N840" s="569">
        <v>0.69</v>
      </c>
      <c r="O840" s="569"/>
      <c r="X840" s="606">
        <f t="shared" si="105"/>
        <v>44621</v>
      </c>
      <c r="Y840" s="318">
        <f t="shared" si="106"/>
        <v>104.69536000000001</v>
      </c>
      <c r="Z840" s="60">
        <f t="shared" si="107"/>
        <v>19035.021194519213</v>
      </c>
      <c r="AA840" s="183">
        <f t="shared" si="108"/>
        <v>9000</v>
      </c>
      <c r="AB840" s="572">
        <f t="shared" si="109"/>
        <v>2.1150023549465793</v>
      </c>
      <c r="AD840" s="11">
        <v>3</v>
      </c>
      <c r="AE840" s="558">
        <f t="shared" si="101"/>
        <v>2.1150023549465793</v>
      </c>
      <c r="AF840" s="567">
        <f t="shared" si="110"/>
        <v>1.9035021194519315</v>
      </c>
    </row>
    <row r="841" spans="3:32" x14ac:dyDescent="0.25">
      <c r="C841"/>
      <c r="D841" s="52">
        <f t="shared" si="98"/>
        <v>9823.56</v>
      </c>
      <c r="E841" s="52">
        <f t="shared" si="102"/>
        <v>1.0915066666666666</v>
      </c>
      <c r="F841" s="52">
        <f t="shared" si="103"/>
        <v>16474.553861242908</v>
      </c>
      <c r="G841" s="52">
        <f t="shared" si="104"/>
        <v>1.8305059845825453</v>
      </c>
      <c r="J841" s="285">
        <f t="shared" si="99"/>
        <v>17010</v>
      </c>
      <c r="K841" s="285">
        <f t="shared" si="100"/>
        <v>6289.2</v>
      </c>
      <c r="L841" s="285">
        <f t="shared" si="100"/>
        <v>0</v>
      </c>
      <c r="M841" s="569">
        <v>1.89</v>
      </c>
      <c r="N841" s="569">
        <v>0.69879999999999998</v>
      </c>
      <c r="O841" s="569"/>
      <c r="X841" s="606">
        <f t="shared" si="105"/>
        <v>44652</v>
      </c>
      <c r="Y841" s="318">
        <f t="shared" si="106"/>
        <v>198.85866000000001</v>
      </c>
      <c r="Z841" s="60">
        <f t="shared" si="107"/>
        <v>26298.113861242906</v>
      </c>
      <c r="AA841" s="183">
        <f t="shared" si="108"/>
        <v>9000</v>
      </c>
      <c r="AB841" s="572">
        <f t="shared" si="109"/>
        <v>2.9220126512492119</v>
      </c>
      <c r="AD841" s="11">
        <v>4</v>
      </c>
      <c r="AE841" s="558">
        <f t="shared" si="101"/>
        <v>2.9220126512492119</v>
      </c>
      <c r="AF841" s="567">
        <f t="shared" si="110"/>
        <v>2.6298113861243011</v>
      </c>
    </row>
    <row r="842" spans="3:32" x14ac:dyDescent="0.25">
      <c r="C842"/>
      <c r="D842" s="52">
        <f t="shared" si="98"/>
        <v>10503.89</v>
      </c>
      <c r="E842" s="52">
        <f t="shared" si="102"/>
        <v>1.1670988888888889</v>
      </c>
      <c r="F842" s="52">
        <f t="shared" si="103"/>
        <v>15489.547389012809</v>
      </c>
      <c r="G842" s="52">
        <f t="shared" si="104"/>
        <v>1.7210608210014231</v>
      </c>
      <c r="J842" s="285">
        <f t="shared" si="99"/>
        <v>17820</v>
      </c>
      <c r="K842" s="285">
        <f t="shared" si="100"/>
        <v>6109.2</v>
      </c>
      <c r="L842" s="285">
        <f t="shared" si="100"/>
        <v>0</v>
      </c>
      <c r="M842" s="569">
        <v>1.98</v>
      </c>
      <c r="N842" s="569">
        <v>0.67879999999999996</v>
      </c>
      <c r="O842" s="569"/>
      <c r="X842" s="606">
        <f t="shared" si="105"/>
        <v>44682</v>
      </c>
      <c r="Y842" s="318">
        <f t="shared" si="106"/>
        <v>265.41000000000003</v>
      </c>
      <c r="Z842" s="60">
        <f t="shared" si="107"/>
        <v>25993.437389012808</v>
      </c>
      <c r="AA842" s="183">
        <f t="shared" si="108"/>
        <v>9000</v>
      </c>
      <c r="AB842" s="572">
        <f t="shared" si="109"/>
        <v>2.8881597098903122</v>
      </c>
      <c r="AD842" s="11">
        <v>5</v>
      </c>
      <c r="AE842" s="558">
        <f t="shared" si="101"/>
        <v>2.8881597098903122</v>
      </c>
      <c r="AF842" s="567">
        <f t="shared" si="110"/>
        <v>2.599343738901291</v>
      </c>
    </row>
    <row r="843" spans="3:32" x14ac:dyDescent="0.25">
      <c r="C843"/>
      <c r="D843" s="52">
        <f t="shared" si="98"/>
        <v>9931.33</v>
      </c>
      <c r="E843" s="52">
        <f t="shared" si="102"/>
        <v>1.1034811111111111</v>
      </c>
      <c r="F843" s="52">
        <f t="shared" si="103"/>
        <v>15679.433139014327</v>
      </c>
      <c r="G843" s="52">
        <f t="shared" si="104"/>
        <v>1.7421592376682586</v>
      </c>
      <c r="J843" s="285">
        <f t="shared" si="99"/>
        <v>19890</v>
      </c>
      <c r="K843" s="285">
        <f t="shared" si="100"/>
        <v>6120</v>
      </c>
      <c r="L843" s="285">
        <f t="shared" si="100"/>
        <v>0</v>
      </c>
      <c r="M843" s="569">
        <v>2.21</v>
      </c>
      <c r="N843" s="569">
        <v>0.68</v>
      </c>
      <c r="O843" s="569"/>
      <c r="R843" s="35"/>
      <c r="X843" s="606">
        <f t="shared" si="105"/>
        <v>44713</v>
      </c>
      <c r="Y843" s="318">
        <f t="shared" si="106"/>
        <v>188.35893999999999</v>
      </c>
      <c r="Z843" s="60">
        <f t="shared" si="107"/>
        <v>25610.763139014329</v>
      </c>
      <c r="AA843" s="183">
        <f t="shared" si="108"/>
        <v>9000</v>
      </c>
      <c r="AB843" s="572">
        <f t="shared" si="109"/>
        <v>2.8456403487793698</v>
      </c>
      <c r="AD843" s="11">
        <v>6</v>
      </c>
      <c r="AE843" s="558">
        <f t="shared" si="101"/>
        <v>2.8456403487793698</v>
      </c>
      <c r="AF843" s="567">
        <f t="shared" si="110"/>
        <v>2.5610763139014434</v>
      </c>
    </row>
    <row r="844" spans="3:32" x14ac:dyDescent="0.25">
      <c r="C844"/>
      <c r="D844" s="52">
        <f t="shared" si="98"/>
        <v>9668.73</v>
      </c>
      <c r="E844" s="52">
        <f t="shared" si="102"/>
        <v>1.0743033333333334</v>
      </c>
      <c r="F844" s="52">
        <f t="shared" si="103"/>
        <v>14872.315277896758</v>
      </c>
      <c r="G844" s="52">
        <f t="shared" si="104"/>
        <v>1.6524794753218619</v>
      </c>
      <c r="J844" s="285">
        <f t="shared" si="99"/>
        <v>18900</v>
      </c>
      <c r="K844" s="285">
        <f t="shared" si="100"/>
        <v>6075</v>
      </c>
      <c r="L844" s="285">
        <f t="shared" si="100"/>
        <v>0</v>
      </c>
      <c r="M844" s="569">
        <v>2.1</v>
      </c>
      <c r="N844" s="569">
        <v>0.67500000000000004</v>
      </c>
      <c r="O844" s="569"/>
      <c r="X844" s="606">
        <f t="shared" si="105"/>
        <v>44743</v>
      </c>
      <c r="Y844" s="318">
        <f t="shared" si="106"/>
        <v>177.69752000000003</v>
      </c>
      <c r="Z844" s="60">
        <f t="shared" si="107"/>
        <v>24541.045277896759</v>
      </c>
      <c r="AA844" s="183">
        <f t="shared" si="108"/>
        <v>9000</v>
      </c>
      <c r="AB844" s="572">
        <f t="shared" si="109"/>
        <v>2.7267828086551953</v>
      </c>
      <c r="AD844" s="11">
        <v>7</v>
      </c>
      <c r="AE844" s="558">
        <f t="shared" si="101"/>
        <v>2.7267828086551953</v>
      </c>
      <c r="AF844" s="567">
        <f t="shared" si="110"/>
        <v>2.4541045277896862</v>
      </c>
    </row>
    <row r="845" spans="3:32" x14ac:dyDescent="0.25">
      <c r="C845"/>
      <c r="D845" s="52">
        <f t="shared" si="98"/>
        <v>9498.1299999999992</v>
      </c>
      <c r="E845" s="52">
        <f t="shared" si="102"/>
        <v>1.0553477777777778</v>
      </c>
      <c r="F845" s="52">
        <f t="shared" si="103"/>
        <v>15808.505805682027</v>
      </c>
      <c r="G845" s="52">
        <f t="shared" si="104"/>
        <v>1.7565006450757807</v>
      </c>
      <c r="J845" s="285">
        <f t="shared" si="99"/>
        <v>21150</v>
      </c>
      <c r="K845" s="285">
        <f t="shared" si="100"/>
        <v>6076.8</v>
      </c>
      <c r="L845" s="285">
        <f t="shared" si="100"/>
        <v>0</v>
      </c>
      <c r="M845" s="569">
        <v>2.35</v>
      </c>
      <c r="N845" s="569">
        <v>0.67520000000000002</v>
      </c>
      <c r="O845" s="569"/>
      <c r="X845" s="606">
        <f t="shared" si="105"/>
        <v>44774</v>
      </c>
      <c r="Y845" s="318">
        <f t="shared" si="106"/>
        <v>190.06218000000001</v>
      </c>
      <c r="Z845" s="60">
        <f t="shared" si="107"/>
        <v>25306.635805682025</v>
      </c>
      <c r="AA845" s="183">
        <f t="shared" si="108"/>
        <v>9000</v>
      </c>
      <c r="AB845" s="572">
        <f t="shared" si="109"/>
        <v>2.8118484228535583</v>
      </c>
      <c r="AD845" s="11">
        <v>8</v>
      </c>
      <c r="AE845" s="558">
        <f t="shared" si="101"/>
        <v>2.8118484228535583</v>
      </c>
      <c r="AF845" s="567">
        <f t="shared" si="110"/>
        <v>2.5306635805682127</v>
      </c>
    </row>
    <row r="846" spans="3:32" x14ac:dyDescent="0.25">
      <c r="C846"/>
      <c r="D846" s="52">
        <f t="shared" si="98"/>
        <v>9284.99</v>
      </c>
      <c r="E846" s="52">
        <f t="shared" si="102"/>
        <v>1.0316655555555556</v>
      </c>
      <c r="F846" s="52">
        <f t="shared" si="103"/>
        <v>6774.6602222764204</v>
      </c>
      <c r="G846" s="52">
        <f t="shared" si="104"/>
        <v>0.75274002469737999</v>
      </c>
      <c r="J846" s="285">
        <f t="shared" si="99"/>
        <v>18900</v>
      </c>
      <c r="K846" s="285">
        <f t="shared" si="100"/>
        <v>6012</v>
      </c>
      <c r="L846" s="285">
        <f t="shared" si="100"/>
        <v>0</v>
      </c>
      <c r="M846" s="569">
        <v>2.1</v>
      </c>
      <c r="N846" s="569">
        <v>0.66800000000000004</v>
      </c>
      <c r="O846" s="569"/>
      <c r="X846" s="606">
        <f t="shared" si="105"/>
        <v>44805</v>
      </c>
      <c r="Y846" s="318">
        <f t="shared" si="106"/>
        <v>118.91</v>
      </c>
      <c r="Z846" s="60">
        <f t="shared" si="107"/>
        <v>16059.650222276421</v>
      </c>
      <c r="AA846" s="183">
        <f t="shared" si="108"/>
        <v>9000</v>
      </c>
      <c r="AB846" s="572">
        <f t="shared" si="109"/>
        <v>1.7844055802529357</v>
      </c>
      <c r="AD846" s="11">
        <v>9</v>
      </c>
      <c r="AE846" s="558">
        <f t="shared" si="101"/>
        <v>1.7844055802529357</v>
      </c>
      <c r="AF846" s="567">
        <f t="shared" si="110"/>
        <v>1.6059650222276523</v>
      </c>
    </row>
    <row r="847" spans="3:32" x14ac:dyDescent="0.25">
      <c r="C847"/>
      <c r="D847" s="52">
        <f t="shared" si="98"/>
        <v>9045.56</v>
      </c>
      <c r="E847" s="52">
        <f t="shared" si="102"/>
        <v>1.0050622222222221</v>
      </c>
      <c r="F847" s="52">
        <f t="shared" si="103"/>
        <v>6730.3402778316204</v>
      </c>
      <c r="G847" s="52">
        <f t="shared" si="104"/>
        <v>0.74781558642573565</v>
      </c>
      <c r="J847" s="285">
        <f t="shared" si="99"/>
        <v>17820</v>
      </c>
      <c r="K847" s="285">
        <f t="shared" si="100"/>
        <v>6286.5</v>
      </c>
      <c r="L847" s="285">
        <f t="shared" si="100"/>
        <v>0</v>
      </c>
      <c r="M847" s="569">
        <v>1.98</v>
      </c>
      <c r="N847" s="569">
        <v>0.69850000000000001</v>
      </c>
      <c r="O847" s="569"/>
      <c r="X847" s="606">
        <f t="shared" si="105"/>
        <v>44835</v>
      </c>
      <c r="Y847" s="318">
        <f t="shared" si="106"/>
        <v>112</v>
      </c>
      <c r="Z847" s="60">
        <f t="shared" si="107"/>
        <v>15775.900277831621</v>
      </c>
      <c r="AA847" s="183">
        <f t="shared" si="108"/>
        <v>9000</v>
      </c>
      <c r="AB847" s="572">
        <f t="shared" si="109"/>
        <v>1.7528778086479579</v>
      </c>
      <c r="AD847" s="11">
        <v>10</v>
      </c>
      <c r="AE847" s="558">
        <f t="shared" si="101"/>
        <v>1.7528778086479579</v>
      </c>
      <c r="AF847" s="567">
        <f t="shared" si="110"/>
        <v>1.5775900277831723</v>
      </c>
    </row>
    <row r="848" spans="3:32" x14ac:dyDescent="0.25">
      <c r="C848"/>
      <c r="D848" s="52">
        <f t="shared" si="98"/>
        <v>9676.81</v>
      </c>
      <c r="E848" s="52">
        <f t="shared" si="102"/>
        <v>1.0752011111111111</v>
      </c>
      <c r="F848" s="52">
        <f t="shared" si="103"/>
        <v>12914.29947232554</v>
      </c>
      <c r="G848" s="52">
        <f t="shared" si="104"/>
        <v>1.4349221635917266</v>
      </c>
      <c r="J848" s="285">
        <f t="shared" si="99"/>
        <v>17730</v>
      </c>
      <c r="K848" s="285">
        <f t="shared" si="100"/>
        <v>6205.5</v>
      </c>
      <c r="L848" s="285">
        <f t="shared" si="100"/>
        <v>0</v>
      </c>
      <c r="M848" s="569">
        <v>1.97</v>
      </c>
      <c r="N848" s="569">
        <v>0.6895</v>
      </c>
      <c r="O848" s="569"/>
      <c r="X848" s="606">
        <f t="shared" si="105"/>
        <v>44866</v>
      </c>
      <c r="Y848" s="318">
        <f t="shared" si="106"/>
        <v>151.82552000000001</v>
      </c>
      <c r="Z848" s="60">
        <f t="shared" si="107"/>
        <v>22591.109472325537</v>
      </c>
      <c r="AA848" s="183">
        <f t="shared" si="108"/>
        <v>9000</v>
      </c>
      <c r="AB848" s="572">
        <f t="shared" si="109"/>
        <v>2.5101232747028375</v>
      </c>
      <c r="AD848" s="11">
        <v>11</v>
      </c>
      <c r="AE848" s="558">
        <f t="shared" si="101"/>
        <v>2.5101232747028375</v>
      </c>
      <c r="AF848" s="567">
        <f t="shared" si="110"/>
        <v>2.2591109472325641</v>
      </c>
    </row>
    <row r="849" spans="2:32" x14ac:dyDescent="0.25">
      <c r="B849" s="22">
        <f>SUM(D838:D849)</f>
        <v>114268.13</v>
      </c>
      <c r="C849" s="22">
        <f>SUM(E838:E849)</f>
        <v>12.696458888888888</v>
      </c>
      <c r="D849" s="52">
        <f t="shared" si="98"/>
        <v>8577.93</v>
      </c>
      <c r="E849" s="52">
        <f t="shared" si="102"/>
        <v>0.95310333333333341</v>
      </c>
      <c r="F849" s="52">
        <f t="shared" si="103"/>
        <v>4523.7487500361913</v>
      </c>
      <c r="G849" s="52">
        <f t="shared" si="104"/>
        <v>0.50263875000402125</v>
      </c>
      <c r="J849" s="285">
        <f t="shared" si="99"/>
        <v>17910</v>
      </c>
      <c r="K849" s="285">
        <f t="shared" si="100"/>
        <v>6030</v>
      </c>
      <c r="L849" s="285">
        <f t="shared" si="100"/>
        <v>0</v>
      </c>
      <c r="M849" s="569">
        <v>1.99</v>
      </c>
      <c r="N849" s="569">
        <v>0.67</v>
      </c>
      <c r="O849" s="569"/>
      <c r="X849" s="606">
        <f t="shared" si="105"/>
        <v>44896</v>
      </c>
      <c r="Y849" s="318">
        <f t="shared" si="106"/>
        <v>41.00712</v>
      </c>
      <c r="Z849" s="60">
        <f t="shared" si="107"/>
        <v>13101.678750036192</v>
      </c>
      <c r="AA849" s="183">
        <f t="shared" si="108"/>
        <v>9000</v>
      </c>
      <c r="AB849" s="572">
        <f t="shared" si="109"/>
        <v>1.4557420833373547</v>
      </c>
      <c r="AC849" s="573">
        <f>SUM(AB838:AB849)</f>
        <v>27.636246256292363</v>
      </c>
      <c r="AD849" s="11">
        <v>12</v>
      </c>
      <c r="AE849" s="558">
        <f t="shared" si="101"/>
        <v>1.4557420833373547</v>
      </c>
      <c r="AF849" s="567">
        <f t="shared" si="110"/>
        <v>1.3101678750036292</v>
      </c>
    </row>
    <row r="850" spans="2:32" x14ac:dyDescent="0.25">
      <c r="D850" s="38">
        <f t="shared" si="98"/>
        <v>8475</v>
      </c>
      <c r="E850" s="38">
        <f t="shared" si="102"/>
        <v>0.94166666666666665</v>
      </c>
      <c r="F850" s="38">
        <f>N800</f>
        <v>6440.754166718194</v>
      </c>
      <c r="G850" s="38">
        <f t="shared" si="104"/>
        <v>0.7156393518575771</v>
      </c>
      <c r="J850">
        <f t="shared" si="99"/>
        <v>18089.999999999996</v>
      </c>
      <c r="K850">
        <f t="shared" si="100"/>
        <v>6255</v>
      </c>
      <c r="L850">
        <f t="shared" si="100"/>
        <v>0</v>
      </c>
      <c r="M850" s="318">
        <v>2.0099999999999998</v>
      </c>
      <c r="N850" s="318">
        <v>0.69499999999999995</v>
      </c>
      <c r="O850" s="318"/>
      <c r="X850" s="606">
        <f t="shared" si="105"/>
        <v>44927</v>
      </c>
      <c r="Y850" s="318">
        <f t="shared" si="106"/>
        <v>81.25</v>
      </c>
      <c r="Z850" s="60">
        <f t="shared" si="107"/>
        <v>14915.754166718194</v>
      </c>
      <c r="AA850" s="183">
        <f t="shared" si="108"/>
        <v>9000</v>
      </c>
      <c r="AB850" s="572">
        <f t="shared" si="109"/>
        <v>1.6573060185242439</v>
      </c>
      <c r="AC850" s="573"/>
      <c r="AD850" s="11">
        <v>13</v>
      </c>
      <c r="AE850" s="558">
        <f t="shared" si="101"/>
        <v>1.6573060185242439</v>
      </c>
      <c r="AF850" s="567">
        <f t="shared" si="110"/>
        <v>1.4915754166718294</v>
      </c>
    </row>
    <row r="851" spans="2:32" x14ac:dyDescent="0.25">
      <c r="D851" s="38">
        <f t="shared" ref="D851:D861" si="111">M801</f>
        <v>8802.64</v>
      </c>
      <c r="E851" s="38">
        <f t="shared" si="102"/>
        <v>0.978071111111111</v>
      </c>
      <c r="F851" s="38">
        <f>N801</f>
        <v>8779.7825556257958</v>
      </c>
      <c r="G851" s="38">
        <f t="shared" si="104"/>
        <v>0.9755313950695329</v>
      </c>
      <c r="J851">
        <f t="shared" si="99"/>
        <v>18180</v>
      </c>
      <c r="K851">
        <f t="shared" si="100"/>
        <v>6246</v>
      </c>
      <c r="L851">
        <f t="shared" si="100"/>
        <v>0</v>
      </c>
      <c r="M851" s="318">
        <v>2.02</v>
      </c>
      <c r="N851" s="318">
        <v>0.69399999999999995</v>
      </c>
      <c r="O851" s="318"/>
      <c r="X851" s="606">
        <f t="shared" si="105"/>
        <v>44958</v>
      </c>
      <c r="Y851" s="318">
        <f t="shared" si="106"/>
        <v>104.56</v>
      </c>
      <c r="Z851" s="60">
        <f t="shared" si="107"/>
        <v>17582.422555625795</v>
      </c>
      <c r="AA851" s="183">
        <f t="shared" si="108"/>
        <v>9000</v>
      </c>
      <c r="AB851" s="572">
        <f t="shared" si="109"/>
        <v>1.9536025061806439</v>
      </c>
      <c r="AC851" s="574"/>
      <c r="AD851" s="11">
        <v>14</v>
      </c>
      <c r="AE851" s="558">
        <f t="shared" si="101"/>
        <v>1.9536025061806439</v>
      </c>
      <c r="AF851" s="567">
        <f t="shared" si="110"/>
        <v>1.7582422555625896</v>
      </c>
    </row>
    <row r="852" spans="2:32" x14ac:dyDescent="0.25">
      <c r="D852" s="38">
        <f t="shared" si="111"/>
        <v>9633.16</v>
      </c>
      <c r="E852" s="38">
        <f t="shared" si="102"/>
        <v>1.070351111111111</v>
      </c>
      <c r="F852" s="38">
        <f t="shared" ref="F852:F861" si="112">N802</f>
        <v>9169.4358889622472</v>
      </c>
      <c r="G852" s="38">
        <f t="shared" si="104"/>
        <v>1.0188262098846941</v>
      </c>
      <c r="J852">
        <f t="shared" si="99"/>
        <v>18720</v>
      </c>
      <c r="K852">
        <f t="shared" si="100"/>
        <v>5940</v>
      </c>
      <c r="L852">
        <f t="shared" si="100"/>
        <v>0</v>
      </c>
      <c r="M852" s="318">
        <v>2.08</v>
      </c>
      <c r="N852" s="318">
        <v>0.66</v>
      </c>
      <c r="O852" s="318"/>
      <c r="X852" s="606">
        <f t="shared" si="105"/>
        <v>44986</v>
      </c>
      <c r="Y852" s="318">
        <f t="shared" si="106"/>
        <v>117.89</v>
      </c>
      <c r="Z852" s="60">
        <f t="shared" si="107"/>
        <v>18802.595888962249</v>
      </c>
      <c r="AA852" s="183">
        <f t="shared" si="108"/>
        <v>9000</v>
      </c>
      <c r="AB852" s="572">
        <f t="shared" si="109"/>
        <v>2.0891773209958053</v>
      </c>
      <c r="AC852" s="574"/>
      <c r="AD852" s="11">
        <v>15</v>
      </c>
      <c r="AE852" s="558">
        <f t="shared" si="101"/>
        <v>2.0891773209958053</v>
      </c>
      <c r="AF852" s="567">
        <f t="shared" si="110"/>
        <v>1.880259588896235</v>
      </c>
    </row>
    <row r="853" spans="2:32" x14ac:dyDescent="0.25">
      <c r="D853" s="38">
        <f t="shared" si="111"/>
        <v>9796.5</v>
      </c>
      <c r="E853" s="38">
        <f t="shared" si="102"/>
        <v>1.0885</v>
      </c>
      <c r="F853" s="38">
        <f t="shared" si="112"/>
        <v>16163.713222351536</v>
      </c>
      <c r="G853" s="38">
        <f t="shared" si="104"/>
        <v>1.7959681358168373</v>
      </c>
      <c r="J853">
        <f t="shared" si="99"/>
        <v>18900</v>
      </c>
      <c r="K853">
        <f t="shared" si="100"/>
        <v>6255</v>
      </c>
      <c r="L853">
        <f t="shared" si="100"/>
        <v>0</v>
      </c>
      <c r="M853" s="318">
        <v>2.1</v>
      </c>
      <c r="N853" s="318">
        <v>0.69499999999999995</v>
      </c>
      <c r="O853" s="318"/>
      <c r="X853" s="606">
        <f t="shared" si="105"/>
        <v>45017</v>
      </c>
      <c r="Y853" s="318">
        <f t="shared" si="106"/>
        <v>214.56</v>
      </c>
      <c r="Z853" s="60">
        <f t="shared" si="107"/>
        <v>25960.213222351536</v>
      </c>
      <c r="AA853" s="183">
        <f t="shared" si="108"/>
        <v>9000</v>
      </c>
      <c r="AB853" s="572">
        <f t="shared" si="109"/>
        <v>2.8844681358168374</v>
      </c>
      <c r="AC853" s="574"/>
      <c r="AD853" s="11">
        <v>16</v>
      </c>
      <c r="AE853" s="558">
        <f t="shared" si="101"/>
        <v>2.8844681358168374</v>
      </c>
      <c r="AF853" s="567">
        <f t="shared" si="110"/>
        <v>2.5960213222351638</v>
      </c>
    </row>
    <row r="854" spans="2:32" x14ac:dyDescent="0.25">
      <c r="D854" s="38">
        <f t="shared" si="111"/>
        <v>11503.69</v>
      </c>
      <c r="E854" s="38">
        <f t="shared" si="102"/>
        <v>1.2781877777777779</v>
      </c>
      <c r="F854" s="38">
        <f t="shared" si="112"/>
        <v>14174.397139002285</v>
      </c>
      <c r="G854" s="38">
        <f t="shared" si="104"/>
        <v>1.5749330154446983</v>
      </c>
      <c r="J854">
        <f t="shared" si="99"/>
        <v>19350</v>
      </c>
      <c r="K854">
        <f>N854*$U$819</f>
        <v>6480</v>
      </c>
      <c r="L854">
        <f>O854*$U$819</f>
        <v>0</v>
      </c>
      <c r="M854" s="318">
        <v>2.15</v>
      </c>
      <c r="N854" s="318">
        <v>0.72</v>
      </c>
      <c r="O854" s="318"/>
      <c r="X854" s="606">
        <f t="shared" si="105"/>
        <v>45047</v>
      </c>
      <c r="Y854" s="318">
        <f t="shared" si="106"/>
        <v>314.16000000000003</v>
      </c>
      <c r="Z854" s="60">
        <f t="shared" si="107"/>
        <v>25678.087139002288</v>
      </c>
      <c r="AA854" s="183">
        <f t="shared" si="108"/>
        <v>9000</v>
      </c>
      <c r="AB854" s="572">
        <f t="shared" si="109"/>
        <v>2.8531207932224762</v>
      </c>
      <c r="AC854" s="574"/>
      <c r="AD854" s="11">
        <v>17</v>
      </c>
      <c r="AE854" s="558">
        <f t="shared" si="101"/>
        <v>2.8531207932224762</v>
      </c>
      <c r="AF854" s="567">
        <f t="shared" si="110"/>
        <v>2.5678087139002392</v>
      </c>
    </row>
    <row r="855" spans="2:32" x14ac:dyDescent="0.25">
      <c r="D855" s="38">
        <f t="shared" si="111"/>
        <v>9636.34</v>
      </c>
      <c r="E855" s="38">
        <f t="shared" si="102"/>
        <v>1.0707044444444445</v>
      </c>
      <c r="F855" s="38">
        <f t="shared" si="112"/>
        <v>13756.48379177672</v>
      </c>
      <c r="G855" s="38">
        <f t="shared" si="104"/>
        <v>1.5284981990863022</v>
      </c>
      <c r="J855">
        <f t="shared" ref="J855:L861" si="113">M855*$U$819</f>
        <v>19260</v>
      </c>
      <c r="K855">
        <f t="shared" si="113"/>
        <v>6705</v>
      </c>
      <c r="L855">
        <f t="shared" si="113"/>
        <v>0</v>
      </c>
      <c r="M855" s="318">
        <v>2.14</v>
      </c>
      <c r="N855" s="318">
        <v>0.745</v>
      </c>
      <c r="O855" s="318"/>
      <c r="X855" s="606">
        <f t="shared" si="105"/>
        <v>45078</v>
      </c>
      <c r="Y855" s="318">
        <f t="shared" ref="Y855:Y861" si="114">Y805</f>
        <v>199.52</v>
      </c>
      <c r="Z855" s="60">
        <f t="shared" si="107"/>
        <v>23392.823791776718</v>
      </c>
      <c r="AA855" s="183">
        <f t="shared" si="108"/>
        <v>9000</v>
      </c>
      <c r="AB855" s="572">
        <f t="shared" si="109"/>
        <v>2.5992026435307465</v>
      </c>
      <c r="AC855" s="574"/>
      <c r="AD855" s="11">
        <v>18</v>
      </c>
      <c r="AE855" s="558">
        <f t="shared" si="101"/>
        <v>2.5992026435307465</v>
      </c>
      <c r="AF855" s="567">
        <f t="shared" si="110"/>
        <v>2.339282379177682</v>
      </c>
    </row>
    <row r="856" spans="2:32" x14ac:dyDescent="0.25">
      <c r="D856" s="38">
        <f t="shared" si="111"/>
        <v>10051.65</v>
      </c>
      <c r="E856" s="38">
        <f t="shared" si="102"/>
        <v>1.1168499999999999</v>
      </c>
      <c r="F856" s="38">
        <f t="shared" si="112"/>
        <v>14311.095833447824</v>
      </c>
      <c r="G856" s="38">
        <f t="shared" si="104"/>
        <v>1.5901217592719805</v>
      </c>
      <c r="J856">
        <f t="shared" si="113"/>
        <v>18089.999999999996</v>
      </c>
      <c r="K856">
        <f t="shared" si="113"/>
        <v>6480</v>
      </c>
      <c r="L856">
        <f t="shared" si="113"/>
        <v>0</v>
      </c>
      <c r="M856" s="318">
        <v>2.0099999999999998</v>
      </c>
      <c r="N856" s="318">
        <v>0.72</v>
      </c>
      <c r="O856" s="318"/>
      <c r="X856" s="606">
        <f t="shared" si="105"/>
        <v>45108</v>
      </c>
      <c r="Y856" s="318">
        <f t="shared" si="114"/>
        <v>212.12</v>
      </c>
      <c r="Z856" s="60">
        <f t="shared" si="107"/>
        <v>24362.745833447821</v>
      </c>
      <c r="AA856" s="183">
        <f t="shared" si="108"/>
        <v>9000</v>
      </c>
      <c r="AB856" s="572">
        <f t="shared" si="109"/>
        <v>2.7069717592719802</v>
      </c>
      <c r="AC856" s="574"/>
      <c r="AD856" s="11">
        <v>19</v>
      </c>
      <c r="AE856" s="558">
        <f t="shared" si="101"/>
        <v>2.7069717592719802</v>
      </c>
      <c r="AF856" s="567">
        <f t="shared" si="110"/>
        <v>2.4362745833447925</v>
      </c>
    </row>
    <row r="857" spans="2:32" x14ac:dyDescent="0.25">
      <c r="D857" s="38">
        <f t="shared" si="111"/>
        <v>8620.61</v>
      </c>
      <c r="E857" s="38">
        <f t="shared" si="102"/>
        <v>0.95784555555555562</v>
      </c>
      <c r="F857" s="38">
        <f t="shared" si="112"/>
        <v>15211.958416788366</v>
      </c>
      <c r="G857" s="38">
        <f t="shared" si="104"/>
        <v>1.6902176018653741</v>
      </c>
      <c r="J857">
        <f t="shared" si="113"/>
        <v>18810</v>
      </c>
      <c r="K857">
        <f t="shared" si="113"/>
        <v>6200.9999999999991</v>
      </c>
      <c r="L857">
        <f t="shared" si="113"/>
        <v>0</v>
      </c>
      <c r="M857" s="318">
        <v>2.09</v>
      </c>
      <c r="N857" s="318">
        <v>0.68899999999999995</v>
      </c>
      <c r="O857" s="318"/>
      <c r="X857" s="606">
        <f t="shared" si="105"/>
        <v>45139</v>
      </c>
      <c r="Y857" s="318">
        <f t="shared" si="114"/>
        <v>112.32</v>
      </c>
      <c r="Z857" s="60">
        <f t="shared" si="107"/>
        <v>23832.568416788366</v>
      </c>
      <c r="AA857" s="183">
        <f t="shared" si="108"/>
        <v>9000</v>
      </c>
      <c r="AB857" s="572">
        <f t="shared" si="109"/>
        <v>2.6480631574209297</v>
      </c>
      <c r="AC857" s="574"/>
      <c r="AD857" s="11">
        <v>20</v>
      </c>
      <c r="AE857" s="558">
        <f t="shared" si="101"/>
        <v>2.6480631574209297</v>
      </c>
      <c r="AF857" s="567">
        <f t="shared" si="110"/>
        <v>2.3832568416788469</v>
      </c>
    </row>
    <row r="858" spans="2:32" x14ac:dyDescent="0.25">
      <c r="D858" s="38">
        <f t="shared" si="111"/>
        <v>9013.66</v>
      </c>
      <c r="E858" s="38">
        <f t="shared" si="102"/>
        <v>1.0015177777777777</v>
      </c>
      <c r="F858" s="38">
        <f t="shared" si="112"/>
        <v>6519.0126667188197</v>
      </c>
      <c r="G858" s="38">
        <f t="shared" si="104"/>
        <v>0.72433474074653548</v>
      </c>
      <c r="J858">
        <f t="shared" si="113"/>
        <v>17820</v>
      </c>
      <c r="K858">
        <f t="shared" si="113"/>
        <v>6183.0000000000009</v>
      </c>
      <c r="L858">
        <f t="shared" si="113"/>
        <v>0</v>
      </c>
      <c r="M858" s="318">
        <v>1.98</v>
      </c>
      <c r="N858" s="318">
        <v>0.68700000000000006</v>
      </c>
      <c r="O858" s="318"/>
      <c r="X858" s="606">
        <f t="shared" si="105"/>
        <v>45170</v>
      </c>
      <c r="Y858" s="318">
        <f t="shared" si="114"/>
        <v>81.5</v>
      </c>
      <c r="Z858" s="60">
        <f t="shared" si="107"/>
        <v>15532.67266671882</v>
      </c>
      <c r="AA858" s="183">
        <f t="shared" si="108"/>
        <v>9000</v>
      </c>
      <c r="AB858" s="572">
        <f t="shared" si="109"/>
        <v>1.7258525185243132</v>
      </c>
      <c r="AC858" s="574"/>
      <c r="AD858" s="11">
        <v>21</v>
      </c>
      <c r="AE858" s="558">
        <f t="shared" si="101"/>
        <v>1.7258525185243132</v>
      </c>
      <c r="AF858" s="567">
        <f t="shared" si="110"/>
        <v>1.5532672666718921</v>
      </c>
    </row>
    <row r="859" spans="2:32" x14ac:dyDescent="0.25">
      <c r="D859" s="38">
        <f t="shared" si="111"/>
        <v>9003.9</v>
      </c>
      <c r="E859" s="38">
        <f t="shared" si="102"/>
        <v>1.0004333333333333</v>
      </c>
      <c r="F859" s="38">
        <f t="shared" si="112"/>
        <v>6460.6583333850194</v>
      </c>
      <c r="G859" s="38">
        <f t="shared" si="104"/>
        <v>0.71785092593166877</v>
      </c>
      <c r="J859">
        <f t="shared" si="113"/>
        <v>20070</v>
      </c>
      <c r="K859">
        <f t="shared" si="113"/>
        <v>5850</v>
      </c>
      <c r="L859">
        <f t="shared" si="113"/>
        <v>0</v>
      </c>
      <c r="M859" s="318">
        <v>2.23</v>
      </c>
      <c r="N859" s="318">
        <v>0.65</v>
      </c>
      <c r="O859" s="318"/>
      <c r="X859" s="606">
        <f t="shared" si="105"/>
        <v>45200</v>
      </c>
      <c r="Y859" s="318">
        <f t="shared" si="114"/>
        <v>70.14</v>
      </c>
      <c r="Z859" s="60">
        <f t="shared" si="107"/>
        <v>15464.558333385019</v>
      </c>
      <c r="AA859" s="183">
        <f t="shared" si="108"/>
        <v>9000</v>
      </c>
      <c r="AB859" s="572">
        <f t="shared" si="109"/>
        <v>1.7182842592650021</v>
      </c>
      <c r="AC859" s="574"/>
      <c r="AD859" s="11">
        <v>22</v>
      </c>
      <c r="AE859" s="558">
        <f t="shared" si="101"/>
        <v>1.7182842592650021</v>
      </c>
      <c r="AF859" s="567">
        <f t="shared" si="110"/>
        <v>1.5464558333385119</v>
      </c>
    </row>
    <row r="860" spans="2:32" x14ac:dyDescent="0.25">
      <c r="D860" s="38">
        <f t="shared" si="111"/>
        <v>10060.049999999999</v>
      </c>
      <c r="E860" s="38">
        <f t="shared" si="102"/>
        <v>1.1177833333333334</v>
      </c>
      <c r="F860" s="38">
        <f t="shared" si="112"/>
        <v>12426.967416766085</v>
      </c>
      <c r="G860" s="38">
        <f t="shared" si="104"/>
        <v>1.380774157418454</v>
      </c>
      <c r="J860">
        <f t="shared" si="113"/>
        <v>17550</v>
      </c>
      <c r="K860">
        <f t="shared" si="113"/>
        <v>5832</v>
      </c>
      <c r="L860">
        <f t="shared" si="113"/>
        <v>0</v>
      </c>
      <c r="M860" s="318">
        <v>1.95</v>
      </c>
      <c r="N860" s="318">
        <v>0.64800000000000002</v>
      </c>
      <c r="O860" s="318"/>
      <c r="X860" s="606">
        <f t="shared" si="105"/>
        <v>45231</v>
      </c>
      <c r="Y860" s="318">
        <f t="shared" si="114"/>
        <v>181.45</v>
      </c>
      <c r="Z860" s="60">
        <f t="shared" si="107"/>
        <v>22487.017416766084</v>
      </c>
      <c r="AA860" s="183">
        <f t="shared" si="108"/>
        <v>9000</v>
      </c>
      <c r="AB860" s="572">
        <f t="shared" si="109"/>
        <v>2.4985574907517871</v>
      </c>
      <c r="AC860" s="574"/>
      <c r="AD860" s="11">
        <v>23</v>
      </c>
      <c r="AE860" s="558">
        <f t="shared" si="101"/>
        <v>2.4985574907517871</v>
      </c>
      <c r="AF860" s="567">
        <f t="shared" si="110"/>
        <v>2.2487017416766188</v>
      </c>
    </row>
    <row r="861" spans="2:32" x14ac:dyDescent="0.25">
      <c r="D861" s="38">
        <f t="shared" si="111"/>
        <v>8468.25</v>
      </c>
      <c r="E861" s="38">
        <f t="shared" si="102"/>
        <v>0.94091666666666662</v>
      </c>
      <c r="F861" s="38">
        <f t="shared" si="112"/>
        <v>4353.0412500348248</v>
      </c>
      <c r="G861" s="38">
        <f t="shared" si="104"/>
        <v>0.4836712500038694</v>
      </c>
      <c r="J861">
        <f t="shared" si="113"/>
        <v>17010</v>
      </c>
      <c r="K861">
        <f t="shared" si="113"/>
        <v>6120</v>
      </c>
      <c r="L861">
        <f t="shared" si="113"/>
        <v>0</v>
      </c>
      <c r="M861" s="318">
        <v>1.89</v>
      </c>
      <c r="N861" s="318">
        <v>0.68</v>
      </c>
      <c r="O861" s="318"/>
      <c r="X861" s="606">
        <f t="shared" si="105"/>
        <v>45261</v>
      </c>
      <c r="Y861" s="318">
        <f t="shared" si="114"/>
        <v>59.85</v>
      </c>
      <c r="Z861" s="60">
        <f t="shared" si="107"/>
        <v>12821.291250034825</v>
      </c>
      <c r="AA861" s="183">
        <f t="shared" si="108"/>
        <v>9000</v>
      </c>
      <c r="AB861" s="572">
        <f>Z861/AA861</f>
        <v>1.4245879166705362</v>
      </c>
      <c r="AC861" s="573">
        <f>SUM(AB850:AB861)</f>
        <v>26.759194520175299</v>
      </c>
      <c r="AD861" s="11">
        <v>24</v>
      </c>
      <c r="AE861" s="558">
        <f t="shared" si="101"/>
        <v>1.4245879166705362</v>
      </c>
      <c r="AF861" s="567">
        <f t="shared" si="110"/>
        <v>1.2821291250034925</v>
      </c>
    </row>
    <row r="862" spans="2:32" x14ac:dyDescent="0.25">
      <c r="J862" s="22">
        <f t="shared" ref="J862:O862" si="115">SUM(J838:J861)</f>
        <v>443430</v>
      </c>
      <c r="K862" s="22">
        <f t="shared" si="115"/>
        <v>148804.20000000001</v>
      </c>
      <c r="L862" s="22">
        <f t="shared" si="115"/>
        <v>0</v>
      </c>
      <c r="M862" s="22">
        <f t="shared" si="115"/>
        <v>49.269999999999996</v>
      </c>
      <c r="N862" s="22">
        <f t="shared" si="115"/>
        <v>16.533800000000003</v>
      </c>
      <c r="O862" s="22">
        <f t="shared" si="115"/>
        <v>0</v>
      </c>
      <c r="Y862" s="297">
        <f>AVERAGE(Y838:Y861)</f>
        <v>144.58064083333332</v>
      </c>
      <c r="Z862" s="297">
        <f>AVERAGE(Z838:Z861)</f>
        <v>20398.290291175374</v>
      </c>
      <c r="AA862" s="297">
        <f>AVERAGE(AA838:AA861)</f>
        <v>9000</v>
      </c>
      <c r="AB862" s="297">
        <f>AVERAGE(AB838:AB861)</f>
        <v>2.2664766990194862</v>
      </c>
      <c r="AC862" s="62"/>
    </row>
    <row r="863" spans="2:32" x14ac:dyDescent="0.25">
      <c r="I863" s="24">
        <f>SUM(J863:L863)</f>
        <v>296397</v>
      </c>
      <c r="J863" s="24">
        <f t="shared" ref="J863:O863" si="116">SUM(J850:J861)</f>
        <v>221850</v>
      </c>
      <c r="K863" s="24">
        <f t="shared" si="116"/>
        <v>74547</v>
      </c>
      <c r="L863" s="24">
        <f t="shared" si="116"/>
        <v>0</v>
      </c>
      <c r="M863" s="24">
        <f t="shared" si="116"/>
        <v>24.650000000000002</v>
      </c>
      <c r="N863" s="24">
        <f t="shared" si="116"/>
        <v>8.2829999999999995</v>
      </c>
      <c r="O863" s="24">
        <f t="shared" si="116"/>
        <v>0</v>
      </c>
      <c r="P863" s="24">
        <f>SUM(M863:O863)</f>
        <v>32.933</v>
      </c>
      <c r="Z863" s="655" t="s">
        <v>1018</v>
      </c>
      <c r="AA863" s="655"/>
      <c r="AB863" s="575">
        <f>SUM(AB838:AB849)</f>
        <v>27.636246256292363</v>
      </c>
    </row>
    <row r="864" spans="2:32" x14ac:dyDescent="0.25">
      <c r="J864" s="377"/>
      <c r="K864" s="377"/>
      <c r="L864" s="377"/>
      <c r="M864" s="377"/>
      <c r="N864" s="377"/>
      <c r="O864" s="377"/>
      <c r="Z864" s="655" t="s">
        <v>1019</v>
      </c>
      <c r="AA864" s="655"/>
      <c r="AB864" s="576">
        <f>SUM(AB850:AB861)</f>
        <v>26.759194520175299</v>
      </c>
      <c r="AC864" s="368" t="s">
        <v>446</v>
      </c>
    </row>
    <row r="865" spans="18:28" x14ac:dyDescent="0.25">
      <c r="Z865" s="655" t="s">
        <v>1020</v>
      </c>
      <c r="AA865" s="655"/>
      <c r="AB865" s="575">
        <f>AVERAGE(AB863:AB864)</f>
        <v>27.197720388233833</v>
      </c>
    </row>
    <row r="868" spans="18:28" x14ac:dyDescent="0.25">
      <c r="R868" s="23"/>
    </row>
    <row r="869" spans="18:28" x14ac:dyDescent="0.25">
      <c r="R869" s="87"/>
    </row>
    <row r="870" spans="18:28" x14ac:dyDescent="0.25">
      <c r="W870">
        <v>8</v>
      </c>
      <c r="X870" s="691" t="s">
        <v>999</v>
      </c>
      <c r="Y870" s="691"/>
      <c r="Z870" s="691"/>
      <c r="AA870" s="691"/>
      <c r="AB870" s="691"/>
    </row>
    <row r="872" spans="18:28" x14ac:dyDescent="0.25">
      <c r="X872" t="s">
        <v>1000</v>
      </c>
    </row>
    <row r="874" spans="18:28" x14ac:dyDescent="0.25">
      <c r="AA874" t="s">
        <v>1001</v>
      </c>
    </row>
    <row r="875" spans="18:28" x14ac:dyDescent="0.25">
      <c r="AA875" t="s">
        <v>1002</v>
      </c>
    </row>
    <row r="877" spans="18:28" x14ac:dyDescent="0.25">
      <c r="AA877" t="s">
        <v>1003</v>
      </c>
    </row>
    <row r="878" spans="18:28" x14ac:dyDescent="0.25">
      <c r="AA878" t="s">
        <v>1004</v>
      </c>
    </row>
    <row r="879" spans="18:28" x14ac:dyDescent="0.25">
      <c r="X879" s="577" t="s">
        <v>1005</v>
      </c>
    </row>
    <row r="880" spans="18:28" x14ac:dyDescent="0.25">
      <c r="X880" s="152" t="s">
        <v>524</v>
      </c>
      <c r="Y880" s="168">
        <f>Pareto!W65</f>
        <v>0.19861296036891507</v>
      </c>
      <c r="AA880" s="288"/>
    </row>
    <row r="881" spans="23:28" x14ac:dyDescent="0.25">
      <c r="X881" s="152" t="s">
        <v>520</v>
      </c>
      <c r="Y881" s="168">
        <f>Pareto!W66</f>
        <v>0.41186927918595839</v>
      </c>
      <c r="AA881" s="288"/>
    </row>
    <row r="882" spans="23:28" x14ac:dyDescent="0.25">
      <c r="X882" s="152" t="s">
        <v>521</v>
      </c>
      <c r="Y882" s="168">
        <f>Pareto!W69</f>
        <v>3.5779464479558327E-2</v>
      </c>
      <c r="AA882" s="288"/>
    </row>
    <row r="883" spans="23:28" x14ac:dyDescent="0.25">
      <c r="X883" s="152" t="s">
        <v>522</v>
      </c>
      <c r="Y883" s="168">
        <f>Pareto!W70</f>
        <v>5.0004542000666105E-2</v>
      </c>
      <c r="AA883" s="288"/>
    </row>
    <row r="884" spans="23:28" x14ac:dyDescent="0.25">
      <c r="X884" s="152" t="s">
        <v>523</v>
      </c>
      <c r="Y884" s="168">
        <f>Pareto!W72</f>
        <v>0.26625548057618265</v>
      </c>
      <c r="AA884" s="288"/>
    </row>
    <row r="885" spans="23:28" x14ac:dyDescent="0.25">
      <c r="X885" s="152" t="s">
        <v>225</v>
      </c>
      <c r="Y885" s="168">
        <f>Pareto!W75</f>
        <v>3.7478273388719327E-2</v>
      </c>
      <c r="AA885" s="439"/>
    </row>
    <row r="886" spans="23:28" x14ac:dyDescent="0.25">
      <c r="Y886" s="168">
        <f>SUM(Y880:Y885)</f>
        <v>0.99999999999999989</v>
      </c>
    </row>
    <row r="888" spans="23:28" x14ac:dyDescent="0.25">
      <c r="W888">
        <v>9</v>
      </c>
      <c r="X888" s="691" t="s">
        <v>1006</v>
      </c>
      <c r="Y888" s="691"/>
      <c r="Z888" s="691"/>
      <c r="AA888" s="691"/>
      <c r="AB888" s="691"/>
    </row>
    <row r="890" spans="23:28" x14ac:dyDescent="0.25">
      <c r="X890" t="s">
        <v>1140</v>
      </c>
    </row>
    <row r="892" spans="23:28" x14ac:dyDescent="0.25">
      <c r="AA892" t="s">
        <v>1001</v>
      </c>
    </row>
    <row r="893" spans="23:28" x14ac:dyDescent="0.25">
      <c r="AA893" t="s">
        <v>1007</v>
      </c>
    </row>
    <row r="894" spans="23:28" x14ac:dyDescent="0.25">
      <c r="AA894" t="s">
        <v>1008</v>
      </c>
    </row>
    <row r="896" spans="23:28" x14ac:dyDescent="0.25">
      <c r="AA896" t="s">
        <v>1009</v>
      </c>
    </row>
    <row r="898" spans="23:28" x14ac:dyDescent="0.25">
      <c r="X898" s="684" t="s">
        <v>1010</v>
      </c>
      <c r="Y898" s="684"/>
      <c r="Z898" s="76" t="s">
        <v>519</v>
      </c>
      <c r="AA898" s="17" t="s">
        <v>320</v>
      </c>
    </row>
    <row r="899" spans="23:28" x14ac:dyDescent="0.25">
      <c r="X899" s="684" t="s">
        <v>1011</v>
      </c>
      <c r="Y899" s="684"/>
      <c r="Z899" s="168">
        <f>Pareto!Z66</f>
        <v>0</v>
      </c>
      <c r="AA899" s="168">
        <f>Pareto!T65</f>
        <v>0.36740578389466411</v>
      </c>
    </row>
    <row r="900" spans="23:28" x14ac:dyDescent="0.25">
      <c r="X900" s="684" t="s">
        <v>104</v>
      </c>
      <c r="Y900" s="684"/>
      <c r="Z900" s="168">
        <f>Pareto!R66</f>
        <v>4.0452224080327552E-2</v>
      </c>
      <c r="AA900" s="168">
        <f>Pareto!T66</f>
        <v>0.11018600111327737</v>
      </c>
    </row>
    <row r="901" spans="23:28" x14ac:dyDescent="0.25">
      <c r="X901" s="684" t="s">
        <v>112</v>
      </c>
      <c r="Y901" s="684"/>
      <c r="Z901" s="168">
        <f>Pareto!R67</f>
        <v>0.10111165729237015</v>
      </c>
      <c r="AA901" s="168">
        <f>Pareto!T67</f>
        <v>0.52240821499205836</v>
      </c>
    </row>
    <row r="902" spans="23:28" x14ac:dyDescent="0.25">
      <c r="X902" s="684" t="s">
        <v>113</v>
      </c>
      <c r="Y902" s="684"/>
      <c r="Z902" s="168">
        <f>Pareto!R68</f>
        <v>1.0585628731300669E-2</v>
      </c>
      <c r="AA902" s="168">
        <f>Pareto!T68</f>
        <v>0</v>
      </c>
    </row>
    <row r="903" spans="23:28" x14ac:dyDescent="0.25">
      <c r="X903" s="684" t="s">
        <v>118</v>
      </c>
      <c r="Y903" s="684"/>
      <c r="Z903" s="168">
        <f>Pareto!R69</f>
        <v>7.7879982808854928E-2</v>
      </c>
      <c r="AA903" s="168">
        <f>Pareto!T69</f>
        <v>0</v>
      </c>
    </row>
    <row r="904" spans="23:28" x14ac:dyDescent="0.25">
      <c r="X904" s="684" t="s">
        <v>1012</v>
      </c>
      <c r="Y904" s="684"/>
      <c r="Z904" s="168">
        <f>Pareto!R70+Pareto!R71</f>
        <v>0.10884324089315194</v>
      </c>
      <c r="AA904" s="168">
        <f>Pareto!T71+Pareto!T71</f>
        <v>0</v>
      </c>
    </row>
    <row r="905" spans="23:28" x14ac:dyDescent="0.25">
      <c r="X905" s="684" t="s">
        <v>1013</v>
      </c>
      <c r="Y905" s="684"/>
      <c r="Z905" s="168">
        <f>Pareto!R72+Pareto!R73+Pareto!R74</f>
        <v>0.57954954194139696</v>
      </c>
      <c r="AA905" s="168">
        <f>Pareto!T72+Pareto!T73+Pareto!T74</f>
        <v>0</v>
      </c>
    </row>
    <row r="906" spans="23:28" x14ac:dyDescent="0.25">
      <c r="X906" s="684" t="s">
        <v>225</v>
      </c>
      <c r="Y906" s="684"/>
      <c r="Z906" s="168">
        <f>Pareto!R75</f>
        <v>8.157772425259778E-2</v>
      </c>
      <c r="AA906" s="168">
        <f>Pareto!T75</f>
        <v>0</v>
      </c>
    </row>
    <row r="907" spans="23:28" x14ac:dyDescent="0.25">
      <c r="Y907" s="305" t="s">
        <v>612</v>
      </c>
      <c r="Z907" s="479">
        <f>SUM(Z899:Z906)</f>
        <v>1</v>
      </c>
      <c r="AA907" s="479">
        <f>SUM(AA899:AA906)</f>
        <v>0.99999999999999978</v>
      </c>
    </row>
    <row r="911" spans="23:28" x14ac:dyDescent="0.25">
      <c r="W911">
        <v>10</v>
      </c>
      <c r="X911" s="691" t="s">
        <v>1022</v>
      </c>
      <c r="Y911" s="691"/>
      <c r="Z911" s="691"/>
      <c r="AA911" s="691"/>
      <c r="AB911" s="691"/>
    </row>
    <row r="913" spans="12:32" x14ac:dyDescent="0.25">
      <c r="P913" s="1" t="s">
        <v>468</v>
      </c>
      <c r="Q913" t="s">
        <v>1032</v>
      </c>
      <c r="X913" t="s">
        <v>1023</v>
      </c>
    </row>
    <row r="914" spans="12:32" x14ac:dyDescent="0.25">
      <c r="O914" t="s">
        <v>1028</v>
      </c>
      <c r="P914">
        <f>Pareto!H96</f>
        <v>12996.135600000001</v>
      </c>
      <c r="Q914" s="43">
        <f>P914/34</f>
        <v>382.23928235294125</v>
      </c>
    </row>
    <row r="915" spans="12:32" x14ac:dyDescent="0.25">
      <c r="AA915" t="s">
        <v>985</v>
      </c>
    </row>
    <row r="916" spans="12:32" x14ac:dyDescent="0.25">
      <c r="AA916" t="s">
        <v>1024</v>
      </c>
    </row>
    <row r="917" spans="12:32" x14ac:dyDescent="0.25">
      <c r="N917" s="87" t="s">
        <v>1027</v>
      </c>
      <c r="O917" t="s">
        <v>1028</v>
      </c>
      <c r="P917" s="43">
        <f>Q914</f>
        <v>382.23928235294125</v>
      </c>
      <c r="Q917" t="s">
        <v>892</v>
      </c>
      <c r="AA917" t="s">
        <v>1025</v>
      </c>
    </row>
    <row r="918" spans="12:32" x14ac:dyDescent="0.25">
      <c r="O918" t="s">
        <v>1029</v>
      </c>
      <c r="P918" s="22">
        <f>P917/12</f>
        <v>31.853273529411769</v>
      </c>
    </row>
    <row r="919" spans="12:32" x14ac:dyDescent="0.25">
      <c r="Y919" t="s">
        <v>1026</v>
      </c>
      <c r="Z919" s="22">
        <v>207.9</v>
      </c>
      <c r="AA919" t="s">
        <v>892</v>
      </c>
    </row>
    <row r="920" spans="12:32" x14ac:dyDescent="0.25">
      <c r="U920" s="692" t="s">
        <v>993</v>
      </c>
      <c r="V920" s="692"/>
      <c r="AF920" t="s">
        <v>1033</v>
      </c>
    </row>
    <row r="921" spans="12:32" x14ac:dyDescent="0.25">
      <c r="Z921" s="1" t="s">
        <v>1030</v>
      </c>
      <c r="AA921" s="1" t="s">
        <v>995</v>
      </c>
      <c r="AB921" s="1" t="s">
        <v>1031</v>
      </c>
      <c r="AD921" s="688" t="s">
        <v>3</v>
      </c>
      <c r="AE921" s="688" t="s">
        <v>974</v>
      </c>
      <c r="AF921" s="688" t="s">
        <v>942</v>
      </c>
    </row>
    <row r="922" spans="12:32" ht="30" x14ac:dyDescent="0.25">
      <c r="L922" s="45" t="s">
        <v>3</v>
      </c>
      <c r="M922" s="45" t="s">
        <v>972</v>
      </c>
      <c r="N922" s="587" t="str">
        <f>N917</f>
        <v>CEAIT</v>
      </c>
      <c r="O922" s="259"/>
      <c r="P922" s="45" t="s">
        <v>546</v>
      </c>
      <c r="X922" s="45" t="s">
        <v>3</v>
      </c>
      <c r="Y922" s="45" t="s">
        <v>1046</v>
      </c>
      <c r="Z922" s="45" t="s">
        <v>645</v>
      </c>
      <c r="AA922" s="45" t="s">
        <v>891</v>
      </c>
      <c r="AB922" s="45" t="s">
        <v>892</v>
      </c>
      <c r="AD922" s="688"/>
      <c r="AE922" s="688"/>
      <c r="AF922" s="688"/>
    </row>
    <row r="923" spans="12:32" x14ac:dyDescent="0.25">
      <c r="L923" s="586" t="s">
        <v>613</v>
      </c>
      <c r="M923" s="563">
        <f t="shared" ref="M923:M946" si="117">AA788</f>
        <v>34</v>
      </c>
      <c r="N923" s="562">
        <f t="shared" ref="N923:N946" si="118">M923/$P$918</f>
        <v>1.067394218324407</v>
      </c>
      <c r="P923" s="312">
        <f t="shared" ref="P923:P946" si="119">N923*M923</f>
        <v>36.291403423029834</v>
      </c>
      <c r="X923" s="606">
        <f>X838</f>
        <v>44562</v>
      </c>
      <c r="Y923" s="318">
        <f>Y838</f>
        <v>72.344580000000008</v>
      </c>
      <c r="Z923" s="60">
        <v>6900</v>
      </c>
      <c r="AA923" s="183">
        <f>AA788</f>
        <v>34</v>
      </c>
      <c r="AB923" s="312">
        <f>Z923/AA923</f>
        <v>202.94117647058823</v>
      </c>
      <c r="AD923" s="11">
        <v>1</v>
      </c>
      <c r="AE923" s="558">
        <f t="shared" ref="AE923:AE946" si="120">AB923</f>
        <v>202.94117647058823</v>
      </c>
      <c r="AF923" s="567">
        <f>0.0155*Z923+91.139</f>
        <v>198.089</v>
      </c>
    </row>
    <row r="924" spans="12:32" x14ac:dyDescent="0.25">
      <c r="L924" s="183" t="s">
        <v>614</v>
      </c>
      <c r="M924" s="551">
        <f t="shared" si="117"/>
        <v>36</v>
      </c>
      <c r="N924" s="316">
        <f t="shared" si="118"/>
        <v>1.1301821135199603</v>
      </c>
      <c r="P924" s="312">
        <f t="shared" si="119"/>
        <v>40.686556086718575</v>
      </c>
      <c r="X924" s="606">
        <f t="shared" ref="X924:X946" si="121">X839</f>
        <v>44593</v>
      </c>
      <c r="Y924" s="318">
        <f t="shared" ref="Y924:Y939" si="122">Y839</f>
        <v>99.44550000000001</v>
      </c>
      <c r="Z924" s="60">
        <v>7554.840579710145</v>
      </c>
      <c r="AA924" s="183">
        <f t="shared" ref="AA924:AA946" si="123">AA789</f>
        <v>36</v>
      </c>
      <c r="AB924" s="312">
        <f t="shared" ref="AB924:AB946" si="124">Z924/AA924</f>
        <v>209.85668276972626</v>
      </c>
      <c r="AD924" s="11">
        <v>2</v>
      </c>
      <c r="AE924" s="558">
        <f t="shared" si="120"/>
        <v>209.85668276972626</v>
      </c>
      <c r="AF924" s="567">
        <f t="shared" ref="AF924:AF946" si="125">0.0155*Z924+91.139</f>
        <v>208.23902898550725</v>
      </c>
    </row>
    <row r="925" spans="12:32" x14ac:dyDescent="0.25">
      <c r="L925" s="183" t="s">
        <v>615</v>
      </c>
      <c r="M925" s="551">
        <f t="shared" si="117"/>
        <v>38</v>
      </c>
      <c r="N925" s="316">
        <f t="shared" si="118"/>
        <v>1.1929700087155137</v>
      </c>
      <c r="P925" s="312">
        <f t="shared" si="119"/>
        <v>45.332860331189522</v>
      </c>
      <c r="X925" s="606">
        <f t="shared" si="121"/>
        <v>44621</v>
      </c>
      <c r="Y925" s="318">
        <f t="shared" si="122"/>
        <v>104.69536000000001</v>
      </c>
      <c r="Z925" s="60">
        <v>6980.231884057971</v>
      </c>
      <c r="AA925" s="183">
        <f t="shared" si="123"/>
        <v>38</v>
      </c>
      <c r="AB925" s="312">
        <f t="shared" si="124"/>
        <v>183.69031273836765</v>
      </c>
      <c r="AD925" s="11">
        <v>3</v>
      </c>
      <c r="AE925" s="558">
        <f t="shared" si="120"/>
        <v>183.69031273836765</v>
      </c>
      <c r="AF925" s="567">
        <f t="shared" si="125"/>
        <v>199.33259420289855</v>
      </c>
    </row>
    <row r="926" spans="12:32" x14ac:dyDescent="0.25">
      <c r="L926" s="183" t="s">
        <v>616</v>
      </c>
      <c r="M926" s="551">
        <f t="shared" si="117"/>
        <v>34</v>
      </c>
      <c r="N926" s="316">
        <f t="shared" si="118"/>
        <v>1.067394218324407</v>
      </c>
      <c r="P926" s="312">
        <f t="shared" si="119"/>
        <v>36.291403423029834</v>
      </c>
      <c r="X926" s="606">
        <f t="shared" si="121"/>
        <v>44652</v>
      </c>
      <c r="Y926" s="318">
        <f t="shared" si="122"/>
        <v>198.85866000000001</v>
      </c>
      <c r="Z926" s="60">
        <v>6583.7101449275369</v>
      </c>
      <c r="AA926" s="183">
        <f t="shared" si="123"/>
        <v>34</v>
      </c>
      <c r="AB926" s="312">
        <f t="shared" si="124"/>
        <v>193.63853367433933</v>
      </c>
      <c r="AD926" s="11">
        <v>4</v>
      </c>
      <c r="AE926" s="558">
        <f t="shared" si="120"/>
        <v>193.63853367433933</v>
      </c>
      <c r="AF926" s="567">
        <f t="shared" si="125"/>
        <v>193.18650724637683</v>
      </c>
    </row>
    <row r="927" spans="12:32" x14ac:dyDescent="0.25">
      <c r="L927" s="183" t="s">
        <v>617</v>
      </c>
      <c r="M927" s="551">
        <f t="shared" si="117"/>
        <v>34</v>
      </c>
      <c r="N927" s="316">
        <f t="shared" si="118"/>
        <v>1.067394218324407</v>
      </c>
      <c r="P927" s="312">
        <f t="shared" si="119"/>
        <v>36.291403423029834</v>
      </c>
      <c r="X927" s="606">
        <f t="shared" si="121"/>
        <v>44682</v>
      </c>
      <c r="Y927" s="318">
        <f t="shared" si="122"/>
        <v>265.41000000000003</v>
      </c>
      <c r="Z927" s="60">
        <v>6544.6956521739139</v>
      </c>
      <c r="AA927" s="183">
        <f t="shared" si="123"/>
        <v>34</v>
      </c>
      <c r="AB927" s="312">
        <f t="shared" si="124"/>
        <v>192.4910485933504</v>
      </c>
      <c r="AD927" s="11">
        <v>5</v>
      </c>
      <c r="AE927" s="558">
        <f t="shared" si="120"/>
        <v>192.4910485933504</v>
      </c>
      <c r="AF927" s="567">
        <f t="shared" si="125"/>
        <v>192.58178260869568</v>
      </c>
    </row>
    <row r="928" spans="12:32" x14ac:dyDescent="0.25">
      <c r="L928" s="183" t="s">
        <v>618</v>
      </c>
      <c r="M928" s="551">
        <f t="shared" si="117"/>
        <v>33</v>
      </c>
      <c r="N928" s="316">
        <f t="shared" si="118"/>
        <v>1.0360002707266303</v>
      </c>
      <c r="P928" s="312">
        <f t="shared" si="119"/>
        <v>34.1880089339788</v>
      </c>
      <c r="X928" s="606">
        <f t="shared" si="121"/>
        <v>44713</v>
      </c>
      <c r="Y928" s="318">
        <f t="shared" si="122"/>
        <v>188.35893999999999</v>
      </c>
      <c r="Z928" s="60">
        <v>6351.36231884058</v>
      </c>
      <c r="AA928" s="183">
        <f t="shared" si="123"/>
        <v>33</v>
      </c>
      <c r="AB928" s="312">
        <f t="shared" si="124"/>
        <v>192.4655248133509</v>
      </c>
      <c r="AD928" s="11">
        <v>6</v>
      </c>
      <c r="AE928" s="558">
        <f t="shared" si="120"/>
        <v>192.4655248133509</v>
      </c>
      <c r="AF928" s="567">
        <f t="shared" si="125"/>
        <v>189.58511594202901</v>
      </c>
    </row>
    <row r="929" spans="12:32" x14ac:dyDescent="0.25">
      <c r="L929" s="183" t="s">
        <v>619</v>
      </c>
      <c r="M929" s="551">
        <f t="shared" si="117"/>
        <v>33</v>
      </c>
      <c r="N929" s="316">
        <f t="shared" si="118"/>
        <v>1.0360002707266303</v>
      </c>
      <c r="P929" s="312">
        <f t="shared" si="119"/>
        <v>34.1880089339788</v>
      </c>
      <c r="X929" s="606">
        <f t="shared" si="121"/>
        <v>44743</v>
      </c>
      <c r="Y929" s="318">
        <f t="shared" si="122"/>
        <v>177.69752000000003</v>
      </c>
      <c r="Z929" s="60">
        <v>6236.753623188406</v>
      </c>
      <c r="AA929" s="183">
        <f t="shared" si="123"/>
        <v>33</v>
      </c>
      <c r="AB929" s="312">
        <f t="shared" si="124"/>
        <v>188.9925340360123</v>
      </c>
      <c r="AD929" s="11">
        <v>7</v>
      </c>
      <c r="AE929" s="558">
        <f t="shared" si="120"/>
        <v>188.9925340360123</v>
      </c>
      <c r="AF929" s="567">
        <f t="shared" si="125"/>
        <v>187.8086811594203</v>
      </c>
    </row>
    <row r="930" spans="12:32" x14ac:dyDescent="0.25">
      <c r="L930" s="183" t="s">
        <v>620</v>
      </c>
      <c r="M930" s="551">
        <f t="shared" si="117"/>
        <v>34</v>
      </c>
      <c r="N930" s="316">
        <f t="shared" si="118"/>
        <v>1.067394218324407</v>
      </c>
      <c r="P930" s="312">
        <f t="shared" si="119"/>
        <v>36.291403423029834</v>
      </c>
      <c r="X930" s="606">
        <f t="shared" si="121"/>
        <v>44774</v>
      </c>
      <c r="Y930" s="318">
        <f t="shared" si="122"/>
        <v>190.06218000000001</v>
      </c>
      <c r="Z930" s="60">
        <v>6701.4492753623181</v>
      </c>
      <c r="AA930" s="183">
        <f t="shared" si="123"/>
        <v>34</v>
      </c>
      <c r="AB930" s="312">
        <f t="shared" si="124"/>
        <v>197.10144927536228</v>
      </c>
      <c r="AD930" s="11">
        <v>8</v>
      </c>
      <c r="AE930" s="558">
        <f t="shared" si="120"/>
        <v>197.10144927536228</v>
      </c>
      <c r="AF930" s="567">
        <f t="shared" si="125"/>
        <v>195.01146376811593</v>
      </c>
    </row>
    <row r="931" spans="12:32" x14ac:dyDescent="0.25">
      <c r="L931" s="183" t="s">
        <v>621</v>
      </c>
      <c r="M931" s="551">
        <f t="shared" si="117"/>
        <v>35</v>
      </c>
      <c r="N931" s="316">
        <f t="shared" si="118"/>
        <v>1.0987881659221836</v>
      </c>
      <c r="P931" s="312">
        <f t="shared" si="119"/>
        <v>38.457585807276431</v>
      </c>
      <c r="X931" s="606">
        <f t="shared" si="121"/>
        <v>44805</v>
      </c>
      <c r="Y931" s="318">
        <f t="shared" si="122"/>
        <v>118.91</v>
      </c>
      <c r="Z931" s="60">
        <v>6940.057971014493</v>
      </c>
      <c r="AA931" s="183">
        <f t="shared" si="123"/>
        <v>35</v>
      </c>
      <c r="AB931" s="312">
        <f t="shared" si="124"/>
        <v>198.28737060041408</v>
      </c>
      <c r="AD931" s="11">
        <v>9</v>
      </c>
      <c r="AE931" s="558">
        <f t="shared" si="120"/>
        <v>198.28737060041408</v>
      </c>
      <c r="AF931" s="567">
        <f t="shared" si="125"/>
        <v>198.70989855072463</v>
      </c>
    </row>
    <row r="932" spans="12:32" x14ac:dyDescent="0.25">
      <c r="L932" s="183" t="s">
        <v>622</v>
      </c>
      <c r="M932" s="551">
        <f t="shared" si="117"/>
        <v>36</v>
      </c>
      <c r="N932" s="316">
        <f t="shared" si="118"/>
        <v>1.1301821135199603</v>
      </c>
      <c r="P932" s="312">
        <f t="shared" si="119"/>
        <v>40.686556086718575</v>
      </c>
      <c r="X932" s="606">
        <f t="shared" si="121"/>
        <v>44835</v>
      </c>
      <c r="Y932" s="318">
        <f t="shared" si="122"/>
        <v>112</v>
      </c>
      <c r="Z932" s="60">
        <v>7596.753623188406</v>
      </c>
      <c r="AA932" s="183">
        <f t="shared" si="123"/>
        <v>36</v>
      </c>
      <c r="AB932" s="312">
        <f t="shared" si="124"/>
        <v>211.02093397745571</v>
      </c>
      <c r="AD932" s="11">
        <v>10</v>
      </c>
      <c r="AE932" s="558">
        <f t="shared" si="120"/>
        <v>211.02093397745571</v>
      </c>
      <c r="AF932" s="567">
        <f t="shared" si="125"/>
        <v>208.88868115942029</v>
      </c>
    </row>
    <row r="933" spans="12:32" x14ac:dyDescent="0.25">
      <c r="L933" s="183" t="s">
        <v>623</v>
      </c>
      <c r="M933" s="551">
        <f t="shared" si="117"/>
        <v>36</v>
      </c>
      <c r="N933" s="316">
        <f t="shared" si="118"/>
        <v>1.1301821135199603</v>
      </c>
      <c r="P933" s="312">
        <f t="shared" si="119"/>
        <v>40.686556086718575</v>
      </c>
      <c r="X933" s="606">
        <f t="shared" si="121"/>
        <v>44866</v>
      </c>
      <c r="Y933" s="318">
        <f t="shared" si="122"/>
        <v>151.82552000000001</v>
      </c>
      <c r="Z933" s="60">
        <v>7429.797101449275</v>
      </c>
      <c r="AA933" s="183">
        <f t="shared" si="123"/>
        <v>36</v>
      </c>
      <c r="AB933" s="312">
        <f t="shared" si="124"/>
        <v>206.38325281803543</v>
      </c>
      <c r="AD933" s="11">
        <v>11</v>
      </c>
      <c r="AE933" s="558">
        <f t="shared" si="120"/>
        <v>206.38325281803543</v>
      </c>
      <c r="AF933" s="567">
        <f t="shared" si="125"/>
        <v>206.30085507246378</v>
      </c>
    </row>
    <row r="934" spans="12:32" x14ac:dyDescent="0.25">
      <c r="L934" s="183" t="s">
        <v>624</v>
      </c>
      <c r="M934" s="551">
        <f t="shared" si="117"/>
        <v>35</v>
      </c>
      <c r="N934" s="316">
        <f t="shared" si="118"/>
        <v>1.0987881659221836</v>
      </c>
      <c r="P934" s="312">
        <f t="shared" si="119"/>
        <v>38.457585807276431</v>
      </c>
      <c r="X934" s="606">
        <f t="shared" si="121"/>
        <v>44896</v>
      </c>
      <c r="Y934" s="318">
        <f t="shared" si="122"/>
        <v>41.00712</v>
      </c>
      <c r="Z934" s="60">
        <v>7305.797101449275</v>
      </c>
      <c r="AA934" s="183">
        <f t="shared" si="123"/>
        <v>35</v>
      </c>
      <c r="AB934" s="312">
        <f t="shared" si="124"/>
        <v>208.73706004140786</v>
      </c>
      <c r="AD934" s="11">
        <v>12</v>
      </c>
      <c r="AE934" s="558">
        <f t="shared" si="120"/>
        <v>208.73706004140786</v>
      </c>
      <c r="AF934" s="567">
        <f t="shared" si="125"/>
        <v>204.37885507246375</v>
      </c>
    </row>
    <row r="935" spans="12:32" x14ac:dyDescent="0.25">
      <c r="L935" s="183" t="s">
        <v>613</v>
      </c>
      <c r="M935" s="564">
        <f t="shared" si="117"/>
        <v>26</v>
      </c>
      <c r="N935" s="316">
        <f t="shared" si="118"/>
        <v>0.81624263754219362</v>
      </c>
      <c r="P935" s="312">
        <f t="shared" si="119"/>
        <v>21.222308576097035</v>
      </c>
      <c r="X935" s="606">
        <f t="shared" si="121"/>
        <v>44927</v>
      </c>
      <c r="Y935" s="318">
        <f t="shared" si="122"/>
        <v>81.25</v>
      </c>
      <c r="Z935" s="60">
        <v>4101.797101449275</v>
      </c>
      <c r="AA935" s="183">
        <f t="shared" si="123"/>
        <v>26</v>
      </c>
      <c r="AB935" s="312">
        <f t="shared" si="124"/>
        <v>157.76142697881826</v>
      </c>
      <c r="AD935" s="11">
        <v>13</v>
      </c>
      <c r="AE935" s="558">
        <f t="shared" si="120"/>
        <v>157.76142697881826</v>
      </c>
      <c r="AF935" s="567">
        <f t="shared" si="125"/>
        <v>154.71685507246377</v>
      </c>
    </row>
    <row r="936" spans="12:32" x14ac:dyDescent="0.25">
      <c r="L936" s="183" t="s">
        <v>614</v>
      </c>
      <c r="M936" s="564">
        <f t="shared" si="117"/>
        <v>33</v>
      </c>
      <c r="N936" s="316">
        <f t="shared" si="118"/>
        <v>1.0360002707266303</v>
      </c>
      <c r="P936" s="312">
        <f t="shared" si="119"/>
        <v>34.1880089339788</v>
      </c>
      <c r="X936" s="606">
        <f t="shared" si="121"/>
        <v>44958</v>
      </c>
      <c r="Y936" s="318">
        <f t="shared" si="122"/>
        <v>104.56</v>
      </c>
      <c r="Z936" s="60">
        <v>6505.7971014492759</v>
      </c>
      <c r="AA936" s="183">
        <f t="shared" si="123"/>
        <v>33</v>
      </c>
      <c r="AB936" s="312">
        <f t="shared" si="124"/>
        <v>197.14536671058411</v>
      </c>
      <c r="AD936" s="11">
        <v>14</v>
      </c>
      <c r="AE936" s="558">
        <f t="shared" si="120"/>
        <v>197.14536671058411</v>
      </c>
      <c r="AF936" s="567">
        <f t="shared" si="125"/>
        <v>191.97885507246377</v>
      </c>
    </row>
    <row r="937" spans="12:32" x14ac:dyDescent="0.25">
      <c r="L937" s="183" t="s">
        <v>615</v>
      </c>
      <c r="M937" s="564">
        <f t="shared" si="117"/>
        <v>33</v>
      </c>
      <c r="N937" s="316">
        <f t="shared" si="118"/>
        <v>1.0360002707266303</v>
      </c>
      <c r="P937" s="312">
        <f t="shared" si="119"/>
        <v>34.1880089339788</v>
      </c>
      <c r="X937" s="606">
        <f t="shared" si="121"/>
        <v>44986</v>
      </c>
      <c r="Y937" s="318">
        <f t="shared" si="122"/>
        <v>117.89</v>
      </c>
      <c r="Z937" s="60">
        <v>6313.0434782608691</v>
      </c>
      <c r="AA937" s="183">
        <f t="shared" si="123"/>
        <v>33</v>
      </c>
      <c r="AB937" s="312">
        <f t="shared" si="124"/>
        <v>191.30434782608694</v>
      </c>
      <c r="AD937" s="11">
        <v>15</v>
      </c>
      <c r="AE937" s="558">
        <f t="shared" si="120"/>
        <v>191.30434782608694</v>
      </c>
      <c r="AF937" s="567">
        <f t="shared" si="125"/>
        <v>188.99117391304347</v>
      </c>
    </row>
    <row r="938" spans="12:32" x14ac:dyDescent="0.25">
      <c r="L938" s="183" t="s">
        <v>616</v>
      </c>
      <c r="M938" s="564">
        <f t="shared" si="117"/>
        <v>33</v>
      </c>
      <c r="N938" s="316">
        <f t="shared" si="118"/>
        <v>1.0360002707266303</v>
      </c>
      <c r="P938" s="312">
        <f t="shared" si="119"/>
        <v>34.1880089339788</v>
      </c>
      <c r="X938" s="606">
        <f t="shared" si="121"/>
        <v>45017</v>
      </c>
      <c r="Y938" s="318">
        <f t="shared" si="122"/>
        <v>214.56</v>
      </c>
      <c r="Z938" s="60">
        <v>6428.347826086957</v>
      </c>
      <c r="AA938" s="183">
        <f t="shared" si="123"/>
        <v>33</v>
      </c>
      <c r="AB938" s="312">
        <f t="shared" si="124"/>
        <v>194.79841897233203</v>
      </c>
      <c r="AD938" s="11">
        <v>16</v>
      </c>
      <c r="AE938" s="558">
        <f t="shared" si="120"/>
        <v>194.79841897233203</v>
      </c>
      <c r="AF938" s="567">
        <f t="shared" si="125"/>
        <v>190.77839130434785</v>
      </c>
    </row>
    <row r="939" spans="12:32" x14ac:dyDescent="0.25">
      <c r="L939" s="183" t="s">
        <v>617</v>
      </c>
      <c r="M939" s="564">
        <f t="shared" si="117"/>
        <v>33</v>
      </c>
      <c r="N939" s="316">
        <f t="shared" si="118"/>
        <v>1.0360002707266303</v>
      </c>
      <c r="P939" s="312">
        <f t="shared" si="119"/>
        <v>34.1880089339788</v>
      </c>
      <c r="X939" s="606">
        <f t="shared" si="121"/>
        <v>45047</v>
      </c>
      <c r="Y939" s="318">
        <f t="shared" si="122"/>
        <v>314.16000000000003</v>
      </c>
      <c r="Z939" s="60">
        <v>6467.014492753623</v>
      </c>
      <c r="AA939" s="183">
        <f t="shared" si="123"/>
        <v>33</v>
      </c>
      <c r="AB939" s="312">
        <f t="shared" si="124"/>
        <v>195.97013614404918</v>
      </c>
      <c r="AD939" s="11">
        <v>17</v>
      </c>
      <c r="AE939" s="558">
        <f t="shared" si="120"/>
        <v>195.97013614404918</v>
      </c>
      <c r="AF939" s="567">
        <f t="shared" si="125"/>
        <v>191.37772463768115</v>
      </c>
    </row>
    <row r="940" spans="12:32" x14ac:dyDescent="0.25">
      <c r="L940" s="183" t="s">
        <v>618</v>
      </c>
      <c r="M940" s="564">
        <f t="shared" si="117"/>
        <v>33</v>
      </c>
      <c r="N940" s="316">
        <f t="shared" si="118"/>
        <v>1.0360002707266303</v>
      </c>
      <c r="P940" s="312">
        <f t="shared" si="119"/>
        <v>34.1880089339788</v>
      </c>
      <c r="X940" s="606">
        <f t="shared" si="121"/>
        <v>45078</v>
      </c>
      <c r="Y940" s="318">
        <f t="shared" ref="Y940:Y946" si="126">Y855</f>
        <v>199.52</v>
      </c>
      <c r="Z940" s="60">
        <v>6467.014492753623</v>
      </c>
      <c r="AA940" s="183">
        <f t="shared" si="123"/>
        <v>33</v>
      </c>
      <c r="AB940" s="312">
        <f t="shared" si="124"/>
        <v>195.97013614404918</v>
      </c>
      <c r="AD940" s="11">
        <v>18</v>
      </c>
      <c r="AE940" s="558">
        <f t="shared" si="120"/>
        <v>195.97013614404918</v>
      </c>
      <c r="AF940" s="567">
        <f t="shared" si="125"/>
        <v>191.37772463768115</v>
      </c>
    </row>
    <row r="941" spans="12:32" x14ac:dyDescent="0.25">
      <c r="L941" s="183" t="s">
        <v>619</v>
      </c>
      <c r="M941" s="564">
        <f t="shared" si="117"/>
        <v>35</v>
      </c>
      <c r="N941" s="316">
        <f t="shared" si="118"/>
        <v>1.0987881659221836</v>
      </c>
      <c r="P941" s="312">
        <f t="shared" si="119"/>
        <v>38.457585807276431</v>
      </c>
      <c r="X941" s="606">
        <f t="shared" si="121"/>
        <v>45108</v>
      </c>
      <c r="Y941" s="318">
        <f t="shared" si="126"/>
        <v>212.12</v>
      </c>
      <c r="Z941" s="60">
        <v>7060.927536231884</v>
      </c>
      <c r="AA941" s="183">
        <f t="shared" si="123"/>
        <v>35</v>
      </c>
      <c r="AB941" s="312">
        <f t="shared" si="124"/>
        <v>201.7407867494824</v>
      </c>
      <c r="AD941" s="11">
        <v>19</v>
      </c>
      <c r="AE941" s="558">
        <f t="shared" si="120"/>
        <v>201.7407867494824</v>
      </c>
      <c r="AF941" s="567">
        <f t="shared" si="125"/>
        <v>200.58337681159418</v>
      </c>
    </row>
    <row r="942" spans="12:32" x14ac:dyDescent="0.25">
      <c r="L942" s="183" t="s">
        <v>620</v>
      </c>
      <c r="M942" s="564">
        <f t="shared" si="117"/>
        <v>35</v>
      </c>
      <c r="N942" s="316">
        <f t="shared" si="118"/>
        <v>1.0987881659221836</v>
      </c>
      <c r="P942" s="312">
        <f t="shared" si="119"/>
        <v>38.457585807276431</v>
      </c>
      <c r="X942" s="606">
        <f t="shared" si="121"/>
        <v>45139</v>
      </c>
      <c r="Y942" s="318">
        <f t="shared" si="126"/>
        <v>112.32</v>
      </c>
      <c r="Z942" s="60">
        <v>7060.927536231884</v>
      </c>
      <c r="AA942" s="183">
        <f t="shared" si="123"/>
        <v>35</v>
      </c>
      <c r="AB942" s="312">
        <f t="shared" si="124"/>
        <v>201.7407867494824</v>
      </c>
      <c r="AD942" s="11">
        <v>20</v>
      </c>
      <c r="AE942" s="558">
        <f t="shared" si="120"/>
        <v>201.7407867494824</v>
      </c>
      <c r="AF942" s="567">
        <f t="shared" si="125"/>
        <v>200.58337681159418</v>
      </c>
    </row>
    <row r="943" spans="12:32" x14ac:dyDescent="0.25">
      <c r="L943" s="183" t="s">
        <v>621</v>
      </c>
      <c r="M943" s="564">
        <f t="shared" si="117"/>
        <v>34</v>
      </c>
      <c r="N943" s="316">
        <f t="shared" si="118"/>
        <v>1.067394218324407</v>
      </c>
      <c r="P943" s="312">
        <f t="shared" si="119"/>
        <v>36.291403423029834</v>
      </c>
      <c r="X943" s="606">
        <f t="shared" si="121"/>
        <v>45170</v>
      </c>
      <c r="Y943" s="318">
        <f t="shared" si="126"/>
        <v>81.5</v>
      </c>
      <c r="Z943" s="60">
        <v>6940.057971014493</v>
      </c>
      <c r="AA943" s="183">
        <f t="shared" si="123"/>
        <v>34</v>
      </c>
      <c r="AB943" s="312">
        <f t="shared" si="124"/>
        <v>204.11935208866157</v>
      </c>
      <c r="AD943" s="11">
        <v>21</v>
      </c>
      <c r="AE943" s="558">
        <f t="shared" si="120"/>
        <v>204.11935208866157</v>
      </c>
      <c r="AF943" s="567">
        <f t="shared" si="125"/>
        <v>198.70989855072463</v>
      </c>
    </row>
    <row r="944" spans="12:32" x14ac:dyDescent="0.25">
      <c r="L944" s="183" t="s">
        <v>622</v>
      </c>
      <c r="M944" s="564">
        <f t="shared" si="117"/>
        <v>35</v>
      </c>
      <c r="N944" s="316">
        <f t="shared" si="118"/>
        <v>1.0987881659221836</v>
      </c>
      <c r="P944" s="312">
        <f t="shared" si="119"/>
        <v>38.457585807276431</v>
      </c>
      <c r="X944" s="606">
        <f t="shared" si="121"/>
        <v>45200</v>
      </c>
      <c r="Y944" s="318">
        <f t="shared" si="126"/>
        <v>70.14</v>
      </c>
      <c r="Z944" s="60">
        <v>7020.521739130435</v>
      </c>
      <c r="AA944" s="183">
        <f t="shared" si="123"/>
        <v>35</v>
      </c>
      <c r="AB944" s="312">
        <f t="shared" si="124"/>
        <v>200.58633540372671</v>
      </c>
      <c r="AD944" s="11">
        <v>22</v>
      </c>
      <c r="AE944" s="558">
        <f t="shared" si="120"/>
        <v>200.58633540372671</v>
      </c>
      <c r="AF944" s="567">
        <f t="shared" si="125"/>
        <v>199.95708695652172</v>
      </c>
    </row>
    <row r="945" spans="12:32" x14ac:dyDescent="0.25">
      <c r="L945" s="183" t="s">
        <v>623</v>
      </c>
      <c r="M945" s="564">
        <f t="shared" si="117"/>
        <v>35</v>
      </c>
      <c r="N945" s="316">
        <f t="shared" si="118"/>
        <v>1.0987881659221836</v>
      </c>
      <c r="P945" s="312">
        <f t="shared" si="119"/>
        <v>38.457585807276431</v>
      </c>
      <c r="X945" s="606">
        <f t="shared" si="121"/>
        <v>45231</v>
      </c>
      <c r="Y945" s="318">
        <f t="shared" si="126"/>
        <v>181.45</v>
      </c>
      <c r="Z945" s="60">
        <v>7101.449275362319</v>
      </c>
      <c r="AA945" s="183">
        <f t="shared" si="123"/>
        <v>35</v>
      </c>
      <c r="AB945" s="312">
        <f t="shared" si="124"/>
        <v>202.89855072463769</v>
      </c>
      <c r="AD945" s="11">
        <v>23</v>
      </c>
      <c r="AE945" s="558">
        <f t="shared" si="120"/>
        <v>202.89855072463769</v>
      </c>
      <c r="AF945" s="567">
        <f t="shared" si="125"/>
        <v>201.21146376811595</v>
      </c>
    </row>
    <row r="946" spans="12:32" x14ac:dyDescent="0.25">
      <c r="L946" s="183" t="s">
        <v>624</v>
      </c>
      <c r="M946" s="564">
        <f t="shared" si="117"/>
        <v>34</v>
      </c>
      <c r="N946" s="316">
        <f t="shared" si="118"/>
        <v>1.067394218324407</v>
      </c>
      <c r="P946" s="312">
        <f t="shared" si="119"/>
        <v>36.291403423029834</v>
      </c>
      <c r="X946" s="606">
        <f t="shared" si="121"/>
        <v>45261</v>
      </c>
      <c r="Y946" s="318">
        <f t="shared" si="126"/>
        <v>59.85</v>
      </c>
      <c r="Z946" s="60">
        <v>6740.927536231884</v>
      </c>
      <c r="AA946" s="183">
        <f t="shared" si="123"/>
        <v>34</v>
      </c>
      <c r="AB946" s="312">
        <f t="shared" si="124"/>
        <v>198.26257459505541</v>
      </c>
      <c r="AD946" s="11">
        <v>24</v>
      </c>
      <c r="AE946" s="558">
        <f t="shared" si="120"/>
        <v>198.26257459505541</v>
      </c>
      <c r="AF946" s="567">
        <f t="shared" si="125"/>
        <v>195.6233768115942</v>
      </c>
    </row>
    <row r="947" spans="12:32" x14ac:dyDescent="0.25">
      <c r="M947" s="357"/>
      <c r="N947" s="297"/>
      <c r="Y947" s="297">
        <f>AVERAGE(Y923:Y946)</f>
        <v>144.58064083333332</v>
      </c>
      <c r="Z947" s="297">
        <f>AVERAGE(Z923:Z946)</f>
        <v>6722.2198067632844</v>
      </c>
      <c r="AA947" s="297">
        <f>AVERAGE(AA923:AA946)</f>
        <v>34.041666666666664</v>
      </c>
      <c r="AB947" s="297">
        <f>AVERAGE(AB923:AB946)</f>
        <v>196.99600412064072</v>
      </c>
      <c r="AC947" s="62"/>
    </row>
    <row r="948" spans="12:32" x14ac:dyDescent="0.25">
      <c r="Z948" s="655" t="s">
        <v>954</v>
      </c>
      <c r="AA948" s="655"/>
      <c r="AB948" s="575">
        <f>SUM(AB923:AB934)</f>
        <v>2385.6058798084105</v>
      </c>
    </row>
    <row r="949" spans="12:32" x14ac:dyDescent="0.25">
      <c r="Z949" s="655" t="s">
        <v>955</v>
      </c>
      <c r="AA949" s="655"/>
      <c r="AB949" s="576">
        <f>SUM(AB935:AB946)</f>
        <v>2342.2982190869657</v>
      </c>
      <c r="AC949" s="368" t="s">
        <v>446</v>
      </c>
    </row>
    <row r="950" spans="12:32" x14ac:dyDescent="0.25">
      <c r="Z950" s="655" t="s">
        <v>956</v>
      </c>
      <c r="AA950" s="655"/>
      <c r="AB950" s="575">
        <f>AVERAGE(AB948:AB949)</f>
        <v>2363.9520494476883</v>
      </c>
    </row>
  </sheetData>
  <autoFilter ref="X637:AF662" xr:uid="{95FBE65F-A149-424D-84EB-305FE2AE1E7A}">
    <sortState xmlns:xlrd2="http://schemas.microsoft.com/office/spreadsheetml/2017/richdata2" ref="X638:AF662">
      <sortCondition ref="Y637:Y662"/>
    </sortState>
  </autoFilter>
  <mergeCells count="162">
    <mergeCell ref="Z949:AA949"/>
    <mergeCell ref="Z950:AA950"/>
    <mergeCell ref="X904:Y904"/>
    <mergeCell ref="X905:Y905"/>
    <mergeCell ref="X906:Y906"/>
    <mergeCell ref="X911:AB911"/>
    <mergeCell ref="U920:V920"/>
    <mergeCell ref="AD921:AD922"/>
    <mergeCell ref="AE921:AE922"/>
    <mergeCell ref="Z863:AA863"/>
    <mergeCell ref="Z864:AA864"/>
    <mergeCell ref="AF921:AF922"/>
    <mergeCell ref="Z948:AA948"/>
    <mergeCell ref="Z865:AA865"/>
    <mergeCell ref="X870:AB870"/>
    <mergeCell ref="X888:AB888"/>
    <mergeCell ref="X898:Y898"/>
    <mergeCell ref="X899:Y899"/>
    <mergeCell ref="X900:Y900"/>
    <mergeCell ref="X901:Y901"/>
    <mergeCell ref="X902:Y902"/>
    <mergeCell ref="X903:Y903"/>
    <mergeCell ref="AE786:AE787"/>
    <mergeCell ref="AF786:AF787"/>
    <mergeCell ref="Z813:AA813"/>
    <mergeCell ref="X777:AB777"/>
    <mergeCell ref="Z814:AA814"/>
    <mergeCell ref="Z815:AA815"/>
    <mergeCell ref="X821:AB821"/>
    <mergeCell ref="U835:V835"/>
    <mergeCell ref="AD836:AD837"/>
    <mergeCell ref="AE836:AE837"/>
    <mergeCell ref="AF836:AF837"/>
    <mergeCell ref="X448:Z448"/>
    <mergeCell ref="X469:Z469"/>
    <mergeCell ref="X500:Z500"/>
    <mergeCell ref="Z770:AA770"/>
    <mergeCell ref="Z771:AA771"/>
    <mergeCell ref="Z772:AA772"/>
    <mergeCell ref="M780:N780"/>
    <mergeCell ref="M781:N781"/>
    <mergeCell ref="AD786:AD787"/>
    <mergeCell ref="AF367:AK368"/>
    <mergeCell ref="X536:Z536"/>
    <mergeCell ref="X538:Z538"/>
    <mergeCell ref="AD743:AD744"/>
    <mergeCell ref="AE743:AE744"/>
    <mergeCell ref="AF743:AF744"/>
    <mergeCell ref="X163:AE163"/>
    <mergeCell ref="X69:AA69"/>
    <mergeCell ref="X103:AA103"/>
    <mergeCell ref="AI618:AJ618"/>
    <mergeCell ref="AK638:AN638"/>
    <mergeCell ref="AK651:AL651"/>
    <mergeCell ref="AN656:AO656"/>
    <mergeCell ref="AH76:AI76"/>
    <mergeCell ref="X591:Z591"/>
    <mergeCell ref="X580:Z580"/>
    <mergeCell ref="X723:Z723"/>
    <mergeCell ref="X734:Z734"/>
    <mergeCell ref="X682:Z682"/>
    <mergeCell ref="AH137:AL137"/>
    <mergeCell ref="AH138:AL138"/>
    <mergeCell ref="AC178:AE178"/>
    <mergeCell ref="AD550:AG550"/>
    <mergeCell ref="AD552:AH552"/>
    <mergeCell ref="G40:I40"/>
    <mergeCell ref="G41:I41"/>
    <mergeCell ref="B32:D32"/>
    <mergeCell ref="B33:D33"/>
    <mergeCell ref="B34:D34"/>
    <mergeCell ref="B35:D35"/>
    <mergeCell ref="F5:I5"/>
    <mergeCell ref="D2:I2"/>
    <mergeCell ref="H6:H7"/>
    <mergeCell ref="G6:G7"/>
    <mergeCell ref="I6:I7"/>
    <mergeCell ref="F6:F7"/>
    <mergeCell ref="B5:E5"/>
    <mergeCell ref="B6:B7"/>
    <mergeCell ref="C6:C7"/>
    <mergeCell ref="D6:D7"/>
    <mergeCell ref="E6:E7"/>
    <mergeCell ref="L101:M102"/>
    <mergeCell ref="B66:G67"/>
    <mergeCell ref="B69:E69"/>
    <mergeCell ref="B71:E71"/>
    <mergeCell ref="E111:G111"/>
    <mergeCell ref="E112:G112"/>
    <mergeCell ref="E114:G114"/>
    <mergeCell ref="P69:S69"/>
    <mergeCell ref="P71:S71"/>
    <mergeCell ref="P67:T67"/>
    <mergeCell ref="J67:K67"/>
    <mergeCell ref="P103:R103"/>
    <mergeCell ref="B116:E116"/>
    <mergeCell ref="B124:E124"/>
    <mergeCell ref="D125:F125"/>
    <mergeCell ref="D126:F126"/>
    <mergeCell ref="B125:C125"/>
    <mergeCell ref="B133:E133"/>
    <mergeCell ref="P104:R104"/>
    <mergeCell ref="P106:R106"/>
    <mergeCell ref="M108:P108"/>
    <mergeCell ref="M116:P116"/>
    <mergeCell ref="M117:N117"/>
    <mergeCell ref="O117:Q117"/>
    <mergeCell ref="M118:N118"/>
    <mergeCell ref="O118:Q118"/>
    <mergeCell ref="B126:C126"/>
    <mergeCell ref="B129:E129"/>
    <mergeCell ref="D130:F130"/>
    <mergeCell ref="M121:P121"/>
    <mergeCell ref="O122:Q122"/>
    <mergeCell ref="M125:P125"/>
    <mergeCell ref="N126:Q126"/>
    <mergeCell ref="N127:Q127"/>
    <mergeCell ref="N128:Q128"/>
    <mergeCell ref="R128:S128"/>
    <mergeCell ref="C134:F134"/>
    <mergeCell ref="C135:F135"/>
    <mergeCell ref="C136:F136"/>
    <mergeCell ref="G136:H136"/>
    <mergeCell ref="X262:AC263"/>
    <mergeCell ref="X265:Z265"/>
    <mergeCell ref="AF190:AK191"/>
    <mergeCell ref="X197:AL198"/>
    <mergeCell ref="X203:AL204"/>
    <mergeCell ref="AB210:AD210"/>
    <mergeCell ref="X178:Y178"/>
    <mergeCell ref="D143:D144"/>
    <mergeCell ref="E143:H143"/>
    <mergeCell ref="I143:I144"/>
    <mergeCell ref="J143:M143"/>
    <mergeCell ref="P137:Q137"/>
    <mergeCell ref="P138:Q138"/>
    <mergeCell ref="T137:U137"/>
    <mergeCell ref="T138:U138"/>
    <mergeCell ref="D831:G833"/>
    <mergeCell ref="AS372:AS373"/>
    <mergeCell ref="AT372:AW372"/>
    <mergeCell ref="AI165:AI166"/>
    <mergeCell ref="AJ165:AM165"/>
    <mergeCell ref="AN165:AN166"/>
    <mergeCell ref="AO165:AR165"/>
    <mergeCell ref="AI343:AI344"/>
    <mergeCell ref="AJ343:AM343"/>
    <mergeCell ref="AN343:AN344"/>
    <mergeCell ref="AO343:AR343"/>
    <mergeCell ref="AN372:AN373"/>
    <mergeCell ref="AO372:AR372"/>
    <mergeCell ref="X284:Y284"/>
    <mergeCell ref="AD548:AG548"/>
    <mergeCell ref="X340:AE340"/>
    <mergeCell ref="X577:AC578"/>
    <mergeCell ref="X374:AL375"/>
    <mergeCell ref="X380:AL381"/>
    <mergeCell ref="AB387:AD387"/>
    <mergeCell ref="X286:Z286"/>
    <mergeCell ref="X317:Z317"/>
    <mergeCell ref="X355:Y355"/>
    <mergeCell ref="AC355:AE355"/>
  </mergeCells>
  <phoneticPr fontId="12" type="noConversion"/>
  <conditionalFormatting sqref="U506:U528">
    <cfRule type="cellIs" dxfId="2" priority="4" operator="greaterThan">
      <formula>"$V$615"</formula>
    </cfRule>
  </conditionalFormatting>
  <conditionalFormatting sqref="AB605:AB628">
    <cfRule type="cellIs" dxfId="1" priority="5" operator="greaterThan">
      <formula>100</formula>
    </cfRule>
  </conditionalFormatting>
  <conditionalFormatting sqref="AB638:AB661">
    <cfRule type="cellIs" dxfId="0" priority="2" operator="greaterThan">
      <formula>100</formula>
    </cfRule>
  </conditionalFormatting>
  <hyperlinks>
    <hyperlink ref="H65" r:id="rId1" xr:uid="{1C3225F0-998A-48A6-83D9-3AC0DFF7148B}"/>
  </hyperlinks>
  <pageMargins left="0.7" right="0.7" top="0.75" bottom="0.75" header="0.3" footer="0.3"/>
  <pageSetup paperSize="9" orientation="portrait" r:id="rId2"/>
  <ignoredErrors>
    <ignoredError sqref="F32:H32 F35:I35 N813 M863:N863 U781" formulaRange="1"/>
    <ignoredError sqref="F33:H34" formula="1" formulaRange="1"/>
    <ignoredError sqref="I33 I34 Z788:Z811 F838:F861" formula="1"/>
  </ignoredErrors>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AA33-67EB-4133-8A75-4005744FC177}">
  <sheetPr codeName="Hoja2">
    <tabColor rgb="FFFFC000"/>
  </sheetPr>
  <dimension ref="B2:U77"/>
  <sheetViews>
    <sheetView showGridLines="0" zoomScale="80" zoomScaleNormal="80" workbookViewId="0">
      <selection activeCell="F34" sqref="F34"/>
    </sheetView>
  </sheetViews>
  <sheetFormatPr baseColWidth="10" defaultColWidth="11.42578125" defaultRowHeight="15" x14ac:dyDescent="0.25"/>
  <cols>
    <col min="2" max="2" width="21.85546875" customWidth="1"/>
    <col min="3" max="3" width="14" bestFit="1" customWidth="1"/>
    <col min="4" max="4" width="16.7109375" bestFit="1" customWidth="1"/>
    <col min="5" max="5" width="16.7109375" customWidth="1"/>
    <col min="6" max="6" width="20.5703125" bestFit="1" customWidth="1"/>
    <col min="7" max="9" width="16.140625" customWidth="1"/>
    <col min="11" max="11" width="14.28515625" bestFit="1" customWidth="1"/>
    <col min="13" max="13" width="14.5703125" bestFit="1" customWidth="1"/>
    <col min="14" max="14" width="15.140625" bestFit="1" customWidth="1"/>
    <col min="17" max="17" width="21" bestFit="1" customWidth="1"/>
    <col min="18" max="18" width="17" bestFit="1" customWidth="1"/>
    <col min="19" max="19" width="19.5703125" bestFit="1" customWidth="1"/>
    <col min="20" max="20" width="14.140625" bestFit="1" customWidth="1"/>
    <col min="21" max="21" width="16.7109375" bestFit="1" customWidth="1"/>
    <col min="22" max="22" width="12.7109375" bestFit="1" customWidth="1"/>
    <col min="23" max="23" width="19.5703125" bestFit="1" customWidth="1"/>
    <col min="24" max="24" width="14.140625" bestFit="1" customWidth="1"/>
    <col min="25" max="25" width="16.7109375" bestFit="1" customWidth="1"/>
  </cols>
  <sheetData>
    <row r="2" spans="2:18" x14ac:dyDescent="0.25">
      <c r="B2" s="1" t="s">
        <v>38</v>
      </c>
      <c r="C2" t="s">
        <v>35</v>
      </c>
      <c r="D2" s="18">
        <v>889</v>
      </c>
      <c r="E2" s="446"/>
      <c r="F2" s="446"/>
    </row>
    <row r="3" spans="2:18" x14ac:dyDescent="0.25">
      <c r="B3" s="1" t="s">
        <v>39</v>
      </c>
      <c r="C3" t="s">
        <v>36</v>
      </c>
      <c r="D3" s="18">
        <f>D4/20</f>
        <v>1091</v>
      </c>
      <c r="E3" s="446"/>
      <c r="F3" s="446"/>
    </row>
    <row r="4" spans="2:18" x14ac:dyDescent="0.25">
      <c r="C4" t="s">
        <v>37</v>
      </c>
      <c r="D4" s="18">
        <f>21820</f>
        <v>21820</v>
      </c>
      <c r="E4" s="446"/>
      <c r="F4" s="446"/>
      <c r="N4" s="22"/>
      <c r="Q4" s="25"/>
    </row>
    <row r="5" spans="2:18" x14ac:dyDescent="0.25">
      <c r="B5" s="361">
        <v>3.7854100000000002</v>
      </c>
      <c r="C5" t="s">
        <v>42</v>
      </c>
      <c r="D5" s="18">
        <f>B5*D3</f>
        <v>4129.88231</v>
      </c>
      <c r="E5" s="446"/>
      <c r="F5" s="446"/>
      <c r="J5" t="s">
        <v>48</v>
      </c>
    </row>
    <row r="6" spans="2:18" ht="15.75" thickBot="1" x14ac:dyDescent="0.3">
      <c r="B6" s="19"/>
      <c r="C6" t="s">
        <v>40</v>
      </c>
      <c r="D6" s="20">
        <v>966.19</v>
      </c>
      <c r="E6" s="447"/>
      <c r="F6" s="447"/>
      <c r="J6" s="36" t="s">
        <v>47</v>
      </c>
      <c r="R6" t="s">
        <v>510</v>
      </c>
    </row>
    <row r="7" spans="2:18" x14ac:dyDescent="0.25">
      <c r="B7" s="19"/>
      <c r="C7" t="s">
        <v>41</v>
      </c>
      <c r="D7" s="26">
        <f>D5/D6</f>
        <v>4.2743997660915554</v>
      </c>
      <c r="E7" s="448"/>
      <c r="F7" s="448"/>
      <c r="L7" s="655" t="s">
        <v>49</v>
      </c>
      <c r="M7" s="655"/>
      <c r="N7" s="1" t="s">
        <v>50</v>
      </c>
      <c r="O7" t="s">
        <v>51</v>
      </c>
      <c r="Q7" s="32"/>
      <c r="R7" s="36" t="s">
        <v>509</v>
      </c>
    </row>
    <row r="8" spans="2:18" ht="15.75" thickBot="1" x14ac:dyDescent="0.3">
      <c r="B8" s="19"/>
      <c r="C8" t="s">
        <v>44</v>
      </c>
      <c r="D8" s="40">
        <f>B5*3</f>
        <v>11.35623</v>
      </c>
      <c r="E8" s="22"/>
      <c r="F8" s="22"/>
      <c r="G8" s="22"/>
      <c r="H8" s="22"/>
      <c r="I8" s="22"/>
      <c r="L8" s="654">
        <v>1</v>
      </c>
      <c r="M8" s="654"/>
      <c r="N8" s="385">
        <v>140500000</v>
      </c>
      <c r="O8" s="42">
        <f>N8/1000000000</f>
        <v>0.14050000000000001</v>
      </c>
      <c r="R8">
        <f>277.77777778</f>
        <v>277.77777778000001</v>
      </c>
    </row>
    <row r="9" spans="2:18" x14ac:dyDescent="0.25">
      <c r="N9" s="23">
        <f>142200000</f>
        <v>142200000</v>
      </c>
      <c r="O9" s="42">
        <f>N9/1000000000</f>
        <v>0.14219999999999999</v>
      </c>
      <c r="P9" t="s">
        <v>331</v>
      </c>
    </row>
    <row r="10" spans="2:18" x14ac:dyDescent="0.25">
      <c r="B10" s="684" t="s">
        <v>549</v>
      </c>
      <c r="C10" s="684"/>
      <c r="D10" s="684"/>
      <c r="E10" s="684"/>
      <c r="N10" s="385">
        <v>130001500</v>
      </c>
      <c r="O10" s="42">
        <f>N10/1000000000</f>
        <v>0.13000149999999999</v>
      </c>
    </row>
    <row r="11" spans="2:18" x14ac:dyDescent="0.25">
      <c r="N11" s="23">
        <v>140900000</v>
      </c>
    </row>
    <row r="12" spans="2:18" x14ac:dyDescent="0.25">
      <c r="B12" t="s">
        <v>66</v>
      </c>
      <c r="F12" s="17" t="s">
        <v>577</v>
      </c>
      <c r="G12" s="469">
        <f>G13*G14*O8</f>
        <v>4119.7640983404999</v>
      </c>
      <c r="N12" s="385">
        <v>140500000</v>
      </c>
    </row>
    <row r="13" spans="2:18" x14ac:dyDescent="0.25">
      <c r="F13" s="17" t="s">
        <v>579</v>
      </c>
      <c r="G13" s="467">
        <v>7.1</v>
      </c>
      <c r="N13" s="23">
        <v>146520000</v>
      </c>
      <c r="O13" s="42">
        <f>N13/1000000000</f>
        <v>0.14652000000000001</v>
      </c>
    </row>
    <row r="14" spans="2:18" x14ac:dyDescent="0.25">
      <c r="C14" s="34" t="s">
        <v>34</v>
      </c>
      <c r="D14" s="34" t="s">
        <v>45</v>
      </c>
      <c r="E14" s="97"/>
      <c r="F14" s="17" t="s">
        <v>580</v>
      </c>
      <c r="G14" s="468">
        <f>D5</f>
        <v>4129.88231</v>
      </c>
    </row>
    <row r="15" spans="2:18" x14ac:dyDescent="0.25">
      <c r="B15" s="17" t="s">
        <v>16</v>
      </c>
      <c r="C15" s="27">
        <f>C37</f>
        <v>287.09911666666665</v>
      </c>
      <c r="D15" s="28">
        <v>0</v>
      </c>
      <c r="E15" s="449"/>
      <c r="F15" s="449"/>
    </row>
    <row r="16" spans="2:18" x14ac:dyDescent="0.25">
      <c r="B16" s="17" t="s">
        <v>17</v>
      </c>
      <c r="C16" s="29">
        <f>C15*12</f>
        <v>3445.1893999999998</v>
      </c>
      <c r="D16" s="28">
        <v>0</v>
      </c>
      <c r="E16" s="449"/>
      <c r="F16" s="693" t="s">
        <v>451</v>
      </c>
      <c r="G16" s="693"/>
    </row>
    <row r="17" spans="2:21" x14ac:dyDescent="0.25">
      <c r="B17" s="17" t="s">
        <v>18</v>
      </c>
      <c r="C17" s="28">
        <v>0</v>
      </c>
      <c r="D17" s="28">
        <f>C15*D19</f>
        <v>1227.1763971250921</v>
      </c>
      <c r="E17" s="449"/>
      <c r="F17" s="471" t="s">
        <v>578</v>
      </c>
      <c r="G17" s="17" t="s">
        <v>182</v>
      </c>
      <c r="K17" s="18"/>
    </row>
    <row r="18" spans="2:21" x14ac:dyDescent="0.25">
      <c r="B18" s="17" t="s">
        <v>19</v>
      </c>
      <c r="C18" s="28">
        <v>0</v>
      </c>
      <c r="D18" s="28">
        <f>D17*12</f>
        <v>14726.116765501105</v>
      </c>
      <c r="E18" s="449"/>
      <c r="F18" s="471">
        <v>1</v>
      </c>
      <c r="G18" s="470">
        <f>F18*$O$8</f>
        <v>0.14050000000000001</v>
      </c>
      <c r="K18" s="313"/>
      <c r="S18" s="24">
        <f>C25</f>
        <v>176.702</v>
      </c>
      <c r="T18" s="22">
        <f>S18*O9</f>
        <v>25.1270244</v>
      </c>
      <c r="U18" s="22">
        <f>T18*R8</f>
        <v>6979.7290000558378</v>
      </c>
    </row>
    <row r="19" spans="2:21" x14ac:dyDescent="0.25">
      <c r="B19" s="17" t="s">
        <v>20</v>
      </c>
      <c r="C19" s="28">
        <v>0</v>
      </c>
      <c r="D19" s="30">
        <f>$D$7</f>
        <v>4.2743997660915554</v>
      </c>
      <c r="E19" s="450"/>
      <c r="F19" s="450"/>
      <c r="K19" s="313"/>
    </row>
    <row r="22" spans="2:21" x14ac:dyDescent="0.25">
      <c r="B22" t="s">
        <v>65</v>
      </c>
      <c r="M22" t="s">
        <v>21</v>
      </c>
    </row>
    <row r="23" spans="2:21" x14ac:dyDescent="0.25">
      <c r="C23" s="628"/>
      <c r="M23" t="s">
        <v>52</v>
      </c>
    </row>
    <row r="24" spans="2:21" x14ac:dyDescent="0.25">
      <c r="B24" s="34" t="s">
        <v>3</v>
      </c>
      <c r="C24" s="33" t="s">
        <v>34</v>
      </c>
      <c r="D24" s="33" t="s">
        <v>46</v>
      </c>
      <c r="E24" s="16"/>
      <c r="F24" s="16"/>
      <c r="I24" s="97"/>
      <c r="J24" s="1" t="s">
        <v>6</v>
      </c>
      <c r="K24" s="1" t="s">
        <v>88</v>
      </c>
    </row>
    <row r="25" spans="2:21" x14ac:dyDescent="0.25">
      <c r="B25" s="4">
        <f>'Consumo Eléctrico'!B8</f>
        <v>44562</v>
      </c>
      <c r="C25" s="37">
        <v>176.702</v>
      </c>
      <c r="D25" s="470">
        <f t="shared" ref="D25:D36" si="0">C25*$O$8</f>
        <v>24.826631000000003</v>
      </c>
      <c r="E25" s="22"/>
      <c r="F25" s="18">
        <f>D25*D5</f>
        <v>102531.06418379761</v>
      </c>
      <c r="I25" s="386"/>
      <c r="J25" s="1">
        <f>'Consumo Eléctrico'!E8</f>
        <v>31</v>
      </c>
      <c r="K25" s="39">
        <f>C25/J25</f>
        <v>5.7000645161290322</v>
      </c>
      <c r="S25" s="34" t="s">
        <v>507</v>
      </c>
    </row>
    <row r="26" spans="2:21" x14ac:dyDescent="0.25">
      <c r="B26" s="4">
        <f>'Consumo Eléctrico'!B9</f>
        <v>44593</v>
      </c>
      <c r="C26" s="37">
        <v>229.2886</v>
      </c>
      <c r="D26" s="38">
        <f t="shared" si="0"/>
        <v>32.215048300000007</v>
      </c>
      <c r="E26" s="22"/>
      <c r="F26" s="22"/>
      <c r="I26" s="386"/>
      <c r="J26" s="1">
        <f>'Consumo Eléctrico'!E9</f>
        <v>30</v>
      </c>
      <c r="K26" s="39">
        <f t="shared" ref="K26:K36" si="1">C26/J26</f>
        <v>7.6429533333333337</v>
      </c>
      <c r="S26" s="262">
        <f t="shared" ref="S26:S37" si="2">D25*$R$8</f>
        <v>6896.2863889440605</v>
      </c>
    </row>
    <row r="27" spans="2:21" x14ac:dyDescent="0.25">
      <c r="B27" s="4">
        <f>'Consumo Eléctrico'!B10</f>
        <v>44621</v>
      </c>
      <c r="C27" s="37">
        <v>239.46460000000002</v>
      </c>
      <c r="D27" s="38">
        <f t="shared" si="0"/>
        <v>33.644776300000004</v>
      </c>
      <c r="E27" s="22"/>
      <c r="F27" s="22"/>
      <c r="I27" s="386"/>
      <c r="J27" s="1">
        <f>'Consumo Eléctrico'!E10</f>
        <v>30</v>
      </c>
      <c r="K27" s="39">
        <f t="shared" si="1"/>
        <v>7.9821533333333337</v>
      </c>
      <c r="S27" s="262">
        <f t="shared" si="2"/>
        <v>8948.624527849368</v>
      </c>
    </row>
    <row r="28" spans="2:21" x14ac:dyDescent="0.25">
      <c r="B28" s="4">
        <f>'Consumo Eléctrico'!B11</f>
        <v>44652</v>
      </c>
      <c r="C28" s="37">
        <v>422.12380000000002</v>
      </c>
      <c r="D28" s="38">
        <f t="shared" si="0"/>
        <v>59.308393900000006</v>
      </c>
      <c r="E28" s="22"/>
      <c r="F28" s="22"/>
      <c r="I28" s="386"/>
      <c r="J28" s="1">
        <f>'Consumo Eléctrico'!E11</f>
        <v>31</v>
      </c>
      <c r="K28" s="39">
        <f t="shared" si="1"/>
        <v>13.616896774193549</v>
      </c>
      <c r="S28" s="262">
        <f t="shared" si="2"/>
        <v>9345.7711945192113</v>
      </c>
    </row>
    <row r="29" spans="2:21" x14ac:dyDescent="0.25">
      <c r="B29" s="4">
        <f>'Consumo Eléctrico'!B12</f>
        <v>44682</v>
      </c>
      <c r="C29" s="37">
        <v>396.88520000000005</v>
      </c>
      <c r="D29" s="38">
        <f t="shared" si="0"/>
        <v>55.762370600000011</v>
      </c>
      <c r="E29" s="22"/>
      <c r="F29" s="22"/>
      <c r="I29" s="386"/>
      <c r="J29" s="1">
        <f>'Consumo Eléctrico'!E12</f>
        <v>30</v>
      </c>
      <c r="K29" s="39">
        <f t="shared" si="1"/>
        <v>13.229506666666669</v>
      </c>
      <c r="S29" s="262">
        <f t="shared" si="2"/>
        <v>16474.553861242908</v>
      </c>
    </row>
    <row r="30" spans="2:21" x14ac:dyDescent="0.25">
      <c r="B30" s="4">
        <f>'Consumo Eléctrico'!B13</f>
        <v>44713</v>
      </c>
      <c r="C30" s="37">
        <v>401.75060000000002</v>
      </c>
      <c r="D30" s="38">
        <f t="shared" si="0"/>
        <v>56.445959300000005</v>
      </c>
      <c r="E30" s="22"/>
      <c r="F30" s="22"/>
      <c r="I30" s="386"/>
      <c r="J30" s="1">
        <f>'Consumo Eléctrico'!E13</f>
        <v>31</v>
      </c>
      <c r="K30" s="39">
        <f t="shared" si="1"/>
        <v>12.959696774193549</v>
      </c>
      <c r="S30" s="262">
        <f t="shared" si="2"/>
        <v>15489.547389012809</v>
      </c>
    </row>
    <row r="31" spans="2:21" x14ac:dyDescent="0.25">
      <c r="B31" s="4">
        <f>'Consumo Eléctrico'!B14</f>
        <v>44743</v>
      </c>
      <c r="C31" s="37">
        <v>381.07</v>
      </c>
      <c r="D31" s="38">
        <f t="shared" si="0"/>
        <v>53.540335000000006</v>
      </c>
      <c r="E31" s="22"/>
      <c r="F31" s="22"/>
      <c r="I31" s="386"/>
      <c r="J31" s="1">
        <f>'Consumo Eléctrico'!E14</f>
        <v>30</v>
      </c>
      <c r="K31" s="39">
        <f t="shared" si="1"/>
        <v>12.702333333333334</v>
      </c>
      <c r="S31" s="262">
        <f t="shared" si="2"/>
        <v>15679.433139014327</v>
      </c>
    </row>
    <row r="32" spans="2:21" x14ac:dyDescent="0.25">
      <c r="B32" s="4">
        <f>'Consumo Eléctrico'!B15</f>
        <v>44774</v>
      </c>
      <c r="C32" s="37">
        <v>405.05780000000004</v>
      </c>
      <c r="D32" s="38">
        <f t="shared" si="0"/>
        <v>56.910620900000012</v>
      </c>
      <c r="E32" s="22"/>
      <c r="F32" s="22"/>
      <c r="I32" s="386"/>
      <c r="J32" s="1">
        <f>'Consumo Eléctrico'!E15</f>
        <v>30</v>
      </c>
      <c r="K32" s="39">
        <f t="shared" si="1"/>
        <v>13.501926666666668</v>
      </c>
      <c r="S32" s="262">
        <f t="shared" si="2"/>
        <v>14872.315277896758</v>
      </c>
    </row>
    <row r="33" spans="2:19" x14ac:dyDescent="0.25">
      <c r="B33" s="4">
        <f>'Consumo Eléctrico'!B16</f>
        <v>44805</v>
      </c>
      <c r="C33" s="37">
        <v>173.5856</v>
      </c>
      <c r="D33" s="38">
        <f t="shared" si="0"/>
        <v>24.388776800000002</v>
      </c>
      <c r="E33" s="22"/>
      <c r="F33" s="22"/>
      <c r="I33" s="386"/>
      <c r="J33" s="1">
        <f>'Consumo Eléctrico'!E16</f>
        <v>30</v>
      </c>
      <c r="K33" s="39">
        <f t="shared" si="1"/>
        <v>5.7861866666666666</v>
      </c>
      <c r="S33" s="262">
        <f t="shared" si="2"/>
        <v>15808.505805682027</v>
      </c>
    </row>
    <row r="34" spans="2:19" x14ac:dyDescent="0.25">
      <c r="B34" s="4">
        <f>'Consumo Eléctrico'!B17</f>
        <v>44835</v>
      </c>
      <c r="C34" s="37">
        <v>172.45</v>
      </c>
      <c r="D34" s="38">
        <f t="shared" si="0"/>
        <v>24.229225</v>
      </c>
      <c r="E34" s="22"/>
      <c r="F34" s="22"/>
      <c r="I34" s="386"/>
      <c r="J34" s="1">
        <f>'Consumo Eléctrico'!E17</f>
        <v>31</v>
      </c>
      <c r="K34" s="39">
        <f t="shared" si="1"/>
        <v>5.5629032258064512</v>
      </c>
      <c r="S34" s="262">
        <f t="shared" si="2"/>
        <v>6774.6602222764204</v>
      </c>
    </row>
    <row r="35" spans="2:19" x14ac:dyDescent="0.25">
      <c r="B35" s="4">
        <f>'Consumo Eléctrico'!B18</f>
        <v>44866</v>
      </c>
      <c r="C35" s="37">
        <v>330.90020000000004</v>
      </c>
      <c r="D35" s="38">
        <f t="shared" si="0"/>
        <v>46.491478100000009</v>
      </c>
      <c r="E35" s="22"/>
      <c r="F35" s="22"/>
      <c r="I35" s="386"/>
      <c r="J35" s="1">
        <f>'Consumo Eléctrico'!E18</f>
        <v>31</v>
      </c>
      <c r="K35" s="39">
        <f t="shared" si="1"/>
        <v>10.674200000000001</v>
      </c>
      <c r="S35" s="262">
        <f t="shared" si="2"/>
        <v>6730.3402778316204</v>
      </c>
    </row>
    <row r="36" spans="2:19" x14ac:dyDescent="0.25">
      <c r="B36" s="4">
        <f>'Consumo Eléctrico'!B19</f>
        <v>44896</v>
      </c>
      <c r="C36" s="37">
        <v>115.911</v>
      </c>
      <c r="D36" s="38">
        <f t="shared" si="0"/>
        <v>16.285495500000003</v>
      </c>
      <c r="E36" s="22"/>
      <c r="F36" s="22"/>
      <c r="I36" s="386"/>
      <c r="J36" s="1">
        <f>'Consumo Eléctrico'!E19</f>
        <v>30</v>
      </c>
      <c r="K36" s="39">
        <f t="shared" si="1"/>
        <v>3.8637000000000001</v>
      </c>
      <c r="S36" s="262">
        <f t="shared" si="2"/>
        <v>12914.29947232554</v>
      </c>
    </row>
    <row r="37" spans="2:19" x14ac:dyDescent="0.25">
      <c r="B37" s="17" t="s">
        <v>16</v>
      </c>
      <c r="C37" s="70">
        <f>AVERAGE(C25:C36)</f>
        <v>287.09911666666665</v>
      </c>
      <c r="D37" s="70">
        <f>AVERAGE(D25:D36)</f>
        <v>40.337425891666676</v>
      </c>
      <c r="E37" s="24"/>
      <c r="F37" s="24"/>
      <c r="I37" s="24"/>
      <c r="J37" s="24">
        <f>AVERAGE(J25:J36)</f>
        <v>30.416666666666668</v>
      </c>
      <c r="K37" s="41">
        <f>AVERAGE(K25:K36)</f>
        <v>9.4352101075268795</v>
      </c>
      <c r="S37" s="262">
        <f t="shared" si="2"/>
        <v>4523.7487500361913</v>
      </c>
    </row>
    <row r="38" spans="2:19" x14ac:dyDescent="0.25">
      <c r="B38" s="6" t="s">
        <v>12</v>
      </c>
      <c r="C38" s="38">
        <f>SUM(C25:C36)</f>
        <v>3445.1893999999998</v>
      </c>
      <c r="D38" s="91">
        <f>SUM(D25:D36)</f>
        <v>484.04911070000014</v>
      </c>
      <c r="E38" s="261"/>
      <c r="F38" s="261"/>
      <c r="I38" s="24"/>
      <c r="S38" s="70">
        <f>AVERAGE(S26:S37)</f>
        <v>11204.840525552607</v>
      </c>
    </row>
    <row r="39" spans="2:19" x14ac:dyDescent="0.25">
      <c r="F39" s="34" t="str">
        <f>B24</f>
        <v>Mes</v>
      </c>
      <c r="G39" s="34" t="str">
        <f>D24</f>
        <v>Total Energía [GJ]</v>
      </c>
      <c r="I39" s="24"/>
      <c r="S39" s="91">
        <f>SUM(S26:S37)</f>
        <v>134458.08630663127</v>
      </c>
    </row>
    <row r="40" spans="2:19" x14ac:dyDescent="0.25">
      <c r="F40" s="390">
        <f>B25</f>
        <v>44562</v>
      </c>
      <c r="G40" s="38">
        <f t="shared" ref="G40:G51" si="3">D25</f>
        <v>24.826631000000003</v>
      </c>
    </row>
    <row r="41" spans="2:19" s="441" customFormat="1" x14ac:dyDescent="0.25">
      <c r="E41"/>
      <c r="F41" s="390">
        <f t="shared" ref="F41:F50" si="4">B26</f>
        <v>44593</v>
      </c>
      <c r="G41" s="38">
        <f t="shared" si="3"/>
        <v>32.215048300000007</v>
      </c>
      <c r="H41"/>
      <c r="I41"/>
    </row>
    <row r="42" spans="2:19" x14ac:dyDescent="0.25">
      <c r="F42" s="390">
        <f t="shared" si="4"/>
        <v>44621</v>
      </c>
      <c r="G42" s="38">
        <f t="shared" si="3"/>
        <v>33.644776300000004</v>
      </c>
    </row>
    <row r="43" spans="2:19" x14ac:dyDescent="0.25">
      <c r="B43" t="s">
        <v>67</v>
      </c>
      <c r="F43" s="390">
        <f t="shared" si="4"/>
        <v>44652</v>
      </c>
      <c r="G43" s="38">
        <f t="shared" si="3"/>
        <v>59.308393900000006</v>
      </c>
    </row>
    <row r="44" spans="2:19" x14ac:dyDescent="0.25">
      <c r="F44" s="390">
        <f t="shared" si="4"/>
        <v>44682</v>
      </c>
      <c r="G44" s="38">
        <f t="shared" si="3"/>
        <v>55.762370600000011</v>
      </c>
    </row>
    <row r="45" spans="2:19" x14ac:dyDescent="0.25">
      <c r="C45" s="33" t="s">
        <v>34</v>
      </c>
      <c r="D45" s="33" t="s">
        <v>45</v>
      </c>
      <c r="E45" s="16"/>
      <c r="F45" s="390">
        <f t="shared" si="4"/>
        <v>44713</v>
      </c>
      <c r="G45" s="38">
        <f t="shared" si="3"/>
        <v>56.445959300000005</v>
      </c>
    </row>
    <row r="46" spans="2:19" x14ac:dyDescent="0.25">
      <c r="B46" s="17" t="s">
        <v>16</v>
      </c>
      <c r="C46" s="27">
        <f>C68</f>
        <v>272.81274166666657</v>
      </c>
      <c r="D46" s="28">
        <v>0</v>
      </c>
      <c r="E46" s="449"/>
      <c r="F46" s="390">
        <f t="shared" si="4"/>
        <v>44743</v>
      </c>
      <c r="G46" s="38">
        <f t="shared" si="3"/>
        <v>53.540335000000006</v>
      </c>
    </row>
    <row r="47" spans="2:19" x14ac:dyDescent="0.25">
      <c r="B47" s="17" t="s">
        <v>17</v>
      </c>
      <c r="C47" s="29">
        <f>C46*12</f>
        <v>3273.7528999999986</v>
      </c>
      <c r="D47" s="28">
        <v>0</v>
      </c>
      <c r="E47" s="449"/>
      <c r="F47" s="390">
        <f t="shared" si="4"/>
        <v>44774</v>
      </c>
      <c r="G47" s="38">
        <f t="shared" si="3"/>
        <v>56.910620900000012</v>
      </c>
    </row>
    <row r="48" spans="2:19" x14ac:dyDescent="0.25">
      <c r="B48" s="17" t="s">
        <v>18</v>
      </c>
      <c r="C48" s="28">
        <v>0</v>
      </c>
      <c r="D48" s="28">
        <f>C46*D50</f>
        <v>1166.1107191667954</v>
      </c>
      <c r="E48" s="449"/>
      <c r="F48" s="390">
        <f t="shared" si="4"/>
        <v>44805</v>
      </c>
      <c r="G48" s="38">
        <f t="shared" si="3"/>
        <v>24.388776800000002</v>
      </c>
    </row>
    <row r="49" spans="2:19" x14ac:dyDescent="0.25">
      <c r="B49" s="17" t="s">
        <v>19</v>
      </c>
      <c r="C49" s="28">
        <v>0</v>
      </c>
      <c r="D49" s="28">
        <f>D48*12</f>
        <v>13993.328630001546</v>
      </c>
      <c r="E49" s="449"/>
      <c r="F49" s="390">
        <f t="shared" si="4"/>
        <v>44835</v>
      </c>
      <c r="G49" s="38">
        <f t="shared" si="3"/>
        <v>24.229225</v>
      </c>
    </row>
    <row r="50" spans="2:19" x14ac:dyDescent="0.25">
      <c r="B50" s="17" t="s">
        <v>20</v>
      </c>
      <c r="C50" s="28">
        <v>0</v>
      </c>
      <c r="D50" s="30">
        <f>$D$7</f>
        <v>4.2743997660915554</v>
      </c>
      <c r="E50" s="450"/>
      <c r="F50" s="390">
        <f t="shared" si="4"/>
        <v>44866</v>
      </c>
      <c r="G50" s="38">
        <f t="shared" si="3"/>
        <v>46.491478100000009</v>
      </c>
    </row>
    <row r="51" spans="2:19" x14ac:dyDescent="0.25">
      <c r="F51" s="390">
        <f>B36</f>
        <v>44896</v>
      </c>
      <c r="G51" s="38">
        <f t="shared" si="3"/>
        <v>16.285495500000003</v>
      </c>
    </row>
    <row r="52" spans="2:19" x14ac:dyDescent="0.25">
      <c r="F52" s="390">
        <f>B56</f>
        <v>44927</v>
      </c>
      <c r="G52" s="38">
        <f>D56</f>
        <v>23.186715000000003</v>
      </c>
    </row>
    <row r="53" spans="2:19" x14ac:dyDescent="0.25">
      <c r="B53" t="s">
        <v>68</v>
      </c>
      <c r="F53" s="390">
        <f t="shared" ref="F53:F62" si="5">B57</f>
        <v>44958</v>
      </c>
      <c r="G53" s="38">
        <f t="shared" ref="G53:G63" si="6">D57</f>
        <v>31.607217200000004</v>
      </c>
    </row>
    <row r="54" spans="2:19" x14ac:dyDescent="0.25">
      <c r="F54" s="390">
        <f t="shared" si="5"/>
        <v>44986</v>
      </c>
      <c r="G54" s="38">
        <f t="shared" si="6"/>
        <v>33.009969200000008</v>
      </c>
      <c r="M54" t="s">
        <v>53</v>
      </c>
    </row>
    <row r="55" spans="2:19" x14ac:dyDescent="0.25">
      <c r="B55" s="34" t="s">
        <v>3</v>
      </c>
      <c r="C55" s="33" t="s">
        <v>34</v>
      </c>
      <c r="D55" s="33" t="s">
        <v>46</v>
      </c>
      <c r="E55" s="16"/>
      <c r="F55" s="390">
        <f t="shared" si="5"/>
        <v>45017</v>
      </c>
      <c r="G55" s="38">
        <f t="shared" si="6"/>
        <v>58.189367600000011</v>
      </c>
      <c r="I55" s="97"/>
      <c r="J55" s="1" t="s">
        <v>6</v>
      </c>
      <c r="K55" s="1" t="s">
        <v>88</v>
      </c>
      <c r="S55" s="34" t="s">
        <v>507</v>
      </c>
    </row>
    <row r="56" spans="2:19" x14ac:dyDescent="0.25">
      <c r="B56" s="9">
        <f>'Consumo Eléctrico'!B20</f>
        <v>44927</v>
      </c>
      <c r="C56" s="37">
        <v>165.03</v>
      </c>
      <c r="D56" s="38">
        <f t="shared" ref="D56:D67" si="7">C56*$O$8</f>
        <v>23.186715000000003</v>
      </c>
      <c r="E56" s="22"/>
      <c r="F56" s="390">
        <f t="shared" si="5"/>
        <v>45047</v>
      </c>
      <c r="G56" s="38">
        <f t="shared" si="6"/>
        <v>51.027829700000005</v>
      </c>
      <c r="I56" s="386"/>
      <c r="J56" s="1">
        <f>'Consumo Eléctrico'!E20</f>
        <v>31</v>
      </c>
      <c r="K56" s="39">
        <f>C56/J56</f>
        <v>5.3235483870967739</v>
      </c>
      <c r="S56" s="262">
        <f t="shared" ref="S56:S67" si="8">D56*$R$8</f>
        <v>6440.754166718194</v>
      </c>
    </row>
    <row r="57" spans="2:19" x14ac:dyDescent="0.25">
      <c r="B57" s="9">
        <f>'Consumo Eléctrico'!B21</f>
        <v>44958</v>
      </c>
      <c r="C57" s="37">
        <v>224.9624</v>
      </c>
      <c r="D57" s="38">
        <f t="shared" si="7"/>
        <v>31.607217200000004</v>
      </c>
      <c r="E57" s="22"/>
      <c r="F57" s="390">
        <f t="shared" si="5"/>
        <v>45078</v>
      </c>
      <c r="G57" s="38">
        <f t="shared" si="6"/>
        <v>49.523341650000006</v>
      </c>
      <c r="I57" s="386"/>
      <c r="J57" s="1">
        <f>'Consumo Eléctrico'!E21</f>
        <v>30</v>
      </c>
      <c r="K57" s="39">
        <f t="shared" ref="K57:K67" si="9">C57/J57</f>
        <v>7.4987466666666664</v>
      </c>
      <c r="S57" s="262">
        <f t="shared" si="8"/>
        <v>8779.7825556257958</v>
      </c>
    </row>
    <row r="58" spans="2:19" x14ac:dyDescent="0.25">
      <c r="B58" s="9">
        <f>'Consumo Eléctrico'!B22</f>
        <v>44986</v>
      </c>
      <c r="C58" s="37">
        <v>234.94640000000001</v>
      </c>
      <c r="D58" s="38">
        <f t="shared" si="7"/>
        <v>33.009969200000008</v>
      </c>
      <c r="E58" s="22"/>
      <c r="F58" s="390">
        <f t="shared" si="5"/>
        <v>45108</v>
      </c>
      <c r="G58" s="38">
        <f t="shared" si="6"/>
        <v>51.519945000000007</v>
      </c>
      <c r="I58" s="386"/>
      <c r="J58" s="1">
        <f>'Consumo Eléctrico'!E22</f>
        <v>30</v>
      </c>
      <c r="K58" s="39">
        <f t="shared" si="9"/>
        <v>7.8315466666666671</v>
      </c>
      <c r="S58" s="262">
        <f t="shared" si="8"/>
        <v>9169.4358889622472</v>
      </c>
    </row>
    <row r="59" spans="2:19" x14ac:dyDescent="0.25">
      <c r="B59" s="9">
        <f>'Consumo Eléctrico'!B23</f>
        <v>45017</v>
      </c>
      <c r="C59" s="37">
        <v>414.15920000000006</v>
      </c>
      <c r="D59" s="38">
        <f t="shared" si="7"/>
        <v>58.189367600000011</v>
      </c>
      <c r="E59" s="22"/>
      <c r="F59" s="390">
        <f t="shared" si="5"/>
        <v>45139</v>
      </c>
      <c r="G59" s="38">
        <f t="shared" si="6"/>
        <v>54.76305030000001</v>
      </c>
      <c r="I59" s="386"/>
      <c r="J59" s="1">
        <f>'Consumo Eléctrico'!E23</f>
        <v>31</v>
      </c>
      <c r="K59" s="39">
        <f t="shared" si="9"/>
        <v>13.359974193548389</v>
      </c>
      <c r="S59" s="262">
        <f t="shared" si="8"/>
        <v>16163.713222351536</v>
      </c>
    </row>
    <row r="60" spans="2:19" x14ac:dyDescent="0.25">
      <c r="B60" s="9">
        <f>'Consumo Eléctrico'!B24</f>
        <v>45047</v>
      </c>
      <c r="C60" s="37">
        <v>363.18740000000003</v>
      </c>
      <c r="D60" s="38">
        <f t="shared" si="7"/>
        <v>51.027829700000005</v>
      </c>
      <c r="E60" s="22"/>
      <c r="F60" s="390">
        <f t="shared" si="5"/>
        <v>45170</v>
      </c>
      <c r="G60" s="38">
        <f t="shared" si="6"/>
        <v>23.468445600000003</v>
      </c>
      <c r="I60" s="386"/>
      <c r="J60" s="1">
        <f>'Consumo Eléctrico'!E24</f>
        <v>30</v>
      </c>
      <c r="K60" s="39">
        <f t="shared" si="9"/>
        <v>12.106246666666667</v>
      </c>
      <c r="S60" s="262">
        <f t="shared" si="8"/>
        <v>14174.397139002285</v>
      </c>
    </row>
    <row r="61" spans="2:19" x14ac:dyDescent="0.25">
      <c r="B61" s="9">
        <f>'Consumo Eléctrico'!B25</f>
        <v>45078</v>
      </c>
      <c r="C61" s="37">
        <v>352.47930000000002</v>
      </c>
      <c r="D61" s="38">
        <f t="shared" si="7"/>
        <v>49.523341650000006</v>
      </c>
      <c r="E61" s="22"/>
      <c r="F61" s="390">
        <f t="shared" si="5"/>
        <v>45200</v>
      </c>
      <c r="G61" s="38">
        <f t="shared" si="6"/>
        <v>23.258370000000003</v>
      </c>
      <c r="I61" s="386"/>
      <c r="J61" s="1">
        <f>'Consumo Eléctrico'!E25</f>
        <v>30</v>
      </c>
      <c r="K61" s="39">
        <f t="shared" si="9"/>
        <v>11.749310000000001</v>
      </c>
      <c r="S61" s="262">
        <f t="shared" si="8"/>
        <v>13756.48379177672</v>
      </c>
    </row>
    <row r="62" spans="2:19" x14ac:dyDescent="0.25">
      <c r="B62" s="9">
        <f>'Consumo Eléctrico'!B26</f>
        <v>45108</v>
      </c>
      <c r="C62" s="37">
        <v>366.69</v>
      </c>
      <c r="D62" s="38">
        <f t="shared" si="7"/>
        <v>51.519945000000007</v>
      </c>
      <c r="E62" s="22"/>
      <c r="F62" s="390">
        <f t="shared" si="5"/>
        <v>45231</v>
      </c>
      <c r="G62" s="38">
        <f t="shared" si="6"/>
        <v>44.737082700000009</v>
      </c>
      <c r="I62" s="386"/>
      <c r="J62" s="1">
        <f>'Consumo Eléctrico'!E26</f>
        <v>31</v>
      </c>
      <c r="K62" s="39">
        <f t="shared" si="9"/>
        <v>11.828709677419354</v>
      </c>
      <c r="S62" s="262">
        <f t="shared" si="8"/>
        <v>14311.095833447824</v>
      </c>
    </row>
    <row r="63" spans="2:19" x14ac:dyDescent="0.25">
      <c r="B63" s="9">
        <f>'Consumo Eléctrico'!B27</f>
        <v>45139</v>
      </c>
      <c r="C63" s="37">
        <v>389.77260000000001</v>
      </c>
      <c r="D63" s="38">
        <f t="shared" si="7"/>
        <v>54.76305030000001</v>
      </c>
      <c r="E63" s="22"/>
      <c r="F63" s="390">
        <f>B67</f>
        <v>45261</v>
      </c>
      <c r="G63" s="38">
        <f t="shared" si="6"/>
        <v>15.6709485</v>
      </c>
      <c r="I63" s="386"/>
      <c r="J63" s="1">
        <f>'Consumo Eléctrico'!E27</f>
        <v>30</v>
      </c>
      <c r="K63" s="39">
        <f t="shared" si="9"/>
        <v>12.992420000000001</v>
      </c>
      <c r="S63" s="262">
        <f t="shared" si="8"/>
        <v>15211.958416788366</v>
      </c>
    </row>
    <row r="64" spans="2:19" x14ac:dyDescent="0.25">
      <c r="B64" s="9">
        <f>'Consumo Eléctrico'!B28</f>
        <v>45170</v>
      </c>
      <c r="C64" s="37">
        <v>167.0352</v>
      </c>
      <c r="D64" s="38">
        <f t="shared" si="7"/>
        <v>23.468445600000003</v>
      </c>
      <c r="E64" s="22"/>
      <c r="F64" s="22"/>
      <c r="I64" s="386"/>
      <c r="J64" s="1">
        <f>'Consumo Eléctrico'!E28</f>
        <v>31</v>
      </c>
      <c r="K64" s="39">
        <f t="shared" si="9"/>
        <v>5.3882322580645159</v>
      </c>
      <c r="S64" s="262">
        <f t="shared" si="8"/>
        <v>6519.0126667188197</v>
      </c>
    </row>
    <row r="65" spans="2:19" x14ac:dyDescent="0.25">
      <c r="B65" s="9">
        <f>'Consumo Eléctrico'!B29</f>
        <v>45200</v>
      </c>
      <c r="C65" s="37">
        <v>165.54</v>
      </c>
      <c r="D65" s="38">
        <f t="shared" si="7"/>
        <v>23.258370000000003</v>
      </c>
      <c r="E65" s="22"/>
      <c r="F65" s="22" t="s">
        <v>550</v>
      </c>
      <c r="G65" s="22">
        <f>AVERAGE(G40:G63)</f>
        <v>39.333808047916669</v>
      </c>
      <c r="I65" s="386"/>
      <c r="J65" s="1">
        <f>'Consumo Eléctrico'!E29</f>
        <v>30</v>
      </c>
      <c r="K65" s="39">
        <f t="shared" si="9"/>
        <v>5.5179999999999998</v>
      </c>
      <c r="S65" s="262">
        <f t="shared" si="8"/>
        <v>6460.6583333850194</v>
      </c>
    </row>
    <row r="66" spans="2:19" x14ac:dyDescent="0.25">
      <c r="B66" s="9">
        <f>'Consumo Eléctrico'!B30</f>
        <v>45231</v>
      </c>
      <c r="C66" s="37">
        <v>318.41340000000002</v>
      </c>
      <c r="D66" s="38">
        <f t="shared" si="7"/>
        <v>44.737082700000009</v>
      </c>
      <c r="E66" s="22"/>
      <c r="F66" s="22" t="s">
        <v>551</v>
      </c>
      <c r="G66" s="22">
        <f>AVERAGE(D38,D69)</f>
        <v>472.00569657500012</v>
      </c>
      <c r="I66" s="386"/>
      <c r="J66" s="1">
        <f>'Consumo Eléctrico'!E30</f>
        <v>30</v>
      </c>
      <c r="K66" s="39">
        <f t="shared" si="9"/>
        <v>10.61378</v>
      </c>
      <c r="S66" s="262">
        <f t="shared" si="8"/>
        <v>12426.967416766085</v>
      </c>
    </row>
    <row r="67" spans="2:19" x14ac:dyDescent="0.25">
      <c r="B67" s="9">
        <f>'Consumo Eléctrico'!B31</f>
        <v>45261</v>
      </c>
      <c r="C67" s="37">
        <v>111.53699999999999</v>
      </c>
      <c r="D67" s="38">
        <f t="shared" si="7"/>
        <v>15.6709485</v>
      </c>
      <c r="E67" s="22"/>
      <c r="F67" s="22"/>
      <c r="I67" s="386"/>
      <c r="J67" s="1">
        <f>'Consumo Eléctrico'!E31</f>
        <v>31</v>
      </c>
      <c r="K67" s="39">
        <f t="shared" si="9"/>
        <v>3.5979677419354834</v>
      </c>
      <c r="S67" s="262">
        <f t="shared" si="8"/>
        <v>4353.0412500348248</v>
      </c>
    </row>
    <row r="68" spans="2:19" x14ac:dyDescent="0.25">
      <c r="B68" s="17" t="s">
        <v>16</v>
      </c>
      <c r="C68" s="70">
        <f>AVERAGE(C56:C67)</f>
        <v>272.81274166666657</v>
      </c>
      <c r="D68" s="70">
        <f>AVERAGE(D56:D67)</f>
        <v>38.330190204166676</v>
      </c>
      <c r="E68" s="24"/>
      <c r="F68" s="24"/>
      <c r="I68" s="386"/>
      <c r="J68" s="24">
        <f>AVERAGE(J56:J67)</f>
        <v>30.416666666666668</v>
      </c>
      <c r="K68" s="41">
        <f>AVERAGE(K56:K67)</f>
        <v>8.9840401881720435</v>
      </c>
      <c r="S68" s="70">
        <f>AVERAGE(S56:S67)</f>
        <v>10647.275056798142</v>
      </c>
    </row>
    <row r="69" spans="2:19" x14ac:dyDescent="0.25">
      <c r="B69" s="11" t="s">
        <v>14</v>
      </c>
      <c r="C69" s="31">
        <f>SUM(C56:C67)</f>
        <v>3273.752899999999</v>
      </c>
      <c r="D69" s="91">
        <f>SUM(D56:D67)</f>
        <v>459.96228245000015</v>
      </c>
      <c r="E69" s="261"/>
      <c r="F69" s="261"/>
      <c r="I69" s="386"/>
      <c r="S69" s="91">
        <f>SUM(S56:S67)</f>
        <v>127767.3006815777</v>
      </c>
    </row>
    <row r="77" spans="2:19" x14ac:dyDescent="0.25">
      <c r="S77" s="23">
        <f>S39+S69</f>
        <v>262225.38698820898</v>
      </c>
    </row>
  </sheetData>
  <mergeCells count="4">
    <mergeCell ref="L7:M7"/>
    <mergeCell ref="L8:M8"/>
    <mergeCell ref="B10:E10"/>
    <mergeCell ref="F16:G16"/>
  </mergeCells>
  <hyperlinks>
    <hyperlink ref="J6" r:id="rId1" xr:uid="{103BF1C7-D25A-4227-9483-3766F0D7F686}"/>
    <hyperlink ref="R7" r:id="rId2" xr:uid="{BA653A5D-B468-48A0-9F1D-6EF4A500ACF8}"/>
  </hyperlinks>
  <pageMargins left="0.7" right="0.7" top="0.75" bottom="0.75" header="0.3" footer="0.3"/>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F4C9-6A06-48FF-8B75-651A6CF10C8D}">
  <sheetPr codeName="Hoja3">
    <tabColor rgb="FFFFC000"/>
  </sheetPr>
  <dimension ref="A1:AG166"/>
  <sheetViews>
    <sheetView showGridLines="0" zoomScale="60" zoomScaleNormal="60" workbookViewId="0">
      <selection activeCell="K24" sqref="K24"/>
    </sheetView>
  </sheetViews>
  <sheetFormatPr baseColWidth="10" defaultColWidth="11.42578125" defaultRowHeight="15" x14ac:dyDescent="0.25"/>
  <cols>
    <col min="2" max="2" width="12.5703125" bestFit="1" customWidth="1"/>
    <col min="11" max="11" width="16.42578125" customWidth="1"/>
    <col min="19" max="19" width="17.42578125" customWidth="1"/>
  </cols>
  <sheetData>
    <row r="1" spans="1:33" x14ac:dyDescent="0.25">
      <c r="H1" s="43"/>
    </row>
    <row r="2" spans="1:33" x14ac:dyDescent="0.25">
      <c r="B2" t="s">
        <v>69</v>
      </c>
      <c r="N2" t="s">
        <v>70</v>
      </c>
    </row>
    <row r="4" spans="1:33" ht="15" customHeight="1" x14ac:dyDescent="0.25">
      <c r="A4" s="687" t="s">
        <v>3</v>
      </c>
      <c r="B4" s="686" t="s">
        <v>1044</v>
      </c>
      <c r="C4" s="686" t="s">
        <v>55</v>
      </c>
      <c r="D4" s="687" t="s">
        <v>1045</v>
      </c>
      <c r="E4" s="687" t="s">
        <v>1043</v>
      </c>
      <c r="F4" s="687" t="s">
        <v>58</v>
      </c>
      <c r="G4" s="687" t="s">
        <v>59</v>
      </c>
      <c r="H4" s="687" t="s">
        <v>60</v>
      </c>
      <c r="I4" s="687" t="s">
        <v>61</v>
      </c>
      <c r="J4" s="687" t="s">
        <v>71</v>
      </c>
      <c r="M4" s="687" t="s">
        <v>3</v>
      </c>
      <c r="N4" s="686" t="s">
        <v>54</v>
      </c>
      <c r="O4" s="686" t="s">
        <v>55</v>
      </c>
      <c r="P4" s="687" t="s">
        <v>56</v>
      </c>
      <c r="Q4" s="687" t="s">
        <v>57</v>
      </c>
      <c r="R4" s="687" t="s">
        <v>58</v>
      </c>
      <c r="S4" s="687" t="s">
        <v>59</v>
      </c>
      <c r="T4" s="687" t="s">
        <v>60</v>
      </c>
      <c r="U4" s="687" t="s">
        <v>61</v>
      </c>
      <c r="V4" s="687" t="s">
        <v>71</v>
      </c>
      <c r="X4" s="259"/>
      <c r="Y4" s="265"/>
      <c r="Z4" s="687" t="s">
        <v>58</v>
      </c>
      <c r="AA4" s="687" t="s">
        <v>59</v>
      </c>
      <c r="AB4" s="687" t="s">
        <v>71</v>
      </c>
      <c r="AC4" s="259"/>
      <c r="AD4" s="259"/>
      <c r="AE4" s="259"/>
      <c r="AF4" s="259"/>
      <c r="AG4" s="259"/>
    </row>
    <row r="5" spans="1:33" x14ac:dyDescent="0.25">
      <c r="A5" s="687"/>
      <c r="B5" s="686"/>
      <c r="C5" s="686"/>
      <c r="D5" s="687"/>
      <c r="E5" s="687"/>
      <c r="F5" s="687"/>
      <c r="G5" s="687"/>
      <c r="H5" s="687"/>
      <c r="I5" s="687"/>
      <c r="J5" s="687"/>
      <c r="M5" s="687"/>
      <c r="N5" s="686"/>
      <c r="O5" s="686"/>
      <c r="P5" s="687"/>
      <c r="Q5" s="687"/>
      <c r="R5" s="687"/>
      <c r="S5" s="687"/>
      <c r="T5" s="687"/>
      <c r="U5" s="687"/>
      <c r="V5" s="687"/>
      <c r="X5" s="259"/>
      <c r="Y5" s="265"/>
      <c r="Z5" s="687"/>
      <c r="AA5" s="687"/>
      <c r="AB5" s="687"/>
      <c r="AC5" s="259"/>
      <c r="AD5" s="259"/>
      <c r="AE5" s="259"/>
      <c r="AF5" s="259"/>
      <c r="AG5" s="259"/>
    </row>
    <row r="6" spans="1:33" x14ac:dyDescent="0.25">
      <c r="A6" s="687"/>
      <c r="B6" s="686"/>
      <c r="C6" s="686"/>
      <c r="D6" s="687"/>
      <c r="E6" s="687"/>
      <c r="F6" s="687"/>
      <c r="G6" s="687"/>
      <c r="H6" s="687"/>
      <c r="I6" s="687"/>
      <c r="J6" s="687"/>
      <c r="M6" s="687"/>
      <c r="N6" s="686"/>
      <c r="O6" s="686"/>
      <c r="P6" s="687"/>
      <c r="Q6" s="687"/>
      <c r="R6" s="687"/>
      <c r="S6" s="687"/>
      <c r="T6" s="687"/>
      <c r="U6" s="687"/>
      <c r="V6" s="687"/>
      <c r="X6" s="259"/>
      <c r="Y6" s="265"/>
      <c r="Z6" s="687"/>
      <c r="AA6" s="687"/>
      <c r="AB6" s="687"/>
      <c r="AC6" s="259"/>
      <c r="AD6" s="259"/>
      <c r="AE6" s="259"/>
      <c r="AF6" s="259"/>
      <c r="AG6" s="259"/>
    </row>
    <row r="7" spans="1:33" x14ac:dyDescent="0.25">
      <c r="A7" s="687"/>
      <c r="B7" s="686"/>
      <c r="C7" s="686"/>
      <c r="D7" s="687"/>
      <c r="E7" s="687"/>
      <c r="F7" s="687"/>
      <c r="G7" s="687"/>
      <c r="H7" s="687"/>
      <c r="I7" s="687"/>
      <c r="J7" s="687"/>
      <c r="M7" s="687"/>
      <c r="N7" s="686"/>
      <c r="O7" s="686"/>
      <c r="P7" s="687"/>
      <c r="Q7" s="687"/>
      <c r="R7" s="687"/>
      <c r="S7" s="687"/>
      <c r="T7" s="687"/>
      <c r="U7" s="687"/>
      <c r="V7" s="687"/>
      <c r="X7" s="259"/>
      <c r="Y7" s="265"/>
      <c r="Z7" s="687"/>
      <c r="AA7" s="687"/>
      <c r="AB7" s="687"/>
      <c r="AC7" s="259"/>
      <c r="AD7" s="259"/>
      <c r="AE7" s="259"/>
      <c r="AF7" s="259"/>
      <c r="AG7" s="259"/>
    </row>
    <row r="8" spans="1:33" x14ac:dyDescent="0.25">
      <c r="A8" s="4">
        <f>'Consumo Eléctrico'!B8</f>
        <v>44562</v>
      </c>
      <c r="B8" s="48">
        <f>'Consumo Eléctrico'!I8</f>
        <v>8674.83</v>
      </c>
      <c r="C8" s="38">
        <f>'Consumo Térmico de la empresa'!C25</f>
        <v>176.702</v>
      </c>
      <c r="D8" s="49">
        <v>72.344580000000008</v>
      </c>
      <c r="E8" s="50">
        <v>114.16020000000002</v>
      </c>
      <c r="F8" s="51">
        <f t="shared" ref="F8:F19" si="0">B8/D8</f>
        <v>119.90988129311137</v>
      </c>
      <c r="G8" s="52">
        <f t="shared" ref="G8:G19" si="1">B8/E8</f>
        <v>75.988216558835731</v>
      </c>
      <c r="H8" s="51">
        <f t="shared" ref="H8:H19" si="2">F8*$H$25</f>
        <v>28.586515700277751</v>
      </c>
      <c r="I8" s="52">
        <f t="shared" ref="I8:I19" si="3">G8*$H$25</f>
        <v>18.115590827626438</v>
      </c>
      <c r="J8" s="38">
        <f t="shared" ref="J8:J19" si="4">C8/D8</f>
        <v>2.4425050224909728</v>
      </c>
      <c r="K8" s="35"/>
      <c r="M8" s="9">
        <f>'Consumo Eléctrico'!B20</f>
        <v>44927</v>
      </c>
      <c r="N8" s="48">
        <f>'Consumo Eléctrico'!I20</f>
        <v>8475</v>
      </c>
      <c r="O8" s="38">
        <f>'Consumo Térmico de la empresa'!C56</f>
        <v>165.03</v>
      </c>
      <c r="P8" s="49">
        <v>81.25</v>
      </c>
      <c r="Q8" s="50">
        <v>140.19999999999999</v>
      </c>
      <c r="R8" s="51">
        <f>N8/P8</f>
        <v>104.30769230769231</v>
      </c>
      <c r="S8" s="52">
        <f>N8/Q8</f>
        <v>60.44935805991441</v>
      </c>
      <c r="T8" s="51">
        <f t="shared" ref="T8:T19" si="5">R8*$T$25</f>
        <v>24.866953846153844</v>
      </c>
      <c r="U8" s="52">
        <f t="shared" ref="U8:U19" si="6">S8*$T$25</f>
        <v>14.411126961483596</v>
      </c>
      <c r="V8" s="38">
        <f>O8/P8</f>
        <v>2.0311384615384616</v>
      </c>
      <c r="X8" s="442"/>
      <c r="Y8" s="3"/>
      <c r="Z8" s="269">
        <f>AVERAGE(F21,R21)</f>
        <v>975.30606598129066</v>
      </c>
      <c r="AA8" s="269">
        <f>AVERAGE(G20,S20)</f>
        <v>59.980470057206915</v>
      </c>
      <c r="AB8" s="25">
        <f>AVERAGE(J20,V20)</f>
        <v>2.0551351562706204</v>
      </c>
      <c r="AC8" s="22"/>
      <c r="AD8" s="22"/>
      <c r="AE8" s="22"/>
      <c r="AF8" s="22"/>
      <c r="AG8" s="22"/>
    </row>
    <row r="9" spans="1:33" x14ac:dyDescent="0.25">
      <c r="A9" s="4">
        <f>'Consumo Eléctrico'!B9</f>
        <v>44593</v>
      </c>
      <c r="B9" s="48">
        <f>'Consumo Eléctrico'!I9</f>
        <v>9893.119999999999</v>
      </c>
      <c r="C9" s="38">
        <f>'Consumo Térmico de la empresa'!C26</f>
        <v>229.2886</v>
      </c>
      <c r="D9" s="49">
        <v>99.44550000000001</v>
      </c>
      <c r="E9" s="50">
        <v>194.39574000000002</v>
      </c>
      <c r="F9" s="51">
        <f t="shared" si="0"/>
        <v>99.482832305131936</v>
      </c>
      <c r="G9" s="52">
        <f t="shared" si="1"/>
        <v>50.891650197684363</v>
      </c>
      <c r="H9" s="51">
        <f t="shared" si="2"/>
        <v>23.716707221543455</v>
      </c>
      <c r="I9" s="52">
        <f t="shared" si="3"/>
        <v>12.132569407127953</v>
      </c>
      <c r="J9" s="38">
        <f t="shared" si="4"/>
        <v>2.3056709453921997</v>
      </c>
      <c r="K9" s="35"/>
      <c r="M9" s="9">
        <f>'Consumo Eléctrico'!B21</f>
        <v>44958</v>
      </c>
      <c r="N9" s="48">
        <f>'Consumo Eléctrico'!I21</f>
        <v>8802.64</v>
      </c>
      <c r="O9" s="38">
        <f>'Consumo Térmico de la empresa'!C57</f>
        <v>224.9624</v>
      </c>
      <c r="P9" s="49">
        <v>104.56</v>
      </c>
      <c r="Q9" s="50">
        <v>225.66</v>
      </c>
      <c r="R9" s="51">
        <f t="shared" ref="R9:R19" si="7">N9/P9</f>
        <v>84.187452180566169</v>
      </c>
      <c r="S9" s="52">
        <f t="shared" ref="S9:S19" si="8">N9/Q9</f>
        <v>39.008419746521312</v>
      </c>
      <c r="T9" s="51">
        <f t="shared" si="5"/>
        <v>20.070288599846975</v>
      </c>
      <c r="U9" s="52">
        <f t="shared" si="6"/>
        <v>9.2996072675706802</v>
      </c>
      <c r="V9" s="38">
        <f t="shared" ref="V9:V19" si="9">O9/P9</f>
        <v>2.151514919663351</v>
      </c>
      <c r="X9" s="442"/>
      <c r="Y9" s="267"/>
      <c r="Z9" s="440"/>
      <c r="AA9" s="22"/>
      <c r="AC9" s="22"/>
      <c r="AD9" s="22"/>
      <c r="AE9" s="22"/>
      <c r="AF9" s="22"/>
      <c r="AG9" s="22"/>
    </row>
    <row r="10" spans="1:33" x14ac:dyDescent="0.25">
      <c r="A10" s="4">
        <f>'Consumo Eléctrico'!B10</f>
        <v>44621</v>
      </c>
      <c r="B10" s="48">
        <f>'Consumo Eléctrico'!I10</f>
        <v>9689.25</v>
      </c>
      <c r="C10" s="38">
        <f>'Consumo Térmico de la empresa'!C27</f>
        <v>239.46460000000002</v>
      </c>
      <c r="D10" s="49">
        <v>104.69536000000001</v>
      </c>
      <c r="E10" s="50">
        <v>57.608319999999999</v>
      </c>
      <c r="F10" s="51">
        <f t="shared" si="0"/>
        <v>92.547081360625711</v>
      </c>
      <c r="G10" s="52">
        <f t="shared" si="1"/>
        <v>168.19185145478986</v>
      </c>
      <c r="H10" s="51">
        <f t="shared" si="2"/>
        <v>22.06322419637317</v>
      </c>
      <c r="I10" s="52">
        <f t="shared" si="3"/>
        <v>40.096937386821899</v>
      </c>
      <c r="J10" s="38">
        <f t="shared" si="4"/>
        <v>2.2872513165817474</v>
      </c>
      <c r="K10" s="35"/>
      <c r="M10" s="9">
        <f>'Consumo Eléctrico'!B22</f>
        <v>44986</v>
      </c>
      <c r="N10" s="48">
        <f>'Consumo Eléctrico'!I22</f>
        <v>9633.16</v>
      </c>
      <c r="O10" s="38">
        <f>'Consumo Térmico de la empresa'!C58</f>
        <v>234.94640000000001</v>
      </c>
      <c r="P10" s="49">
        <v>117.89</v>
      </c>
      <c r="Q10" s="50">
        <v>54.56</v>
      </c>
      <c r="R10" s="51">
        <f t="shared" si="7"/>
        <v>81.713122402239378</v>
      </c>
      <c r="S10" s="52">
        <f t="shared" si="8"/>
        <v>176.5608504398827</v>
      </c>
      <c r="T10" s="51">
        <f t="shared" si="5"/>
        <v>19.480408380693866</v>
      </c>
      <c r="U10" s="52">
        <f t="shared" si="6"/>
        <v>42.092106744868033</v>
      </c>
      <c r="V10" s="38">
        <f t="shared" si="9"/>
        <v>1.9929290016116721</v>
      </c>
      <c r="X10" s="442"/>
      <c r="Y10" s="267"/>
      <c r="Z10" s="440"/>
      <c r="AA10" s="22"/>
      <c r="AB10" s="25"/>
      <c r="AC10" s="22"/>
      <c r="AD10" s="22"/>
      <c r="AE10" s="22"/>
      <c r="AF10" s="22"/>
      <c r="AG10" s="22"/>
    </row>
    <row r="11" spans="1:33" x14ac:dyDescent="0.25">
      <c r="A11" s="4">
        <f>'Consumo Eléctrico'!B11</f>
        <v>44652</v>
      </c>
      <c r="B11" s="48">
        <f>'Consumo Eléctrico'!I11</f>
        <v>9823.56</v>
      </c>
      <c r="C11" s="38">
        <f>'Consumo Térmico de la empresa'!C28</f>
        <v>422.12380000000002</v>
      </c>
      <c r="D11" s="49">
        <v>198.85866000000001</v>
      </c>
      <c r="E11" s="50">
        <v>80.990139999999997</v>
      </c>
      <c r="F11" s="51">
        <f t="shared" si="0"/>
        <v>49.399709321183188</v>
      </c>
      <c r="G11" s="52">
        <f t="shared" si="1"/>
        <v>121.29328335523311</v>
      </c>
      <c r="H11" s="51">
        <f t="shared" si="2"/>
        <v>11.776890702170071</v>
      </c>
      <c r="I11" s="52">
        <f t="shared" si="3"/>
        <v>28.916318751887573</v>
      </c>
      <c r="J11" s="38">
        <f t="shared" si="4"/>
        <v>2.1227327992655689</v>
      </c>
      <c r="K11" s="35"/>
      <c r="M11" s="9">
        <f>'Consumo Eléctrico'!B23</f>
        <v>45017</v>
      </c>
      <c r="N11" s="48">
        <f>'Consumo Eléctrico'!I23</f>
        <v>9796.5</v>
      </c>
      <c r="O11" s="38">
        <f>'Consumo Térmico de la empresa'!C59</f>
        <v>414.15920000000006</v>
      </c>
      <c r="P11" s="49">
        <v>214.56</v>
      </c>
      <c r="Q11" s="50">
        <v>91.56</v>
      </c>
      <c r="R11" s="51">
        <f t="shared" si="7"/>
        <v>45.658557046979865</v>
      </c>
      <c r="S11" s="52">
        <f t="shared" si="8"/>
        <v>106.99541284403669</v>
      </c>
      <c r="T11" s="51">
        <f t="shared" si="5"/>
        <v>10.885</v>
      </c>
      <c r="U11" s="52">
        <f t="shared" si="6"/>
        <v>25.507706422018348</v>
      </c>
      <c r="V11" s="38">
        <f t="shared" si="9"/>
        <v>1.9302721849366147</v>
      </c>
      <c r="X11" s="442"/>
      <c r="Y11" s="267"/>
      <c r="Z11" s="440"/>
      <c r="AA11" s="22"/>
      <c r="AB11" s="687" t="s">
        <v>585</v>
      </c>
      <c r="AC11" s="22"/>
      <c r="AD11" s="22"/>
      <c r="AE11" s="22"/>
      <c r="AF11" s="22"/>
      <c r="AG11" s="22"/>
    </row>
    <row r="12" spans="1:33" x14ac:dyDescent="0.25">
      <c r="A12" s="4">
        <f>'Consumo Eléctrico'!B12</f>
        <v>44682</v>
      </c>
      <c r="B12" s="48">
        <f>'Consumo Eléctrico'!I12</f>
        <v>10503.89</v>
      </c>
      <c r="C12" s="38">
        <f>'Consumo Térmico de la empresa'!C29</f>
        <v>396.88520000000005</v>
      </c>
      <c r="D12" s="49">
        <v>265.41000000000003</v>
      </c>
      <c r="E12" s="50">
        <v>383.84345999999999</v>
      </c>
      <c r="F12" s="51">
        <f t="shared" si="0"/>
        <v>39.576089823292257</v>
      </c>
      <c r="G12" s="52">
        <f t="shared" si="1"/>
        <v>27.365035736182662</v>
      </c>
      <c r="H12" s="51">
        <f t="shared" si="2"/>
        <v>9.4349398138728748</v>
      </c>
      <c r="I12" s="52">
        <f t="shared" si="3"/>
        <v>6.523824519505947</v>
      </c>
      <c r="J12" s="38">
        <f t="shared" si="4"/>
        <v>1.4953664142270451</v>
      </c>
      <c r="K12" s="35"/>
      <c r="M12" s="9">
        <f>'Consumo Eléctrico'!B24</f>
        <v>45047</v>
      </c>
      <c r="N12" s="48">
        <f>'Consumo Eléctrico'!I24</f>
        <v>11503.69</v>
      </c>
      <c r="O12" s="38">
        <f>'Consumo Térmico de la empresa'!C60</f>
        <v>363.18740000000003</v>
      </c>
      <c r="P12" s="49">
        <v>314.16000000000003</v>
      </c>
      <c r="Q12" s="50">
        <v>456.25</v>
      </c>
      <c r="R12" s="51">
        <f t="shared" si="7"/>
        <v>36.617296918767508</v>
      </c>
      <c r="S12" s="52">
        <f t="shared" si="8"/>
        <v>25.213567123287671</v>
      </c>
      <c r="T12" s="51">
        <f t="shared" si="5"/>
        <v>8.7295635854341747</v>
      </c>
      <c r="U12" s="52">
        <f t="shared" si="6"/>
        <v>6.0109144021917809</v>
      </c>
      <c r="V12" s="38">
        <f t="shared" si="9"/>
        <v>1.1560586962057551</v>
      </c>
      <c r="X12" s="442"/>
      <c r="Y12" s="267"/>
      <c r="Z12" s="440"/>
      <c r="AA12" s="22"/>
      <c r="AB12" s="687"/>
      <c r="AC12" s="22"/>
      <c r="AD12" s="22"/>
      <c r="AE12" s="22"/>
      <c r="AF12" s="22"/>
      <c r="AG12" s="22"/>
    </row>
    <row r="13" spans="1:33" x14ac:dyDescent="0.25">
      <c r="A13" s="4">
        <f>'Consumo Eléctrico'!B13</f>
        <v>44713</v>
      </c>
      <c r="B13" s="48">
        <f>'Consumo Eléctrico'!I13</f>
        <v>9931.33</v>
      </c>
      <c r="C13" s="38">
        <f>'Consumo Térmico de la empresa'!C30</f>
        <v>401.75060000000002</v>
      </c>
      <c r="D13" s="49">
        <v>188.35893999999999</v>
      </c>
      <c r="E13" s="50">
        <v>102.21596</v>
      </c>
      <c r="F13" s="51">
        <f t="shared" si="0"/>
        <v>52.725556854376016</v>
      </c>
      <c r="G13" s="52">
        <f t="shared" si="1"/>
        <v>97.160267339855736</v>
      </c>
      <c r="H13" s="51">
        <f t="shared" si="2"/>
        <v>12.569772754083242</v>
      </c>
      <c r="I13" s="52">
        <f t="shared" si="3"/>
        <v>23.163007733821608</v>
      </c>
      <c r="J13" s="38">
        <f t="shared" si="4"/>
        <v>2.132899027781745</v>
      </c>
      <c r="K13" s="35"/>
      <c r="M13" s="9">
        <f>'Consumo Eléctrico'!B25</f>
        <v>45078</v>
      </c>
      <c r="N13" s="48">
        <f>'Consumo Eléctrico'!I25</f>
        <v>9636.34</v>
      </c>
      <c r="O13" s="38">
        <f>'Consumo Térmico de la empresa'!C61</f>
        <v>352.47930000000002</v>
      </c>
      <c r="P13" s="49">
        <v>199.52</v>
      </c>
      <c r="Q13" s="50">
        <v>101.15</v>
      </c>
      <c r="R13" s="51">
        <f t="shared" si="7"/>
        <v>48.297614274258216</v>
      </c>
      <c r="S13" s="52">
        <f t="shared" si="8"/>
        <v>95.267820069204149</v>
      </c>
      <c r="T13" s="51">
        <f t="shared" si="5"/>
        <v>11.514151242983159</v>
      </c>
      <c r="U13" s="52">
        <f t="shared" si="6"/>
        <v>22.711848304498268</v>
      </c>
      <c r="V13" s="38">
        <f t="shared" si="9"/>
        <v>1.7666364274258219</v>
      </c>
      <c r="X13" s="442"/>
      <c r="Y13" s="267"/>
      <c r="Z13" s="440"/>
      <c r="AA13" s="22"/>
      <c r="AB13" s="687"/>
      <c r="AC13" s="22"/>
      <c r="AD13" s="22"/>
      <c r="AE13" s="22"/>
      <c r="AF13" s="22"/>
      <c r="AG13" s="22"/>
    </row>
    <row r="14" spans="1:33" x14ac:dyDescent="0.25">
      <c r="A14" s="4">
        <f>'Consumo Eléctrico'!B14</f>
        <v>44743</v>
      </c>
      <c r="B14" s="48">
        <f>'Consumo Eléctrico'!I14</f>
        <v>9668.73</v>
      </c>
      <c r="C14" s="38">
        <f>'Consumo Térmico de la empresa'!C31</f>
        <v>381.07</v>
      </c>
      <c r="D14" s="49">
        <v>177.69752000000003</v>
      </c>
      <c r="E14" s="50">
        <v>170.00059999999999</v>
      </c>
      <c r="F14" s="51">
        <f t="shared" si="0"/>
        <v>54.41117017277449</v>
      </c>
      <c r="G14" s="52">
        <f t="shared" si="1"/>
        <v>56.874681618770758</v>
      </c>
      <c r="H14" s="51">
        <f t="shared" si="2"/>
        <v>12.971622969189438</v>
      </c>
      <c r="I14" s="52">
        <f t="shared" si="3"/>
        <v>13.558924097914948</v>
      </c>
      <c r="J14" s="38">
        <f t="shared" si="4"/>
        <v>2.1444868786013442</v>
      </c>
      <c r="K14" s="35"/>
      <c r="M14" s="9">
        <f>'Consumo Eléctrico'!B26</f>
        <v>45108</v>
      </c>
      <c r="N14" s="48">
        <f>'Consumo Eléctrico'!I26</f>
        <v>10051.65</v>
      </c>
      <c r="O14" s="38">
        <f>'Consumo Térmico de la empresa'!C62</f>
        <v>366.69</v>
      </c>
      <c r="P14" s="49">
        <v>212.12</v>
      </c>
      <c r="Q14" s="50">
        <v>160.52000000000001</v>
      </c>
      <c r="R14" s="51">
        <f t="shared" si="7"/>
        <v>47.386620780690173</v>
      </c>
      <c r="S14" s="52">
        <f t="shared" si="8"/>
        <v>62.619299775728877</v>
      </c>
      <c r="T14" s="51">
        <f t="shared" si="5"/>
        <v>11.296970394116537</v>
      </c>
      <c r="U14" s="52">
        <f t="shared" si="6"/>
        <v>14.928441066533765</v>
      </c>
      <c r="V14" s="38">
        <f t="shared" si="9"/>
        <v>1.7286913068074674</v>
      </c>
      <c r="X14" s="442"/>
      <c r="Y14" s="267"/>
      <c r="Z14" s="440"/>
      <c r="AA14" s="22"/>
      <c r="AB14" s="687"/>
      <c r="AC14" s="22"/>
      <c r="AD14" s="22"/>
      <c r="AE14" s="22"/>
      <c r="AF14" s="22"/>
      <c r="AG14" s="22"/>
    </row>
    <row r="15" spans="1:33" x14ac:dyDescent="0.25">
      <c r="A15" s="4">
        <f>'Consumo Eléctrico'!B15</f>
        <v>44774</v>
      </c>
      <c r="B15" s="48">
        <f>'Consumo Eléctrico'!I15</f>
        <v>9498.1299999999992</v>
      </c>
      <c r="C15" s="38">
        <f>'Consumo Térmico de la empresa'!C32</f>
        <v>405.05780000000004</v>
      </c>
      <c r="D15" s="49">
        <v>190.06218000000001</v>
      </c>
      <c r="E15" s="50">
        <v>619.74220000000003</v>
      </c>
      <c r="F15" s="51">
        <f t="shared" si="0"/>
        <v>49.973803310053576</v>
      </c>
      <c r="G15" s="52">
        <f t="shared" si="1"/>
        <v>15.325937139668719</v>
      </c>
      <c r="H15" s="51">
        <f t="shared" si="2"/>
        <v>11.913754709116773</v>
      </c>
      <c r="I15" s="52">
        <f t="shared" si="3"/>
        <v>3.6537034140970226</v>
      </c>
      <c r="J15" s="38">
        <f t="shared" si="4"/>
        <v>2.1311856993327134</v>
      </c>
      <c r="K15" s="35"/>
      <c r="M15" s="9">
        <f>'Consumo Eléctrico'!B27</f>
        <v>45139</v>
      </c>
      <c r="N15" s="48">
        <f>'Consumo Eléctrico'!I27</f>
        <v>8620.61</v>
      </c>
      <c r="O15" s="38">
        <f>'Consumo Térmico de la empresa'!C63</f>
        <v>389.77260000000001</v>
      </c>
      <c r="P15" s="49">
        <v>112.32</v>
      </c>
      <c r="Q15" s="50">
        <v>685.25</v>
      </c>
      <c r="R15" s="51">
        <f t="shared" si="7"/>
        <v>76.750445156695164</v>
      </c>
      <c r="S15" s="52">
        <f t="shared" si="8"/>
        <v>12.580240788033565</v>
      </c>
      <c r="T15" s="51">
        <f t="shared" si="5"/>
        <v>18.297306125356126</v>
      </c>
      <c r="U15" s="52">
        <f t="shared" si="6"/>
        <v>2.9991294038672018</v>
      </c>
      <c r="V15" s="38">
        <f t="shared" si="9"/>
        <v>3.4701976495726501</v>
      </c>
      <c r="X15" s="442"/>
      <c r="Y15" s="267"/>
      <c r="Z15" s="440"/>
      <c r="AA15" s="22"/>
      <c r="AB15" s="231">
        <f>AB8*'Consumo Térmico de la empresa'!O8</f>
        <v>0.28874648945602222</v>
      </c>
      <c r="AC15" s="22"/>
      <c r="AD15" s="22"/>
      <c r="AE15" s="22"/>
      <c r="AF15" s="22"/>
      <c r="AG15" s="22"/>
    </row>
    <row r="16" spans="1:33" x14ac:dyDescent="0.25">
      <c r="A16" s="4">
        <f>'Consumo Eléctrico'!B16</f>
        <v>44805</v>
      </c>
      <c r="B16" s="48">
        <f>'Consumo Eléctrico'!I16</f>
        <v>9284.99</v>
      </c>
      <c r="C16" s="38">
        <f>'Consumo Térmico de la empresa'!C33</f>
        <v>173.5856</v>
      </c>
      <c r="D16" s="49">
        <v>118.91</v>
      </c>
      <c r="E16" s="50">
        <v>663.07780000000002</v>
      </c>
      <c r="F16" s="51">
        <f t="shared" si="0"/>
        <v>78.084181313598521</v>
      </c>
      <c r="G16" s="52">
        <f t="shared" si="1"/>
        <v>14.002866631939721</v>
      </c>
      <c r="H16" s="51">
        <f t="shared" si="2"/>
        <v>18.615268825161888</v>
      </c>
      <c r="I16" s="52">
        <f t="shared" si="3"/>
        <v>3.3382834050544297</v>
      </c>
      <c r="J16" s="38">
        <f t="shared" si="4"/>
        <v>1.4598065764023211</v>
      </c>
      <c r="K16" s="35"/>
      <c r="M16" s="9">
        <f>'Consumo Eléctrico'!B28</f>
        <v>45170</v>
      </c>
      <c r="N16" s="48">
        <f>'Consumo Eléctrico'!I28</f>
        <v>9013.66</v>
      </c>
      <c r="O16" s="38">
        <f>'Consumo Térmico de la empresa'!C64</f>
        <v>167.0352</v>
      </c>
      <c r="P16" s="49">
        <v>81.5</v>
      </c>
      <c r="Q16" s="50">
        <v>701.25</v>
      </c>
      <c r="R16" s="51">
        <f t="shared" si="7"/>
        <v>110.59705521472392</v>
      </c>
      <c r="S16" s="52">
        <f t="shared" si="8"/>
        <v>12.853704099821746</v>
      </c>
      <c r="T16" s="51">
        <f t="shared" si="5"/>
        <v>26.366337963190183</v>
      </c>
      <c r="U16" s="52">
        <f t="shared" si="6"/>
        <v>3.0643230573975044</v>
      </c>
      <c r="V16" s="38">
        <f t="shared" si="9"/>
        <v>2.0495116564417177</v>
      </c>
      <c r="X16" s="442"/>
      <c r="Y16" s="267"/>
      <c r="Z16" s="440"/>
      <c r="AA16" s="22"/>
      <c r="AB16" s="288"/>
      <c r="AC16" s="22"/>
      <c r="AD16" s="22"/>
      <c r="AE16" s="22"/>
      <c r="AF16" s="22"/>
      <c r="AG16" s="22"/>
    </row>
    <row r="17" spans="1:33" x14ac:dyDescent="0.25">
      <c r="A17" s="4">
        <f>'Consumo Eléctrico'!B17</f>
        <v>44835</v>
      </c>
      <c r="B17" s="48">
        <f>'Consumo Eléctrico'!I17</f>
        <v>9045.56</v>
      </c>
      <c r="C17" s="38">
        <v>172.45</v>
      </c>
      <c r="D17" s="49">
        <v>112</v>
      </c>
      <c r="E17" s="50">
        <v>291.34028000000001</v>
      </c>
      <c r="F17" s="51">
        <f t="shared" si="0"/>
        <v>80.763928571428565</v>
      </c>
      <c r="G17" s="52">
        <f t="shared" si="1"/>
        <v>31.048092629004131</v>
      </c>
      <c r="H17" s="51">
        <f t="shared" si="2"/>
        <v>19.254120571428569</v>
      </c>
      <c r="I17" s="52">
        <f t="shared" si="3"/>
        <v>7.401865282754585</v>
      </c>
      <c r="J17" s="38">
        <f t="shared" si="4"/>
        <v>1.5397321428571427</v>
      </c>
      <c r="K17" s="35"/>
      <c r="M17" s="9">
        <f>'Consumo Eléctrico'!B29</f>
        <v>45200</v>
      </c>
      <c r="N17" s="48">
        <f>'Consumo Eléctrico'!I29</f>
        <v>9003.9</v>
      </c>
      <c r="O17" s="38">
        <v>165.54</v>
      </c>
      <c r="P17" s="49">
        <v>70.14</v>
      </c>
      <c r="Q17" s="50">
        <v>301.56</v>
      </c>
      <c r="R17" s="51">
        <f t="shared" si="7"/>
        <v>128.37040205303677</v>
      </c>
      <c r="S17" s="52">
        <f t="shared" si="8"/>
        <v>29.857739753282928</v>
      </c>
      <c r="T17" s="51">
        <f t="shared" si="5"/>
        <v>30.603503849443968</v>
      </c>
      <c r="U17" s="52">
        <f t="shared" si="6"/>
        <v>7.1180851571826498</v>
      </c>
      <c r="V17" s="38">
        <f t="shared" si="9"/>
        <v>2.3601368691189051</v>
      </c>
      <c r="X17" s="442"/>
      <c r="Y17" s="267"/>
      <c r="Z17" s="440"/>
      <c r="AA17" s="22"/>
      <c r="AB17" s="288"/>
      <c r="AC17" s="22"/>
      <c r="AD17" s="22"/>
      <c r="AE17" s="22"/>
      <c r="AF17" s="22"/>
      <c r="AG17" s="22"/>
    </row>
    <row r="18" spans="1:33" x14ac:dyDescent="0.25">
      <c r="A18" s="4">
        <f>'Consumo Eléctrico'!B18</f>
        <v>44866</v>
      </c>
      <c r="B18" s="48">
        <f>'Consumo Eléctrico'!I18</f>
        <v>9676.81</v>
      </c>
      <c r="C18" s="38">
        <f>'Consumo Térmico de la empresa'!C35</f>
        <v>330.90020000000004</v>
      </c>
      <c r="D18" s="49">
        <v>151.82552000000001</v>
      </c>
      <c r="E18" s="50">
        <v>658.03276000000005</v>
      </c>
      <c r="F18" s="51">
        <f t="shared" si="0"/>
        <v>63.736386346643165</v>
      </c>
      <c r="G18" s="52">
        <f t="shared" si="1"/>
        <v>14.70566602185581</v>
      </c>
      <c r="H18" s="51">
        <f t="shared" si="2"/>
        <v>15.194754505039731</v>
      </c>
      <c r="I18" s="52">
        <f t="shared" si="3"/>
        <v>3.5058307796104251</v>
      </c>
      <c r="J18" s="38">
        <f t="shared" si="4"/>
        <v>2.1794768099592217</v>
      </c>
      <c r="K18" s="35"/>
      <c r="M18" s="9">
        <f>'Consumo Eléctrico'!B30</f>
        <v>45231</v>
      </c>
      <c r="N18" s="48">
        <f>'Consumo Eléctrico'!I30</f>
        <v>10060.049999999999</v>
      </c>
      <c r="O18" s="38">
        <f>'Consumo Térmico de la empresa'!C66</f>
        <v>318.41340000000002</v>
      </c>
      <c r="P18" s="49">
        <v>181.45</v>
      </c>
      <c r="Q18" s="50">
        <v>764.23</v>
      </c>
      <c r="R18" s="51">
        <f t="shared" si="7"/>
        <v>55.442546155965829</v>
      </c>
      <c r="S18" s="52">
        <f t="shared" si="8"/>
        <v>13.16364183557306</v>
      </c>
      <c r="T18" s="51">
        <f t="shared" si="5"/>
        <v>13.217503003582253</v>
      </c>
      <c r="U18" s="52">
        <f t="shared" si="6"/>
        <v>3.1382122136006174</v>
      </c>
      <c r="V18" s="38">
        <f t="shared" si="9"/>
        <v>1.7548272251308903</v>
      </c>
      <c r="X18" s="442"/>
      <c r="Y18" s="267"/>
      <c r="Z18" s="440"/>
      <c r="AA18" s="22"/>
      <c r="AB18" s="288"/>
      <c r="AC18" s="22"/>
      <c r="AD18" s="22"/>
      <c r="AE18" s="22"/>
      <c r="AF18" s="22"/>
      <c r="AG18" s="22"/>
    </row>
    <row r="19" spans="1:33" x14ac:dyDescent="0.25">
      <c r="A19" s="4">
        <f>'Consumo Eléctrico'!B19</f>
        <v>44896</v>
      </c>
      <c r="B19" s="48">
        <f>'Consumo Eléctrico'!I19</f>
        <v>8577.93</v>
      </c>
      <c r="C19" s="38">
        <f>'Consumo Térmico de la empresa'!C36</f>
        <v>115.911</v>
      </c>
      <c r="D19" s="49">
        <v>41.00712</v>
      </c>
      <c r="E19" s="50">
        <v>118.65546000000001</v>
      </c>
      <c r="F19" s="51">
        <f t="shared" si="0"/>
        <v>209.18147872857202</v>
      </c>
      <c r="G19" s="52">
        <f t="shared" si="1"/>
        <v>72.292754164030882</v>
      </c>
      <c r="H19" s="51">
        <f t="shared" si="2"/>
        <v>49.868864528891571</v>
      </c>
      <c r="I19" s="52">
        <f t="shared" si="3"/>
        <v>17.234592592704963</v>
      </c>
      <c r="J19" s="38">
        <f t="shared" si="4"/>
        <v>2.8266066965931769</v>
      </c>
      <c r="K19" s="35"/>
      <c r="M19" s="9">
        <f>'Consumo Eléctrico'!B31</f>
        <v>45261</v>
      </c>
      <c r="N19" s="48">
        <f>'Consumo Eléctrico'!I31</f>
        <v>8468.25</v>
      </c>
      <c r="O19" s="38">
        <f>'Consumo Térmico de la empresa'!C67</f>
        <v>111.53699999999999</v>
      </c>
      <c r="P19" s="49">
        <v>59.85</v>
      </c>
      <c r="Q19" s="50">
        <v>141.56</v>
      </c>
      <c r="R19" s="51">
        <f t="shared" si="7"/>
        <v>141.49122807017542</v>
      </c>
      <c r="S19" s="52">
        <f t="shared" si="8"/>
        <v>59.820923989827634</v>
      </c>
      <c r="T19" s="51">
        <f t="shared" si="5"/>
        <v>33.731508771929825</v>
      </c>
      <c r="U19" s="52">
        <f t="shared" si="6"/>
        <v>14.261308279174909</v>
      </c>
      <c r="V19" s="38">
        <f t="shared" si="9"/>
        <v>1.8636090225563908</v>
      </c>
      <c r="X19" s="442"/>
      <c r="Y19" s="267"/>
      <c r="Z19" s="440"/>
      <c r="AA19" s="22"/>
      <c r="AB19" s="288"/>
      <c r="AC19" s="22"/>
      <c r="AD19" s="22"/>
      <c r="AE19" s="22"/>
      <c r="AF19" s="22"/>
      <c r="AG19" s="22"/>
    </row>
    <row r="20" spans="1:33" x14ac:dyDescent="0.25">
      <c r="A20" s="17" t="s">
        <v>62</v>
      </c>
      <c r="B20" s="82">
        <f>AVERAGE(B8:B19)</f>
        <v>9522.3441666666677</v>
      </c>
      <c r="C20" s="91">
        <f t="shared" ref="C20:J20" si="10">AVERAGE(C8:C19)</f>
        <v>287.09911666666665</v>
      </c>
      <c r="D20" s="38">
        <f t="shared" si="10"/>
        <v>143.38461500000003</v>
      </c>
      <c r="E20" s="38">
        <f t="shared" si="10"/>
        <v>287.83857666666665</v>
      </c>
      <c r="F20" s="55">
        <f t="shared" si="10"/>
        <v>82.482674950065885</v>
      </c>
      <c r="G20" s="54">
        <f t="shared" si="10"/>
        <v>62.095025237320954</v>
      </c>
      <c r="H20" s="55">
        <f t="shared" si="10"/>
        <v>19.66386970809571</v>
      </c>
      <c r="I20" s="54">
        <f t="shared" si="10"/>
        <v>14.803454016577312</v>
      </c>
      <c r="J20" s="38">
        <f t="shared" si="10"/>
        <v>2.0889766941237666</v>
      </c>
      <c r="K20" s="94"/>
      <c r="M20" s="17" t="s">
        <v>62</v>
      </c>
      <c r="N20" s="82">
        <f>AVERAGE(N8:N19)</f>
        <v>9422.1208333333325</v>
      </c>
      <c r="O20" s="91">
        <f t="shared" ref="O20:V20" si="11">AVERAGE(O8:O19)</f>
        <v>272.81274166666657</v>
      </c>
      <c r="P20" s="38">
        <f t="shared" si="11"/>
        <v>145.77666666666667</v>
      </c>
      <c r="Q20" s="38">
        <f t="shared" si="11"/>
        <v>318.64583333333331</v>
      </c>
      <c r="R20" s="55">
        <f t="shared" si="11"/>
        <v>80.068336046815901</v>
      </c>
      <c r="S20" s="54">
        <f t="shared" si="11"/>
        <v>57.865914877092884</v>
      </c>
      <c r="T20" s="55">
        <f t="shared" si="11"/>
        <v>19.088291313560912</v>
      </c>
      <c r="U20" s="54">
        <f t="shared" si="11"/>
        <v>13.795234106698947</v>
      </c>
      <c r="V20" s="38">
        <f t="shared" si="11"/>
        <v>2.0212936184174741</v>
      </c>
      <c r="X20" s="1"/>
      <c r="Y20" s="267"/>
      <c r="Z20" s="261"/>
      <c r="AA20" s="22"/>
      <c r="AB20" s="22"/>
      <c r="AC20" s="261"/>
      <c r="AD20" s="261"/>
      <c r="AE20" s="261"/>
      <c r="AF20" s="261"/>
      <c r="AG20" s="22"/>
    </row>
    <row r="21" spans="1:33" x14ac:dyDescent="0.25">
      <c r="A21" s="17" t="s">
        <v>64</v>
      </c>
      <c r="B21" s="82">
        <f>SUM(B8:B19)</f>
        <v>114268.13</v>
      </c>
      <c r="C21" s="82">
        <f t="shared" ref="C21:J21" si="12">SUM(C8:C19)</f>
        <v>3445.1893999999998</v>
      </c>
      <c r="D21" s="48">
        <f t="shared" si="12"/>
        <v>1720.6153800000004</v>
      </c>
      <c r="E21" s="48">
        <f t="shared" si="12"/>
        <v>3454.0629199999998</v>
      </c>
      <c r="F21" s="48">
        <f t="shared" si="12"/>
        <v>989.79209940079068</v>
      </c>
      <c r="G21" s="48">
        <f t="shared" si="12"/>
        <v>745.14030284785144</v>
      </c>
      <c r="H21" s="48">
        <f t="shared" si="12"/>
        <v>235.96643649714852</v>
      </c>
      <c r="I21" s="48">
        <f t="shared" si="12"/>
        <v>177.64144819892775</v>
      </c>
      <c r="J21" s="48">
        <f t="shared" si="12"/>
        <v>25.067720329485201</v>
      </c>
      <c r="M21" s="17" t="s">
        <v>64</v>
      </c>
      <c r="N21" s="82">
        <f>SUM(N8:N19)</f>
        <v>113065.45</v>
      </c>
      <c r="O21" s="82">
        <f t="shared" ref="O21:V21" si="13">SUM(O8:O19)</f>
        <v>3273.752899999999</v>
      </c>
      <c r="P21" s="48">
        <f t="shared" si="13"/>
        <v>1749.32</v>
      </c>
      <c r="Q21" s="48">
        <f t="shared" si="13"/>
        <v>3823.75</v>
      </c>
      <c r="R21" s="48">
        <f t="shared" si="13"/>
        <v>960.82003256179075</v>
      </c>
      <c r="S21" s="48">
        <f t="shared" si="13"/>
        <v>694.39097852511463</v>
      </c>
      <c r="T21" s="48">
        <f t="shared" si="13"/>
        <v>229.05949576273093</v>
      </c>
      <c r="U21" s="48">
        <f t="shared" si="13"/>
        <v>165.54280928038736</v>
      </c>
      <c r="V21" s="48">
        <f t="shared" si="13"/>
        <v>24.255523421009691</v>
      </c>
      <c r="X21" s="1"/>
      <c r="Y21" s="267"/>
      <c r="Z21" s="268"/>
      <c r="AA21" s="267"/>
      <c r="AB21" s="267"/>
      <c r="AC21" s="267"/>
      <c r="AD21" s="267"/>
      <c r="AE21" s="267"/>
      <c r="AF21" s="267"/>
      <c r="AG21" s="267"/>
    </row>
    <row r="22" spans="1:33" x14ac:dyDescent="0.25">
      <c r="H22" s="43"/>
      <c r="O22" s="64"/>
      <c r="T22" s="43"/>
      <c r="AE22" s="43"/>
    </row>
    <row r="23" spans="1:33" x14ac:dyDescent="0.25">
      <c r="H23" s="43"/>
      <c r="O23" s="64"/>
      <c r="R23" s="22">
        <f>AVERAGE(F20,R20)</f>
        <v>81.275505498440893</v>
      </c>
      <c r="T23" s="43"/>
      <c r="AE23" s="43"/>
    </row>
    <row r="24" spans="1:33" x14ac:dyDescent="0.25">
      <c r="C24" s="22"/>
      <c r="H24" s="47" t="s">
        <v>63</v>
      </c>
      <c r="I24" t="s">
        <v>508</v>
      </c>
      <c r="T24" s="47" t="s">
        <v>63</v>
      </c>
      <c r="U24" t="s">
        <v>508</v>
      </c>
    </row>
    <row r="25" spans="1:33" x14ac:dyDescent="0.25">
      <c r="H25" s="47">
        <v>0.2384</v>
      </c>
      <c r="T25" s="47">
        <v>0.2384</v>
      </c>
    </row>
    <row r="26" spans="1:33" x14ac:dyDescent="0.25">
      <c r="H26" s="53"/>
      <c r="T26" s="53"/>
    </row>
    <row r="27" spans="1:33" x14ac:dyDescent="0.25">
      <c r="A27" s="58"/>
      <c r="B27" s="58"/>
      <c r="C27" s="58"/>
      <c r="D27" s="58"/>
      <c r="E27" s="58"/>
      <c r="F27" s="58"/>
      <c r="G27" s="58"/>
      <c r="H27" s="491"/>
      <c r="I27" s="58"/>
      <c r="J27" s="58"/>
      <c r="K27" s="58"/>
      <c r="L27" s="58"/>
      <c r="M27" s="58"/>
      <c r="N27" s="58"/>
      <c r="O27" s="58"/>
      <c r="P27" s="58"/>
      <c r="Q27" s="58"/>
      <c r="R27" s="58"/>
      <c r="S27" s="58"/>
      <c r="T27" s="491"/>
      <c r="U27" s="58"/>
      <c r="V27" s="58"/>
      <c r="W27" s="58"/>
      <c r="X27" s="58"/>
      <c r="Y27" s="58"/>
      <c r="Z27" s="58"/>
      <c r="AA27" s="58"/>
      <c r="AB27" s="58"/>
      <c r="AC27" s="58"/>
      <c r="AD27" s="58"/>
      <c r="AE27" s="58"/>
    </row>
    <row r="28" spans="1:33" x14ac:dyDescent="0.25">
      <c r="A28" s="58"/>
      <c r="B28" s="58"/>
      <c r="C28" s="58"/>
      <c r="D28" s="58"/>
      <c r="E28" s="58"/>
      <c r="F28" s="58"/>
      <c r="G28" s="58"/>
      <c r="H28" s="491"/>
      <c r="I28" s="58"/>
      <c r="J28" s="58"/>
      <c r="K28" s="58"/>
      <c r="L28" s="58"/>
      <c r="M28" s="58"/>
      <c r="N28" s="58"/>
      <c r="O28" s="58"/>
      <c r="P28" s="58"/>
      <c r="Q28" s="58"/>
      <c r="R28" s="58"/>
      <c r="S28" s="58"/>
      <c r="T28" s="491"/>
      <c r="U28" s="58"/>
      <c r="V28" s="58"/>
      <c r="W28" s="58"/>
      <c r="X28" s="58"/>
      <c r="Y28" s="58"/>
      <c r="Z28" s="58"/>
      <c r="AA28" s="58"/>
      <c r="AB28" s="58"/>
      <c r="AC28" s="58"/>
      <c r="AD28" s="58"/>
      <c r="AE28" s="58"/>
    </row>
    <row r="29" spans="1:33" ht="60" x14ac:dyDescent="0.25">
      <c r="A29" s="58"/>
      <c r="B29" s="58"/>
      <c r="C29" s="58"/>
      <c r="D29" s="58"/>
      <c r="E29" s="58"/>
      <c r="F29" s="58"/>
      <c r="G29" s="58"/>
      <c r="H29" s="491"/>
      <c r="I29" s="58"/>
      <c r="J29" s="58"/>
      <c r="K29" s="58"/>
      <c r="L29" s="58"/>
      <c r="M29" s="58"/>
      <c r="N29" s="58"/>
      <c r="O29" s="551" t="s">
        <v>3</v>
      </c>
      <c r="P29" s="552" t="str">
        <f>B4</f>
        <v xml:space="preserve">Consumo Energía Eléctrica [kWh/mes] </v>
      </c>
      <c r="Q29" s="552" t="s">
        <v>926</v>
      </c>
      <c r="R29" s="553" t="s">
        <v>927</v>
      </c>
      <c r="S29" s="551" t="s">
        <v>928</v>
      </c>
      <c r="T29" s="491"/>
      <c r="U29" s="58"/>
      <c r="V29" s="58"/>
      <c r="W29" s="58"/>
      <c r="X29" s="58"/>
      <c r="Y29" s="58"/>
      <c r="Z29" s="58"/>
      <c r="AA29" s="58"/>
      <c r="AB29" s="58"/>
      <c r="AC29" s="58"/>
      <c r="AD29" s="58"/>
      <c r="AE29" s="58"/>
    </row>
    <row r="30" spans="1:33" ht="15" customHeight="1" x14ac:dyDescent="0.25">
      <c r="A30" s="58"/>
      <c r="B30" s="58"/>
      <c r="C30" s="58"/>
      <c r="D30" s="58"/>
      <c r="E30" s="58"/>
      <c r="F30" s="58"/>
      <c r="G30" s="58"/>
      <c r="H30" s="491"/>
      <c r="I30" s="58"/>
      <c r="J30" s="58"/>
      <c r="K30" s="58"/>
      <c r="L30" s="58"/>
      <c r="M30" s="58"/>
      <c r="N30" s="58"/>
      <c r="O30" s="11">
        <v>1</v>
      </c>
      <c r="P30" s="554">
        <f t="shared" ref="P30:P41" si="14">B8</f>
        <v>8674.83</v>
      </c>
      <c r="Q30" s="555">
        <f t="shared" ref="Q30:Q41" si="15">-87.831*O30+10325</f>
        <v>10237.169</v>
      </c>
      <c r="R30" s="556">
        <f>P30-Q30</f>
        <v>-1562.3389999999999</v>
      </c>
      <c r="S30" s="11" t="str">
        <f>IF(R30&gt;0,"Sobre Consumo","-")</f>
        <v>-</v>
      </c>
      <c r="T30" s="491"/>
      <c r="U30" s="58"/>
      <c r="V30" s="58"/>
      <c r="W30" s="58"/>
      <c r="X30" s="58"/>
      <c r="Y30" s="58"/>
      <c r="Z30" s="58"/>
      <c r="AA30" s="58"/>
      <c r="AB30" s="695" t="s">
        <v>929</v>
      </c>
      <c r="AC30" s="695"/>
      <c r="AD30" s="695"/>
      <c r="AE30" s="58"/>
    </row>
    <row r="31" spans="1:33" ht="15" customHeight="1" x14ac:dyDescent="0.25">
      <c r="A31" s="58"/>
      <c r="B31" s="58"/>
      <c r="C31" s="58"/>
      <c r="D31" s="58"/>
      <c r="E31" s="58"/>
      <c r="F31" s="58"/>
      <c r="G31" s="58"/>
      <c r="H31" s="491"/>
      <c r="I31" s="58"/>
      <c r="J31" s="58"/>
      <c r="K31" s="58"/>
      <c r="L31" s="58"/>
      <c r="M31" s="58"/>
      <c r="N31" s="58"/>
      <c r="O31" s="11">
        <v>2</v>
      </c>
      <c r="P31" s="554">
        <f t="shared" si="14"/>
        <v>9893.119999999999</v>
      </c>
      <c r="Q31" s="555">
        <f t="shared" si="15"/>
        <v>10149.338</v>
      </c>
      <c r="R31" s="556">
        <f t="shared" ref="R31:R41" si="16">P31-Q31</f>
        <v>-256.21800000000076</v>
      </c>
      <c r="S31" s="11" t="str">
        <f t="shared" ref="S31:S41" si="17">IF(R31&gt;0,"Sobre Consumo","-")</f>
        <v>-</v>
      </c>
      <c r="T31" s="491"/>
      <c r="U31" s="58"/>
      <c r="V31" s="58"/>
      <c r="W31" s="58"/>
      <c r="X31" s="58"/>
      <c r="Y31" s="58"/>
      <c r="Z31" s="58"/>
      <c r="AA31" s="58"/>
      <c r="AB31" s="695"/>
      <c r="AC31" s="695"/>
      <c r="AD31" s="695"/>
      <c r="AE31" s="58"/>
    </row>
    <row r="32" spans="1:33" ht="15" customHeight="1" x14ac:dyDescent="0.25">
      <c r="A32" s="58"/>
      <c r="B32" s="58"/>
      <c r="C32" s="58"/>
      <c r="D32" s="58"/>
      <c r="E32" s="58"/>
      <c r="F32" s="58"/>
      <c r="G32" s="58"/>
      <c r="H32" s="491"/>
      <c r="I32" s="58"/>
      <c r="J32" s="58"/>
      <c r="K32" s="58"/>
      <c r="L32" s="58"/>
      <c r="M32" s="58"/>
      <c r="N32" s="58"/>
      <c r="O32" s="11">
        <v>3</v>
      </c>
      <c r="P32" s="554">
        <f t="shared" si="14"/>
        <v>9689.25</v>
      </c>
      <c r="Q32" s="555">
        <f t="shared" si="15"/>
        <v>10061.507</v>
      </c>
      <c r="R32" s="556">
        <f t="shared" si="16"/>
        <v>-372.25699999999961</v>
      </c>
      <c r="S32" s="11" t="str">
        <f t="shared" si="17"/>
        <v>-</v>
      </c>
      <c r="T32" s="491"/>
      <c r="U32" s="58"/>
      <c r="V32" s="58"/>
      <c r="W32" s="58"/>
      <c r="X32" s="58"/>
      <c r="Y32" s="58"/>
      <c r="Z32" s="58"/>
      <c r="AA32" s="58"/>
      <c r="AB32" s="695"/>
      <c r="AC32" s="695"/>
      <c r="AD32" s="695"/>
      <c r="AE32" s="58"/>
    </row>
    <row r="33" spans="1:31" x14ac:dyDescent="0.25">
      <c r="A33" s="58"/>
      <c r="B33" s="58"/>
      <c r="C33" s="58"/>
      <c r="D33" s="58"/>
      <c r="E33" s="58"/>
      <c r="F33" s="58"/>
      <c r="G33" s="58"/>
      <c r="H33" s="491"/>
      <c r="I33" s="58"/>
      <c r="J33" s="58"/>
      <c r="K33" s="58"/>
      <c r="L33" s="58"/>
      <c r="M33" s="58"/>
      <c r="N33" s="58"/>
      <c r="O33" s="11">
        <v>4</v>
      </c>
      <c r="P33" s="554">
        <f t="shared" si="14"/>
        <v>9823.56</v>
      </c>
      <c r="Q33" s="555">
        <f t="shared" si="15"/>
        <v>9973.6759999999995</v>
      </c>
      <c r="R33" s="556">
        <f t="shared" si="16"/>
        <v>-150.11599999999999</v>
      </c>
      <c r="S33" s="11" t="str">
        <f t="shared" si="17"/>
        <v>-</v>
      </c>
      <c r="T33" s="491"/>
      <c r="U33" s="58"/>
      <c r="V33" s="58"/>
      <c r="W33" s="58"/>
      <c r="X33" s="58"/>
      <c r="Y33" s="58"/>
      <c r="Z33" s="58"/>
      <c r="AA33" s="58"/>
      <c r="AB33" s="58"/>
      <c r="AC33" s="58"/>
      <c r="AD33" s="58"/>
      <c r="AE33" s="58"/>
    </row>
    <row r="34" spans="1:31" x14ac:dyDescent="0.25">
      <c r="A34" s="58"/>
      <c r="B34" s="58"/>
      <c r="C34" s="58"/>
      <c r="D34" s="58"/>
      <c r="E34" s="58"/>
      <c r="F34" s="58"/>
      <c r="G34" s="58"/>
      <c r="H34" s="491"/>
      <c r="I34" s="58"/>
      <c r="J34" s="58"/>
      <c r="K34" s="58"/>
      <c r="L34" s="58"/>
      <c r="M34" s="58"/>
      <c r="N34" s="58"/>
      <c r="O34" s="11">
        <v>5</v>
      </c>
      <c r="P34" s="554">
        <f t="shared" si="14"/>
        <v>10503.89</v>
      </c>
      <c r="Q34" s="555">
        <f t="shared" si="15"/>
        <v>9885.8449999999993</v>
      </c>
      <c r="R34" s="556">
        <f t="shared" si="16"/>
        <v>618.04500000000007</v>
      </c>
      <c r="S34" s="11" t="str">
        <f t="shared" si="17"/>
        <v>Sobre Consumo</v>
      </c>
      <c r="T34" s="491"/>
      <c r="U34" s="58"/>
      <c r="V34" s="58"/>
      <c r="W34" s="58"/>
      <c r="X34" s="58"/>
      <c r="Y34" s="58"/>
      <c r="Z34" s="58"/>
      <c r="AA34" s="58"/>
      <c r="AB34" s="58"/>
      <c r="AC34" s="58"/>
      <c r="AD34" s="58"/>
      <c r="AE34" s="58"/>
    </row>
    <row r="35" spans="1:31" x14ac:dyDescent="0.25">
      <c r="A35" s="58"/>
      <c r="B35" s="58"/>
      <c r="C35" s="58"/>
      <c r="D35" s="58"/>
      <c r="E35" s="58"/>
      <c r="F35" s="58"/>
      <c r="G35" s="58"/>
      <c r="H35" s="491"/>
      <c r="I35" s="58"/>
      <c r="J35" s="58"/>
      <c r="K35" s="58"/>
      <c r="L35" s="58"/>
      <c r="M35" s="58"/>
      <c r="N35" s="58"/>
      <c r="O35" s="11">
        <v>6</v>
      </c>
      <c r="P35" s="554">
        <f t="shared" si="14"/>
        <v>9931.33</v>
      </c>
      <c r="Q35" s="555">
        <f t="shared" si="15"/>
        <v>9798.0139999999992</v>
      </c>
      <c r="R35" s="556">
        <f t="shared" si="16"/>
        <v>133.31600000000071</v>
      </c>
      <c r="S35" s="11" t="str">
        <f t="shared" si="17"/>
        <v>Sobre Consumo</v>
      </c>
      <c r="T35" s="491"/>
      <c r="U35" s="58"/>
      <c r="V35" s="58"/>
      <c r="W35" s="58"/>
      <c r="X35" s="58"/>
      <c r="Y35" s="58"/>
      <c r="Z35" s="58"/>
      <c r="AA35" s="58"/>
      <c r="AB35" s="58"/>
      <c r="AC35" s="58"/>
      <c r="AD35" s="58"/>
      <c r="AE35" s="58"/>
    </row>
    <row r="36" spans="1:31" x14ac:dyDescent="0.25">
      <c r="A36" s="58"/>
      <c r="B36" s="58"/>
      <c r="C36" s="58"/>
      <c r="D36" s="58"/>
      <c r="E36" s="58"/>
      <c r="F36" s="58"/>
      <c r="G36" s="58"/>
      <c r="H36" s="491"/>
      <c r="I36" s="58"/>
      <c r="J36" s="58"/>
      <c r="K36" s="58"/>
      <c r="L36" s="58"/>
      <c r="M36" s="58"/>
      <c r="N36" s="58"/>
      <c r="O36" s="11">
        <v>7</v>
      </c>
      <c r="P36" s="554">
        <f t="shared" si="14"/>
        <v>9668.73</v>
      </c>
      <c r="Q36" s="555">
        <f t="shared" si="15"/>
        <v>9710.1830000000009</v>
      </c>
      <c r="R36" s="556">
        <f t="shared" si="16"/>
        <v>-41.453000000001339</v>
      </c>
      <c r="S36" s="11" t="str">
        <f t="shared" si="17"/>
        <v>-</v>
      </c>
      <c r="T36" s="491"/>
      <c r="U36" s="58"/>
      <c r="V36" s="58"/>
      <c r="W36" s="58"/>
      <c r="X36" s="58"/>
      <c r="Y36" s="58"/>
      <c r="Z36" s="58"/>
      <c r="AA36" s="58"/>
      <c r="AB36" s="58"/>
      <c r="AC36" s="58"/>
      <c r="AD36" s="58"/>
      <c r="AE36" s="58"/>
    </row>
    <row r="37" spans="1:31" x14ac:dyDescent="0.25">
      <c r="A37" s="58"/>
      <c r="B37" s="58"/>
      <c r="C37" s="58"/>
      <c r="D37" s="58"/>
      <c r="E37" s="58"/>
      <c r="F37" s="58"/>
      <c r="G37" s="58"/>
      <c r="H37" s="491"/>
      <c r="I37" s="58"/>
      <c r="J37" s="58"/>
      <c r="K37" s="58"/>
      <c r="L37" s="58"/>
      <c r="M37" s="58"/>
      <c r="N37" s="58"/>
      <c r="O37" s="11">
        <v>8</v>
      </c>
      <c r="P37" s="554">
        <f t="shared" si="14"/>
        <v>9498.1299999999992</v>
      </c>
      <c r="Q37" s="555">
        <f t="shared" si="15"/>
        <v>9622.3520000000008</v>
      </c>
      <c r="R37" s="556">
        <f t="shared" si="16"/>
        <v>-124.22200000000157</v>
      </c>
      <c r="S37" s="11" t="str">
        <f t="shared" si="17"/>
        <v>-</v>
      </c>
      <c r="T37" s="491"/>
      <c r="U37" s="58"/>
      <c r="V37" s="58"/>
      <c r="W37" s="58"/>
      <c r="X37" s="58"/>
      <c r="Y37" s="58"/>
      <c r="Z37" s="58"/>
      <c r="AA37" s="58"/>
      <c r="AB37" s="58"/>
      <c r="AC37" s="58"/>
      <c r="AD37" s="58"/>
      <c r="AE37" s="58"/>
    </row>
    <row r="38" spans="1:31" x14ac:dyDescent="0.25">
      <c r="A38" s="58"/>
      <c r="B38" s="58"/>
      <c r="C38" s="58"/>
      <c r="D38" s="58"/>
      <c r="E38" s="58"/>
      <c r="F38" s="58"/>
      <c r="G38" s="58"/>
      <c r="H38" s="491"/>
      <c r="I38" s="58"/>
      <c r="J38" s="58"/>
      <c r="K38" s="58"/>
      <c r="L38" s="58"/>
      <c r="M38" s="58"/>
      <c r="N38" s="58"/>
      <c r="O38" s="11">
        <v>9</v>
      </c>
      <c r="P38" s="554">
        <f t="shared" si="14"/>
        <v>9284.99</v>
      </c>
      <c r="Q38" s="555">
        <f t="shared" si="15"/>
        <v>9534.5210000000006</v>
      </c>
      <c r="R38" s="556">
        <f t="shared" si="16"/>
        <v>-249.53100000000086</v>
      </c>
      <c r="S38" s="11" t="str">
        <f t="shared" si="17"/>
        <v>-</v>
      </c>
      <c r="T38" s="491"/>
      <c r="U38" s="58"/>
      <c r="V38" s="58"/>
      <c r="W38" s="58"/>
      <c r="X38" s="58"/>
      <c r="Y38" s="58"/>
      <c r="Z38" s="58"/>
      <c r="AA38" s="58"/>
      <c r="AB38" s="58"/>
      <c r="AC38" s="58"/>
      <c r="AD38" s="58"/>
      <c r="AE38" s="58"/>
    </row>
    <row r="39" spans="1:31" x14ac:dyDescent="0.25">
      <c r="A39" s="58"/>
      <c r="B39" s="58"/>
      <c r="C39" s="58"/>
      <c r="D39" s="58"/>
      <c r="E39" s="58"/>
      <c r="F39" s="58"/>
      <c r="G39" s="58"/>
      <c r="H39" s="491"/>
      <c r="I39" s="58"/>
      <c r="J39" s="58"/>
      <c r="K39" s="58"/>
      <c r="L39" s="58"/>
      <c r="M39" s="58"/>
      <c r="N39" s="58"/>
      <c r="O39" s="11">
        <v>10</v>
      </c>
      <c r="P39" s="554">
        <f t="shared" si="14"/>
        <v>9045.56</v>
      </c>
      <c r="Q39" s="555">
        <f t="shared" si="15"/>
        <v>9446.69</v>
      </c>
      <c r="R39" s="556">
        <f t="shared" si="16"/>
        <v>-401.13000000000102</v>
      </c>
      <c r="S39" s="11" t="str">
        <f t="shared" si="17"/>
        <v>-</v>
      </c>
      <c r="T39" s="491"/>
      <c r="U39" s="58"/>
      <c r="V39" s="58"/>
      <c r="W39" s="58"/>
      <c r="X39" s="58"/>
      <c r="Y39" s="58"/>
      <c r="Z39" s="58"/>
      <c r="AA39" s="58"/>
      <c r="AB39" s="58"/>
      <c r="AC39" s="58"/>
      <c r="AD39" s="58"/>
      <c r="AE39" s="58"/>
    </row>
    <row r="40" spans="1:31" x14ac:dyDescent="0.25">
      <c r="A40" s="58"/>
      <c r="B40" s="58"/>
      <c r="C40" s="58"/>
      <c r="D40" s="58"/>
      <c r="E40" s="58"/>
      <c r="F40" s="58"/>
      <c r="G40" s="58"/>
      <c r="H40" s="491"/>
      <c r="I40" s="58"/>
      <c r="J40" s="58"/>
      <c r="K40" s="58"/>
      <c r="L40" s="58"/>
      <c r="M40" s="58"/>
      <c r="N40" s="58"/>
      <c r="O40" s="11">
        <v>11</v>
      </c>
      <c r="P40" s="554">
        <f t="shared" si="14"/>
        <v>9676.81</v>
      </c>
      <c r="Q40" s="555">
        <f t="shared" si="15"/>
        <v>9358.8590000000004</v>
      </c>
      <c r="R40" s="556">
        <f t="shared" si="16"/>
        <v>317.95099999999911</v>
      </c>
      <c r="S40" s="11" t="str">
        <f t="shared" si="17"/>
        <v>Sobre Consumo</v>
      </c>
      <c r="T40" s="491"/>
      <c r="U40" s="58"/>
      <c r="V40" s="58"/>
      <c r="W40" s="58"/>
      <c r="X40" s="58"/>
      <c r="Y40" s="58"/>
      <c r="Z40" s="58"/>
      <c r="AA40" s="58"/>
      <c r="AB40" s="58"/>
      <c r="AC40" s="58"/>
      <c r="AD40" s="58"/>
      <c r="AE40" s="58"/>
    </row>
    <row r="41" spans="1:31" x14ac:dyDescent="0.25">
      <c r="A41" s="58"/>
      <c r="B41" s="58"/>
      <c r="C41" s="58"/>
      <c r="D41" s="58"/>
      <c r="E41" s="58"/>
      <c r="F41" s="58"/>
      <c r="G41" s="58"/>
      <c r="H41" s="491"/>
      <c r="I41" s="58"/>
      <c r="J41" s="58"/>
      <c r="K41" s="58"/>
      <c r="L41" s="58"/>
      <c r="M41" s="58"/>
      <c r="N41" s="58"/>
      <c r="O41" s="11">
        <v>12</v>
      </c>
      <c r="P41" s="554">
        <f t="shared" si="14"/>
        <v>8577.93</v>
      </c>
      <c r="Q41" s="555">
        <f t="shared" si="15"/>
        <v>9271.0280000000002</v>
      </c>
      <c r="R41" s="556">
        <f t="shared" si="16"/>
        <v>-693.09799999999996</v>
      </c>
      <c r="S41" s="11" t="str">
        <f t="shared" si="17"/>
        <v>-</v>
      </c>
      <c r="T41" s="491"/>
      <c r="U41" s="58"/>
      <c r="V41" s="58"/>
      <c r="W41" s="58"/>
      <c r="X41" s="58"/>
      <c r="Y41" s="58"/>
      <c r="Z41" s="58"/>
      <c r="AA41" s="58"/>
      <c r="AB41" s="58"/>
      <c r="AC41" s="58"/>
      <c r="AD41" s="58"/>
      <c r="AE41" s="58"/>
    </row>
    <row r="42" spans="1:31" x14ac:dyDescent="0.25">
      <c r="A42" s="58"/>
      <c r="B42" s="58"/>
      <c r="C42" s="58"/>
      <c r="D42" s="58"/>
      <c r="E42" s="58"/>
      <c r="F42" s="58"/>
      <c r="G42" s="58"/>
      <c r="H42" s="491"/>
      <c r="I42" s="58"/>
      <c r="J42" s="58"/>
      <c r="K42" s="58"/>
      <c r="L42" s="58"/>
      <c r="M42" s="58"/>
      <c r="N42" s="58"/>
      <c r="O42" s="58"/>
      <c r="P42" s="58"/>
      <c r="Q42" s="58"/>
      <c r="R42" s="58"/>
      <c r="S42" s="58"/>
      <c r="T42" s="491"/>
      <c r="U42" s="58"/>
      <c r="V42" s="58"/>
      <c r="W42" s="58"/>
      <c r="X42" s="58"/>
      <c r="Y42" s="58"/>
      <c r="Z42" s="58"/>
      <c r="AA42" s="58"/>
      <c r="AB42" s="58"/>
      <c r="AC42" s="58"/>
      <c r="AD42" s="58"/>
      <c r="AE42" s="58"/>
    </row>
    <row r="43" spans="1:31" x14ac:dyDescent="0.25">
      <c r="A43" s="58"/>
      <c r="B43" s="58"/>
      <c r="C43" s="58"/>
      <c r="D43" s="58"/>
      <c r="E43" s="58"/>
      <c r="F43" s="58"/>
      <c r="G43" s="58"/>
      <c r="H43" s="491"/>
      <c r="I43" s="58"/>
      <c r="J43" s="58"/>
      <c r="K43" s="58"/>
      <c r="L43" s="58"/>
      <c r="M43" s="58"/>
      <c r="N43" s="58"/>
      <c r="O43" s="58"/>
      <c r="P43" s="58"/>
      <c r="Q43" s="58"/>
      <c r="R43" s="58"/>
      <c r="S43" s="58"/>
      <c r="T43" s="491"/>
      <c r="U43" s="58"/>
      <c r="V43" s="58"/>
      <c r="W43" s="58"/>
      <c r="X43" s="58"/>
      <c r="Y43" s="58"/>
      <c r="Z43" s="58"/>
      <c r="AA43" s="58"/>
      <c r="AB43" s="58"/>
      <c r="AC43" s="58"/>
      <c r="AD43" s="58"/>
      <c r="AE43" s="58"/>
    </row>
    <row r="44" spans="1:31" x14ac:dyDescent="0.25">
      <c r="A44" s="58"/>
      <c r="B44" s="58"/>
      <c r="C44" s="58"/>
      <c r="D44" s="58"/>
      <c r="E44" s="58"/>
      <c r="F44" s="58"/>
      <c r="G44" s="58"/>
      <c r="H44" s="491"/>
      <c r="I44" s="58"/>
      <c r="J44" s="58"/>
      <c r="K44" s="58"/>
      <c r="L44" s="58"/>
      <c r="M44" s="58"/>
      <c r="N44" s="58"/>
      <c r="O44" s="58"/>
      <c r="P44" s="58"/>
      <c r="Q44" s="58"/>
      <c r="R44" s="58"/>
      <c r="S44" s="58"/>
      <c r="T44" s="491"/>
      <c r="U44" s="58"/>
      <c r="V44" s="58"/>
      <c r="W44" s="58"/>
      <c r="X44" s="58"/>
      <c r="Y44" s="58"/>
      <c r="Z44" s="58"/>
      <c r="AA44" s="58"/>
      <c r="AB44" s="58"/>
      <c r="AC44" s="58"/>
      <c r="AD44" s="58"/>
      <c r="AE44" s="58"/>
    </row>
    <row r="45" spans="1:31" x14ac:dyDescent="0.25">
      <c r="H45" s="53"/>
      <c r="T45" s="53"/>
    </row>
    <row r="46" spans="1:31" x14ac:dyDescent="0.25">
      <c r="H46" s="53"/>
      <c r="T46" s="53"/>
    </row>
    <row r="47" spans="1:31" x14ac:dyDescent="0.25">
      <c r="C47" s="439"/>
      <c r="H47" s="53"/>
      <c r="J47" s="1" t="s">
        <v>542</v>
      </c>
      <c r="K47" s="1" t="s">
        <v>543</v>
      </c>
      <c r="X47" s="1" t="s">
        <v>542</v>
      </c>
      <c r="Y47" s="1" t="s">
        <v>543</v>
      </c>
    </row>
    <row r="48" spans="1:31" x14ac:dyDescent="0.25">
      <c r="H48" s="53"/>
      <c r="I48" s="429">
        <f t="shared" ref="I48:I59" si="18">A8</f>
        <v>44562</v>
      </c>
      <c r="J48" s="62">
        <f t="shared" ref="J48:J59" si="19">B8/100</f>
        <v>86.7483</v>
      </c>
      <c r="K48" s="22">
        <f t="shared" ref="K48:K59" si="20">D8</f>
        <v>72.344580000000008</v>
      </c>
      <c r="W48" s="429">
        <f t="shared" ref="W48:W59" si="21">M8</f>
        <v>44927</v>
      </c>
      <c r="X48" s="62">
        <f t="shared" ref="X48:X59" si="22">N8/100</f>
        <v>84.75</v>
      </c>
      <c r="Y48" s="22">
        <f t="shared" ref="Y48:Y59" si="23">P8</f>
        <v>81.25</v>
      </c>
    </row>
    <row r="49" spans="2:30" x14ac:dyDescent="0.25">
      <c r="B49" t="s">
        <v>22</v>
      </c>
      <c r="I49" s="429">
        <f t="shared" si="18"/>
        <v>44593</v>
      </c>
      <c r="J49" s="62">
        <f t="shared" si="19"/>
        <v>98.93119999999999</v>
      </c>
      <c r="K49" s="22">
        <f t="shared" si="20"/>
        <v>99.44550000000001</v>
      </c>
      <c r="W49" s="429">
        <f t="shared" si="21"/>
        <v>44958</v>
      </c>
      <c r="X49" s="62">
        <f t="shared" si="22"/>
        <v>88.026399999999995</v>
      </c>
      <c r="Y49" s="22">
        <f t="shared" si="23"/>
        <v>104.56</v>
      </c>
    </row>
    <row r="50" spans="2:30" x14ac:dyDescent="0.25">
      <c r="I50" s="429">
        <f t="shared" si="18"/>
        <v>44621</v>
      </c>
      <c r="J50" s="62">
        <f t="shared" si="19"/>
        <v>96.892499999999998</v>
      </c>
      <c r="K50" s="22">
        <f t="shared" si="20"/>
        <v>104.69536000000001</v>
      </c>
      <c r="W50" s="429">
        <f t="shared" si="21"/>
        <v>44986</v>
      </c>
      <c r="X50" s="62">
        <f t="shared" si="22"/>
        <v>96.331599999999995</v>
      </c>
      <c r="Y50" s="22">
        <f t="shared" si="23"/>
        <v>117.89</v>
      </c>
    </row>
    <row r="51" spans="2:30" x14ac:dyDescent="0.25">
      <c r="I51" s="429">
        <f t="shared" si="18"/>
        <v>44652</v>
      </c>
      <c r="J51" s="62">
        <f t="shared" si="19"/>
        <v>98.235599999999991</v>
      </c>
      <c r="K51" s="22">
        <f t="shared" si="20"/>
        <v>198.85866000000001</v>
      </c>
      <c r="W51" s="429">
        <f t="shared" si="21"/>
        <v>45017</v>
      </c>
      <c r="X51" s="62">
        <f t="shared" si="22"/>
        <v>97.965000000000003</v>
      </c>
      <c r="Y51" s="22">
        <f t="shared" si="23"/>
        <v>214.56</v>
      </c>
    </row>
    <row r="52" spans="2:30" x14ac:dyDescent="0.25">
      <c r="I52" s="429">
        <f t="shared" si="18"/>
        <v>44682</v>
      </c>
      <c r="J52" s="62">
        <f t="shared" si="19"/>
        <v>105.0389</v>
      </c>
      <c r="K52" s="22">
        <f t="shared" si="20"/>
        <v>265.41000000000003</v>
      </c>
      <c r="W52" s="429">
        <f t="shared" si="21"/>
        <v>45047</v>
      </c>
      <c r="X52" s="62">
        <f t="shared" si="22"/>
        <v>115.0369</v>
      </c>
      <c r="Y52" s="22">
        <f t="shared" si="23"/>
        <v>314.16000000000003</v>
      </c>
    </row>
    <row r="53" spans="2:30" x14ac:dyDescent="0.25">
      <c r="I53" s="429">
        <f t="shared" si="18"/>
        <v>44713</v>
      </c>
      <c r="J53" s="62">
        <f t="shared" si="19"/>
        <v>99.313299999999998</v>
      </c>
      <c r="K53" s="22">
        <f t="shared" si="20"/>
        <v>188.35893999999999</v>
      </c>
      <c r="W53" s="429">
        <f t="shared" si="21"/>
        <v>45078</v>
      </c>
      <c r="X53" s="62">
        <f t="shared" si="22"/>
        <v>96.363399999999999</v>
      </c>
      <c r="Y53" s="22">
        <f t="shared" si="23"/>
        <v>199.52</v>
      </c>
    </row>
    <row r="54" spans="2:30" x14ac:dyDescent="0.25">
      <c r="I54" s="429">
        <f t="shared" si="18"/>
        <v>44743</v>
      </c>
      <c r="J54" s="62">
        <f t="shared" si="19"/>
        <v>96.687299999999993</v>
      </c>
      <c r="K54" s="22">
        <f t="shared" si="20"/>
        <v>177.69752000000003</v>
      </c>
      <c r="Q54" s="44"/>
      <c r="R54" s="44"/>
      <c r="W54" s="429">
        <f t="shared" si="21"/>
        <v>45108</v>
      </c>
      <c r="X54" s="62">
        <f t="shared" si="22"/>
        <v>100.51649999999999</v>
      </c>
      <c r="Y54" s="22">
        <f t="shared" si="23"/>
        <v>212.12</v>
      </c>
    </row>
    <row r="55" spans="2:30" x14ac:dyDescent="0.25">
      <c r="I55" s="429">
        <f t="shared" si="18"/>
        <v>44774</v>
      </c>
      <c r="J55" s="62">
        <f t="shared" si="19"/>
        <v>94.98129999999999</v>
      </c>
      <c r="K55" s="22">
        <f t="shared" si="20"/>
        <v>190.06218000000001</v>
      </c>
      <c r="W55" s="429">
        <f t="shared" si="21"/>
        <v>45139</v>
      </c>
      <c r="X55" s="62">
        <f t="shared" si="22"/>
        <v>86.206100000000006</v>
      </c>
      <c r="Y55" s="22">
        <f t="shared" si="23"/>
        <v>112.32</v>
      </c>
    </row>
    <row r="56" spans="2:30" x14ac:dyDescent="0.25">
      <c r="I56" s="429">
        <f t="shared" si="18"/>
        <v>44805</v>
      </c>
      <c r="J56" s="62">
        <f t="shared" si="19"/>
        <v>92.849899999999991</v>
      </c>
      <c r="K56" s="22">
        <f t="shared" si="20"/>
        <v>118.91</v>
      </c>
      <c r="W56" s="429">
        <f t="shared" si="21"/>
        <v>45170</v>
      </c>
      <c r="X56" s="62">
        <f t="shared" si="22"/>
        <v>90.136600000000001</v>
      </c>
      <c r="Y56" s="22">
        <f t="shared" si="23"/>
        <v>81.5</v>
      </c>
    </row>
    <row r="57" spans="2:30" x14ac:dyDescent="0.25">
      <c r="I57" s="429">
        <f t="shared" si="18"/>
        <v>44835</v>
      </c>
      <c r="J57" s="62">
        <f t="shared" si="19"/>
        <v>90.45559999999999</v>
      </c>
      <c r="K57" s="22">
        <f t="shared" si="20"/>
        <v>112</v>
      </c>
      <c r="W57" s="429">
        <f t="shared" si="21"/>
        <v>45200</v>
      </c>
      <c r="X57" s="62">
        <f t="shared" si="22"/>
        <v>90.039000000000001</v>
      </c>
      <c r="Y57" s="22">
        <f t="shared" si="23"/>
        <v>70.14</v>
      </c>
    </row>
    <row r="58" spans="2:30" x14ac:dyDescent="0.25">
      <c r="I58" s="429">
        <f t="shared" si="18"/>
        <v>44866</v>
      </c>
      <c r="J58" s="62">
        <f t="shared" si="19"/>
        <v>96.76809999999999</v>
      </c>
      <c r="K58" s="22">
        <f t="shared" si="20"/>
        <v>151.82552000000001</v>
      </c>
      <c r="W58" s="429">
        <f t="shared" si="21"/>
        <v>45231</v>
      </c>
      <c r="X58" s="62">
        <f t="shared" si="22"/>
        <v>100.6005</v>
      </c>
      <c r="Y58" s="22">
        <f t="shared" si="23"/>
        <v>181.45</v>
      </c>
      <c r="AD58" s="35"/>
    </row>
    <row r="59" spans="2:30" x14ac:dyDescent="0.25">
      <c r="I59" s="429">
        <f t="shared" si="18"/>
        <v>44896</v>
      </c>
      <c r="J59" s="62">
        <f t="shared" si="19"/>
        <v>85.779300000000006</v>
      </c>
      <c r="K59" s="22">
        <f t="shared" si="20"/>
        <v>41.00712</v>
      </c>
      <c r="W59" s="429">
        <f t="shared" si="21"/>
        <v>45261</v>
      </c>
      <c r="X59" s="62">
        <f t="shared" si="22"/>
        <v>84.682500000000005</v>
      </c>
      <c r="Y59" s="22">
        <f t="shared" si="23"/>
        <v>59.85</v>
      </c>
    </row>
    <row r="67" spans="2:11" x14ac:dyDescent="0.25">
      <c r="B67" t="s">
        <v>23</v>
      </c>
    </row>
    <row r="78" spans="2:11" x14ac:dyDescent="0.25">
      <c r="J78" s="1" t="s">
        <v>542</v>
      </c>
      <c r="K78" s="1" t="s">
        <v>544</v>
      </c>
    </row>
    <row r="79" spans="2:11" x14ac:dyDescent="0.25">
      <c r="I79" s="429">
        <f>I48</f>
        <v>44562</v>
      </c>
      <c r="J79" s="62">
        <f>J48</f>
        <v>86.7483</v>
      </c>
      <c r="K79" s="22">
        <f>F8</f>
        <v>119.90988129311137</v>
      </c>
    </row>
    <row r="80" spans="2:11" x14ac:dyDescent="0.25">
      <c r="I80" s="429">
        <f t="shared" ref="I80:J90" si="24">I49</f>
        <v>44593</v>
      </c>
      <c r="J80" s="62">
        <f t="shared" si="24"/>
        <v>98.93119999999999</v>
      </c>
      <c r="K80" s="22">
        <f t="shared" ref="K80:K90" si="25">F9</f>
        <v>99.482832305131936</v>
      </c>
    </row>
    <row r="81" spans="2:11" x14ac:dyDescent="0.25">
      <c r="I81" s="429">
        <f t="shared" si="24"/>
        <v>44621</v>
      </c>
      <c r="J81" s="62">
        <f t="shared" si="24"/>
        <v>96.892499999999998</v>
      </c>
      <c r="K81" s="22">
        <f t="shared" si="25"/>
        <v>92.547081360625711</v>
      </c>
    </row>
    <row r="82" spans="2:11" x14ac:dyDescent="0.25">
      <c r="I82" s="429">
        <f t="shared" si="24"/>
        <v>44652</v>
      </c>
      <c r="J82" s="62">
        <f t="shared" si="24"/>
        <v>98.235599999999991</v>
      </c>
      <c r="K82" s="22">
        <f t="shared" si="25"/>
        <v>49.399709321183188</v>
      </c>
    </row>
    <row r="83" spans="2:11" x14ac:dyDescent="0.25">
      <c r="I83" s="429">
        <f t="shared" si="24"/>
        <v>44682</v>
      </c>
      <c r="J83" s="62">
        <f t="shared" si="24"/>
        <v>105.0389</v>
      </c>
      <c r="K83" s="22">
        <f t="shared" si="25"/>
        <v>39.576089823292257</v>
      </c>
    </row>
    <row r="84" spans="2:11" x14ac:dyDescent="0.25">
      <c r="B84" t="s">
        <v>24</v>
      </c>
      <c r="I84" s="429">
        <f t="shared" si="24"/>
        <v>44713</v>
      </c>
      <c r="J84" s="62">
        <f t="shared" si="24"/>
        <v>99.313299999999998</v>
      </c>
      <c r="K84" s="22">
        <f t="shared" si="25"/>
        <v>52.725556854376016</v>
      </c>
    </row>
    <row r="85" spans="2:11" x14ac:dyDescent="0.25">
      <c r="I85" s="429">
        <f t="shared" si="24"/>
        <v>44743</v>
      </c>
      <c r="J85" s="62">
        <f t="shared" si="24"/>
        <v>96.687299999999993</v>
      </c>
      <c r="K85" s="22">
        <f t="shared" si="25"/>
        <v>54.41117017277449</v>
      </c>
    </row>
    <row r="86" spans="2:11" x14ac:dyDescent="0.25">
      <c r="I86" s="429">
        <f t="shared" si="24"/>
        <v>44774</v>
      </c>
      <c r="J86" s="62">
        <f t="shared" si="24"/>
        <v>94.98129999999999</v>
      </c>
      <c r="K86" s="22">
        <f t="shared" si="25"/>
        <v>49.973803310053576</v>
      </c>
    </row>
    <row r="87" spans="2:11" x14ac:dyDescent="0.25">
      <c r="I87" s="429">
        <f t="shared" si="24"/>
        <v>44805</v>
      </c>
      <c r="J87" s="62">
        <f t="shared" si="24"/>
        <v>92.849899999999991</v>
      </c>
      <c r="K87" s="22">
        <f t="shared" si="25"/>
        <v>78.084181313598521</v>
      </c>
    </row>
    <row r="88" spans="2:11" x14ac:dyDescent="0.25">
      <c r="I88" s="429">
        <f t="shared" si="24"/>
        <v>44835</v>
      </c>
      <c r="J88" s="62">
        <f t="shared" si="24"/>
        <v>90.45559999999999</v>
      </c>
      <c r="K88" s="22">
        <f t="shared" si="25"/>
        <v>80.763928571428565</v>
      </c>
    </row>
    <row r="89" spans="2:11" x14ac:dyDescent="0.25">
      <c r="I89" s="429">
        <f t="shared" si="24"/>
        <v>44866</v>
      </c>
      <c r="J89" s="62">
        <f t="shared" si="24"/>
        <v>96.76809999999999</v>
      </c>
      <c r="K89" s="22">
        <f t="shared" si="25"/>
        <v>63.736386346643165</v>
      </c>
    </row>
    <row r="90" spans="2:11" x14ac:dyDescent="0.25">
      <c r="I90" s="429">
        <f t="shared" si="24"/>
        <v>44896</v>
      </c>
      <c r="J90" s="62">
        <f t="shared" si="24"/>
        <v>85.779300000000006</v>
      </c>
      <c r="K90" s="22">
        <f t="shared" si="25"/>
        <v>209.18147872857202</v>
      </c>
    </row>
    <row r="103" spans="2:2" x14ac:dyDescent="0.25">
      <c r="B103" t="s">
        <v>23</v>
      </c>
    </row>
    <row r="121" spans="2:2" x14ac:dyDescent="0.25">
      <c r="B121" t="s">
        <v>22</v>
      </c>
    </row>
    <row r="140" spans="2:11" x14ac:dyDescent="0.25">
      <c r="B140" t="s">
        <v>25</v>
      </c>
    </row>
    <row r="142" spans="2:11" x14ac:dyDescent="0.25">
      <c r="C142" t="s">
        <v>26</v>
      </c>
    </row>
    <row r="143" spans="2:11" x14ac:dyDescent="0.25">
      <c r="B143" s="694">
        <v>2022</v>
      </c>
      <c r="C143" s="22">
        <f>F20</f>
        <v>82.482674950065885</v>
      </c>
      <c r="D143" t="s">
        <v>72</v>
      </c>
      <c r="E143" t="s">
        <v>74</v>
      </c>
      <c r="K143" s="22">
        <f>AVERAGE(C143,C147)</f>
        <v>81.275505498440893</v>
      </c>
    </row>
    <row r="144" spans="2:11" x14ac:dyDescent="0.25">
      <c r="B144" s="694"/>
      <c r="C144" s="22">
        <f>G20</f>
        <v>62.095025237320954</v>
      </c>
      <c r="D144" t="s">
        <v>72</v>
      </c>
      <c r="E144" t="s">
        <v>73</v>
      </c>
      <c r="K144" s="22">
        <f>AVERAGE(C144,C148)</f>
        <v>59.980470057206915</v>
      </c>
    </row>
    <row r="145" spans="2:5" x14ac:dyDescent="0.25">
      <c r="B145" s="694"/>
      <c r="C145" s="22">
        <f>J20</f>
        <v>2.0889766941237666</v>
      </c>
      <c r="D145" t="s">
        <v>76</v>
      </c>
      <c r="E145" t="s">
        <v>77</v>
      </c>
    </row>
    <row r="147" spans="2:5" x14ac:dyDescent="0.25">
      <c r="B147" s="694">
        <v>2023</v>
      </c>
      <c r="C147" s="22">
        <f>R20</f>
        <v>80.068336046815901</v>
      </c>
      <c r="D147" t="s">
        <v>72</v>
      </c>
      <c r="E147" t="s">
        <v>74</v>
      </c>
    </row>
    <row r="148" spans="2:5" x14ac:dyDescent="0.25">
      <c r="B148" s="694"/>
      <c r="C148" s="22">
        <f>S20</f>
        <v>57.865914877092884</v>
      </c>
      <c r="D148" t="s">
        <v>72</v>
      </c>
      <c r="E148" t="s">
        <v>73</v>
      </c>
    </row>
    <row r="149" spans="2:5" x14ac:dyDescent="0.25">
      <c r="B149" s="694"/>
      <c r="C149" s="22">
        <f>V20</f>
        <v>2.0212936184174741</v>
      </c>
      <c r="D149" t="s">
        <v>76</v>
      </c>
      <c r="E149" t="s">
        <v>77</v>
      </c>
    </row>
    <row r="152" spans="2:5" x14ac:dyDescent="0.25">
      <c r="C152" t="s">
        <v>27</v>
      </c>
    </row>
    <row r="153" spans="2:5" x14ac:dyDescent="0.25">
      <c r="B153" s="694">
        <v>2022</v>
      </c>
      <c r="C153" s="22">
        <f>H20</f>
        <v>19.66386970809571</v>
      </c>
      <c r="D153" t="s">
        <v>75</v>
      </c>
      <c r="E153" t="s">
        <v>74</v>
      </c>
    </row>
    <row r="154" spans="2:5" x14ac:dyDescent="0.25">
      <c r="B154" s="694"/>
      <c r="C154" s="22">
        <f>I20</f>
        <v>14.803454016577312</v>
      </c>
      <c r="D154" t="s">
        <v>75</v>
      </c>
      <c r="E154" t="s">
        <v>73</v>
      </c>
    </row>
    <row r="155" spans="2:5" x14ac:dyDescent="0.25">
      <c r="B155" s="694"/>
      <c r="C155" s="110">
        <f>H25</f>
        <v>0.2384</v>
      </c>
      <c r="D155" t="s">
        <v>233</v>
      </c>
    </row>
    <row r="157" spans="2:5" x14ac:dyDescent="0.25">
      <c r="B157" s="694">
        <v>2023</v>
      </c>
      <c r="C157" s="22">
        <f>T20</f>
        <v>19.088291313560912</v>
      </c>
      <c r="D157" t="s">
        <v>75</v>
      </c>
      <c r="E157" t="s">
        <v>74</v>
      </c>
    </row>
    <row r="158" spans="2:5" x14ac:dyDescent="0.25">
      <c r="B158" s="694"/>
      <c r="C158" s="22">
        <f>U20</f>
        <v>13.795234106698947</v>
      </c>
      <c r="D158" t="s">
        <v>75</v>
      </c>
      <c r="E158" t="s">
        <v>73</v>
      </c>
    </row>
    <row r="159" spans="2:5" x14ac:dyDescent="0.25">
      <c r="B159" s="694"/>
      <c r="C159" s="110">
        <f>T25</f>
        <v>0.2384</v>
      </c>
      <c r="D159" t="s">
        <v>233</v>
      </c>
    </row>
    <row r="162" spans="3:16" x14ac:dyDescent="0.25">
      <c r="C162" s="56" t="s">
        <v>84</v>
      </c>
      <c r="D162" s="57"/>
      <c r="E162" s="57"/>
      <c r="F162" s="57"/>
      <c r="G162" s="57"/>
      <c r="H162" s="57"/>
      <c r="I162" s="57"/>
      <c r="J162" s="57"/>
      <c r="K162" s="57"/>
      <c r="L162" s="57"/>
      <c r="M162" s="57"/>
      <c r="N162" s="57"/>
      <c r="O162" s="57"/>
      <c r="P162" s="57"/>
    </row>
    <row r="164" spans="3:16" x14ac:dyDescent="0.25">
      <c r="C164" s="36" t="s">
        <v>83</v>
      </c>
    </row>
    <row r="166" spans="3:16" x14ac:dyDescent="0.25">
      <c r="C166" s="36" t="s">
        <v>78</v>
      </c>
    </row>
  </sheetData>
  <mergeCells count="29">
    <mergeCell ref="Z4:Z7"/>
    <mergeCell ref="AA4:AA7"/>
    <mergeCell ref="AB4:AB7"/>
    <mergeCell ref="AB11:AB14"/>
    <mergeCell ref="B143:B145"/>
    <mergeCell ref="S4:S7"/>
    <mergeCell ref="T4:T7"/>
    <mergeCell ref="U4:U7"/>
    <mergeCell ref="V4:V7"/>
    <mergeCell ref="AB30:AD32"/>
    <mergeCell ref="B147:B149"/>
    <mergeCell ref="B153:B155"/>
    <mergeCell ref="B157:B159"/>
    <mergeCell ref="R4:R7"/>
    <mergeCell ref="F4:F7"/>
    <mergeCell ref="G4:G7"/>
    <mergeCell ref="H4:H7"/>
    <mergeCell ref="I4:I7"/>
    <mergeCell ref="J4:J7"/>
    <mergeCell ref="M4:M7"/>
    <mergeCell ref="N4:N7"/>
    <mergeCell ref="O4:O7"/>
    <mergeCell ref="P4:P7"/>
    <mergeCell ref="Q4:Q7"/>
    <mergeCell ref="A4:A7"/>
    <mergeCell ref="B4:B7"/>
    <mergeCell ref="C4:C7"/>
    <mergeCell ref="D4:D7"/>
    <mergeCell ref="E4:E7"/>
  </mergeCells>
  <hyperlinks>
    <hyperlink ref="C166" r:id="rId1" xr:uid="{E25ACAE0-D05B-44FA-B8F9-1FF2A6C4AB49}"/>
    <hyperlink ref="C164" r:id="rId2" xr:uid="{B2721E7D-77CE-4C0C-8250-A3C09C116763}"/>
    <hyperlink ref="C162" r:id="rId3" xr:uid="{5098D1B5-D0E8-4CE1-98C2-DD614963D6DE}"/>
  </hyperlink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F6059-B499-460B-96FB-D52D3632E448}">
  <sheetPr codeName="Hoja4">
    <tabColor rgb="FFFFC000"/>
  </sheetPr>
  <dimension ref="B1:U60"/>
  <sheetViews>
    <sheetView showGridLines="0" topLeftCell="B1" zoomScale="80" zoomScaleNormal="80" workbookViewId="0">
      <selection activeCell="H13" sqref="H13"/>
    </sheetView>
  </sheetViews>
  <sheetFormatPr baseColWidth="10" defaultColWidth="11.42578125" defaultRowHeight="15" x14ac:dyDescent="0.25"/>
  <cols>
    <col min="3" max="3" width="15.28515625" customWidth="1"/>
    <col min="4" max="4" width="17.140625" customWidth="1"/>
    <col min="5" max="5" width="7.7109375" customWidth="1"/>
    <col min="6" max="6" width="15.7109375" customWidth="1"/>
    <col min="7" max="8" width="16" customWidth="1"/>
    <col min="10" max="10" width="12.140625" bestFit="1" customWidth="1"/>
    <col min="11" max="11" width="15.28515625" customWidth="1"/>
    <col min="12" max="12" width="17.140625" customWidth="1"/>
    <col min="13" max="13" width="7.7109375" customWidth="1"/>
    <col min="14" max="14" width="15.7109375" customWidth="1"/>
    <col min="15" max="15" width="16.42578125" customWidth="1"/>
  </cols>
  <sheetData>
    <row r="1" spans="2:17" x14ac:dyDescent="0.25">
      <c r="B1" s="43"/>
      <c r="C1" s="43"/>
      <c r="D1" s="43"/>
      <c r="E1" s="43"/>
      <c r="F1" s="43"/>
    </row>
    <row r="2" spans="2:17" x14ac:dyDescent="0.25">
      <c r="B2" s="43"/>
      <c r="C2" s="43"/>
      <c r="D2" s="43"/>
      <c r="E2" s="43"/>
      <c r="F2" s="43"/>
    </row>
    <row r="3" spans="2:17" x14ac:dyDescent="0.25">
      <c r="B3" s="43"/>
      <c r="C3" s="43"/>
      <c r="D3" s="43"/>
      <c r="E3" s="43"/>
      <c r="F3" s="43"/>
    </row>
    <row r="4" spans="2:17" ht="15" customHeight="1" x14ac:dyDescent="0.25">
      <c r="B4" s="43"/>
      <c r="D4" t="s">
        <v>233</v>
      </c>
      <c r="L4" t="s">
        <v>233</v>
      </c>
    </row>
    <row r="5" spans="2:17" x14ac:dyDescent="0.25">
      <c r="B5" s="43"/>
      <c r="Q5" t="s">
        <v>450</v>
      </c>
    </row>
    <row r="6" spans="2:17" x14ac:dyDescent="0.25">
      <c r="B6" s="43"/>
      <c r="D6" t="s">
        <v>63</v>
      </c>
      <c r="F6" t="s">
        <v>86</v>
      </c>
      <c r="L6" t="s">
        <v>63</v>
      </c>
      <c r="N6" t="s">
        <v>86</v>
      </c>
      <c r="Q6" s="36" t="s">
        <v>449</v>
      </c>
    </row>
    <row r="7" spans="2:17" x14ac:dyDescent="0.25">
      <c r="B7" s="43"/>
      <c r="C7" s="57">
        <f>C35</f>
        <v>8674.83</v>
      </c>
      <c r="D7" s="272">
        <f>D52</f>
        <v>0.2384</v>
      </c>
      <c r="E7" s="272"/>
      <c r="F7" s="57">
        <f>C7*D7</f>
        <v>2068.0794719999999</v>
      </c>
      <c r="K7" s="57">
        <f>K35</f>
        <v>8475</v>
      </c>
      <c r="L7" s="272">
        <f>L52</f>
        <v>0.2384</v>
      </c>
      <c r="M7" s="272"/>
      <c r="N7" s="57">
        <f>K7*L7</f>
        <v>2020.44</v>
      </c>
    </row>
    <row r="8" spans="2:17" x14ac:dyDescent="0.25">
      <c r="B8" s="43"/>
      <c r="F8" t="s">
        <v>85</v>
      </c>
      <c r="N8" t="s">
        <v>85</v>
      </c>
    </row>
    <row r="9" spans="2:17" x14ac:dyDescent="0.25">
      <c r="B9" s="43"/>
      <c r="F9">
        <f>F7/1000</f>
        <v>2.068079472</v>
      </c>
      <c r="N9">
        <f>N7/1000</f>
        <v>2.0204400000000002</v>
      </c>
      <c r="Q9" t="s">
        <v>510</v>
      </c>
    </row>
    <row r="10" spans="2:17" x14ac:dyDescent="0.25">
      <c r="B10" s="43"/>
      <c r="Q10" s="36" t="s">
        <v>509</v>
      </c>
    </row>
    <row r="11" spans="2:17" x14ac:dyDescent="0.25">
      <c r="B11" s="43"/>
      <c r="D11" t="s">
        <v>63</v>
      </c>
      <c r="F11" t="s">
        <v>85</v>
      </c>
      <c r="L11" t="s">
        <v>63</v>
      </c>
      <c r="N11" t="s">
        <v>85</v>
      </c>
      <c r="Q11">
        <f>277.77777778</f>
        <v>277.77777778000001</v>
      </c>
    </row>
    <row r="12" spans="2:17" x14ac:dyDescent="0.25">
      <c r="B12" s="43"/>
      <c r="C12" s="57">
        <f>C35</f>
        <v>8674.83</v>
      </c>
      <c r="D12" s="272">
        <f>D52</f>
        <v>0.2384</v>
      </c>
      <c r="E12" s="272"/>
      <c r="F12" s="271">
        <f>C12*D12/1000</f>
        <v>2.068079472</v>
      </c>
      <c r="K12" s="57">
        <f>K35</f>
        <v>8475</v>
      </c>
      <c r="L12" s="272">
        <f>L52</f>
        <v>0.2384</v>
      </c>
      <c r="M12" s="272"/>
      <c r="N12" s="271">
        <f>K12*L12/1000</f>
        <v>2.0204400000000002</v>
      </c>
    </row>
    <row r="13" spans="2:17" x14ac:dyDescent="0.25">
      <c r="B13" s="43"/>
    </row>
    <row r="14" spans="2:17" x14ac:dyDescent="0.25">
      <c r="B14" s="43"/>
    </row>
    <row r="15" spans="2:17" x14ac:dyDescent="0.25">
      <c r="B15" s="43"/>
      <c r="D15" t="s">
        <v>63</v>
      </c>
      <c r="F15" t="s">
        <v>86</v>
      </c>
      <c r="L15" t="s">
        <v>63</v>
      </c>
      <c r="N15" t="s">
        <v>86</v>
      </c>
    </row>
    <row r="16" spans="2:17" x14ac:dyDescent="0.25">
      <c r="B16" s="43"/>
      <c r="C16" s="58">
        <f>C35</f>
        <v>8674.83</v>
      </c>
      <c r="D16" s="273">
        <f>D52</f>
        <v>0.2384</v>
      </c>
      <c r="E16" s="273"/>
      <c r="F16" s="58">
        <f>C16*D16</f>
        <v>2068.0794719999999</v>
      </c>
      <c r="K16" s="58">
        <f>K35</f>
        <v>8475</v>
      </c>
      <c r="L16" s="273">
        <f>L52</f>
        <v>0.2384</v>
      </c>
      <c r="M16" s="273"/>
      <c r="N16" s="58">
        <f>K16*L16</f>
        <v>2020.44</v>
      </c>
    </row>
    <row r="17" spans="2:21" x14ac:dyDescent="0.25">
      <c r="B17" s="43"/>
      <c r="F17" t="s">
        <v>85</v>
      </c>
      <c r="N17" t="s">
        <v>85</v>
      </c>
    </row>
    <row r="18" spans="2:21" x14ac:dyDescent="0.25">
      <c r="B18" s="43"/>
      <c r="F18" s="22">
        <f>F16/1000</f>
        <v>2.068079472</v>
      </c>
      <c r="N18" s="22">
        <f>N16/1000</f>
        <v>2.0204400000000002</v>
      </c>
    </row>
    <row r="19" spans="2:21" x14ac:dyDescent="0.25">
      <c r="B19" s="43"/>
    </row>
    <row r="20" spans="2:21" x14ac:dyDescent="0.25">
      <c r="B20" s="43"/>
      <c r="C20" s="43"/>
      <c r="D20" s="43"/>
      <c r="E20" s="43"/>
      <c r="F20" s="43"/>
    </row>
    <row r="21" spans="2:21" x14ac:dyDescent="0.25">
      <c r="B21" s="43"/>
      <c r="C21" s="43"/>
      <c r="D21" s="43"/>
      <c r="E21" s="43"/>
      <c r="F21" s="43"/>
    </row>
    <row r="22" spans="2:21" x14ac:dyDescent="0.25">
      <c r="B22" s="43"/>
      <c r="C22" s="43"/>
      <c r="D22" s="43"/>
      <c r="E22" s="43"/>
      <c r="F22" s="43"/>
    </row>
    <row r="23" spans="2:21" x14ac:dyDescent="0.25">
      <c r="B23" s="43"/>
      <c r="C23" s="43"/>
      <c r="D23" s="43"/>
      <c r="E23" s="43"/>
      <c r="F23" s="43"/>
    </row>
    <row r="24" spans="2:21" x14ac:dyDescent="0.25">
      <c r="B24" s="43"/>
      <c r="C24" s="43"/>
      <c r="D24" s="43"/>
      <c r="E24" s="43"/>
      <c r="F24" s="43"/>
    </row>
    <row r="25" spans="2:21" x14ac:dyDescent="0.25">
      <c r="B25" s="43"/>
      <c r="C25" s="43"/>
      <c r="D25" s="43"/>
      <c r="E25" s="43"/>
      <c r="F25" s="43"/>
    </row>
    <row r="28" spans="2:21" x14ac:dyDescent="0.25">
      <c r="C28" t="s">
        <v>170</v>
      </c>
      <c r="K28" t="s">
        <v>171</v>
      </c>
    </row>
    <row r="30" spans="2:21" x14ac:dyDescent="0.25">
      <c r="D30" s="59" t="s">
        <v>87</v>
      </c>
      <c r="G30" s="59" t="s">
        <v>87</v>
      </c>
      <c r="H30" s="1"/>
      <c r="L30" s="59" t="s">
        <v>87</v>
      </c>
      <c r="O30" s="59" t="s">
        <v>87</v>
      </c>
      <c r="S30" s="1"/>
      <c r="U30" s="1"/>
    </row>
    <row r="31" spans="2:21" ht="15" customHeight="1" x14ac:dyDescent="0.25">
      <c r="B31" s="696" t="s">
        <v>3</v>
      </c>
      <c r="C31" s="696" t="s">
        <v>79</v>
      </c>
      <c r="D31" s="696" t="s">
        <v>80</v>
      </c>
      <c r="E31" s="357"/>
      <c r="F31" s="696" t="s">
        <v>81</v>
      </c>
      <c r="G31" s="696" t="s">
        <v>82</v>
      </c>
      <c r="H31" s="357"/>
      <c r="J31" s="696" t="s">
        <v>3</v>
      </c>
      <c r="K31" s="696" t="s">
        <v>79</v>
      </c>
      <c r="L31" s="696" t="s">
        <v>80</v>
      </c>
      <c r="M31" s="357"/>
      <c r="N31" s="696" t="s">
        <v>81</v>
      </c>
      <c r="O31" s="696" t="s">
        <v>82</v>
      </c>
      <c r="Q31" s="259"/>
      <c r="R31" s="259"/>
      <c r="S31" s="259"/>
      <c r="T31" s="259"/>
      <c r="U31" s="259"/>
    </row>
    <row r="32" spans="2:21" x14ac:dyDescent="0.25">
      <c r="B32" s="696"/>
      <c r="C32" s="696"/>
      <c r="D32" s="696"/>
      <c r="E32" s="357"/>
      <c r="F32" s="696"/>
      <c r="G32" s="696"/>
      <c r="H32" s="357"/>
      <c r="J32" s="696"/>
      <c r="K32" s="696"/>
      <c r="L32" s="696"/>
      <c r="M32" s="357"/>
      <c r="N32" s="696"/>
      <c r="O32" s="696"/>
      <c r="Q32" s="259"/>
      <c r="R32" s="259"/>
      <c r="S32" s="259"/>
      <c r="T32" s="259"/>
      <c r="U32" s="259"/>
    </row>
    <row r="33" spans="2:21" x14ac:dyDescent="0.25">
      <c r="B33" s="696"/>
      <c r="C33" s="696"/>
      <c r="D33" s="696"/>
      <c r="E33" s="357"/>
      <c r="F33" s="696"/>
      <c r="G33" s="696"/>
      <c r="H33" s="357"/>
      <c r="J33" s="696"/>
      <c r="K33" s="696"/>
      <c r="L33" s="696"/>
      <c r="M33" s="357"/>
      <c r="N33" s="696"/>
      <c r="O33" s="696"/>
      <c r="Q33" s="259"/>
      <c r="R33" s="259"/>
      <c r="S33" s="259"/>
      <c r="T33" s="259"/>
      <c r="U33" s="259"/>
    </row>
    <row r="34" spans="2:21" x14ac:dyDescent="0.25">
      <c r="B34" s="696"/>
      <c r="C34" s="696"/>
      <c r="D34" s="696"/>
      <c r="E34" s="357"/>
      <c r="F34" s="696"/>
      <c r="G34" s="696"/>
      <c r="H34" s="357"/>
      <c r="J34" s="696"/>
      <c r="K34" s="696"/>
      <c r="L34" s="696"/>
      <c r="M34" s="357"/>
      <c r="N34" s="696"/>
      <c r="O34" s="696"/>
      <c r="Q34" s="259"/>
      <c r="R34" s="259"/>
      <c r="S34" s="259"/>
      <c r="T34" s="259"/>
      <c r="U34" s="259"/>
    </row>
    <row r="35" spans="2:21" x14ac:dyDescent="0.25">
      <c r="B35" s="4">
        <f>'Consumo Eléctrico'!B8</f>
        <v>44562</v>
      </c>
      <c r="C35">
        <f>'Consumo Eléctrico'!I8</f>
        <v>8674.83</v>
      </c>
      <c r="D35" s="22">
        <f>C35*$D$52/1000</f>
        <v>2.068079472</v>
      </c>
      <c r="E35" s="22"/>
      <c r="F35" s="22">
        <f>'Consumo Térmico de la empresa'!D25</f>
        <v>24.826631000000003</v>
      </c>
      <c r="G35" s="22">
        <f>F35*$Q$11*$G$53/1000</f>
        <v>1.7850347689142807</v>
      </c>
      <c r="H35" s="22"/>
      <c r="J35" s="4">
        <f>'Consumo Eléctrico'!B20</f>
        <v>44927</v>
      </c>
      <c r="K35" s="22">
        <f>'Consumo Eléctrico'!I20</f>
        <v>8475</v>
      </c>
      <c r="L35" s="22">
        <f>K35*$L$52/1000</f>
        <v>2.0204400000000002</v>
      </c>
      <c r="M35" s="22"/>
      <c r="N35" s="22">
        <f>'Consumo Térmico de la empresa'!D56</f>
        <v>23.186715000000003</v>
      </c>
      <c r="O35" s="22">
        <f>N35*$Q$11*$G$53/1000</f>
        <v>1.6671248085133374</v>
      </c>
      <c r="Q35" s="266"/>
      <c r="S35" s="22"/>
      <c r="T35" s="22"/>
      <c r="U35" s="22"/>
    </row>
    <row r="36" spans="2:21" x14ac:dyDescent="0.25">
      <c r="B36" s="4">
        <f>'Consumo Eléctrico'!B9</f>
        <v>44593</v>
      </c>
      <c r="C36">
        <f>'Consumo Eléctrico'!I9</f>
        <v>9893.119999999999</v>
      </c>
      <c r="D36" s="22">
        <f t="shared" ref="D36:D46" si="0">C36*$D$52/1000</f>
        <v>2.3585198079999996</v>
      </c>
      <c r="E36" s="22"/>
      <c r="F36" s="22">
        <f>'Consumo Térmico de la empresa'!D26</f>
        <v>32.215048300000007</v>
      </c>
      <c r="G36" s="22">
        <f t="shared" ref="G36:G46" si="1">F36*$Q$11*$G$53/1000</f>
        <v>2.3162619727885305</v>
      </c>
      <c r="H36" s="22"/>
      <c r="J36" s="4">
        <f>'Consumo Eléctrico'!B21</f>
        <v>44958</v>
      </c>
      <c r="K36" s="22">
        <f>'Consumo Eléctrico'!I21</f>
        <v>8802.64</v>
      </c>
      <c r="L36" s="22">
        <f t="shared" ref="L36:L46" si="2">K36*$L$52/1000</f>
        <v>2.0985493759999998</v>
      </c>
      <c r="M36" s="22"/>
      <c r="N36" s="22">
        <f>'Consumo Térmico de la empresa'!D57</f>
        <v>31.607217200000004</v>
      </c>
      <c r="O36" s="22">
        <f t="shared" ref="O36:O46" si="3">N36*$Q$11*$G$53/1000</f>
        <v>2.2725589166981814</v>
      </c>
      <c r="Q36" s="266"/>
      <c r="S36" s="22"/>
      <c r="T36" s="22"/>
      <c r="U36" s="22"/>
    </row>
    <row r="37" spans="2:21" x14ac:dyDescent="0.25">
      <c r="B37" s="4">
        <f>'Consumo Eléctrico'!B10</f>
        <v>44621</v>
      </c>
      <c r="C37">
        <f>'Consumo Eléctrico'!I10</f>
        <v>9689.25</v>
      </c>
      <c r="D37" s="22">
        <f t="shared" si="0"/>
        <v>2.3099171999999997</v>
      </c>
      <c r="E37" s="22"/>
      <c r="F37" s="22">
        <f>'Consumo Térmico de la empresa'!D27</f>
        <v>33.644776300000004</v>
      </c>
      <c r="G37" s="22">
        <f t="shared" si="1"/>
        <v>2.4190594159893526</v>
      </c>
      <c r="H37" s="22"/>
      <c r="J37" s="4">
        <f>'Consumo Eléctrico'!B22</f>
        <v>44986</v>
      </c>
      <c r="K37" s="22">
        <f>'Consumo Eléctrico'!I22</f>
        <v>9633.16</v>
      </c>
      <c r="L37" s="22">
        <f t="shared" si="2"/>
        <v>2.2965453440000001</v>
      </c>
      <c r="M37" s="22"/>
      <c r="N37" s="22">
        <f>'Consumo Térmico de la empresa'!D58</f>
        <v>33.009969200000008</v>
      </c>
      <c r="O37" s="22">
        <f t="shared" si="3"/>
        <v>2.3734167854989883</v>
      </c>
      <c r="Q37" s="266"/>
      <c r="S37" s="22"/>
      <c r="T37" s="22"/>
      <c r="U37" s="22"/>
    </row>
    <row r="38" spans="2:21" x14ac:dyDescent="0.25">
      <c r="B38" s="4">
        <f>'Consumo Eléctrico'!B11</f>
        <v>44652</v>
      </c>
      <c r="C38">
        <f>'Consumo Eléctrico'!I11</f>
        <v>9823.56</v>
      </c>
      <c r="D38" s="22">
        <f t="shared" si="0"/>
        <v>2.3419367039999996</v>
      </c>
      <c r="E38" s="22"/>
      <c r="F38" s="22">
        <f>'Consumo Térmico de la empresa'!D28</f>
        <v>59.308393900000006</v>
      </c>
      <c r="G38" s="22">
        <f t="shared" si="1"/>
        <v>4.2642735214441148</v>
      </c>
      <c r="H38" s="22"/>
      <c r="J38" s="4">
        <f>'Consumo Eléctrico'!B23</f>
        <v>45017</v>
      </c>
      <c r="K38" s="22">
        <f>'Consumo Eléctrico'!I23</f>
        <v>9796.5</v>
      </c>
      <c r="L38" s="22">
        <f t="shared" si="2"/>
        <v>2.3354856000000002</v>
      </c>
      <c r="M38" s="22"/>
      <c r="N38" s="22">
        <f>'Consumo Térmico de la empresa'!D59</f>
        <v>58.189367600000011</v>
      </c>
      <c r="O38" s="22">
        <f t="shared" si="3"/>
        <v>4.1838155304734723</v>
      </c>
      <c r="Q38" s="266"/>
      <c r="S38" s="22"/>
      <c r="T38" s="22"/>
      <c r="U38" s="22"/>
    </row>
    <row r="39" spans="2:21" x14ac:dyDescent="0.25">
      <c r="B39" s="4">
        <f>'Consumo Eléctrico'!B12</f>
        <v>44682</v>
      </c>
      <c r="C39">
        <f>'Consumo Eléctrico'!I12</f>
        <v>10503.89</v>
      </c>
      <c r="D39" s="22">
        <f t="shared" si="0"/>
        <v>2.504127376</v>
      </c>
      <c r="E39" s="22"/>
      <c r="F39" s="22">
        <f>'Consumo Térmico de la empresa'!D29</f>
        <v>55.762370600000011</v>
      </c>
      <c r="G39" s="22">
        <f t="shared" si="1"/>
        <v>4.009314446172076</v>
      </c>
      <c r="H39" s="22"/>
      <c r="J39" s="4">
        <f>'Consumo Eléctrico'!B24</f>
        <v>45047</v>
      </c>
      <c r="K39" s="22">
        <f>'Consumo Eléctrico'!I24</f>
        <v>11503.69</v>
      </c>
      <c r="L39" s="22">
        <f t="shared" si="2"/>
        <v>2.7424796960000002</v>
      </c>
      <c r="M39" s="22"/>
      <c r="N39" s="22">
        <f>'Consumo Térmico de la empresa'!D60</f>
        <v>51.027829700000005</v>
      </c>
      <c r="O39" s="22">
        <f t="shared" si="3"/>
        <v>3.6689009554593519</v>
      </c>
      <c r="Q39" s="266"/>
      <c r="S39" s="22"/>
      <c r="T39" s="22"/>
      <c r="U39" s="22"/>
    </row>
    <row r="40" spans="2:21" x14ac:dyDescent="0.25">
      <c r="B40" s="4">
        <f>'Consumo Eléctrico'!B13</f>
        <v>44713</v>
      </c>
      <c r="C40">
        <f>'Consumo Eléctrico'!I13</f>
        <v>9931.33</v>
      </c>
      <c r="D40" s="22">
        <f t="shared" si="0"/>
        <v>2.3676290720000002</v>
      </c>
      <c r="E40" s="22"/>
      <c r="F40" s="22">
        <f>'Consumo Térmico de la empresa'!D30</f>
        <v>56.445959300000005</v>
      </c>
      <c r="G40" s="22">
        <f t="shared" si="1"/>
        <v>4.0584644737024691</v>
      </c>
      <c r="H40" s="22"/>
      <c r="J40" s="4">
        <f>'Consumo Eléctrico'!B25</f>
        <v>45078</v>
      </c>
      <c r="K40" s="22">
        <f>'Consumo Eléctrico'!I25</f>
        <v>9636.34</v>
      </c>
      <c r="L40" s="22">
        <f t="shared" si="2"/>
        <v>2.2973034560000003</v>
      </c>
      <c r="M40" s="22"/>
      <c r="N40" s="22">
        <f>'Consumo Térmico de la empresa'!D61</f>
        <v>49.523341650000006</v>
      </c>
      <c r="O40" s="22">
        <f t="shared" si="3"/>
        <v>3.5607282646634864</v>
      </c>
      <c r="Q40" s="266"/>
      <c r="S40" s="22"/>
      <c r="T40" s="22"/>
      <c r="U40" s="22"/>
    </row>
    <row r="41" spans="2:21" x14ac:dyDescent="0.25">
      <c r="B41" s="4">
        <f>'Consumo Eléctrico'!B14</f>
        <v>44743</v>
      </c>
      <c r="C41">
        <f>'Consumo Eléctrico'!I14</f>
        <v>9668.73</v>
      </c>
      <c r="D41" s="22">
        <f t="shared" si="0"/>
        <v>2.3050252319999998</v>
      </c>
      <c r="E41" s="22"/>
      <c r="F41" s="22">
        <f>'Consumo Térmico de la empresa'!D31</f>
        <v>53.540335000000006</v>
      </c>
      <c r="G41" s="22">
        <f t="shared" si="1"/>
        <v>3.849550086530797</v>
      </c>
      <c r="H41" s="22"/>
      <c r="J41" s="4">
        <f>'Consumo Eléctrico'!B26</f>
        <v>45108</v>
      </c>
      <c r="K41" s="22">
        <f>'Consumo Eléctrico'!I26</f>
        <v>10051.65</v>
      </c>
      <c r="L41" s="22">
        <f t="shared" si="2"/>
        <v>2.3963133600000002</v>
      </c>
      <c r="M41" s="22"/>
      <c r="N41" s="22">
        <f>'Consumo Térmico de la empresa'!D62</f>
        <v>51.519945000000007</v>
      </c>
      <c r="O41" s="22">
        <f t="shared" si="3"/>
        <v>3.7042840455296351</v>
      </c>
      <c r="Q41" s="266"/>
      <c r="S41" s="22"/>
      <c r="T41" s="22"/>
      <c r="U41" s="22"/>
    </row>
    <row r="42" spans="2:21" x14ac:dyDescent="0.25">
      <c r="B42" s="4">
        <f>'Consumo Eléctrico'!B15</f>
        <v>44774</v>
      </c>
      <c r="C42">
        <f>'Consumo Eléctrico'!I15</f>
        <v>9498.1299999999992</v>
      </c>
      <c r="D42" s="22">
        <f t="shared" si="0"/>
        <v>2.2643541919999999</v>
      </c>
      <c r="E42" s="22"/>
      <c r="F42" s="22">
        <f>'Consumo Térmico de la empresa'!D32</f>
        <v>56.910620900000012</v>
      </c>
      <c r="G42" s="22">
        <f t="shared" si="1"/>
        <v>4.091873642742736</v>
      </c>
      <c r="H42" s="22"/>
      <c r="J42" s="4">
        <f>'Consumo Eléctrico'!B27</f>
        <v>45139</v>
      </c>
      <c r="K42" s="22">
        <f>'Consumo Eléctrico'!I27</f>
        <v>8620.61</v>
      </c>
      <c r="L42" s="22">
        <f t="shared" si="2"/>
        <v>2.0551534240000002</v>
      </c>
      <c r="M42" s="22"/>
      <c r="N42" s="22">
        <f>'Consumo Térmico de la empresa'!D63</f>
        <v>54.76305030000001</v>
      </c>
      <c r="O42" s="22">
        <f t="shared" si="3"/>
        <v>3.9374633166015012</v>
      </c>
      <c r="Q42" s="266"/>
      <c r="S42" s="22"/>
      <c r="T42" s="22"/>
      <c r="U42" s="22"/>
    </row>
    <row r="43" spans="2:21" x14ac:dyDescent="0.25">
      <c r="B43" s="4">
        <f>'Consumo Eléctrico'!B16</f>
        <v>44805</v>
      </c>
      <c r="C43">
        <f>'Consumo Eléctrico'!I16</f>
        <v>9284.99</v>
      </c>
      <c r="D43" s="22">
        <f t="shared" si="0"/>
        <v>2.2135416160000001</v>
      </c>
      <c r="E43" s="22"/>
      <c r="F43" s="22">
        <f>'Consumo Térmico de la empresa'!D33</f>
        <v>24.388776800000002</v>
      </c>
      <c r="G43" s="22">
        <f t="shared" si="1"/>
        <v>1.7535530519340288</v>
      </c>
      <c r="H43" s="22"/>
      <c r="J43" s="4">
        <f>'Consumo Eléctrico'!B28</f>
        <v>45170</v>
      </c>
      <c r="K43" s="22">
        <f>'Consumo Eléctrico'!I28</f>
        <v>9013.66</v>
      </c>
      <c r="L43" s="22">
        <f t="shared" si="2"/>
        <v>2.1488565439999996</v>
      </c>
      <c r="M43" s="22"/>
      <c r="N43" s="22">
        <f>'Consumo Térmico de la empresa'!D64</f>
        <v>23.468445600000003</v>
      </c>
      <c r="O43" s="22">
        <f t="shared" si="3"/>
        <v>1.6873812386534994</v>
      </c>
      <c r="Q43" s="266"/>
      <c r="S43" s="22"/>
      <c r="T43" s="22"/>
      <c r="U43" s="22"/>
    </row>
    <row r="44" spans="2:21" x14ac:dyDescent="0.25">
      <c r="B44" s="4">
        <f>'Consumo Eléctrico'!B17</f>
        <v>44835</v>
      </c>
      <c r="C44">
        <f>'Consumo Eléctrico'!I17</f>
        <v>9045.56</v>
      </c>
      <c r="D44" s="22">
        <f t="shared" si="0"/>
        <v>2.1564615039999997</v>
      </c>
      <c r="E44" s="22"/>
      <c r="F44" s="22">
        <f>'Consumo Térmico de la empresa'!D34</f>
        <v>24.229225</v>
      </c>
      <c r="G44" s="22">
        <f t="shared" si="1"/>
        <v>1.7420812775139367</v>
      </c>
      <c r="H44" s="22"/>
      <c r="J44" s="4">
        <f>'Consumo Eléctrico'!B29</f>
        <v>45200</v>
      </c>
      <c r="K44" s="22">
        <f>'Consumo Eléctrico'!I29</f>
        <v>9003.9</v>
      </c>
      <c r="L44" s="22">
        <f t="shared" si="2"/>
        <v>2.14652976</v>
      </c>
      <c r="M44" s="22"/>
      <c r="N44" s="22">
        <f>'Consumo Térmico de la empresa'!D65</f>
        <v>23.258370000000003</v>
      </c>
      <c r="O44" s="22">
        <f t="shared" si="3"/>
        <v>1.6722768030133783</v>
      </c>
      <c r="Q44" s="266"/>
      <c r="S44" s="22"/>
      <c r="T44" s="22"/>
      <c r="U44" s="22"/>
    </row>
    <row r="45" spans="2:21" x14ac:dyDescent="0.25">
      <c r="B45" s="4">
        <f>'Consumo Eléctrico'!B18</f>
        <v>44866</v>
      </c>
      <c r="C45">
        <f>'Consumo Eléctrico'!I18</f>
        <v>9676.81</v>
      </c>
      <c r="D45" s="22">
        <f t="shared" si="0"/>
        <v>2.3069515039999997</v>
      </c>
      <c r="E45" s="22"/>
      <c r="F45" s="22">
        <f>'Consumo Térmico de la empresa'!D35</f>
        <v>46.491478100000009</v>
      </c>
      <c r="G45" s="22">
        <f t="shared" si="1"/>
        <v>3.3427372754167428</v>
      </c>
      <c r="H45" s="22"/>
      <c r="J45" s="4">
        <f>'Consumo Eléctrico'!B30</f>
        <v>45231</v>
      </c>
      <c r="K45" s="22">
        <f>'Consumo Eléctrico'!I30</f>
        <v>10060.049999999999</v>
      </c>
      <c r="L45" s="22">
        <f t="shared" si="2"/>
        <v>2.3983159199999999</v>
      </c>
      <c r="M45" s="22"/>
      <c r="N45" s="22">
        <f>'Consumo Térmico de la empresa'!D66</f>
        <v>44.737082700000009</v>
      </c>
      <c r="O45" s="22">
        <f t="shared" si="3"/>
        <v>3.2165962461557336</v>
      </c>
      <c r="Q45" s="266"/>
      <c r="S45" s="22"/>
      <c r="T45" s="22"/>
      <c r="U45" s="22"/>
    </row>
    <row r="46" spans="2:21" x14ac:dyDescent="0.25">
      <c r="B46" s="4">
        <f>'Consumo Eléctrico'!B19</f>
        <v>44896</v>
      </c>
      <c r="C46">
        <f>'Consumo Eléctrico'!I19</f>
        <v>8577.93</v>
      </c>
      <c r="D46" s="22">
        <f t="shared" si="0"/>
        <v>2.0449785120000001</v>
      </c>
      <c r="E46" s="22"/>
      <c r="F46" s="22">
        <f>'Consumo Térmico de la empresa'!D36</f>
        <v>16.285495500000003</v>
      </c>
      <c r="G46" s="22">
        <f t="shared" si="1"/>
        <v>1.1709271264593679</v>
      </c>
      <c r="H46" s="22"/>
      <c r="J46" s="4">
        <f>'Consumo Eléctrico'!B31</f>
        <v>45261</v>
      </c>
      <c r="K46" s="22">
        <f>'Consumo Eléctrico'!I31</f>
        <v>8468.25</v>
      </c>
      <c r="L46" s="22">
        <f t="shared" si="2"/>
        <v>2.0188307999999999</v>
      </c>
      <c r="M46" s="22"/>
      <c r="N46" s="22">
        <f>'Consumo Térmico de la empresa'!D67</f>
        <v>15.6709485</v>
      </c>
      <c r="O46" s="22">
        <f t="shared" si="3"/>
        <v>1.126741197159014</v>
      </c>
      <c r="Q46" s="266"/>
      <c r="S46" s="22"/>
      <c r="T46" s="22"/>
      <c r="U46" s="22"/>
    </row>
    <row r="47" spans="2:21" x14ac:dyDescent="0.25">
      <c r="B47" s="1" t="s">
        <v>62</v>
      </c>
      <c r="C47" s="22">
        <f>AVERAGE(C35:C46)</f>
        <v>9522.3441666666677</v>
      </c>
      <c r="D47" s="22">
        <f>AVERAGE(D35:D46)</f>
        <v>2.2701268493333333</v>
      </c>
      <c r="E47" s="22"/>
      <c r="F47" s="177">
        <f>AVERAGE(F35:F46)</f>
        <v>40.337425891666676</v>
      </c>
      <c r="G47" s="22">
        <f>AVERAGE(G35:G46)</f>
        <v>2.900260921634036</v>
      </c>
      <c r="H47" s="22"/>
      <c r="J47" s="1" t="s">
        <v>62</v>
      </c>
      <c r="K47" s="22">
        <f>AVERAGE(K35:K46)</f>
        <v>9422.1208333333325</v>
      </c>
      <c r="L47" s="22">
        <f>AVERAGE(L35:L46)</f>
        <v>2.2462336066666668</v>
      </c>
      <c r="M47" s="22"/>
      <c r="N47" s="177">
        <f>AVERAGE(N35:N46)</f>
        <v>38.330190204166676</v>
      </c>
      <c r="O47" s="22">
        <f>AVERAGE(O35:O46)</f>
        <v>2.7559406757016323</v>
      </c>
      <c r="Q47" s="1"/>
      <c r="R47" s="22"/>
      <c r="S47" s="22"/>
      <c r="T47" s="261"/>
      <c r="U47" s="22"/>
    </row>
    <row r="48" spans="2:21" x14ac:dyDescent="0.25">
      <c r="B48" s="1" t="s">
        <v>64</v>
      </c>
      <c r="C48" s="176">
        <f>SUM(C35:C46)</f>
        <v>114268.13</v>
      </c>
      <c r="D48" s="176">
        <f>SUM(D35:D46)</f>
        <v>27.241522191999998</v>
      </c>
      <c r="E48" s="25"/>
      <c r="F48" s="176">
        <f>SUM(F35:F46)</f>
        <v>484.04911070000014</v>
      </c>
      <c r="G48" s="176">
        <f>SUM(G35:G46)</f>
        <v>34.803131059608432</v>
      </c>
      <c r="H48" s="360"/>
      <c r="J48" s="1" t="s">
        <v>64</v>
      </c>
      <c r="K48" s="176">
        <f>SUM(K35:K46)</f>
        <v>113065.45</v>
      </c>
      <c r="L48" s="176">
        <f>SUM(L35:L46)</f>
        <v>26.954803280000004</v>
      </c>
      <c r="M48" s="25"/>
      <c r="N48" s="176">
        <f>SUM(N35:N46)</f>
        <v>459.96228245000015</v>
      </c>
      <c r="O48" s="176">
        <f>SUM(O35:O46)</f>
        <v>33.071288108419587</v>
      </c>
      <c r="Q48" s="1"/>
      <c r="R48" s="269"/>
      <c r="S48" s="269"/>
      <c r="T48" s="270"/>
      <c r="U48" s="269"/>
    </row>
    <row r="49" spans="3:21" x14ac:dyDescent="0.25">
      <c r="D49" s="258" t="s">
        <v>43</v>
      </c>
      <c r="G49" s="258" t="s">
        <v>43</v>
      </c>
    </row>
    <row r="51" spans="3:21" x14ac:dyDescent="0.25">
      <c r="D51" s="47" t="s">
        <v>63</v>
      </c>
      <c r="G51" s="363" t="s">
        <v>63</v>
      </c>
      <c r="L51" s="47" t="s">
        <v>63</v>
      </c>
      <c r="O51" s="363" t="s">
        <v>63</v>
      </c>
      <c r="S51" s="53"/>
      <c r="U51" s="53"/>
    </row>
    <row r="52" spans="3:21" x14ac:dyDescent="0.25">
      <c r="D52" s="359">
        <f>'Indicadores Energéticos'!H25</f>
        <v>0.2384</v>
      </c>
      <c r="G52" s="364"/>
      <c r="L52" s="47">
        <f>'Indicadores Energéticos'!T25</f>
        <v>0.2384</v>
      </c>
      <c r="O52" s="364"/>
      <c r="S52" s="53"/>
      <c r="U52" s="53"/>
    </row>
    <row r="53" spans="3:21" x14ac:dyDescent="0.25">
      <c r="G53" s="382">
        <v>0.25884000000000001</v>
      </c>
      <c r="O53" s="382">
        <v>0.25840000000000002</v>
      </c>
    </row>
    <row r="54" spans="3:21" x14ac:dyDescent="0.25">
      <c r="G54" s="375">
        <v>0.29799999999999999</v>
      </c>
      <c r="O54" s="376">
        <v>0.29799999999999999</v>
      </c>
    </row>
    <row r="56" spans="3:21" x14ac:dyDescent="0.25">
      <c r="F56" s="24">
        <f>F48</f>
        <v>484.04911070000014</v>
      </c>
      <c r="G56" s="377">
        <f>F56*$Q$11*$G$53/1000</f>
        <v>34.803131059608447</v>
      </c>
    </row>
    <row r="57" spans="3:21" x14ac:dyDescent="0.25">
      <c r="C57" s="374"/>
      <c r="D57" s="370"/>
    </row>
    <row r="58" spans="3:21" x14ac:dyDescent="0.25">
      <c r="D58" t="s">
        <v>515</v>
      </c>
      <c r="F58" s="25">
        <f>'Propuesta de Mejora'!C529</f>
        <v>877.38219953999999</v>
      </c>
      <c r="G58" s="377">
        <f>F58*$Q$11*G53/1000</f>
        <v>63.083780147430666</v>
      </c>
      <c r="H58" s="43">
        <f>'Propuesta de Mejora'!C532</f>
        <v>63.083780146926003</v>
      </c>
    </row>
    <row r="59" spans="3:21" x14ac:dyDescent="0.25">
      <c r="F59" s="24">
        <f>F58</f>
        <v>877.38219953999999</v>
      </c>
      <c r="G59" s="377">
        <f>F59*$Q$11*$G$53/1000</f>
        <v>63.083780147430666</v>
      </c>
    </row>
    <row r="60" spans="3:21" x14ac:dyDescent="0.25">
      <c r="F60" s="24">
        <f>F59</f>
        <v>877.38219953999999</v>
      </c>
      <c r="G60" s="377">
        <f>F60*$Q$11*$G$53/1000</f>
        <v>63.083780147430666</v>
      </c>
    </row>
  </sheetData>
  <mergeCells count="10">
    <mergeCell ref="G31:G34"/>
    <mergeCell ref="O31:O34"/>
    <mergeCell ref="B31:B34"/>
    <mergeCell ref="C31:C34"/>
    <mergeCell ref="D31:D34"/>
    <mergeCell ref="F31:F34"/>
    <mergeCell ref="J31:J34"/>
    <mergeCell ref="K31:K34"/>
    <mergeCell ref="L31:L34"/>
    <mergeCell ref="N31:N34"/>
  </mergeCells>
  <hyperlinks>
    <hyperlink ref="Q6" r:id="rId1" xr:uid="{E88C6FE1-7002-4997-8ED3-1802B3F98F14}"/>
    <hyperlink ref="Q10" r:id="rId2" xr:uid="{772C2241-20EE-400E-BA6D-602F9B642C16}"/>
  </hyperlinks>
  <pageMargins left="0.7" right="0.7" top="0.75" bottom="0.75" header="0.3" footer="0.3"/>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3FD0-02D6-41BC-94DE-C37E89A60330}">
  <sheetPr codeName="Hoja5">
    <tabColor rgb="FFFFC000"/>
  </sheetPr>
  <dimension ref="B1:AB136"/>
  <sheetViews>
    <sheetView showGridLines="0" topLeftCell="A59" zoomScale="80" zoomScaleNormal="80" workbookViewId="0">
      <selection activeCell="L26" sqref="L26"/>
    </sheetView>
  </sheetViews>
  <sheetFormatPr baseColWidth="10" defaultColWidth="11.42578125" defaultRowHeight="15" x14ac:dyDescent="0.25"/>
  <cols>
    <col min="2" max="2" width="16.42578125" customWidth="1"/>
    <col min="3" max="3" width="39.140625" customWidth="1"/>
    <col min="4" max="4" width="14.42578125" customWidth="1"/>
    <col min="5" max="5" width="15.5703125" customWidth="1"/>
    <col min="6" max="6" width="13.85546875" customWidth="1"/>
    <col min="8" max="9" width="11.85546875" bestFit="1" customWidth="1"/>
    <col min="15" max="15" width="11.42578125" style="285"/>
    <col min="17" max="17" width="16.42578125" customWidth="1"/>
    <col min="18" max="18" width="39.140625" customWidth="1"/>
    <col min="19" max="19" width="14.42578125" customWidth="1"/>
    <col min="20" max="20" width="15.5703125" customWidth="1"/>
    <col min="21" max="21" width="13.85546875" customWidth="1"/>
    <col min="23" max="24" width="11.85546875" bestFit="1" customWidth="1"/>
  </cols>
  <sheetData>
    <row r="1" spans="2:25" x14ac:dyDescent="0.25">
      <c r="C1" t="s">
        <v>28</v>
      </c>
      <c r="R1" t="s">
        <v>28</v>
      </c>
    </row>
    <row r="3" spans="2:25" ht="30" x14ac:dyDescent="0.25">
      <c r="B3" s="183" t="s">
        <v>89</v>
      </c>
      <c r="C3" s="68" t="s">
        <v>90</v>
      </c>
      <c r="D3" s="45" t="s">
        <v>91</v>
      </c>
      <c r="E3" s="45" t="s">
        <v>92</v>
      </c>
      <c r="F3" s="45" t="s">
        <v>93</v>
      </c>
      <c r="G3" s="45" t="s">
        <v>94</v>
      </c>
      <c r="H3" s="45" t="s">
        <v>95</v>
      </c>
      <c r="I3" s="45" t="s">
        <v>96</v>
      </c>
      <c r="Q3" s="68" t="s">
        <v>89</v>
      </c>
      <c r="R3" s="68" t="s">
        <v>90</v>
      </c>
      <c r="S3" s="45" t="s">
        <v>91</v>
      </c>
      <c r="T3" s="45" t="s">
        <v>92</v>
      </c>
      <c r="U3" s="45" t="s">
        <v>93</v>
      </c>
      <c r="V3" s="45" t="s">
        <v>94</v>
      </c>
      <c r="W3" s="45" t="s">
        <v>95</v>
      </c>
      <c r="X3" s="45" t="s">
        <v>96</v>
      </c>
    </row>
    <row r="4" spans="2:25" x14ac:dyDescent="0.25">
      <c r="B4" s="687" t="s">
        <v>104</v>
      </c>
      <c r="C4" s="31" t="s">
        <v>97</v>
      </c>
      <c r="D4" s="48">
        <v>0.7</v>
      </c>
      <c r="E4" s="60">
        <v>4</v>
      </c>
      <c r="F4" s="262">
        <v>0.9</v>
      </c>
      <c r="G4" s="48">
        <f>D4*E4*F4</f>
        <v>2.52</v>
      </c>
      <c r="H4" s="48">
        <f>G4*5</f>
        <v>12.6</v>
      </c>
      <c r="I4" s="48">
        <f>H4*12</f>
        <v>151.19999999999999</v>
      </c>
      <c r="J4" s="451" t="s">
        <v>43</v>
      </c>
      <c r="Q4" s="687" t="s">
        <v>104</v>
      </c>
      <c r="R4" s="31" t="s">
        <v>97</v>
      </c>
      <c r="S4" s="48">
        <v>0.7</v>
      </c>
      <c r="T4" s="60">
        <v>4</v>
      </c>
      <c r="U4" s="262">
        <v>0.9</v>
      </c>
      <c r="V4" s="48">
        <f>S4*T4*U4</f>
        <v>2.52</v>
      </c>
      <c r="W4" s="48">
        <f>V4*5</f>
        <v>12.6</v>
      </c>
      <c r="X4" s="48">
        <f>W4*12</f>
        <v>151.19999999999999</v>
      </c>
      <c r="Y4" s="21" t="s">
        <v>43</v>
      </c>
    </row>
    <row r="5" spans="2:25" x14ac:dyDescent="0.25">
      <c r="B5" s="687"/>
      <c r="C5" s="31" t="s">
        <v>98</v>
      </c>
      <c r="D5" s="48">
        <v>5.6</v>
      </c>
      <c r="E5" s="60">
        <v>4</v>
      </c>
      <c r="F5" s="262">
        <v>0.9</v>
      </c>
      <c r="G5" s="48">
        <f t="shared" ref="G5:G23" si="0">D5*E5*F5</f>
        <v>20.16</v>
      </c>
      <c r="H5" s="48">
        <f t="shared" ref="H5:H23" si="1">G5*5</f>
        <v>100.8</v>
      </c>
      <c r="I5" s="48">
        <f t="shared" ref="I5:I23" si="2">H5*12</f>
        <v>1209.5999999999999</v>
      </c>
      <c r="J5" s="451" t="s">
        <v>43</v>
      </c>
      <c r="Q5" s="687"/>
      <c r="R5" s="31" t="s">
        <v>98</v>
      </c>
      <c r="S5" s="48">
        <v>5.6</v>
      </c>
      <c r="T5" s="60">
        <v>4</v>
      </c>
      <c r="U5" s="262">
        <v>0.9</v>
      </c>
      <c r="V5" s="48">
        <f t="shared" ref="V5:V23" si="3">S5*T5*U5</f>
        <v>20.16</v>
      </c>
      <c r="W5" s="48">
        <f t="shared" ref="W5:W23" si="4">V5*5</f>
        <v>100.8</v>
      </c>
      <c r="X5" s="48">
        <f t="shared" ref="X5:X23" si="5">W5*12</f>
        <v>1209.5999999999999</v>
      </c>
      <c r="Y5" s="21" t="s">
        <v>43</v>
      </c>
    </row>
    <row r="6" spans="2:25" x14ac:dyDescent="0.25">
      <c r="B6" s="687"/>
      <c r="C6" s="31" t="s">
        <v>99</v>
      </c>
      <c r="D6" s="48">
        <v>1.5</v>
      </c>
      <c r="E6" s="60">
        <v>4</v>
      </c>
      <c r="F6" s="262">
        <v>0.9</v>
      </c>
      <c r="G6" s="48">
        <f t="shared" si="0"/>
        <v>5.4</v>
      </c>
      <c r="H6" s="48">
        <f t="shared" si="1"/>
        <v>27</v>
      </c>
      <c r="I6" s="48">
        <f t="shared" si="2"/>
        <v>324</v>
      </c>
      <c r="J6" s="451" t="s">
        <v>43</v>
      </c>
      <c r="Q6" s="687"/>
      <c r="R6" s="31" t="s">
        <v>99</v>
      </c>
      <c r="S6" s="48">
        <v>1.5</v>
      </c>
      <c r="T6" s="60">
        <v>4</v>
      </c>
      <c r="U6" s="262">
        <v>0.9</v>
      </c>
      <c r="V6" s="48">
        <f t="shared" si="3"/>
        <v>5.4</v>
      </c>
      <c r="W6" s="48">
        <f t="shared" si="4"/>
        <v>27</v>
      </c>
      <c r="X6" s="48">
        <f t="shared" si="5"/>
        <v>324</v>
      </c>
      <c r="Y6" s="21" t="s">
        <v>43</v>
      </c>
    </row>
    <row r="7" spans="2:25" x14ac:dyDescent="0.25">
      <c r="B7" s="687"/>
      <c r="C7" s="31" t="s">
        <v>101</v>
      </c>
      <c r="D7" s="48">
        <v>3</v>
      </c>
      <c r="E7" s="60">
        <v>4</v>
      </c>
      <c r="F7" s="262">
        <v>0.9</v>
      </c>
      <c r="G7" s="48">
        <f t="shared" si="0"/>
        <v>10.8</v>
      </c>
      <c r="H7" s="48">
        <f t="shared" si="1"/>
        <v>54</v>
      </c>
      <c r="I7" s="48">
        <f t="shared" si="2"/>
        <v>648</v>
      </c>
      <c r="J7" s="451" t="s">
        <v>43</v>
      </c>
      <c r="Q7" s="687"/>
      <c r="R7" s="31" t="s">
        <v>101</v>
      </c>
      <c r="S7" s="48">
        <v>3</v>
      </c>
      <c r="T7" s="60">
        <v>4</v>
      </c>
      <c r="U7" s="262">
        <v>0.9</v>
      </c>
      <c r="V7" s="48">
        <f t="shared" si="3"/>
        <v>10.8</v>
      </c>
      <c r="W7" s="48">
        <f t="shared" si="4"/>
        <v>54</v>
      </c>
      <c r="X7" s="48">
        <f t="shared" si="5"/>
        <v>648</v>
      </c>
      <c r="Y7" s="21" t="s">
        <v>43</v>
      </c>
    </row>
    <row r="8" spans="2:25" x14ac:dyDescent="0.25">
      <c r="B8" s="687"/>
      <c r="C8" s="31" t="s">
        <v>100</v>
      </c>
      <c r="D8" s="48">
        <v>0.2</v>
      </c>
      <c r="E8" s="60">
        <v>4</v>
      </c>
      <c r="F8" s="262">
        <v>0.9</v>
      </c>
      <c r="G8" s="48">
        <f t="shared" si="0"/>
        <v>0.72000000000000008</v>
      </c>
      <c r="H8" s="48">
        <f t="shared" si="1"/>
        <v>3.6000000000000005</v>
      </c>
      <c r="I8" s="48">
        <f t="shared" si="2"/>
        <v>43.2</v>
      </c>
      <c r="J8" s="451" t="s">
        <v>43</v>
      </c>
      <c r="L8" s="23"/>
      <c r="Q8" s="687"/>
      <c r="R8" s="31" t="s">
        <v>100</v>
      </c>
      <c r="S8" s="48">
        <v>0.2</v>
      </c>
      <c r="T8" s="60">
        <v>4</v>
      </c>
      <c r="U8" s="262">
        <v>0.9</v>
      </c>
      <c r="V8" s="48">
        <f t="shared" si="3"/>
        <v>0.72000000000000008</v>
      </c>
      <c r="W8" s="48">
        <f t="shared" si="4"/>
        <v>3.6000000000000005</v>
      </c>
      <c r="X8" s="48">
        <f t="shared" si="5"/>
        <v>43.2</v>
      </c>
      <c r="Y8" s="21" t="s">
        <v>43</v>
      </c>
    </row>
    <row r="9" spans="2:25" x14ac:dyDescent="0.25">
      <c r="B9" s="687"/>
      <c r="C9" s="31" t="s">
        <v>102</v>
      </c>
      <c r="D9" s="48">
        <v>2.2000000000000002</v>
      </c>
      <c r="E9" s="60">
        <v>4</v>
      </c>
      <c r="F9" s="262">
        <v>0.9</v>
      </c>
      <c r="G9" s="48">
        <f t="shared" si="0"/>
        <v>7.9200000000000008</v>
      </c>
      <c r="H9" s="48">
        <f t="shared" si="1"/>
        <v>39.6</v>
      </c>
      <c r="I9" s="48">
        <f t="shared" si="2"/>
        <v>475.20000000000005</v>
      </c>
      <c r="J9" s="451" t="s">
        <v>43</v>
      </c>
      <c r="L9" s="23"/>
      <c r="Q9" s="687"/>
      <c r="R9" s="31" t="s">
        <v>102</v>
      </c>
      <c r="S9" s="48">
        <v>2.2000000000000002</v>
      </c>
      <c r="T9" s="60">
        <v>4</v>
      </c>
      <c r="U9" s="262">
        <v>0.9</v>
      </c>
      <c r="V9" s="48">
        <f t="shared" si="3"/>
        <v>7.9200000000000008</v>
      </c>
      <c r="W9" s="48">
        <f t="shared" si="4"/>
        <v>39.6</v>
      </c>
      <c r="X9" s="48">
        <f t="shared" si="5"/>
        <v>475.20000000000005</v>
      </c>
      <c r="Y9" s="21" t="s">
        <v>43</v>
      </c>
    </row>
    <row r="10" spans="2:25" x14ac:dyDescent="0.25">
      <c r="B10" s="687"/>
      <c r="C10" s="31" t="s">
        <v>103</v>
      </c>
      <c r="D10" s="48">
        <v>8.1999999999999993</v>
      </c>
      <c r="E10" s="60">
        <v>4</v>
      </c>
      <c r="F10" s="262">
        <v>0.9</v>
      </c>
      <c r="G10" s="48">
        <f t="shared" si="0"/>
        <v>29.52</v>
      </c>
      <c r="H10" s="48">
        <f t="shared" si="1"/>
        <v>147.6</v>
      </c>
      <c r="I10" s="48">
        <f t="shared" si="2"/>
        <v>1771.1999999999998</v>
      </c>
      <c r="J10" s="451" t="s">
        <v>43</v>
      </c>
      <c r="L10" s="23"/>
      <c r="Q10" s="687"/>
      <c r="R10" s="31" t="s">
        <v>103</v>
      </c>
      <c r="S10" s="48">
        <v>8.1999999999999993</v>
      </c>
      <c r="T10" s="60">
        <v>4</v>
      </c>
      <c r="U10" s="262">
        <v>0.9</v>
      </c>
      <c r="V10" s="48">
        <f t="shared" si="3"/>
        <v>29.52</v>
      </c>
      <c r="W10" s="48">
        <f t="shared" si="4"/>
        <v>147.6</v>
      </c>
      <c r="X10" s="48">
        <f t="shared" si="5"/>
        <v>1771.1999999999998</v>
      </c>
      <c r="Y10" s="21" t="s">
        <v>43</v>
      </c>
    </row>
    <row r="11" spans="2:25" x14ac:dyDescent="0.25">
      <c r="B11" s="687" t="s">
        <v>112</v>
      </c>
      <c r="C11" s="31" t="s">
        <v>554</v>
      </c>
      <c r="D11" s="48">
        <v>3.7</v>
      </c>
      <c r="E11" s="60">
        <v>4</v>
      </c>
      <c r="F11" s="262">
        <v>0.9</v>
      </c>
      <c r="G11" s="48">
        <f t="shared" si="0"/>
        <v>13.32</v>
      </c>
      <c r="H11" s="48">
        <f t="shared" si="1"/>
        <v>66.599999999999994</v>
      </c>
      <c r="I11" s="48">
        <f t="shared" si="2"/>
        <v>799.19999999999993</v>
      </c>
      <c r="J11" s="451" t="s">
        <v>43</v>
      </c>
      <c r="L11" s="23"/>
      <c r="Q11" s="687" t="s">
        <v>112</v>
      </c>
      <c r="R11" s="31" t="s">
        <v>106</v>
      </c>
      <c r="S11" s="48">
        <v>3.7</v>
      </c>
      <c r="T11" s="60">
        <v>4</v>
      </c>
      <c r="U11" s="262">
        <v>0.9</v>
      </c>
      <c r="V11" s="48">
        <f t="shared" si="3"/>
        <v>13.32</v>
      </c>
      <c r="W11" s="48">
        <f t="shared" si="4"/>
        <v>66.599999999999994</v>
      </c>
      <c r="X11" s="48">
        <f t="shared" si="5"/>
        <v>799.19999999999993</v>
      </c>
      <c r="Y11" s="21" t="s">
        <v>43</v>
      </c>
    </row>
    <row r="12" spans="2:25" x14ac:dyDescent="0.25">
      <c r="B12" s="687"/>
      <c r="C12" s="31" t="s">
        <v>107</v>
      </c>
      <c r="D12" s="48">
        <v>11.2</v>
      </c>
      <c r="E12" s="60">
        <v>4</v>
      </c>
      <c r="F12" s="262">
        <v>0.9</v>
      </c>
      <c r="G12" s="48">
        <f t="shared" si="0"/>
        <v>40.32</v>
      </c>
      <c r="H12" s="48">
        <f t="shared" si="1"/>
        <v>201.6</v>
      </c>
      <c r="I12" s="48">
        <f t="shared" si="2"/>
        <v>2419.1999999999998</v>
      </c>
      <c r="J12" s="451" t="s">
        <v>43</v>
      </c>
      <c r="L12" s="23"/>
      <c r="Q12" s="687"/>
      <c r="R12" s="31" t="s">
        <v>107</v>
      </c>
      <c r="S12" s="48">
        <v>11.2</v>
      </c>
      <c r="T12" s="60">
        <v>4</v>
      </c>
      <c r="U12" s="262">
        <v>0.9</v>
      </c>
      <c r="V12" s="48">
        <f t="shared" si="3"/>
        <v>40.32</v>
      </c>
      <c r="W12" s="48">
        <f t="shared" si="4"/>
        <v>201.6</v>
      </c>
      <c r="X12" s="48">
        <f t="shared" si="5"/>
        <v>2419.1999999999998</v>
      </c>
      <c r="Y12" s="21" t="s">
        <v>43</v>
      </c>
    </row>
    <row r="13" spans="2:25" x14ac:dyDescent="0.25">
      <c r="B13" s="687"/>
      <c r="C13" s="31" t="s">
        <v>108</v>
      </c>
      <c r="D13" s="48">
        <v>1.3</v>
      </c>
      <c r="E13" s="60">
        <v>4</v>
      </c>
      <c r="F13" s="262">
        <v>0.9</v>
      </c>
      <c r="G13" s="48">
        <f t="shared" si="0"/>
        <v>4.6800000000000006</v>
      </c>
      <c r="H13" s="48">
        <f t="shared" si="1"/>
        <v>23.400000000000002</v>
      </c>
      <c r="I13" s="48">
        <f t="shared" si="2"/>
        <v>280.8</v>
      </c>
      <c r="J13" s="451" t="s">
        <v>43</v>
      </c>
      <c r="L13" s="23"/>
      <c r="Q13" s="687"/>
      <c r="R13" s="31" t="s">
        <v>108</v>
      </c>
      <c r="S13" s="48">
        <v>1.3</v>
      </c>
      <c r="T13" s="60">
        <v>4</v>
      </c>
      <c r="U13" s="262">
        <v>0.9</v>
      </c>
      <c r="V13" s="48">
        <f t="shared" si="3"/>
        <v>4.6800000000000006</v>
      </c>
      <c r="W13" s="48">
        <f t="shared" si="4"/>
        <v>23.400000000000002</v>
      </c>
      <c r="X13" s="48">
        <f t="shared" si="5"/>
        <v>280.8</v>
      </c>
      <c r="Y13" s="21" t="s">
        <v>43</v>
      </c>
    </row>
    <row r="14" spans="2:25" x14ac:dyDescent="0.25">
      <c r="B14" s="31" t="s">
        <v>113</v>
      </c>
      <c r="C14" s="31" t="s">
        <v>109</v>
      </c>
      <c r="D14" s="48">
        <v>5.6</v>
      </c>
      <c r="E14" s="60">
        <v>4</v>
      </c>
      <c r="F14" s="262">
        <v>0.9</v>
      </c>
      <c r="G14" s="48">
        <f t="shared" si="0"/>
        <v>20.16</v>
      </c>
      <c r="H14" s="48">
        <f t="shared" si="1"/>
        <v>100.8</v>
      </c>
      <c r="I14" s="48">
        <f t="shared" si="2"/>
        <v>1209.5999999999999</v>
      </c>
      <c r="J14" s="451" t="s">
        <v>43</v>
      </c>
      <c r="L14" s="23"/>
      <c r="Q14" s="31" t="s">
        <v>113</v>
      </c>
      <c r="R14" s="31" t="s">
        <v>109</v>
      </c>
      <c r="S14" s="48">
        <v>5.6</v>
      </c>
      <c r="T14" s="60">
        <v>4</v>
      </c>
      <c r="U14" s="262">
        <v>0.9</v>
      </c>
      <c r="V14" s="48">
        <f t="shared" si="3"/>
        <v>20.16</v>
      </c>
      <c r="W14" s="48">
        <f t="shared" si="4"/>
        <v>100.8</v>
      </c>
      <c r="X14" s="48">
        <f t="shared" si="5"/>
        <v>1209.5999999999999</v>
      </c>
      <c r="Y14" s="21" t="s">
        <v>43</v>
      </c>
    </row>
    <row r="15" spans="2:25" x14ac:dyDescent="0.25">
      <c r="B15" s="687" t="s">
        <v>118</v>
      </c>
      <c r="C15" s="31" t="s">
        <v>110</v>
      </c>
      <c r="D15" s="48">
        <v>22.4</v>
      </c>
      <c r="E15" s="60">
        <v>4</v>
      </c>
      <c r="F15" s="262">
        <v>0.9</v>
      </c>
      <c r="G15" s="48">
        <f t="shared" si="0"/>
        <v>80.64</v>
      </c>
      <c r="H15" s="48">
        <f t="shared" si="1"/>
        <v>403.2</v>
      </c>
      <c r="I15" s="48">
        <f t="shared" si="2"/>
        <v>4838.3999999999996</v>
      </c>
      <c r="J15" s="451" t="s">
        <v>43</v>
      </c>
      <c r="Q15" s="687" t="s">
        <v>118</v>
      </c>
      <c r="R15" s="31" t="s">
        <v>110</v>
      </c>
      <c r="S15" s="48">
        <v>22.4</v>
      </c>
      <c r="T15" s="60">
        <v>4</v>
      </c>
      <c r="U15" s="262">
        <v>0.9</v>
      </c>
      <c r="V15" s="48">
        <f t="shared" si="3"/>
        <v>80.64</v>
      </c>
      <c r="W15" s="48">
        <f t="shared" si="4"/>
        <v>403.2</v>
      </c>
      <c r="X15" s="48">
        <f t="shared" si="5"/>
        <v>4838.3999999999996</v>
      </c>
      <c r="Y15" s="21" t="s">
        <v>43</v>
      </c>
    </row>
    <row r="16" spans="2:25" x14ac:dyDescent="0.25">
      <c r="B16" s="687"/>
      <c r="C16" s="31" t="s">
        <v>111</v>
      </c>
      <c r="D16" s="48">
        <v>7.5</v>
      </c>
      <c r="E16" s="60">
        <v>4</v>
      </c>
      <c r="F16" s="262">
        <v>0.9</v>
      </c>
      <c r="G16" s="48">
        <f t="shared" si="0"/>
        <v>27</v>
      </c>
      <c r="H16" s="48">
        <f t="shared" si="1"/>
        <v>135</v>
      </c>
      <c r="I16" s="48">
        <f t="shared" si="2"/>
        <v>1620</v>
      </c>
      <c r="J16" s="451" t="s">
        <v>43</v>
      </c>
      <c r="L16" s="87"/>
      <c r="Q16" s="687"/>
      <c r="R16" s="31" t="s">
        <v>111</v>
      </c>
      <c r="S16" s="48">
        <v>7.5</v>
      </c>
      <c r="T16" s="60">
        <v>4</v>
      </c>
      <c r="U16" s="262">
        <v>0.9</v>
      </c>
      <c r="V16" s="48">
        <f t="shared" si="3"/>
        <v>27</v>
      </c>
      <c r="W16" s="48">
        <f t="shared" si="4"/>
        <v>135</v>
      </c>
      <c r="X16" s="48">
        <f t="shared" si="5"/>
        <v>1620</v>
      </c>
      <c r="Y16" s="21" t="s">
        <v>43</v>
      </c>
    </row>
    <row r="17" spans="2:25" x14ac:dyDescent="0.25">
      <c r="B17" s="687"/>
      <c r="C17" s="31" t="s">
        <v>444</v>
      </c>
      <c r="D17" s="48">
        <v>1.5</v>
      </c>
      <c r="E17" s="60">
        <v>4</v>
      </c>
      <c r="F17" s="262">
        <v>0.9</v>
      </c>
      <c r="G17" s="48">
        <f t="shared" si="0"/>
        <v>5.4</v>
      </c>
      <c r="H17" s="48">
        <f t="shared" si="1"/>
        <v>27</v>
      </c>
      <c r="I17" s="48">
        <f t="shared" si="2"/>
        <v>324</v>
      </c>
      <c r="J17" s="451" t="s">
        <v>43</v>
      </c>
      <c r="Q17" s="687"/>
      <c r="R17" s="31" t="s">
        <v>444</v>
      </c>
      <c r="S17" s="48">
        <v>1.5</v>
      </c>
      <c r="T17" s="60">
        <v>4</v>
      </c>
      <c r="U17" s="262">
        <v>0.9</v>
      </c>
      <c r="V17" s="48">
        <f t="shared" si="3"/>
        <v>5.4</v>
      </c>
      <c r="W17" s="48">
        <f t="shared" si="4"/>
        <v>27</v>
      </c>
      <c r="X17" s="48">
        <f t="shared" si="5"/>
        <v>324</v>
      </c>
      <c r="Y17" s="21" t="s">
        <v>43</v>
      </c>
    </row>
    <row r="18" spans="2:25" x14ac:dyDescent="0.25">
      <c r="B18" s="687"/>
      <c r="C18" s="31" t="s">
        <v>445</v>
      </c>
      <c r="D18" s="48">
        <v>1.5</v>
      </c>
      <c r="E18" s="60">
        <v>4</v>
      </c>
      <c r="F18" s="262">
        <v>0.9</v>
      </c>
      <c r="G18" s="48">
        <f t="shared" si="0"/>
        <v>5.4</v>
      </c>
      <c r="H18" s="48">
        <f t="shared" si="1"/>
        <v>27</v>
      </c>
      <c r="I18" s="48">
        <f t="shared" si="2"/>
        <v>324</v>
      </c>
      <c r="J18" s="451" t="s">
        <v>43</v>
      </c>
      <c r="Q18" s="687"/>
      <c r="R18" s="31" t="s">
        <v>445</v>
      </c>
      <c r="S18" s="48">
        <v>1.5</v>
      </c>
      <c r="T18" s="60">
        <v>4</v>
      </c>
      <c r="U18" s="262">
        <v>0.9</v>
      </c>
      <c r="V18" s="48">
        <f t="shared" si="3"/>
        <v>5.4</v>
      </c>
      <c r="W18" s="48">
        <f t="shared" si="4"/>
        <v>27</v>
      </c>
      <c r="X18" s="48">
        <f t="shared" si="5"/>
        <v>324</v>
      </c>
      <c r="Y18" s="21" t="s">
        <v>43</v>
      </c>
    </row>
    <row r="19" spans="2:25" x14ac:dyDescent="0.25">
      <c r="B19" s="687"/>
      <c r="C19" s="31" t="s">
        <v>114</v>
      </c>
      <c r="D19" s="48">
        <v>1.5</v>
      </c>
      <c r="E19" s="60">
        <v>4</v>
      </c>
      <c r="F19" s="262">
        <v>0.9</v>
      </c>
      <c r="G19" s="48">
        <f t="shared" si="0"/>
        <v>5.4</v>
      </c>
      <c r="H19" s="48">
        <f t="shared" si="1"/>
        <v>27</v>
      </c>
      <c r="I19" s="48">
        <f t="shared" si="2"/>
        <v>324</v>
      </c>
      <c r="J19" s="451" t="s">
        <v>43</v>
      </c>
      <c r="Q19" s="687"/>
      <c r="R19" s="31" t="s">
        <v>114</v>
      </c>
      <c r="S19" s="48">
        <v>1.5</v>
      </c>
      <c r="T19" s="60">
        <v>4</v>
      </c>
      <c r="U19" s="262">
        <v>0.9</v>
      </c>
      <c r="V19" s="48">
        <f t="shared" si="3"/>
        <v>5.4</v>
      </c>
      <c r="W19" s="48">
        <f t="shared" si="4"/>
        <v>27</v>
      </c>
      <c r="X19" s="48">
        <f t="shared" si="5"/>
        <v>324</v>
      </c>
      <c r="Y19" s="21" t="s">
        <v>43</v>
      </c>
    </row>
    <row r="20" spans="2:25" x14ac:dyDescent="0.25">
      <c r="B20" s="687"/>
      <c r="C20" s="31" t="s">
        <v>115</v>
      </c>
      <c r="D20" s="48">
        <v>1.6</v>
      </c>
      <c r="E20" s="60">
        <v>4</v>
      </c>
      <c r="F20" s="262">
        <v>0.9</v>
      </c>
      <c r="G20" s="48">
        <f t="shared" si="0"/>
        <v>5.7600000000000007</v>
      </c>
      <c r="H20" s="48">
        <f t="shared" si="1"/>
        <v>28.800000000000004</v>
      </c>
      <c r="I20" s="48">
        <f t="shared" si="2"/>
        <v>345.6</v>
      </c>
      <c r="J20" s="451" t="s">
        <v>43</v>
      </c>
      <c r="Q20" s="687"/>
      <c r="R20" s="31" t="s">
        <v>115</v>
      </c>
      <c r="S20" s="48">
        <v>1.6</v>
      </c>
      <c r="T20" s="60">
        <v>4</v>
      </c>
      <c r="U20" s="262">
        <v>0.9</v>
      </c>
      <c r="V20" s="48">
        <f t="shared" si="3"/>
        <v>5.7600000000000007</v>
      </c>
      <c r="W20" s="48">
        <f t="shared" si="4"/>
        <v>28.800000000000004</v>
      </c>
      <c r="X20" s="48">
        <f t="shared" si="5"/>
        <v>345.6</v>
      </c>
      <c r="Y20" s="21" t="s">
        <v>43</v>
      </c>
    </row>
    <row r="21" spans="2:25" x14ac:dyDescent="0.25">
      <c r="B21" s="687"/>
      <c r="C21" s="31" t="s">
        <v>116</v>
      </c>
      <c r="D21" s="48">
        <v>1.5</v>
      </c>
      <c r="E21" s="60">
        <v>4</v>
      </c>
      <c r="F21" s="262">
        <v>0.9</v>
      </c>
      <c r="G21" s="48">
        <f t="shared" si="0"/>
        <v>5.4</v>
      </c>
      <c r="H21" s="48">
        <f t="shared" si="1"/>
        <v>27</v>
      </c>
      <c r="I21" s="48">
        <f t="shared" si="2"/>
        <v>324</v>
      </c>
      <c r="J21" s="451" t="s">
        <v>43</v>
      </c>
      <c r="Q21" s="687"/>
      <c r="R21" s="31" t="s">
        <v>116</v>
      </c>
      <c r="S21" s="48">
        <v>1.5</v>
      </c>
      <c r="T21" s="60">
        <v>4</v>
      </c>
      <c r="U21" s="262">
        <v>0.9</v>
      </c>
      <c r="V21" s="48">
        <f t="shared" si="3"/>
        <v>5.4</v>
      </c>
      <c r="W21" s="48">
        <f t="shared" si="4"/>
        <v>27</v>
      </c>
      <c r="X21" s="48">
        <f t="shared" si="5"/>
        <v>324</v>
      </c>
      <c r="Y21" s="21" t="s">
        <v>43</v>
      </c>
    </row>
    <row r="22" spans="2:25" x14ac:dyDescent="0.25">
      <c r="B22" s="687"/>
      <c r="C22" s="31" t="s">
        <v>105</v>
      </c>
      <c r="D22" s="48">
        <v>0.7</v>
      </c>
      <c r="E22" s="60">
        <v>4</v>
      </c>
      <c r="F22" s="262">
        <v>0.9</v>
      </c>
      <c r="G22" s="48">
        <f t="shared" si="0"/>
        <v>2.52</v>
      </c>
      <c r="H22" s="48">
        <f t="shared" si="1"/>
        <v>12.6</v>
      </c>
      <c r="I22" s="48">
        <f t="shared" si="2"/>
        <v>151.19999999999999</v>
      </c>
      <c r="J22" s="451" t="s">
        <v>43</v>
      </c>
      <c r="Q22" s="687"/>
      <c r="R22" s="31" t="s">
        <v>105</v>
      </c>
      <c r="S22" s="48">
        <v>0.7</v>
      </c>
      <c r="T22" s="60">
        <v>4</v>
      </c>
      <c r="U22" s="262">
        <v>0.9</v>
      </c>
      <c r="V22" s="48">
        <f t="shared" si="3"/>
        <v>2.52</v>
      </c>
      <c r="W22" s="48">
        <f t="shared" si="4"/>
        <v>12.6</v>
      </c>
      <c r="X22" s="48">
        <f t="shared" si="5"/>
        <v>151.19999999999999</v>
      </c>
      <c r="Y22" s="21" t="s">
        <v>43</v>
      </c>
    </row>
    <row r="23" spans="2:25" x14ac:dyDescent="0.25">
      <c r="B23" s="687"/>
      <c r="C23" s="31" t="s">
        <v>117</v>
      </c>
      <c r="D23" s="48">
        <v>3</v>
      </c>
      <c r="E23" s="60">
        <v>4</v>
      </c>
      <c r="F23" s="262">
        <v>0.9</v>
      </c>
      <c r="G23" s="48">
        <f t="shared" si="0"/>
        <v>10.8</v>
      </c>
      <c r="H23" s="48">
        <f t="shared" si="1"/>
        <v>54</v>
      </c>
      <c r="I23" s="48">
        <f t="shared" si="2"/>
        <v>648</v>
      </c>
      <c r="J23" s="451" t="s">
        <v>43</v>
      </c>
      <c r="Q23" s="687"/>
      <c r="R23" s="31" t="s">
        <v>117</v>
      </c>
      <c r="S23" s="48">
        <v>3</v>
      </c>
      <c r="T23" s="60">
        <v>4</v>
      </c>
      <c r="U23" s="262">
        <v>0.9</v>
      </c>
      <c r="V23" s="48">
        <f t="shared" si="3"/>
        <v>10.8</v>
      </c>
      <c r="W23" s="48">
        <f t="shared" si="4"/>
        <v>54</v>
      </c>
      <c r="X23" s="48">
        <f t="shared" si="5"/>
        <v>648</v>
      </c>
      <c r="Y23" s="21" t="s">
        <v>43</v>
      </c>
    </row>
    <row r="24" spans="2:25" x14ac:dyDescent="0.25">
      <c r="C24" s="31" t="s">
        <v>64</v>
      </c>
      <c r="D24" s="73">
        <f>SUM(D4:D23)</f>
        <v>84.399999999999991</v>
      </c>
      <c r="E24" s="62"/>
      <c r="F24" s="62"/>
      <c r="G24" s="73">
        <f>SUM(G4:G23)</f>
        <v>303.83999999999986</v>
      </c>
      <c r="H24" s="73">
        <f>SUM(H4:H23)</f>
        <v>1519.1999999999998</v>
      </c>
      <c r="I24" s="73">
        <f>SUM(I4:I23)</f>
        <v>18230.399999999998</v>
      </c>
      <c r="R24" s="31" t="s">
        <v>64</v>
      </c>
      <c r="S24" s="73">
        <f>SUM(S4:S23)</f>
        <v>84.399999999999991</v>
      </c>
      <c r="T24" s="62"/>
      <c r="U24" s="62"/>
      <c r="V24" s="73">
        <f>SUM(V4:V23)</f>
        <v>303.83999999999986</v>
      </c>
      <c r="W24" s="73">
        <f>SUM(W4:W23)</f>
        <v>1519.1999999999998</v>
      </c>
      <c r="X24" s="73">
        <f>SUM(X4:X23)</f>
        <v>18230.399999999998</v>
      </c>
    </row>
    <row r="27" spans="2:25" x14ac:dyDescent="0.25">
      <c r="H27" s="64"/>
      <c r="I27" s="64"/>
      <c r="W27" s="64"/>
      <c r="X27" s="64"/>
    </row>
    <row r="29" spans="2:25" x14ac:dyDescent="0.25">
      <c r="H29" s="64"/>
      <c r="I29" s="64"/>
      <c r="W29" s="64"/>
      <c r="X29" s="64"/>
    </row>
    <row r="30" spans="2:25" x14ac:dyDescent="0.25">
      <c r="H30" s="64"/>
      <c r="I30" s="64"/>
      <c r="W30" s="64"/>
      <c r="X30" s="64"/>
    </row>
    <row r="31" spans="2:25" x14ac:dyDescent="0.25">
      <c r="C31" t="s">
        <v>29</v>
      </c>
      <c r="R31" t="s">
        <v>29</v>
      </c>
    </row>
    <row r="33" spans="2:25" ht="30" x14ac:dyDescent="0.25">
      <c r="B33" s="183" t="s">
        <v>89</v>
      </c>
      <c r="C33" s="183" t="s">
        <v>90</v>
      </c>
      <c r="D33" s="45" t="s">
        <v>91</v>
      </c>
      <c r="E33" s="45" t="s">
        <v>92</v>
      </c>
      <c r="F33" s="45" t="s">
        <v>93</v>
      </c>
      <c r="G33" s="45" t="s">
        <v>555</v>
      </c>
      <c r="H33" s="45" t="s">
        <v>556</v>
      </c>
      <c r="I33" s="45" t="s">
        <v>557</v>
      </c>
      <c r="Q33" s="68" t="s">
        <v>89</v>
      </c>
      <c r="R33" s="68" t="s">
        <v>90</v>
      </c>
      <c r="S33" s="45" t="s">
        <v>91</v>
      </c>
      <c r="T33" s="45" t="s">
        <v>92</v>
      </c>
      <c r="U33" s="45" t="s">
        <v>93</v>
      </c>
      <c r="V33" s="45" t="s">
        <v>94</v>
      </c>
      <c r="W33" s="45" t="s">
        <v>95</v>
      </c>
      <c r="X33" s="45" t="s">
        <v>96</v>
      </c>
    </row>
    <row r="34" spans="2:25" ht="15" customHeight="1" x14ac:dyDescent="0.25">
      <c r="B34" s="69" t="s">
        <v>112</v>
      </c>
      <c r="C34" s="31" t="s">
        <v>119</v>
      </c>
      <c r="D34" s="48">
        <v>37.29</v>
      </c>
      <c r="E34" s="60">
        <v>4</v>
      </c>
      <c r="F34" s="48">
        <v>0.9</v>
      </c>
      <c r="G34" s="48">
        <f>D34*E34*F34</f>
        <v>134.244</v>
      </c>
      <c r="H34" s="48">
        <f>G34*5</f>
        <v>671.22</v>
      </c>
      <c r="I34" s="452">
        <f>H34*12</f>
        <v>8054.64</v>
      </c>
      <c r="J34" s="21"/>
      <c r="Q34" s="69" t="s">
        <v>112</v>
      </c>
      <c r="R34" s="31" t="s">
        <v>119</v>
      </c>
      <c r="S34" s="48">
        <v>37.29</v>
      </c>
      <c r="T34" s="60">
        <v>4</v>
      </c>
      <c r="U34" s="48">
        <v>0.9</v>
      </c>
      <c r="V34" s="48">
        <f>S34*T34*U34</f>
        <v>134.244</v>
      </c>
      <c r="W34" s="48">
        <f>V34*5</f>
        <v>671.22</v>
      </c>
      <c r="X34" s="48">
        <f>W34*12</f>
        <v>8054.64</v>
      </c>
      <c r="Y34" s="21" t="s">
        <v>43</v>
      </c>
    </row>
    <row r="35" spans="2:25" x14ac:dyDescent="0.25">
      <c r="D35" s="62"/>
      <c r="E35" s="62"/>
      <c r="F35" s="62"/>
      <c r="G35" s="62"/>
      <c r="H35" s="62"/>
      <c r="I35" s="62"/>
      <c r="S35" s="62"/>
      <c r="T35" s="62"/>
      <c r="U35" s="62"/>
      <c r="V35" s="62"/>
      <c r="W35" s="62"/>
      <c r="X35" s="62"/>
    </row>
    <row r="36" spans="2:25" x14ac:dyDescent="0.25">
      <c r="I36" s="64"/>
      <c r="X36" s="64"/>
    </row>
    <row r="37" spans="2:25" x14ac:dyDescent="0.25">
      <c r="C37" t="s">
        <v>30</v>
      </c>
      <c r="R37" t="s">
        <v>30</v>
      </c>
    </row>
    <row r="39" spans="2:25" ht="45" x14ac:dyDescent="0.25">
      <c r="B39" s="183" t="s">
        <v>89</v>
      </c>
      <c r="C39" s="183" t="s">
        <v>122</v>
      </c>
      <c r="D39" s="45" t="s">
        <v>123</v>
      </c>
      <c r="E39" s="45" t="s">
        <v>124</v>
      </c>
      <c r="F39" s="45" t="s">
        <v>125</v>
      </c>
      <c r="G39" s="45" t="s">
        <v>126</v>
      </c>
      <c r="H39" s="45" t="s">
        <v>127</v>
      </c>
      <c r="I39" s="45" t="s">
        <v>128</v>
      </c>
      <c r="Q39" s="68" t="s">
        <v>89</v>
      </c>
      <c r="R39" s="68" t="s">
        <v>122</v>
      </c>
      <c r="S39" s="45" t="s">
        <v>123</v>
      </c>
      <c r="T39" s="45" t="s">
        <v>124</v>
      </c>
      <c r="U39" s="45" t="s">
        <v>125</v>
      </c>
      <c r="V39" s="45" t="s">
        <v>126</v>
      </c>
      <c r="W39" s="45" t="s">
        <v>127</v>
      </c>
      <c r="X39" s="45" t="s">
        <v>128</v>
      </c>
    </row>
    <row r="40" spans="2:25" ht="15" customHeight="1" x14ac:dyDescent="0.25">
      <c r="B40" s="45" t="s">
        <v>121</v>
      </c>
      <c r="C40" s="69" t="s">
        <v>120</v>
      </c>
      <c r="D40" s="139">
        <v>12000</v>
      </c>
      <c r="E40" s="140">
        <v>1.26</v>
      </c>
      <c r="F40" s="140">
        <f t="shared" ref="F40:F46" si="6">D40/E40/1000</f>
        <v>9.5238095238095237</v>
      </c>
      <c r="G40" s="139">
        <v>60</v>
      </c>
      <c r="H40" s="139">
        <f>G40*52</f>
        <v>3120</v>
      </c>
      <c r="I40" s="139">
        <f>G40*48*E40*0.8*0.81</f>
        <v>2351.4624000000003</v>
      </c>
      <c r="J40" s="21"/>
      <c r="Q40" s="45" t="s">
        <v>121</v>
      </c>
      <c r="R40" s="69" t="s">
        <v>120</v>
      </c>
      <c r="S40" s="139">
        <v>12000</v>
      </c>
      <c r="T40" s="140">
        <v>1.26</v>
      </c>
      <c r="U40" s="140">
        <f t="shared" ref="U40:U46" si="7">S40/T40/1000</f>
        <v>9.5238095238095237</v>
      </c>
      <c r="V40" s="139">
        <v>60</v>
      </c>
      <c r="W40" s="139">
        <f>V40*52</f>
        <v>3120</v>
      </c>
      <c r="X40" s="139">
        <f>V40*48*T40*0.8*0.81</f>
        <v>2351.4624000000003</v>
      </c>
      <c r="Y40" s="21" t="s">
        <v>43</v>
      </c>
    </row>
    <row r="41" spans="2:25" x14ac:dyDescent="0.25">
      <c r="B41" s="45" t="s">
        <v>121</v>
      </c>
      <c r="C41" s="31" t="s">
        <v>138</v>
      </c>
      <c r="D41" s="139">
        <v>60000</v>
      </c>
      <c r="E41" s="140">
        <v>7.5</v>
      </c>
      <c r="F41" s="140">
        <f t="shared" si="6"/>
        <v>8</v>
      </c>
      <c r="G41" s="139">
        <v>60</v>
      </c>
      <c r="H41" s="139">
        <f t="shared" ref="H41:H46" si="8">G41*52</f>
        <v>3120</v>
      </c>
      <c r="I41" s="139">
        <f t="shared" ref="I41:I46" si="9">G41*48*E41*0.8*0.81</f>
        <v>13996.800000000001</v>
      </c>
      <c r="J41" s="21"/>
      <c r="Q41" s="45" t="s">
        <v>121</v>
      </c>
      <c r="R41" s="31" t="s">
        <v>138</v>
      </c>
      <c r="S41" s="139">
        <v>60000</v>
      </c>
      <c r="T41" s="140">
        <v>7.5</v>
      </c>
      <c r="U41" s="140">
        <f t="shared" si="7"/>
        <v>8</v>
      </c>
      <c r="V41" s="139">
        <v>60</v>
      </c>
      <c r="W41" s="139">
        <f t="shared" ref="W41:W46" si="10">V41*52</f>
        <v>3120</v>
      </c>
      <c r="X41" s="139">
        <f t="shared" ref="X41:X46" si="11">V41*48*T41*0.8*0.81</f>
        <v>13996.800000000001</v>
      </c>
      <c r="Y41" s="21" t="s">
        <v>43</v>
      </c>
    </row>
    <row r="42" spans="2:25" x14ac:dyDescent="0.25">
      <c r="B42" s="45" t="s">
        <v>133</v>
      </c>
      <c r="C42" s="31" t="s">
        <v>138</v>
      </c>
      <c r="D42" s="139">
        <v>60000</v>
      </c>
      <c r="E42" s="140">
        <v>7.5</v>
      </c>
      <c r="F42" s="140">
        <f t="shared" si="6"/>
        <v>8</v>
      </c>
      <c r="G42" s="139">
        <v>60</v>
      </c>
      <c r="H42" s="139">
        <f t="shared" si="8"/>
        <v>3120</v>
      </c>
      <c r="I42" s="139">
        <f t="shared" si="9"/>
        <v>13996.800000000001</v>
      </c>
      <c r="J42" s="21"/>
      <c r="Q42" s="45" t="s">
        <v>133</v>
      </c>
      <c r="R42" s="31" t="s">
        <v>138</v>
      </c>
      <c r="S42" s="139">
        <v>60000</v>
      </c>
      <c r="T42" s="140">
        <v>7.5</v>
      </c>
      <c r="U42" s="140">
        <f t="shared" si="7"/>
        <v>8</v>
      </c>
      <c r="V42" s="139">
        <v>60</v>
      </c>
      <c r="W42" s="139">
        <f t="shared" si="10"/>
        <v>3120</v>
      </c>
      <c r="X42" s="139">
        <f t="shared" si="11"/>
        <v>13996.800000000001</v>
      </c>
      <c r="Y42" s="21" t="s">
        <v>43</v>
      </c>
    </row>
    <row r="43" spans="2:25" x14ac:dyDescent="0.25">
      <c r="B43" s="45" t="s">
        <v>134</v>
      </c>
      <c r="C43" s="31" t="s">
        <v>120</v>
      </c>
      <c r="D43" s="139">
        <v>12000</v>
      </c>
      <c r="E43" s="140">
        <v>1.3</v>
      </c>
      <c r="F43" s="140">
        <f t="shared" si="6"/>
        <v>9.2307692307692299</v>
      </c>
      <c r="G43" s="139">
        <v>60</v>
      </c>
      <c r="H43" s="139">
        <f t="shared" si="8"/>
        <v>3120</v>
      </c>
      <c r="I43" s="139">
        <f t="shared" si="9"/>
        <v>2426.1120000000005</v>
      </c>
      <c r="J43" s="21"/>
      <c r="Q43" s="45" t="s">
        <v>134</v>
      </c>
      <c r="R43" s="31" t="s">
        <v>120</v>
      </c>
      <c r="S43" s="139">
        <v>12000</v>
      </c>
      <c r="T43" s="140">
        <v>1.3</v>
      </c>
      <c r="U43" s="140">
        <f t="shared" si="7"/>
        <v>9.2307692307692299</v>
      </c>
      <c r="V43" s="139">
        <v>60</v>
      </c>
      <c r="W43" s="139">
        <f t="shared" si="10"/>
        <v>3120</v>
      </c>
      <c r="X43" s="139">
        <f t="shared" si="11"/>
        <v>2426.1120000000005</v>
      </c>
      <c r="Y43" s="21" t="s">
        <v>43</v>
      </c>
    </row>
    <row r="44" spans="2:25" x14ac:dyDescent="0.25">
      <c r="B44" s="45" t="s">
        <v>135</v>
      </c>
      <c r="C44" s="31" t="s">
        <v>120</v>
      </c>
      <c r="D44" s="139">
        <v>12000</v>
      </c>
      <c r="E44" s="140">
        <v>1.3</v>
      </c>
      <c r="F44" s="140">
        <f t="shared" si="6"/>
        <v>9.2307692307692299</v>
      </c>
      <c r="G44" s="139">
        <v>60</v>
      </c>
      <c r="H44" s="139">
        <f t="shared" si="8"/>
        <v>3120</v>
      </c>
      <c r="I44" s="139">
        <f t="shared" si="9"/>
        <v>2426.1120000000005</v>
      </c>
      <c r="J44" s="21"/>
      <c r="Q44" s="45" t="s">
        <v>135</v>
      </c>
      <c r="R44" s="31" t="s">
        <v>120</v>
      </c>
      <c r="S44" s="139">
        <v>12000</v>
      </c>
      <c r="T44" s="140">
        <v>1.3</v>
      </c>
      <c r="U44" s="140">
        <f t="shared" si="7"/>
        <v>9.2307692307692299</v>
      </c>
      <c r="V44" s="139">
        <v>60</v>
      </c>
      <c r="W44" s="139">
        <f t="shared" si="10"/>
        <v>3120</v>
      </c>
      <c r="X44" s="139">
        <f t="shared" si="11"/>
        <v>2426.1120000000005</v>
      </c>
      <c r="Y44" s="21" t="s">
        <v>43</v>
      </c>
    </row>
    <row r="45" spans="2:25" x14ac:dyDescent="0.25">
      <c r="B45" s="45" t="s">
        <v>136</v>
      </c>
      <c r="C45" s="31" t="s">
        <v>120</v>
      </c>
      <c r="D45" s="139">
        <v>12000</v>
      </c>
      <c r="E45" s="140">
        <v>1.3</v>
      </c>
      <c r="F45" s="140">
        <f t="shared" si="6"/>
        <v>9.2307692307692299</v>
      </c>
      <c r="G45" s="139">
        <v>60</v>
      </c>
      <c r="H45" s="139">
        <f t="shared" si="8"/>
        <v>3120</v>
      </c>
      <c r="I45" s="139">
        <f t="shared" si="9"/>
        <v>2426.1120000000005</v>
      </c>
      <c r="J45" s="21"/>
      <c r="Q45" s="45" t="s">
        <v>136</v>
      </c>
      <c r="R45" s="31" t="s">
        <v>120</v>
      </c>
      <c r="S45" s="139">
        <v>12000</v>
      </c>
      <c r="T45" s="140">
        <v>1.3</v>
      </c>
      <c r="U45" s="140">
        <f t="shared" si="7"/>
        <v>9.2307692307692299</v>
      </c>
      <c r="V45" s="139">
        <v>60</v>
      </c>
      <c r="W45" s="139">
        <f t="shared" si="10"/>
        <v>3120</v>
      </c>
      <c r="X45" s="139">
        <f t="shared" si="11"/>
        <v>2426.1120000000005</v>
      </c>
      <c r="Y45" s="21" t="s">
        <v>43</v>
      </c>
    </row>
    <row r="46" spans="2:25" ht="15" customHeight="1" x14ac:dyDescent="0.25">
      <c r="B46" s="45" t="s">
        <v>137</v>
      </c>
      <c r="C46" s="31" t="s">
        <v>120</v>
      </c>
      <c r="D46" s="139">
        <v>12000</v>
      </c>
      <c r="E46" s="140">
        <v>1.3</v>
      </c>
      <c r="F46" s="140">
        <f t="shared" si="6"/>
        <v>9.2307692307692299</v>
      </c>
      <c r="G46" s="139">
        <v>60</v>
      </c>
      <c r="H46" s="139">
        <f t="shared" si="8"/>
        <v>3120</v>
      </c>
      <c r="I46" s="139">
        <f t="shared" si="9"/>
        <v>2426.1120000000005</v>
      </c>
      <c r="J46" s="21"/>
      <c r="Q46" s="45" t="s">
        <v>137</v>
      </c>
      <c r="R46" s="31" t="s">
        <v>120</v>
      </c>
      <c r="S46" s="139">
        <v>12000</v>
      </c>
      <c r="T46" s="140">
        <v>1.3</v>
      </c>
      <c r="U46" s="140">
        <f t="shared" si="7"/>
        <v>9.2307692307692299</v>
      </c>
      <c r="V46" s="139">
        <v>60</v>
      </c>
      <c r="W46" s="139">
        <f t="shared" si="10"/>
        <v>3120</v>
      </c>
      <c r="X46" s="139">
        <f t="shared" si="11"/>
        <v>2426.1120000000005</v>
      </c>
      <c r="Y46" s="21" t="s">
        <v>43</v>
      </c>
    </row>
    <row r="47" spans="2:25" x14ac:dyDescent="0.25">
      <c r="B47" s="45" t="s">
        <v>64</v>
      </c>
      <c r="E47" s="73">
        <f>SUM(E40:E46)</f>
        <v>21.46</v>
      </c>
      <c r="F47" s="24"/>
      <c r="G47" s="71">
        <f>SUM(G40:G46)</f>
        <v>420</v>
      </c>
      <c r="H47" s="71">
        <f>SUM(H40:H46)</f>
        <v>21840</v>
      </c>
      <c r="I47" s="71">
        <f>SUM(I40:I46)</f>
        <v>40049.510400000006</v>
      </c>
      <c r="Q47" s="45" t="s">
        <v>64</v>
      </c>
      <c r="T47" s="73">
        <f>SUM(T40:T46)</f>
        <v>21.46</v>
      </c>
      <c r="U47" s="24"/>
      <c r="V47" s="71">
        <f>SUM(V40:V46)</f>
        <v>420</v>
      </c>
      <c r="W47" s="71">
        <f>SUM(W40:W46)</f>
        <v>21840</v>
      </c>
      <c r="X47" s="71">
        <f>SUM(X40:X46)</f>
        <v>40049.510400000006</v>
      </c>
    </row>
    <row r="49" spans="4:28" x14ac:dyDescent="0.25">
      <c r="E49" s="64"/>
      <c r="T49" s="64"/>
    </row>
    <row r="51" spans="4:28" x14ac:dyDescent="0.25">
      <c r="D51" s="274"/>
      <c r="E51" s="275"/>
      <c r="F51" s="275"/>
      <c r="G51" s="274"/>
      <c r="H51" s="274"/>
      <c r="I51" s="274"/>
      <c r="J51" s="21"/>
      <c r="S51" s="274"/>
      <c r="T51" s="275"/>
      <c r="U51" s="275"/>
      <c r="V51" s="274"/>
      <c r="W51" s="274"/>
      <c r="X51" s="274"/>
      <c r="Y51" s="21"/>
    </row>
    <row r="52" spans="4:28" ht="16.5" x14ac:dyDescent="0.3">
      <c r="D52" s="274"/>
      <c r="E52" s="275"/>
      <c r="F52" s="275"/>
      <c r="G52" s="274"/>
      <c r="H52" s="274"/>
      <c r="I52" s="274"/>
      <c r="J52" s="65"/>
      <c r="S52" s="274"/>
      <c r="T52" s="275"/>
      <c r="U52" s="275"/>
      <c r="V52" s="274"/>
      <c r="W52" s="274"/>
      <c r="X52" s="274"/>
      <c r="Y52" s="65"/>
    </row>
    <row r="53" spans="4:28" x14ac:dyDescent="0.25">
      <c r="D53" s="274"/>
      <c r="E53" s="275"/>
      <c r="F53" s="275"/>
      <c r="G53" s="274"/>
      <c r="H53" s="274"/>
      <c r="I53" s="274"/>
      <c r="S53" s="274"/>
      <c r="T53" s="275"/>
      <c r="U53" s="275"/>
      <c r="V53" s="274"/>
      <c r="W53" s="274"/>
      <c r="X53" s="274"/>
    </row>
    <row r="54" spans="4:28" x14ac:dyDescent="0.25">
      <c r="D54" s="274"/>
      <c r="E54" s="275"/>
      <c r="F54" s="275"/>
      <c r="G54" s="274"/>
      <c r="H54" s="274"/>
      <c r="I54" s="274"/>
      <c r="S54" s="274"/>
      <c r="T54" s="275"/>
      <c r="U54" s="275"/>
      <c r="V54" s="274"/>
      <c r="W54" s="274"/>
      <c r="X54" s="274"/>
    </row>
    <row r="55" spans="4:28" x14ac:dyDescent="0.25">
      <c r="D55" s="274"/>
      <c r="E55" s="275"/>
      <c r="F55" s="275"/>
      <c r="G55" s="274"/>
      <c r="H55" s="274"/>
      <c r="I55" s="274"/>
      <c r="S55" s="274"/>
      <c r="T55" s="275"/>
      <c r="U55" s="275"/>
      <c r="V55" s="274"/>
      <c r="W55" s="274"/>
      <c r="X55" s="274"/>
    </row>
    <row r="56" spans="4:28" x14ac:dyDescent="0.25">
      <c r="D56" s="274"/>
      <c r="E56" s="275"/>
      <c r="F56" s="275"/>
      <c r="G56" s="274"/>
      <c r="H56" s="274"/>
      <c r="I56" s="274"/>
      <c r="S56" s="274"/>
      <c r="T56" s="275"/>
      <c r="U56" s="275"/>
      <c r="V56" s="274"/>
      <c r="W56" s="274"/>
      <c r="X56" s="274"/>
    </row>
    <row r="57" spans="4:28" x14ac:dyDescent="0.25">
      <c r="D57" s="274"/>
      <c r="E57" s="275"/>
      <c r="F57" s="275"/>
      <c r="G57" s="274"/>
      <c r="H57" s="274"/>
      <c r="I57" s="274"/>
      <c r="S57" s="274"/>
      <c r="T57" s="275"/>
      <c r="U57" s="275"/>
      <c r="V57" s="274"/>
      <c r="W57" s="274"/>
      <c r="X57" s="274"/>
    </row>
    <row r="58" spans="4:28" x14ac:dyDescent="0.25">
      <c r="E58" s="62"/>
      <c r="F58" s="24"/>
      <c r="G58" s="87"/>
      <c r="H58" s="87"/>
      <c r="I58" s="87"/>
      <c r="T58" s="62"/>
      <c r="U58" s="24"/>
      <c r="V58" s="87"/>
      <c r="W58" s="87"/>
      <c r="X58" s="87"/>
    </row>
    <row r="60" spans="4:28" x14ac:dyDescent="0.25">
      <c r="M60" t="s">
        <v>281</v>
      </c>
      <c r="AB60" t="s">
        <v>281</v>
      </c>
    </row>
    <row r="61" spans="4:28" x14ac:dyDescent="0.25">
      <c r="D61" s="66" t="s">
        <v>130</v>
      </c>
      <c r="J61" t="s">
        <v>279</v>
      </c>
      <c r="M61" s="22">
        <v>0.8</v>
      </c>
      <c r="S61" s="66" t="s">
        <v>130</v>
      </c>
      <c r="Y61" t="s">
        <v>279</v>
      </c>
      <c r="AB61" s="22">
        <v>0.8</v>
      </c>
    </row>
    <row r="62" spans="4:28" ht="16.5" x14ac:dyDescent="0.3">
      <c r="D62" s="67" t="s">
        <v>131</v>
      </c>
      <c r="J62" t="s">
        <v>280</v>
      </c>
      <c r="M62">
        <v>0.75</v>
      </c>
      <c r="S62" s="67" t="s">
        <v>131</v>
      </c>
      <c r="Y62" t="s">
        <v>280</v>
      </c>
      <c r="AB62">
        <v>0.75</v>
      </c>
    </row>
    <row r="63" spans="4:28" ht="16.5" x14ac:dyDescent="0.3">
      <c r="D63" s="67" t="s">
        <v>132</v>
      </c>
      <c r="S63" s="67" t="s">
        <v>132</v>
      </c>
    </row>
    <row r="64" spans="4:28" x14ac:dyDescent="0.25">
      <c r="D64" s="36" t="s">
        <v>129</v>
      </c>
      <c r="S64" s="36" t="s">
        <v>129</v>
      </c>
    </row>
    <row r="67" spans="2:24" x14ac:dyDescent="0.25">
      <c r="C67" t="s">
        <v>31</v>
      </c>
      <c r="R67" t="s">
        <v>31</v>
      </c>
    </row>
    <row r="69" spans="2:24" ht="45" x14ac:dyDescent="0.25">
      <c r="B69" s="68" t="s">
        <v>89</v>
      </c>
      <c r="C69" s="68" t="s">
        <v>122</v>
      </c>
      <c r="D69" s="45" t="s">
        <v>139</v>
      </c>
      <c r="E69" s="45" t="s">
        <v>140</v>
      </c>
      <c r="F69" s="45" t="s">
        <v>141</v>
      </c>
      <c r="G69" s="45" t="s">
        <v>142</v>
      </c>
      <c r="H69" s="45" t="s">
        <v>128</v>
      </c>
      <c r="Q69" s="68" t="s">
        <v>89</v>
      </c>
      <c r="R69" s="68" t="s">
        <v>122</v>
      </c>
      <c r="S69" s="45" t="s">
        <v>139</v>
      </c>
      <c r="T69" s="45" t="s">
        <v>140</v>
      </c>
      <c r="U69" s="45" t="s">
        <v>141</v>
      </c>
      <c r="V69" s="45" t="s">
        <v>142</v>
      </c>
      <c r="W69" s="45" t="s">
        <v>128</v>
      </c>
    </row>
    <row r="70" spans="2:24" x14ac:dyDescent="0.25">
      <c r="B70" s="687" t="s">
        <v>147</v>
      </c>
      <c r="C70" s="31" t="s">
        <v>143</v>
      </c>
      <c r="D70" s="31">
        <v>32</v>
      </c>
      <c r="E70" s="31">
        <v>24</v>
      </c>
      <c r="F70" s="31">
        <f>D70*E70</f>
        <v>768</v>
      </c>
      <c r="G70" s="31">
        <v>9</v>
      </c>
      <c r="H70" s="48">
        <f>F70*G70*313/1000</f>
        <v>2163.4560000000001</v>
      </c>
      <c r="I70" s="21"/>
      <c r="Q70" s="687" t="s">
        <v>147</v>
      </c>
      <c r="R70" s="31" t="s">
        <v>143</v>
      </c>
      <c r="S70" s="31">
        <v>32</v>
      </c>
      <c r="T70" s="31">
        <v>24</v>
      </c>
      <c r="U70" s="31">
        <f>S70*T70</f>
        <v>768</v>
      </c>
      <c r="V70" s="31">
        <v>9</v>
      </c>
      <c r="W70" s="48">
        <f>U70*V70*313/1000</f>
        <v>2163.4560000000001</v>
      </c>
      <c r="X70" s="21" t="s">
        <v>43</v>
      </c>
    </row>
    <row r="71" spans="2:24" x14ac:dyDescent="0.25">
      <c r="B71" s="687"/>
      <c r="C71" s="31" t="s">
        <v>144</v>
      </c>
      <c r="D71" s="31">
        <v>25</v>
      </c>
      <c r="E71" s="31">
        <v>1</v>
      </c>
      <c r="F71" s="31">
        <f t="shared" ref="F71:F83" si="12">D71*E71</f>
        <v>25</v>
      </c>
      <c r="G71" s="31">
        <v>9</v>
      </c>
      <c r="H71" s="48">
        <f t="shared" ref="H71:H83" si="13">F71*G71*313/1000</f>
        <v>70.424999999999997</v>
      </c>
      <c r="I71" s="21"/>
      <c r="Q71" s="687"/>
      <c r="R71" s="31" t="s">
        <v>144</v>
      </c>
      <c r="S71" s="31">
        <v>25</v>
      </c>
      <c r="T71" s="31">
        <v>1</v>
      </c>
      <c r="U71" s="31">
        <f t="shared" ref="U71:U83" si="14">S71*T71</f>
        <v>25</v>
      </c>
      <c r="V71" s="31">
        <v>9</v>
      </c>
      <c r="W71" s="48">
        <f t="shared" ref="W71:W83" si="15">U71*V71*313/1000</f>
        <v>70.424999999999997</v>
      </c>
      <c r="X71" s="21" t="s">
        <v>43</v>
      </c>
    </row>
    <row r="72" spans="2:24" x14ac:dyDescent="0.25">
      <c r="B72" s="687" t="s">
        <v>148</v>
      </c>
      <c r="C72" s="31" t="s">
        <v>144</v>
      </c>
      <c r="D72" s="31">
        <v>25</v>
      </c>
      <c r="E72" s="31">
        <v>2</v>
      </c>
      <c r="F72" s="31">
        <f t="shared" si="12"/>
        <v>50</v>
      </c>
      <c r="G72" s="31">
        <v>6</v>
      </c>
      <c r="H72" s="48">
        <f t="shared" si="13"/>
        <v>93.9</v>
      </c>
      <c r="I72" s="21"/>
      <c r="Q72" s="687" t="s">
        <v>148</v>
      </c>
      <c r="R72" s="31" t="s">
        <v>144</v>
      </c>
      <c r="S72" s="31">
        <v>25</v>
      </c>
      <c r="T72" s="31">
        <v>2</v>
      </c>
      <c r="U72" s="31">
        <f t="shared" si="14"/>
        <v>50</v>
      </c>
      <c r="V72" s="31">
        <v>6</v>
      </c>
      <c r="W72" s="48">
        <f t="shared" si="15"/>
        <v>93.9</v>
      </c>
      <c r="X72" s="21" t="s">
        <v>43</v>
      </c>
    </row>
    <row r="73" spans="2:24" x14ac:dyDescent="0.25">
      <c r="B73" s="687"/>
      <c r="C73" s="31" t="s">
        <v>145</v>
      </c>
      <c r="D73" s="31">
        <v>75</v>
      </c>
      <c r="E73" s="31">
        <v>2</v>
      </c>
      <c r="F73" s="31">
        <f t="shared" si="12"/>
        <v>150</v>
      </c>
      <c r="G73" s="31">
        <v>12</v>
      </c>
      <c r="H73" s="48">
        <f t="shared" si="13"/>
        <v>563.4</v>
      </c>
      <c r="I73" s="21"/>
      <c r="Q73" s="687"/>
      <c r="R73" s="31" t="s">
        <v>145</v>
      </c>
      <c r="S73" s="31">
        <v>75</v>
      </c>
      <c r="T73" s="31">
        <v>2</v>
      </c>
      <c r="U73" s="31">
        <f t="shared" si="14"/>
        <v>150</v>
      </c>
      <c r="V73" s="31">
        <v>12</v>
      </c>
      <c r="W73" s="48">
        <f t="shared" si="15"/>
        <v>563.4</v>
      </c>
      <c r="X73" s="21" t="s">
        <v>43</v>
      </c>
    </row>
    <row r="74" spans="2:24" x14ac:dyDescent="0.25">
      <c r="B74" s="17" t="s">
        <v>149</v>
      </c>
      <c r="C74" s="31" t="s">
        <v>143</v>
      </c>
      <c r="D74" s="31">
        <v>32</v>
      </c>
      <c r="E74" s="31">
        <v>30</v>
      </c>
      <c r="F74" s="31">
        <f t="shared" si="12"/>
        <v>960</v>
      </c>
      <c r="G74" s="31">
        <v>9</v>
      </c>
      <c r="H74" s="48">
        <f t="shared" si="13"/>
        <v>2704.32</v>
      </c>
      <c r="I74" s="21"/>
      <c r="Q74" s="17" t="s">
        <v>149</v>
      </c>
      <c r="R74" s="31" t="s">
        <v>143</v>
      </c>
      <c r="S74" s="31">
        <v>32</v>
      </c>
      <c r="T74" s="31">
        <v>30</v>
      </c>
      <c r="U74" s="31">
        <f t="shared" si="14"/>
        <v>960</v>
      </c>
      <c r="V74" s="31">
        <v>9</v>
      </c>
      <c r="W74" s="48">
        <f t="shared" si="15"/>
        <v>2704.32</v>
      </c>
      <c r="X74" s="21" t="s">
        <v>43</v>
      </c>
    </row>
    <row r="75" spans="2:24" x14ac:dyDescent="0.25">
      <c r="B75" s="714" t="s">
        <v>150</v>
      </c>
      <c r="C75" s="31" t="s">
        <v>143</v>
      </c>
      <c r="D75" s="31">
        <v>32</v>
      </c>
      <c r="E75" s="31">
        <v>51</v>
      </c>
      <c r="F75" s="31">
        <f t="shared" si="12"/>
        <v>1632</v>
      </c>
      <c r="G75" s="31">
        <v>9</v>
      </c>
      <c r="H75" s="48">
        <f t="shared" si="13"/>
        <v>4597.3440000000001</v>
      </c>
      <c r="I75" s="21"/>
      <c r="Q75" s="714" t="s">
        <v>150</v>
      </c>
      <c r="R75" s="31" t="s">
        <v>143</v>
      </c>
      <c r="S75" s="31">
        <v>32</v>
      </c>
      <c r="T75" s="31">
        <v>51</v>
      </c>
      <c r="U75" s="31">
        <f t="shared" si="14"/>
        <v>1632</v>
      </c>
      <c r="V75" s="31">
        <v>9</v>
      </c>
      <c r="W75" s="48">
        <f t="shared" si="15"/>
        <v>4597.3440000000001</v>
      </c>
      <c r="X75" s="21" t="s">
        <v>43</v>
      </c>
    </row>
    <row r="76" spans="2:24" x14ac:dyDescent="0.25">
      <c r="B76" s="714"/>
      <c r="C76" s="31" t="s">
        <v>146</v>
      </c>
      <c r="D76" s="31">
        <v>25</v>
      </c>
      <c r="E76" s="31">
        <v>1</v>
      </c>
      <c r="F76" s="31">
        <f t="shared" si="12"/>
        <v>25</v>
      </c>
      <c r="G76" s="31">
        <v>9</v>
      </c>
      <c r="H76" s="48">
        <f t="shared" si="13"/>
        <v>70.424999999999997</v>
      </c>
      <c r="I76" s="21"/>
      <c r="Q76" s="714"/>
      <c r="R76" s="31" t="s">
        <v>146</v>
      </c>
      <c r="S76" s="31">
        <v>25</v>
      </c>
      <c r="T76" s="31">
        <v>1</v>
      </c>
      <c r="U76" s="31">
        <f t="shared" si="14"/>
        <v>25</v>
      </c>
      <c r="V76" s="31">
        <v>9</v>
      </c>
      <c r="W76" s="48">
        <f t="shared" si="15"/>
        <v>70.424999999999997</v>
      </c>
      <c r="X76" s="21" t="s">
        <v>43</v>
      </c>
    </row>
    <row r="77" spans="2:24" x14ac:dyDescent="0.25">
      <c r="B77" s="17" t="s">
        <v>134</v>
      </c>
      <c r="C77" s="31" t="s">
        <v>143</v>
      </c>
      <c r="D77" s="31">
        <v>32</v>
      </c>
      <c r="E77" s="31">
        <v>8</v>
      </c>
      <c r="F77" s="31">
        <f t="shared" si="12"/>
        <v>256</v>
      </c>
      <c r="G77" s="31">
        <v>9</v>
      </c>
      <c r="H77" s="48">
        <f t="shared" si="13"/>
        <v>721.15200000000004</v>
      </c>
      <c r="I77" s="21"/>
      <c r="Q77" s="17" t="s">
        <v>134</v>
      </c>
      <c r="R77" s="31" t="s">
        <v>143</v>
      </c>
      <c r="S77" s="31">
        <v>32</v>
      </c>
      <c r="T77" s="31">
        <v>8</v>
      </c>
      <c r="U77" s="31">
        <f t="shared" si="14"/>
        <v>256</v>
      </c>
      <c r="V77" s="31">
        <v>9</v>
      </c>
      <c r="W77" s="48">
        <f t="shared" si="15"/>
        <v>721.15200000000004</v>
      </c>
      <c r="X77" s="21" t="s">
        <v>43</v>
      </c>
    </row>
    <row r="78" spans="2:24" x14ac:dyDescent="0.25">
      <c r="B78" s="17" t="s">
        <v>135</v>
      </c>
      <c r="C78" s="31" t="s">
        <v>143</v>
      </c>
      <c r="D78" s="31">
        <v>32</v>
      </c>
      <c r="E78" s="31">
        <v>12</v>
      </c>
      <c r="F78" s="31">
        <f t="shared" si="12"/>
        <v>384</v>
      </c>
      <c r="G78" s="31">
        <v>9</v>
      </c>
      <c r="H78" s="48">
        <f t="shared" si="13"/>
        <v>1081.7280000000001</v>
      </c>
      <c r="I78" s="21"/>
      <c r="Q78" s="17" t="s">
        <v>135</v>
      </c>
      <c r="R78" s="31" t="s">
        <v>143</v>
      </c>
      <c r="S78" s="31">
        <v>32</v>
      </c>
      <c r="T78" s="31">
        <v>12</v>
      </c>
      <c r="U78" s="31">
        <f t="shared" si="14"/>
        <v>384</v>
      </c>
      <c r="V78" s="31">
        <v>9</v>
      </c>
      <c r="W78" s="48">
        <f t="shared" si="15"/>
        <v>1081.7280000000001</v>
      </c>
      <c r="X78" s="21" t="s">
        <v>43</v>
      </c>
    </row>
    <row r="79" spans="2:24" x14ac:dyDescent="0.25">
      <c r="B79" s="17" t="s">
        <v>151</v>
      </c>
      <c r="C79" s="31" t="s">
        <v>143</v>
      </c>
      <c r="D79" s="31">
        <v>32</v>
      </c>
      <c r="E79" s="31">
        <v>2</v>
      </c>
      <c r="F79" s="31">
        <f t="shared" si="12"/>
        <v>64</v>
      </c>
      <c r="G79" s="31">
        <v>1</v>
      </c>
      <c r="H79" s="48">
        <f t="shared" si="13"/>
        <v>20.032</v>
      </c>
      <c r="I79" s="21"/>
      <c r="Q79" s="17" t="s">
        <v>151</v>
      </c>
      <c r="R79" s="31" t="s">
        <v>143</v>
      </c>
      <c r="S79" s="31">
        <v>32</v>
      </c>
      <c r="T79" s="31">
        <v>2</v>
      </c>
      <c r="U79" s="31">
        <f t="shared" si="14"/>
        <v>64</v>
      </c>
      <c r="V79" s="31">
        <v>1</v>
      </c>
      <c r="W79" s="48">
        <f t="shared" si="15"/>
        <v>20.032</v>
      </c>
      <c r="X79" s="21" t="s">
        <v>43</v>
      </c>
    </row>
    <row r="80" spans="2:24" x14ac:dyDescent="0.25">
      <c r="B80" s="17" t="s">
        <v>136</v>
      </c>
      <c r="C80" s="31" t="s">
        <v>143</v>
      </c>
      <c r="D80" s="31">
        <v>32</v>
      </c>
      <c r="E80" s="31">
        <v>3</v>
      </c>
      <c r="F80" s="31">
        <f t="shared" si="12"/>
        <v>96</v>
      </c>
      <c r="G80" s="31">
        <v>9</v>
      </c>
      <c r="H80" s="48">
        <f t="shared" si="13"/>
        <v>270.43200000000002</v>
      </c>
      <c r="I80" s="21"/>
      <c r="Q80" s="17" t="s">
        <v>136</v>
      </c>
      <c r="R80" s="31" t="s">
        <v>143</v>
      </c>
      <c r="S80" s="31">
        <v>32</v>
      </c>
      <c r="T80" s="31">
        <v>3</v>
      </c>
      <c r="U80" s="31">
        <f t="shared" si="14"/>
        <v>96</v>
      </c>
      <c r="V80" s="31">
        <v>9</v>
      </c>
      <c r="W80" s="48">
        <f t="shared" si="15"/>
        <v>270.43200000000002</v>
      </c>
      <c r="X80" s="21" t="s">
        <v>43</v>
      </c>
    </row>
    <row r="81" spans="2:24" x14ac:dyDescent="0.25">
      <c r="B81" s="17" t="s">
        <v>152</v>
      </c>
      <c r="C81" s="31" t="s">
        <v>143</v>
      </c>
      <c r="D81" s="31">
        <v>32</v>
      </c>
      <c r="E81" s="31">
        <v>6</v>
      </c>
      <c r="F81" s="31">
        <f t="shared" si="12"/>
        <v>192</v>
      </c>
      <c r="G81" s="31">
        <v>9</v>
      </c>
      <c r="H81" s="48">
        <f t="shared" si="13"/>
        <v>540.86400000000003</v>
      </c>
      <c r="I81" s="21"/>
      <c r="Q81" s="17" t="s">
        <v>152</v>
      </c>
      <c r="R81" s="31" t="s">
        <v>143</v>
      </c>
      <c r="S81" s="31">
        <v>32</v>
      </c>
      <c r="T81" s="31">
        <v>6</v>
      </c>
      <c r="U81" s="31">
        <f t="shared" si="14"/>
        <v>192</v>
      </c>
      <c r="V81" s="31">
        <v>9</v>
      </c>
      <c r="W81" s="48">
        <f t="shared" si="15"/>
        <v>540.86400000000003</v>
      </c>
      <c r="X81" s="21" t="s">
        <v>43</v>
      </c>
    </row>
    <row r="82" spans="2:24" x14ac:dyDescent="0.25">
      <c r="B82" s="17" t="s">
        <v>153</v>
      </c>
      <c r="C82" s="31" t="s">
        <v>144</v>
      </c>
      <c r="D82" s="31">
        <v>25</v>
      </c>
      <c r="E82" s="31">
        <v>2</v>
      </c>
      <c r="F82" s="31">
        <f t="shared" si="12"/>
        <v>50</v>
      </c>
      <c r="G82" s="31">
        <v>4</v>
      </c>
      <c r="H82" s="48">
        <f t="shared" si="13"/>
        <v>62.6</v>
      </c>
      <c r="I82" s="21"/>
      <c r="Q82" s="17" t="s">
        <v>153</v>
      </c>
      <c r="R82" s="31" t="s">
        <v>144</v>
      </c>
      <c r="S82" s="31">
        <v>25</v>
      </c>
      <c r="T82" s="31">
        <v>2</v>
      </c>
      <c r="U82" s="31">
        <f t="shared" si="14"/>
        <v>50</v>
      </c>
      <c r="V82" s="31">
        <v>4</v>
      </c>
      <c r="W82" s="48">
        <f t="shared" si="15"/>
        <v>62.6</v>
      </c>
      <c r="X82" s="21" t="s">
        <v>43</v>
      </c>
    </row>
    <row r="83" spans="2:24" x14ac:dyDescent="0.25">
      <c r="B83" s="17" t="s">
        <v>137</v>
      </c>
      <c r="C83" s="31" t="s">
        <v>143</v>
      </c>
      <c r="D83" s="31">
        <v>32</v>
      </c>
      <c r="E83" s="31">
        <v>12</v>
      </c>
      <c r="F83" s="31">
        <f t="shared" si="12"/>
        <v>384</v>
      </c>
      <c r="G83" s="31">
        <v>0.3</v>
      </c>
      <c r="H83" s="48">
        <f t="shared" si="13"/>
        <v>36.057600000000001</v>
      </c>
      <c r="I83" s="21"/>
      <c r="Q83" s="17" t="s">
        <v>137</v>
      </c>
      <c r="R83" s="31" t="s">
        <v>143</v>
      </c>
      <c r="S83" s="31">
        <v>32</v>
      </c>
      <c r="T83" s="31">
        <v>12</v>
      </c>
      <c r="U83" s="31">
        <f t="shared" si="14"/>
        <v>384</v>
      </c>
      <c r="V83" s="31">
        <v>0.3</v>
      </c>
      <c r="W83" s="48">
        <f t="shared" si="15"/>
        <v>36.057600000000001</v>
      </c>
      <c r="X83" s="21" t="s">
        <v>43</v>
      </c>
    </row>
    <row r="84" spans="2:24" x14ac:dyDescent="0.25">
      <c r="B84" s="17" t="s">
        <v>64</v>
      </c>
      <c r="F84" s="31">
        <f>SUM(F70:F83)</f>
        <v>5036</v>
      </c>
      <c r="H84" s="72">
        <f>SUM(H70:H83)</f>
        <v>12996.135600000001</v>
      </c>
      <c r="Q84" s="17" t="s">
        <v>64</v>
      </c>
      <c r="U84" s="31">
        <f>SUM(U70:U83)</f>
        <v>5036</v>
      </c>
      <c r="W84" s="72">
        <f>SUM(W70:W83)</f>
        <v>12996.135600000001</v>
      </c>
    </row>
    <row r="101" spans="2:23" x14ac:dyDescent="0.25">
      <c r="C101" t="s">
        <v>32</v>
      </c>
    </row>
    <row r="102" spans="2:23" x14ac:dyDescent="0.25">
      <c r="R102" t="s">
        <v>32</v>
      </c>
    </row>
    <row r="103" spans="2:23" x14ac:dyDescent="0.25">
      <c r="B103" s="687" t="s">
        <v>90</v>
      </c>
      <c r="C103" s="687" t="s">
        <v>91</v>
      </c>
      <c r="D103" s="686" t="s">
        <v>154</v>
      </c>
      <c r="E103" s="714" t="s">
        <v>155</v>
      </c>
      <c r="F103" s="714" t="s">
        <v>156</v>
      </c>
      <c r="G103" s="714" t="s">
        <v>157</v>
      </c>
      <c r="Q103" s="687" t="s">
        <v>90</v>
      </c>
      <c r="R103" s="687" t="s">
        <v>91</v>
      </c>
      <c r="S103" s="686" t="s">
        <v>154</v>
      </c>
      <c r="T103" s="714" t="s">
        <v>155</v>
      </c>
      <c r="U103" s="714" t="s">
        <v>156</v>
      </c>
      <c r="V103" s="714" t="s">
        <v>157</v>
      </c>
    </row>
    <row r="104" spans="2:23" x14ac:dyDescent="0.25">
      <c r="B104" s="687"/>
      <c r="C104" s="687"/>
      <c r="D104" s="686"/>
      <c r="E104" s="714"/>
      <c r="F104" s="714"/>
      <c r="G104" s="714"/>
      <c r="Q104" s="687"/>
      <c r="R104" s="687"/>
      <c r="S104" s="686"/>
      <c r="T104" s="714"/>
      <c r="U104" s="714"/>
      <c r="V104" s="714"/>
    </row>
    <row r="105" spans="2:23" x14ac:dyDescent="0.25">
      <c r="B105" s="31" t="s">
        <v>158</v>
      </c>
      <c r="C105" s="31">
        <v>9.4999999999999998E-3</v>
      </c>
      <c r="D105" s="31">
        <v>3</v>
      </c>
      <c r="E105" s="31">
        <f>C105*D105</f>
        <v>2.8499999999999998E-2</v>
      </c>
      <c r="F105" s="72">
        <f>E105*5</f>
        <v>0.14249999999999999</v>
      </c>
      <c r="G105" s="38">
        <f>F105*12</f>
        <v>1.71</v>
      </c>
      <c r="H105" s="21"/>
      <c r="Q105" s="31" t="s">
        <v>158</v>
      </c>
      <c r="R105" s="31">
        <v>9.4999999999999998E-3</v>
      </c>
      <c r="S105" s="31">
        <v>3</v>
      </c>
      <c r="T105" s="31">
        <f>R105*S105</f>
        <v>2.8499999999999998E-2</v>
      </c>
      <c r="U105" s="72">
        <f>T105*5</f>
        <v>0.14249999999999999</v>
      </c>
      <c r="V105" s="38">
        <f>U105*12</f>
        <v>1.71</v>
      </c>
      <c r="W105" s="21" t="s">
        <v>43</v>
      </c>
    </row>
    <row r="106" spans="2:23" x14ac:dyDescent="0.25">
      <c r="B106" s="31" t="s">
        <v>159</v>
      </c>
      <c r="C106" s="31">
        <v>1.92</v>
      </c>
      <c r="D106" s="31">
        <v>24</v>
      </c>
      <c r="E106" s="31">
        <f>C106*D106*5</f>
        <v>230.39999999999998</v>
      </c>
      <c r="F106" s="72">
        <f>E106*5</f>
        <v>1152</v>
      </c>
      <c r="G106" s="72">
        <f>F106*12</f>
        <v>13824</v>
      </c>
      <c r="H106" s="21"/>
      <c r="Q106" s="31" t="s">
        <v>159</v>
      </c>
      <c r="R106" s="31">
        <v>1.92</v>
      </c>
      <c r="S106" s="31">
        <v>24</v>
      </c>
      <c r="T106" s="31">
        <f>R106*S106*5</f>
        <v>230.39999999999998</v>
      </c>
      <c r="U106" s="72">
        <f>T106*5</f>
        <v>1152</v>
      </c>
      <c r="V106" s="72">
        <f>U106*12</f>
        <v>13824</v>
      </c>
      <c r="W106" s="21" t="s">
        <v>43</v>
      </c>
    </row>
    <row r="107" spans="2:23" x14ac:dyDescent="0.25">
      <c r="B107" s="31" t="s">
        <v>160</v>
      </c>
      <c r="C107" s="31">
        <v>1.5</v>
      </c>
      <c r="D107" s="31">
        <v>3</v>
      </c>
      <c r="E107" s="31">
        <f>C107*D107</f>
        <v>4.5</v>
      </c>
      <c r="F107" s="72">
        <f>E107*5</f>
        <v>22.5</v>
      </c>
      <c r="G107" s="74">
        <f>F107*12</f>
        <v>270</v>
      </c>
      <c r="H107" s="21"/>
      <c r="Q107" s="31" t="s">
        <v>160</v>
      </c>
      <c r="R107" s="31">
        <v>1.5</v>
      </c>
      <c r="S107" s="31">
        <v>3</v>
      </c>
      <c r="T107" s="31">
        <f>R107*S107</f>
        <v>4.5</v>
      </c>
      <c r="U107" s="72">
        <f>T107*5</f>
        <v>22.5</v>
      </c>
      <c r="V107" s="74">
        <f>U107*12</f>
        <v>270</v>
      </c>
      <c r="W107" s="21" t="s">
        <v>43</v>
      </c>
    </row>
    <row r="108" spans="2:23" x14ac:dyDescent="0.25">
      <c r="B108" s="31" t="s">
        <v>528</v>
      </c>
      <c r="C108" s="31">
        <v>12</v>
      </c>
      <c r="D108" s="31">
        <v>16</v>
      </c>
      <c r="E108" s="31">
        <f>C108*D108</f>
        <v>192</v>
      </c>
      <c r="F108" s="72">
        <f>E108*5</f>
        <v>960</v>
      </c>
      <c r="G108" s="74">
        <f>F108*12</f>
        <v>11520</v>
      </c>
      <c r="H108" s="21"/>
      <c r="Q108" s="408" t="s">
        <v>528</v>
      </c>
      <c r="R108" s="408">
        <v>12</v>
      </c>
      <c r="S108" s="408">
        <v>16</v>
      </c>
      <c r="T108" s="408">
        <f>R108*S108</f>
        <v>192</v>
      </c>
      <c r="U108" s="418">
        <f>T108*5</f>
        <v>960</v>
      </c>
      <c r="V108" s="420">
        <f>U108*12</f>
        <v>11520</v>
      </c>
      <c r="W108" s="406" t="s">
        <v>43</v>
      </c>
    </row>
    <row r="109" spans="2:23" x14ac:dyDescent="0.25">
      <c r="B109" s="31"/>
      <c r="C109" s="38">
        <f>SUM(C105:C108)</f>
        <v>15.429500000000001</v>
      </c>
      <c r="E109" s="31">
        <f>SUM(E105:E108)</f>
        <v>426.92849999999999</v>
      </c>
      <c r="F109" s="72">
        <f>SUM(F105:F108)</f>
        <v>2134.6424999999999</v>
      </c>
      <c r="G109" s="72">
        <f>SUM(G105:G108)</f>
        <v>25615.71</v>
      </c>
      <c r="Q109" s="31"/>
      <c r="R109" s="38">
        <f>SUM(R105:R108)</f>
        <v>15.429500000000001</v>
      </c>
      <c r="T109" s="31">
        <f>SUM(T105:T108)</f>
        <v>426.92849999999999</v>
      </c>
      <c r="U109" s="72">
        <f>SUM(U105:U108)</f>
        <v>2134.6424999999999</v>
      </c>
      <c r="V109" s="72">
        <f>SUM(V105:V108)</f>
        <v>25615.71</v>
      </c>
    </row>
    <row r="111" spans="2:23" x14ac:dyDescent="0.25">
      <c r="U111" s="64"/>
    </row>
    <row r="112" spans="2:23" x14ac:dyDescent="0.25">
      <c r="F112" s="64"/>
    </row>
    <row r="115" spans="2:27" x14ac:dyDescent="0.25">
      <c r="C115" t="s">
        <v>33</v>
      </c>
      <c r="R115" t="s">
        <v>33</v>
      </c>
    </row>
    <row r="116" spans="2:27" ht="15" customHeight="1" x14ac:dyDescent="0.25">
      <c r="Q116" s="702" t="s">
        <v>89</v>
      </c>
      <c r="R116" s="702" t="s">
        <v>90</v>
      </c>
      <c r="S116" s="702" t="s">
        <v>161</v>
      </c>
      <c r="T116" s="702" t="s">
        <v>162</v>
      </c>
      <c r="U116" s="702" t="s">
        <v>163</v>
      </c>
      <c r="V116" s="702" t="s">
        <v>164</v>
      </c>
    </row>
    <row r="117" spans="2:27" x14ac:dyDescent="0.25">
      <c r="B117" s="702" t="s">
        <v>89</v>
      </c>
      <c r="C117" s="702" t="s">
        <v>90</v>
      </c>
      <c r="D117" s="702" t="s">
        <v>161</v>
      </c>
      <c r="E117" s="702" t="s">
        <v>162</v>
      </c>
      <c r="F117" s="702" t="s">
        <v>163</v>
      </c>
      <c r="G117" s="702" t="s">
        <v>164</v>
      </c>
      <c r="Q117" s="704"/>
      <c r="R117" s="704"/>
      <c r="S117" s="704"/>
      <c r="T117" s="704"/>
      <c r="U117" s="704"/>
      <c r="V117" s="704"/>
    </row>
    <row r="118" spans="2:27" x14ac:dyDescent="0.25">
      <c r="B118" s="704"/>
      <c r="C118" s="704"/>
      <c r="D118" s="704"/>
      <c r="E118" s="704"/>
      <c r="F118" s="704"/>
      <c r="G118" s="704"/>
      <c r="Q118" s="704"/>
      <c r="R118" s="704"/>
      <c r="S118" s="704"/>
      <c r="T118" s="704"/>
      <c r="U118" s="704"/>
      <c r="V118" s="704"/>
    </row>
    <row r="119" spans="2:27" x14ac:dyDescent="0.25">
      <c r="B119" s="704"/>
      <c r="C119" s="704"/>
      <c r="D119" s="704"/>
      <c r="E119" s="704"/>
      <c r="F119" s="704"/>
      <c r="G119" s="704"/>
      <c r="Q119" s="703"/>
      <c r="R119" s="703"/>
      <c r="S119" s="703"/>
      <c r="T119" s="703"/>
      <c r="U119" s="703"/>
      <c r="V119" s="703"/>
    </row>
    <row r="120" spans="2:27" ht="15" customHeight="1" x14ac:dyDescent="0.25">
      <c r="B120" s="703"/>
      <c r="C120" s="703"/>
      <c r="D120" s="703"/>
      <c r="E120" s="703"/>
      <c r="F120" s="703"/>
      <c r="G120" s="703"/>
      <c r="I120" s="696" t="s">
        <v>328</v>
      </c>
      <c r="J120" s="696"/>
      <c r="K120" s="696"/>
      <c r="L120" s="655"/>
      <c r="Q120" s="702" t="s">
        <v>104</v>
      </c>
      <c r="R120" s="702" t="s">
        <v>165</v>
      </c>
      <c r="S120" s="702" t="s">
        <v>168</v>
      </c>
      <c r="T120" s="702" t="s">
        <v>169</v>
      </c>
      <c r="U120" s="708">
        <f>'Balance Térmico'!S76</f>
        <v>31.633869039145907</v>
      </c>
      <c r="V120" s="708">
        <f>U120*12</f>
        <v>379.60642846975088</v>
      </c>
      <c r="W120" s="700">
        <f>V120</f>
        <v>379.60642846975088</v>
      </c>
      <c r="X120" s="710" t="s">
        <v>328</v>
      </c>
      <c r="Y120" s="710"/>
      <c r="Z120" s="710"/>
      <c r="AA120" s="655"/>
    </row>
    <row r="121" spans="2:27" x14ac:dyDescent="0.25">
      <c r="B121" s="702" t="s">
        <v>104</v>
      </c>
      <c r="C121" s="702" t="s">
        <v>165</v>
      </c>
      <c r="D121" s="702" t="s">
        <v>168</v>
      </c>
      <c r="E121" s="702" t="s">
        <v>169</v>
      </c>
      <c r="F121" s="721">
        <f>'Balance Térmico'!G76</f>
        <v>31.633869039145907</v>
      </c>
      <c r="G121" s="721">
        <f>F121*12</f>
        <v>379.60642846975088</v>
      </c>
      <c r="H121" s="700">
        <f>G121</f>
        <v>379.60642846975088</v>
      </c>
      <c r="I121" s="696"/>
      <c r="J121" s="696"/>
      <c r="K121" s="696"/>
      <c r="L121" s="655"/>
      <c r="Q121" s="703"/>
      <c r="R121" s="703"/>
      <c r="S121" s="703"/>
      <c r="T121" s="703"/>
      <c r="U121" s="709"/>
      <c r="V121" s="709"/>
      <c r="W121" s="700"/>
      <c r="X121" s="710"/>
      <c r="Y121" s="710"/>
      <c r="Z121" s="710"/>
      <c r="AA121" s="655"/>
    </row>
    <row r="122" spans="2:27" ht="15" customHeight="1" x14ac:dyDescent="0.25">
      <c r="B122" s="703"/>
      <c r="C122" s="703"/>
      <c r="D122" s="703"/>
      <c r="E122" s="703"/>
      <c r="F122" s="687"/>
      <c r="G122" s="687"/>
      <c r="H122" s="700"/>
      <c r="I122" s="696" t="s">
        <v>330</v>
      </c>
      <c r="J122" s="696"/>
      <c r="K122" s="696"/>
      <c r="L122" s="694" t="str">
        <f>IF(H123&gt;H127,"Mayor","-")</f>
        <v>-</v>
      </c>
      <c r="Q122" s="702" t="s">
        <v>167</v>
      </c>
      <c r="R122" s="702" t="s">
        <v>165</v>
      </c>
      <c r="S122" s="702" t="s">
        <v>168</v>
      </c>
      <c r="T122" s="702" t="s">
        <v>169</v>
      </c>
      <c r="U122" s="705">
        <f>'Balance Térmico'!S74</f>
        <v>103.04626334519571</v>
      </c>
      <c r="V122" s="697">
        <f>U122*12</f>
        <v>1236.5551601423485</v>
      </c>
      <c r="W122" s="700">
        <f>V122+V124</f>
        <v>1236.5551601423485</v>
      </c>
      <c r="X122" s="713" t="s">
        <v>330</v>
      </c>
      <c r="Y122" s="713"/>
      <c r="Z122" s="713"/>
      <c r="AA122" s="696" t="str">
        <f>IF(W122&gt;W126,"Mayor","-")</f>
        <v>-</v>
      </c>
    </row>
    <row r="123" spans="2:27" x14ac:dyDescent="0.25">
      <c r="B123" s="702" t="s">
        <v>167</v>
      </c>
      <c r="C123" s="702" t="s">
        <v>165</v>
      </c>
      <c r="D123" s="702" t="s">
        <v>168</v>
      </c>
      <c r="E123" s="702" t="s">
        <v>169</v>
      </c>
      <c r="F123" s="715">
        <f>'Balance Térmico'!G74</f>
        <v>105.48042704626334</v>
      </c>
      <c r="G123" s="716">
        <f>F123*12</f>
        <v>1265.7651245551601</v>
      </c>
      <c r="H123" s="700">
        <f>G123+G125</f>
        <v>1265.7651245551601</v>
      </c>
      <c r="I123" s="696"/>
      <c r="J123" s="696"/>
      <c r="K123" s="696"/>
      <c r="L123" s="694"/>
      <c r="Q123" s="704"/>
      <c r="R123" s="703"/>
      <c r="S123" s="703"/>
      <c r="T123" s="703"/>
      <c r="U123" s="711"/>
      <c r="V123" s="698"/>
      <c r="W123" s="700"/>
      <c r="X123" s="713"/>
      <c r="Y123" s="713"/>
      <c r="Z123" s="713"/>
      <c r="AA123" s="696"/>
    </row>
    <row r="124" spans="2:27" x14ac:dyDescent="0.25">
      <c r="B124" s="704"/>
      <c r="C124" s="703"/>
      <c r="D124" s="703"/>
      <c r="E124" s="703"/>
      <c r="F124" s="704"/>
      <c r="G124" s="717"/>
      <c r="H124" s="700"/>
      <c r="I124" s="696"/>
      <c r="J124" s="696"/>
      <c r="K124" s="696"/>
      <c r="L124" s="694"/>
      <c r="Q124" s="704"/>
      <c r="R124" s="702" t="s">
        <v>165</v>
      </c>
      <c r="S124" s="702" t="s">
        <v>168</v>
      </c>
      <c r="T124" s="702" t="s">
        <v>169</v>
      </c>
      <c r="U124" s="711"/>
      <c r="V124" s="698"/>
      <c r="W124" s="700"/>
      <c r="X124" s="713"/>
      <c r="Y124" s="713"/>
      <c r="Z124" s="713"/>
      <c r="AA124" s="696"/>
    </row>
    <row r="125" spans="2:27" x14ac:dyDescent="0.25">
      <c r="B125" s="704"/>
      <c r="C125" s="702" t="s">
        <v>165</v>
      </c>
      <c r="D125" s="702" t="s">
        <v>168</v>
      </c>
      <c r="E125" s="702" t="s">
        <v>169</v>
      </c>
      <c r="F125" s="704"/>
      <c r="G125" s="717"/>
      <c r="H125" s="700"/>
      <c r="I125" s="696"/>
      <c r="J125" s="696"/>
      <c r="K125" s="696"/>
      <c r="L125" s="694"/>
      <c r="Q125" s="703"/>
      <c r="R125" s="703"/>
      <c r="S125" s="703"/>
      <c r="T125" s="703"/>
      <c r="U125" s="712"/>
      <c r="V125" s="699"/>
      <c r="W125" s="700"/>
      <c r="X125" s="713"/>
      <c r="Y125" s="713"/>
      <c r="Z125" s="713"/>
      <c r="AA125" s="696"/>
    </row>
    <row r="126" spans="2:27" ht="15" customHeight="1" x14ac:dyDescent="0.25">
      <c r="B126" s="703"/>
      <c r="C126" s="703"/>
      <c r="D126" s="703"/>
      <c r="E126" s="703"/>
      <c r="F126" s="703"/>
      <c r="G126" s="718"/>
      <c r="H126" s="700"/>
      <c r="I126" s="696" t="s">
        <v>327</v>
      </c>
      <c r="J126" s="696"/>
      <c r="K126" s="696"/>
      <c r="L126" s="694" t="str">
        <f>IF(H127&gt;H123,"Mayor","-")</f>
        <v>Mayor</v>
      </c>
      <c r="Q126" s="702" t="s">
        <v>112</v>
      </c>
      <c r="R126" s="702" t="s">
        <v>329</v>
      </c>
      <c r="S126" s="702" t="s">
        <v>168</v>
      </c>
      <c r="T126" s="702" t="s">
        <v>169</v>
      </c>
      <c r="U126" s="705">
        <f>'Balance Térmico'!S75</f>
        <v>135.4277825980426</v>
      </c>
      <c r="V126" s="697">
        <f>U126*12</f>
        <v>1625.1333911765112</v>
      </c>
      <c r="W126" s="700">
        <f>V126+V128</f>
        <v>1625.1333911765112</v>
      </c>
      <c r="X126" s="701" t="s">
        <v>327</v>
      </c>
      <c r="Y126" s="701"/>
      <c r="Z126" s="701"/>
      <c r="AA126" s="694" t="str">
        <f>IF(W126&gt;W122,"Mayor","-")</f>
        <v>Mayor</v>
      </c>
    </row>
    <row r="127" spans="2:27" x14ac:dyDescent="0.25">
      <c r="B127" s="702" t="s">
        <v>112</v>
      </c>
      <c r="C127" s="702" t="s">
        <v>329</v>
      </c>
      <c r="D127" s="702" t="s">
        <v>168</v>
      </c>
      <c r="E127" s="702" t="s">
        <v>169</v>
      </c>
      <c r="F127" s="715">
        <f>'Balance Térmico'!G75</f>
        <v>149.98087679979704</v>
      </c>
      <c r="G127" s="716">
        <f>F127*12</f>
        <v>1799.7705215975645</v>
      </c>
      <c r="H127" s="700">
        <f>G127+G129</f>
        <v>1799.7705215975645</v>
      </c>
      <c r="I127" s="696"/>
      <c r="J127" s="696"/>
      <c r="K127" s="696"/>
      <c r="L127" s="694"/>
      <c r="Q127" s="704"/>
      <c r="R127" s="703"/>
      <c r="S127" s="703"/>
      <c r="T127" s="703"/>
      <c r="U127" s="706"/>
      <c r="V127" s="698"/>
      <c r="W127" s="700"/>
      <c r="X127" s="701"/>
      <c r="Y127" s="701"/>
      <c r="Z127" s="701"/>
      <c r="AA127" s="694"/>
    </row>
    <row r="128" spans="2:27" ht="15" customHeight="1" x14ac:dyDescent="0.25">
      <c r="B128" s="704"/>
      <c r="C128" s="703"/>
      <c r="D128" s="703"/>
      <c r="E128" s="703"/>
      <c r="F128" s="719"/>
      <c r="G128" s="717"/>
      <c r="H128" s="700"/>
      <c r="I128" s="696"/>
      <c r="J128" s="696"/>
      <c r="K128" s="696"/>
      <c r="L128" s="694"/>
      <c r="Q128" s="704"/>
      <c r="R128" s="702" t="s">
        <v>166</v>
      </c>
      <c r="S128" s="702" t="s">
        <v>168</v>
      </c>
      <c r="T128" s="702" t="s">
        <v>169</v>
      </c>
      <c r="U128" s="706"/>
      <c r="V128" s="698"/>
      <c r="W128" s="700"/>
      <c r="X128" s="701"/>
      <c r="Y128" s="701"/>
      <c r="Z128" s="701"/>
      <c r="AA128" s="694"/>
    </row>
    <row r="129" spans="2:27" x14ac:dyDescent="0.25">
      <c r="B129" s="704"/>
      <c r="C129" s="702" t="s">
        <v>166</v>
      </c>
      <c r="D129" s="702" t="s">
        <v>168</v>
      </c>
      <c r="E129" s="702" t="s">
        <v>169</v>
      </c>
      <c r="F129" s="719"/>
      <c r="G129" s="717"/>
      <c r="H129" s="700"/>
      <c r="I129" s="696"/>
      <c r="J129" s="696"/>
      <c r="K129" s="696"/>
      <c r="L129" s="694"/>
      <c r="Q129" s="703"/>
      <c r="R129" s="703"/>
      <c r="S129" s="703"/>
      <c r="T129" s="703"/>
      <c r="U129" s="707"/>
      <c r="V129" s="699"/>
      <c r="W129" s="700"/>
      <c r="X129" s="701"/>
      <c r="Y129" s="701"/>
      <c r="Z129" s="701"/>
      <c r="AA129" s="694"/>
    </row>
    <row r="130" spans="2:27" x14ac:dyDescent="0.25">
      <c r="B130" s="703"/>
      <c r="C130" s="703"/>
      <c r="D130" s="703"/>
      <c r="E130" s="703"/>
      <c r="F130" s="720"/>
      <c r="G130" s="718"/>
      <c r="H130" s="700"/>
      <c r="Q130" s="17" t="s">
        <v>64</v>
      </c>
      <c r="U130" s="72">
        <f>SUM(U120:U129)</f>
        <v>270.10791498238422</v>
      </c>
      <c r="V130" s="72">
        <f>SUM(V120:V129)</f>
        <v>3241.2949797886104</v>
      </c>
    </row>
    <row r="131" spans="2:27" x14ac:dyDescent="0.25">
      <c r="B131" s="17" t="s">
        <v>64</v>
      </c>
      <c r="F131" s="72">
        <f>SUM(F121:F130)</f>
        <v>287.0951728852063</v>
      </c>
      <c r="G131" s="72">
        <f>SUM(G121:G130)</f>
        <v>3445.1420746224758</v>
      </c>
    </row>
    <row r="132" spans="2:27" x14ac:dyDescent="0.25">
      <c r="T132" s="23"/>
    </row>
    <row r="133" spans="2:27" x14ac:dyDescent="0.25">
      <c r="E133" s="23"/>
      <c r="T133" s="23"/>
    </row>
    <row r="134" spans="2:27" x14ac:dyDescent="0.25">
      <c r="E134" s="23"/>
      <c r="T134" s="23"/>
    </row>
    <row r="135" spans="2:27" x14ac:dyDescent="0.25">
      <c r="E135" s="23"/>
      <c r="T135" s="23"/>
    </row>
    <row r="136" spans="2:27" x14ac:dyDescent="0.25">
      <c r="E136" s="23"/>
    </row>
  </sheetData>
  <mergeCells count="102">
    <mergeCell ref="G121:G122"/>
    <mergeCell ref="G103:G104"/>
    <mergeCell ref="E117:E120"/>
    <mergeCell ref="F117:F120"/>
    <mergeCell ref="G117:G120"/>
    <mergeCell ref="F103:F104"/>
    <mergeCell ref="E103:E104"/>
    <mergeCell ref="D117:D120"/>
    <mergeCell ref="C117:C120"/>
    <mergeCell ref="B117:B120"/>
    <mergeCell ref="B4:B10"/>
    <mergeCell ref="B11:B13"/>
    <mergeCell ref="B15:B23"/>
    <mergeCell ref="B70:B71"/>
    <mergeCell ref="B72:B73"/>
    <mergeCell ref="B75:B76"/>
    <mergeCell ref="D103:D104"/>
    <mergeCell ref="C103:C104"/>
    <mergeCell ref="B103:B104"/>
    <mergeCell ref="C129:C130"/>
    <mergeCell ref="C121:C122"/>
    <mergeCell ref="C123:C124"/>
    <mergeCell ref="C125:C126"/>
    <mergeCell ref="D129:D130"/>
    <mergeCell ref="E129:E130"/>
    <mergeCell ref="D125:D126"/>
    <mergeCell ref="C127:C128"/>
    <mergeCell ref="D121:D122"/>
    <mergeCell ref="E121:E122"/>
    <mergeCell ref="D123:D124"/>
    <mergeCell ref="Q4:Q10"/>
    <mergeCell ref="Q11:Q13"/>
    <mergeCell ref="Q15:Q23"/>
    <mergeCell ref="Q70:Q71"/>
    <mergeCell ref="Q72:Q73"/>
    <mergeCell ref="L126:L129"/>
    <mergeCell ref="B123:B126"/>
    <mergeCell ref="B127:B130"/>
    <mergeCell ref="H121:H122"/>
    <mergeCell ref="I120:K121"/>
    <mergeCell ref="F123:F126"/>
    <mergeCell ref="G123:G126"/>
    <mergeCell ref="H123:H126"/>
    <mergeCell ref="I122:K125"/>
    <mergeCell ref="F127:F130"/>
    <mergeCell ref="G127:G130"/>
    <mergeCell ref="H127:H130"/>
    <mergeCell ref="I126:K129"/>
    <mergeCell ref="E123:E124"/>
    <mergeCell ref="B121:B122"/>
    <mergeCell ref="F121:F122"/>
    <mergeCell ref="E125:E126"/>
    <mergeCell ref="D127:D128"/>
    <mergeCell ref="E127:E128"/>
    <mergeCell ref="U103:U104"/>
    <mergeCell ref="V103:V104"/>
    <mergeCell ref="Q116:Q119"/>
    <mergeCell ref="R116:R119"/>
    <mergeCell ref="S116:S119"/>
    <mergeCell ref="T116:T119"/>
    <mergeCell ref="U116:U119"/>
    <mergeCell ref="V116:V119"/>
    <mergeCell ref="Q75:Q76"/>
    <mergeCell ref="Q103:Q104"/>
    <mergeCell ref="R103:R104"/>
    <mergeCell ref="S103:S104"/>
    <mergeCell ref="T103:T104"/>
    <mergeCell ref="V122:V125"/>
    <mergeCell ref="W122:W125"/>
    <mergeCell ref="X122:Z125"/>
    <mergeCell ref="R124:R125"/>
    <mergeCell ref="S124:S125"/>
    <mergeCell ref="T124:T125"/>
    <mergeCell ref="Q120:Q121"/>
    <mergeCell ref="R120:R121"/>
    <mergeCell ref="S120:S121"/>
    <mergeCell ref="T120:T121"/>
    <mergeCell ref="U120:U121"/>
    <mergeCell ref="L120:L121"/>
    <mergeCell ref="L122:L125"/>
    <mergeCell ref="AA120:AA121"/>
    <mergeCell ref="AA122:AA125"/>
    <mergeCell ref="V126:V129"/>
    <mergeCell ref="W126:W129"/>
    <mergeCell ref="X126:Z129"/>
    <mergeCell ref="AA126:AA129"/>
    <mergeCell ref="R128:R129"/>
    <mergeCell ref="S128:S129"/>
    <mergeCell ref="T128:T129"/>
    <mergeCell ref="Q126:Q129"/>
    <mergeCell ref="R126:R127"/>
    <mergeCell ref="S126:S127"/>
    <mergeCell ref="T126:T127"/>
    <mergeCell ref="U126:U129"/>
    <mergeCell ref="V120:V121"/>
    <mergeCell ref="W120:W121"/>
    <mergeCell ref="X120:Z121"/>
    <mergeCell ref="Q122:Q125"/>
    <mergeCell ref="R122:R123"/>
    <mergeCell ref="S122:S123"/>
    <mergeCell ref="T122:T123"/>
    <mergeCell ref="U122:U125"/>
  </mergeCells>
  <phoneticPr fontId="12" type="noConversion"/>
  <hyperlinks>
    <hyperlink ref="D64" r:id="rId1" xr:uid="{1AAD907A-2146-41AA-9A84-60BC7FEDC603}"/>
    <hyperlink ref="S64" r:id="rId2" xr:uid="{75129979-2CBB-48DB-8697-AA6CA7DAA6E0}"/>
  </hyperlinks>
  <pageMargins left="0.7" right="0.7" top="0.75" bottom="0.75" header="0.3" footer="0.3"/>
  <ignoredErrors>
    <ignoredError sqref="E106" formula="1"/>
  </ignoredErrors>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1F54F-4439-4BD4-9C8B-1966256A28F7}">
  <sheetPr>
    <tabColor theme="0" tint="-4.9989318521683403E-2"/>
  </sheetPr>
  <dimension ref="B3:BF115"/>
  <sheetViews>
    <sheetView showGridLines="0" topLeftCell="A10" zoomScale="80" zoomScaleNormal="80" workbookViewId="0">
      <selection activeCell="K38" sqref="K38"/>
    </sheetView>
  </sheetViews>
  <sheetFormatPr baseColWidth="10" defaultRowHeight="15" x14ac:dyDescent="0.25"/>
  <cols>
    <col min="2" max="2" width="20.5703125" bestFit="1" customWidth="1"/>
    <col min="3" max="3" width="20.28515625" bestFit="1" customWidth="1"/>
    <col min="4" max="4" width="8.7109375" bestFit="1" customWidth="1"/>
    <col min="5" max="5" width="9" bestFit="1" customWidth="1"/>
    <col min="6" max="6" width="9.42578125" bestFit="1" customWidth="1"/>
    <col min="7" max="7" width="12" customWidth="1"/>
    <col min="8" max="8" width="10.140625" bestFit="1" customWidth="1"/>
    <col min="10" max="10" width="18" customWidth="1"/>
    <col min="11" max="11" width="9.140625" bestFit="1" customWidth="1"/>
    <col min="12" max="12" width="10.5703125" bestFit="1" customWidth="1"/>
    <col min="13" max="13" width="8.7109375" bestFit="1" customWidth="1"/>
    <col min="14" max="14" width="5.28515625" customWidth="1"/>
    <col min="15" max="15" width="8.140625" bestFit="1" customWidth="1"/>
    <col min="16" max="17" width="10.140625" bestFit="1" customWidth="1"/>
    <col min="19" max="19" width="16.85546875" customWidth="1"/>
    <col min="20" max="20" width="42.140625" bestFit="1" customWidth="1"/>
    <col min="21" max="21" width="10.5703125" bestFit="1" customWidth="1"/>
    <col min="22" max="22" width="10" bestFit="1" customWidth="1"/>
    <col min="23" max="23" width="9.140625" bestFit="1" customWidth="1"/>
    <col min="24" max="24" width="9.42578125" bestFit="1" customWidth="1"/>
    <col min="25" max="25" width="10.28515625" bestFit="1" customWidth="1"/>
    <col min="26" max="26" width="10" bestFit="1" customWidth="1"/>
    <col min="28" max="28" width="11.5703125" bestFit="1" customWidth="1"/>
    <col min="35" max="35" width="16" customWidth="1"/>
    <col min="36" max="36" width="27.5703125" customWidth="1"/>
    <col min="37" max="37" width="14.85546875" customWidth="1"/>
    <col min="38" max="38" width="14.5703125" customWidth="1"/>
    <col min="39" max="39" width="12.85546875" customWidth="1"/>
    <col min="43" max="43" width="14.85546875" bestFit="1" customWidth="1"/>
  </cols>
  <sheetData>
    <row r="3" spans="2:8" ht="45" x14ac:dyDescent="0.25">
      <c r="B3" s="183" t="s">
        <v>89</v>
      </c>
      <c r="C3" s="183" t="s">
        <v>122</v>
      </c>
      <c r="D3" s="45" t="s">
        <v>139</v>
      </c>
      <c r="E3" s="45" t="s">
        <v>140</v>
      </c>
      <c r="F3" s="45" t="s">
        <v>141</v>
      </c>
      <c r="G3" s="45" t="s">
        <v>142</v>
      </c>
      <c r="H3" s="45" t="s">
        <v>128</v>
      </c>
    </row>
    <row r="4" spans="2:8" x14ac:dyDescent="0.25">
      <c r="B4" s="687" t="s">
        <v>147</v>
      </c>
      <c r="C4" s="31" t="s">
        <v>143</v>
      </c>
      <c r="D4" s="31">
        <v>32</v>
      </c>
      <c r="E4" s="31">
        <v>24</v>
      </c>
      <c r="F4" s="31">
        <f>D4*E4</f>
        <v>768</v>
      </c>
      <c r="G4" s="31">
        <v>9</v>
      </c>
      <c r="H4" s="48">
        <f>F4*G4*313/1000</f>
        <v>2163.4560000000001</v>
      </c>
    </row>
    <row r="5" spans="2:8" x14ac:dyDescent="0.25">
      <c r="B5" s="687"/>
      <c r="C5" s="31" t="s">
        <v>144</v>
      </c>
      <c r="D5" s="31">
        <v>25</v>
      </c>
      <c r="E5" s="31">
        <v>1</v>
      </c>
      <c r="F5" s="31">
        <f t="shared" ref="F5:F17" si="0">D5*E5</f>
        <v>25</v>
      </c>
      <c r="G5" s="31">
        <v>9</v>
      </c>
      <c r="H5" s="48">
        <f t="shared" ref="H5:H17" si="1">F5*G5*313/1000</f>
        <v>70.424999999999997</v>
      </c>
    </row>
    <row r="6" spans="2:8" x14ac:dyDescent="0.25">
      <c r="B6" s="687" t="s">
        <v>148</v>
      </c>
      <c r="C6" s="31" t="s">
        <v>144</v>
      </c>
      <c r="D6" s="31">
        <v>25</v>
      </c>
      <c r="E6" s="31">
        <v>2</v>
      </c>
      <c r="F6" s="31">
        <f t="shared" si="0"/>
        <v>50</v>
      </c>
      <c r="G6" s="31">
        <v>6</v>
      </c>
      <c r="H6" s="48">
        <f t="shared" si="1"/>
        <v>93.9</v>
      </c>
    </row>
    <row r="7" spans="2:8" x14ac:dyDescent="0.25">
      <c r="B7" s="687"/>
      <c r="C7" s="31" t="s">
        <v>145</v>
      </c>
      <c r="D7" s="31">
        <v>75</v>
      </c>
      <c r="E7" s="31">
        <v>2</v>
      </c>
      <c r="F7" s="31">
        <f t="shared" si="0"/>
        <v>150</v>
      </c>
      <c r="G7" s="31">
        <v>12</v>
      </c>
      <c r="H7" s="48">
        <f t="shared" si="1"/>
        <v>563.4</v>
      </c>
    </row>
    <row r="8" spans="2:8" x14ac:dyDescent="0.25">
      <c r="B8" s="17" t="s">
        <v>149</v>
      </c>
      <c r="C8" s="31" t="s">
        <v>143</v>
      </c>
      <c r="D8" s="31">
        <v>32</v>
      </c>
      <c r="E8" s="31">
        <v>30</v>
      </c>
      <c r="F8" s="31">
        <f t="shared" si="0"/>
        <v>960</v>
      </c>
      <c r="G8" s="31">
        <v>9</v>
      </c>
      <c r="H8" s="48">
        <f t="shared" si="1"/>
        <v>2704.32</v>
      </c>
    </row>
    <row r="9" spans="2:8" x14ac:dyDescent="0.25">
      <c r="B9" s="714" t="s">
        <v>150</v>
      </c>
      <c r="C9" s="31" t="s">
        <v>143</v>
      </c>
      <c r="D9" s="31">
        <v>32</v>
      </c>
      <c r="E9" s="31">
        <v>51</v>
      </c>
      <c r="F9" s="31">
        <f t="shared" si="0"/>
        <v>1632</v>
      </c>
      <c r="G9" s="31">
        <v>9</v>
      </c>
      <c r="H9" s="48">
        <f t="shared" si="1"/>
        <v>4597.3440000000001</v>
      </c>
    </row>
    <row r="10" spans="2:8" x14ac:dyDescent="0.25">
      <c r="B10" s="714"/>
      <c r="C10" s="31" t="s">
        <v>146</v>
      </c>
      <c r="D10" s="31">
        <v>25</v>
      </c>
      <c r="E10" s="31">
        <v>1</v>
      </c>
      <c r="F10" s="31">
        <f t="shared" si="0"/>
        <v>25</v>
      </c>
      <c r="G10" s="31">
        <v>9</v>
      </c>
      <c r="H10" s="48">
        <f t="shared" si="1"/>
        <v>70.424999999999997</v>
      </c>
    </row>
    <row r="11" spans="2:8" x14ac:dyDescent="0.25">
      <c r="B11" s="17" t="s">
        <v>134</v>
      </c>
      <c r="C11" s="31" t="s">
        <v>143</v>
      </c>
      <c r="D11" s="31">
        <v>32</v>
      </c>
      <c r="E11" s="31">
        <v>8</v>
      </c>
      <c r="F11" s="31">
        <f t="shared" si="0"/>
        <v>256</v>
      </c>
      <c r="G11" s="31">
        <v>9</v>
      </c>
      <c r="H11" s="48">
        <f t="shared" si="1"/>
        <v>721.15200000000004</v>
      </c>
    </row>
    <row r="12" spans="2:8" x14ac:dyDescent="0.25">
      <c r="B12" s="17" t="s">
        <v>135</v>
      </c>
      <c r="C12" s="31" t="s">
        <v>143</v>
      </c>
      <c r="D12" s="31">
        <v>32</v>
      </c>
      <c r="E12" s="31">
        <v>12</v>
      </c>
      <c r="F12" s="31">
        <f t="shared" si="0"/>
        <v>384</v>
      </c>
      <c r="G12" s="31">
        <v>9</v>
      </c>
      <c r="H12" s="48">
        <f t="shared" si="1"/>
        <v>1081.7280000000001</v>
      </c>
    </row>
    <row r="13" spans="2:8" x14ac:dyDescent="0.25">
      <c r="B13" s="17" t="s">
        <v>151</v>
      </c>
      <c r="C13" s="31" t="s">
        <v>143</v>
      </c>
      <c r="D13" s="31">
        <v>32</v>
      </c>
      <c r="E13" s="31">
        <v>2</v>
      </c>
      <c r="F13" s="31">
        <f t="shared" si="0"/>
        <v>64</v>
      </c>
      <c r="G13" s="31">
        <v>1</v>
      </c>
      <c r="H13" s="48">
        <f t="shared" si="1"/>
        <v>20.032</v>
      </c>
    </row>
    <row r="14" spans="2:8" x14ac:dyDescent="0.25">
      <c r="B14" s="17" t="s">
        <v>136</v>
      </c>
      <c r="C14" s="31" t="s">
        <v>143</v>
      </c>
      <c r="D14" s="31">
        <v>32</v>
      </c>
      <c r="E14" s="31">
        <v>3</v>
      </c>
      <c r="F14" s="31">
        <f t="shared" si="0"/>
        <v>96</v>
      </c>
      <c r="G14" s="31">
        <v>9</v>
      </c>
      <c r="H14" s="48">
        <f t="shared" si="1"/>
        <v>270.43200000000002</v>
      </c>
    </row>
    <row r="15" spans="2:8" x14ac:dyDescent="0.25">
      <c r="B15" s="17" t="s">
        <v>152</v>
      </c>
      <c r="C15" s="31" t="s">
        <v>143</v>
      </c>
      <c r="D15" s="31">
        <v>32</v>
      </c>
      <c r="E15" s="31">
        <v>6</v>
      </c>
      <c r="F15" s="31">
        <f t="shared" si="0"/>
        <v>192</v>
      </c>
      <c r="G15" s="31">
        <v>9</v>
      </c>
      <c r="H15" s="48">
        <f t="shared" si="1"/>
        <v>540.86400000000003</v>
      </c>
    </row>
    <row r="16" spans="2:8" x14ac:dyDescent="0.25">
      <c r="B16" s="17" t="s">
        <v>153</v>
      </c>
      <c r="C16" s="31" t="s">
        <v>144</v>
      </c>
      <c r="D16" s="31">
        <v>25</v>
      </c>
      <c r="E16" s="31">
        <v>2</v>
      </c>
      <c r="F16" s="31">
        <f t="shared" si="0"/>
        <v>50</v>
      </c>
      <c r="G16" s="31">
        <v>4</v>
      </c>
      <c r="H16" s="48">
        <f t="shared" si="1"/>
        <v>62.6</v>
      </c>
    </row>
    <row r="17" spans="2:26" x14ac:dyDescent="0.25">
      <c r="B17" s="17" t="s">
        <v>137</v>
      </c>
      <c r="C17" s="31" t="s">
        <v>143</v>
      </c>
      <c r="D17" s="31">
        <v>32</v>
      </c>
      <c r="E17" s="31">
        <v>12</v>
      </c>
      <c r="F17" s="31">
        <f t="shared" si="0"/>
        <v>384</v>
      </c>
      <c r="G17" s="31">
        <v>0.3</v>
      </c>
      <c r="H17" s="48">
        <f t="shared" si="1"/>
        <v>36.057600000000001</v>
      </c>
    </row>
    <row r="18" spans="2:26" x14ac:dyDescent="0.25">
      <c r="B18" s="17" t="s">
        <v>64</v>
      </c>
      <c r="F18" s="31">
        <f>SUM(F4:F17)</f>
        <v>5036</v>
      </c>
      <c r="H18" s="72">
        <f>SUM(H4:H17)</f>
        <v>12996.135600000001</v>
      </c>
    </row>
    <row r="22" spans="2:26" ht="45" x14ac:dyDescent="0.25">
      <c r="J22" s="183" t="s">
        <v>89</v>
      </c>
      <c r="K22" s="183" t="s">
        <v>122</v>
      </c>
      <c r="L22" s="45" t="s">
        <v>123</v>
      </c>
      <c r="M22" s="45" t="s">
        <v>124</v>
      </c>
      <c r="N22" s="45" t="s">
        <v>125</v>
      </c>
      <c r="O22" s="45" t="s">
        <v>126</v>
      </c>
      <c r="P22" s="45" t="s">
        <v>127</v>
      </c>
      <c r="Q22" s="45" t="s">
        <v>128</v>
      </c>
    </row>
    <row r="23" spans="2:26" s="265" customFormat="1" x14ac:dyDescent="0.25">
      <c r="J23" s="45" t="s">
        <v>121</v>
      </c>
      <c r="K23" s="69" t="s">
        <v>120</v>
      </c>
      <c r="L23" s="453">
        <v>12000</v>
      </c>
      <c r="M23" s="454">
        <v>1.26</v>
      </c>
      <c r="N23" s="454">
        <f t="shared" ref="N23:N29" si="2">L23/M23/1000</f>
        <v>9.5238095238095237</v>
      </c>
      <c r="O23" s="453">
        <v>60</v>
      </c>
      <c r="P23" s="453">
        <f>O23*52</f>
        <v>3120</v>
      </c>
      <c r="Q23" s="453">
        <f>O23*48*M23*0.8*0.81</f>
        <v>2351.4624000000003</v>
      </c>
    </row>
    <row r="24" spans="2:26" s="265" customFormat="1" x14ac:dyDescent="0.25">
      <c r="J24" s="45" t="s">
        <v>121</v>
      </c>
      <c r="K24" s="455" t="s">
        <v>138</v>
      </c>
      <c r="L24" s="453">
        <v>60000</v>
      </c>
      <c r="M24" s="454">
        <v>7.5</v>
      </c>
      <c r="N24" s="454">
        <f t="shared" si="2"/>
        <v>8</v>
      </c>
      <c r="O24" s="453">
        <v>60</v>
      </c>
      <c r="P24" s="453">
        <f t="shared" ref="P24:P29" si="3">O24*52</f>
        <v>3120</v>
      </c>
      <c r="Q24" s="453">
        <f t="shared" ref="Q24:Q29" si="4">O24*48*M24*0.8*0.81</f>
        <v>13996.800000000001</v>
      </c>
    </row>
    <row r="25" spans="2:26" s="265" customFormat="1" x14ac:dyDescent="0.25">
      <c r="J25" s="45" t="s">
        <v>133</v>
      </c>
      <c r="K25" s="455" t="s">
        <v>138</v>
      </c>
      <c r="L25" s="453">
        <v>60000</v>
      </c>
      <c r="M25" s="454">
        <v>7.5</v>
      </c>
      <c r="N25" s="454">
        <f t="shared" si="2"/>
        <v>8</v>
      </c>
      <c r="O25" s="453">
        <v>60</v>
      </c>
      <c r="P25" s="453">
        <f t="shared" si="3"/>
        <v>3120</v>
      </c>
      <c r="Q25" s="453">
        <f t="shared" si="4"/>
        <v>13996.800000000001</v>
      </c>
    </row>
    <row r="26" spans="2:26" s="265" customFormat="1" x14ac:dyDescent="0.25">
      <c r="J26" s="45" t="s">
        <v>134</v>
      </c>
      <c r="K26" s="455" t="s">
        <v>120</v>
      </c>
      <c r="L26" s="453">
        <v>12000</v>
      </c>
      <c r="M26" s="454">
        <v>1.3</v>
      </c>
      <c r="N26" s="454">
        <f t="shared" si="2"/>
        <v>9.2307692307692299</v>
      </c>
      <c r="O26" s="453">
        <v>60</v>
      </c>
      <c r="P26" s="453">
        <f t="shared" si="3"/>
        <v>3120</v>
      </c>
      <c r="Q26" s="453">
        <f t="shared" si="4"/>
        <v>2426.1120000000005</v>
      </c>
    </row>
    <row r="27" spans="2:26" s="265" customFormat="1" x14ac:dyDescent="0.25">
      <c r="J27" s="45" t="s">
        <v>135</v>
      </c>
      <c r="K27" s="455" t="s">
        <v>120</v>
      </c>
      <c r="L27" s="453">
        <v>12000</v>
      </c>
      <c r="M27" s="454">
        <v>1.3</v>
      </c>
      <c r="N27" s="454">
        <f t="shared" si="2"/>
        <v>9.2307692307692299</v>
      </c>
      <c r="O27" s="453">
        <v>60</v>
      </c>
      <c r="P27" s="453">
        <f t="shared" si="3"/>
        <v>3120</v>
      </c>
      <c r="Q27" s="453">
        <f t="shared" si="4"/>
        <v>2426.1120000000005</v>
      </c>
    </row>
    <row r="28" spans="2:26" s="265" customFormat="1" x14ac:dyDescent="0.25">
      <c r="J28" s="45" t="s">
        <v>136</v>
      </c>
      <c r="K28" s="455" t="s">
        <v>120</v>
      </c>
      <c r="L28" s="453">
        <v>12000</v>
      </c>
      <c r="M28" s="454">
        <v>1.3</v>
      </c>
      <c r="N28" s="454">
        <f t="shared" si="2"/>
        <v>9.2307692307692299</v>
      </c>
      <c r="O28" s="453">
        <v>60</v>
      </c>
      <c r="P28" s="453">
        <f t="shared" si="3"/>
        <v>3120</v>
      </c>
      <c r="Q28" s="453">
        <f t="shared" si="4"/>
        <v>2426.1120000000005</v>
      </c>
    </row>
    <row r="29" spans="2:26" s="265" customFormat="1" x14ac:dyDescent="0.25">
      <c r="J29" s="45" t="s">
        <v>137</v>
      </c>
      <c r="K29" s="455" t="s">
        <v>120</v>
      </c>
      <c r="L29" s="453">
        <v>12000</v>
      </c>
      <c r="M29" s="454">
        <v>1.3</v>
      </c>
      <c r="N29" s="454">
        <f t="shared" si="2"/>
        <v>9.2307692307692299</v>
      </c>
      <c r="O29" s="453">
        <v>60</v>
      </c>
      <c r="P29" s="453">
        <f t="shared" si="3"/>
        <v>3120</v>
      </c>
      <c r="Q29" s="453">
        <f t="shared" si="4"/>
        <v>2426.1120000000005</v>
      </c>
    </row>
    <row r="30" spans="2:26" s="265" customFormat="1" x14ac:dyDescent="0.25">
      <c r="J30" s="45" t="s">
        <v>64</v>
      </c>
      <c r="M30" s="456">
        <f>SUM(M23:M29)</f>
        <v>21.46</v>
      </c>
      <c r="N30" s="457"/>
      <c r="O30" s="458">
        <f>SUM(O23:O29)</f>
        <v>420</v>
      </c>
      <c r="P30" s="458">
        <f>SUM(P23:P29)</f>
        <v>21840</v>
      </c>
      <c r="Q30" s="458">
        <f>SUM(Q23:Q29)</f>
        <v>40049.510400000006</v>
      </c>
    </row>
    <row r="32" spans="2:26" ht="45" x14ac:dyDescent="0.25">
      <c r="S32" s="183" t="s">
        <v>89</v>
      </c>
      <c r="T32" s="68" t="s">
        <v>90</v>
      </c>
      <c r="U32" s="45" t="s">
        <v>91</v>
      </c>
      <c r="V32" s="45" t="s">
        <v>92</v>
      </c>
      <c r="W32" s="45" t="s">
        <v>93</v>
      </c>
      <c r="X32" s="45" t="s">
        <v>94</v>
      </c>
      <c r="Y32" s="45" t="s">
        <v>95</v>
      </c>
      <c r="Z32" s="45" t="s">
        <v>96</v>
      </c>
    </row>
    <row r="33" spans="19:26" x14ac:dyDescent="0.25">
      <c r="S33" s="687" t="s">
        <v>104</v>
      </c>
      <c r="T33" s="31" t="s">
        <v>97</v>
      </c>
      <c r="U33" s="48">
        <v>0.7</v>
      </c>
      <c r="V33" s="60">
        <v>4</v>
      </c>
      <c r="W33" s="262">
        <v>0.9</v>
      </c>
      <c r="X33" s="48">
        <f>U33*V33*W33</f>
        <v>2.52</v>
      </c>
      <c r="Y33" s="48">
        <f>X33*5</f>
        <v>12.6</v>
      </c>
      <c r="Z33" s="48">
        <f>Y33*12</f>
        <v>151.19999999999999</v>
      </c>
    </row>
    <row r="34" spans="19:26" x14ac:dyDescent="0.25">
      <c r="S34" s="687"/>
      <c r="T34" s="31" t="s">
        <v>98</v>
      </c>
      <c r="U34" s="48">
        <v>5.6</v>
      </c>
      <c r="V34" s="60">
        <v>4</v>
      </c>
      <c r="W34" s="262">
        <v>0.9</v>
      </c>
      <c r="X34" s="48">
        <f t="shared" ref="X34:X52" si="5">U34*V34*W34</f>
        <v>20.16</v>
      </c>
      <c r="Y34" s="48">
        <f t="shared" ref="Y34:Y52" si="6">X34*5</f>
        <v>100.8</v>
      </c>
      <c r="Z34" s="48">
        <f t="shared" ref="Z34:Z52" si="7">Y34*12</f>
        <v>1209.5999999999999</v>
      </c>
    </row>
    <row r="35" spans="19:26" x14ac:dyDescent="0.25">
      <c r="S35" s="687"/>
      <c r="T35" s="31" t="s">
        <v>99</v>
      </c>
      <c r="U35" s="48">
        <v>1.5</v>
      </c>
      <c r="V35" s="60">
        <v>4</v>
      </c>
      <c r="W35" s="262">
        <v>0.9</v>
      </c>
      <c r="X35" s="48">
        <f t="shared" si="5"/>
        <v>5.4</v>
      </c>
      <c r="Y35" s="48">
        <f t="shared" si="6"/>
        <v>27</v>
      </c>
      <c r="Z35" s="48">
        <f t="shared" si="7"/>
        <v>324</v>
      </c>
    </row>
    <row r="36" spans="19:26" x14ac:dyDescent="0.25">
      <c r="S36" s="687"/>
      <c r="T36" s="31" t="s">
        <v>101</v>
      </c>
      <c r="U36" s="48">
        <v>3</v>
      </c>
      <c r="V36" s="60">
        <v>4</v>
      </c>
      <c r="W36" s="262">
        <v>0.9</v>
      </c>
      <c r="X36" s="48">
        <f t="shared" si="5"/>
        <v>10.8</v>
      </c>
      <c r="Y36" s="48">
        <f t="shared" si="6"/>
        <v>54</v>
      </c>
      <c r="Z36" s="48">
        <f t="shared" si="7"/>
        <v>648</v>
      </c>
    </row>
    <row r="37" spans="19:26" x14ac:dyDescent="0.25">
      <c r="S37" s="687"/>
      <c r="T37" s="31" t="s">
        <v>100</v>
      </c>
      <c r="U37" s="48">
        <v>0.2</v>
      </c>
      <c r="V37" s="60">
        <v>4</v>
      </c>
      <c r="W37" s="262">
        <v>0.9</v>
      </c>
      <c r="X37" s="48">
        <f t="shared" si="5"/>
        <v>0.72000000000000008</v>
      </c>
      <c r="Y37" s="48">
        <f t="shared" si="6"/>
        <v>3.6000000000000005</v>
      </c>
      <c r="Z37" s="48">
        <f t="shared" si="7"/>
        <v>43.2</v>
      </c>
    </row>
    <row r="38" spans="19:26" x14ac:dyDescent="0.25">
      <c r="S38" s="687"/>
      <c r="T38" s="31" t="s">
        <v>102</v>
      </c>
      <c r="U38" s="48">
        <v>2.2000000000000002</v>
      </c>
      <c r="V38" s="60">
        <v>4</v>
      </c>
      <c r="W38" s="262">
        <v>0.9</v>
      </c>
      <c r="X38" s="48">
        <f t="shared" si="5"/>
        <v>7.9200000000000008</v>
      </c>
      <c r="Y38" s="48">
        <f t="shared" si="6"/>
        <v>39.6</v>
      </c>
      <c r="Z38" s="48">
        <f t="shared" si="7"/>
        <v>475.20000000000005</v>
      </c>
    </row>
    <row r="39" spans="19:26" x14ac:dyDescent="0.25">
      <c r="S39" s="687"/>
      <c r="T39" s="31" t="s">
        <v>103</v>
      </c>
      <c r="U39" s="48">
        <v>8.1999999999999993</v>
      </c>
      <c r="V39" s="60">
        <v>4</v>
      </c>
      <c r="W39" s="262">
        <v>0.9</v>
      </c>
      <c r="X39" s="48">
        <f t="shared" si="5"/>
        <v>29.52</v>
      </c>
      <c r="Y39" s="48">
        <f t="shared" si="6"/>
        <v>147.6</v>
      </c>
      <c r="Z39" s="48">
        <f t="shared" si="7"/>
        <v>1771.1999999999998</v>
      </c>
    </row>
    <row r="40" spans="19:26" x14ac:dyDescent="0.25">
      <c r="S40" s="687" t="s">
        <v>112</v>
      </c>
      <c r="T40" s="31" t="s">
        <v>554</v>
      </c>
      <c r="U40" s="48">
        <v>3.7</v>
      </c>
      <c r="V40" s="60">
        <v>4</v>
      </c>
      <c r="W40" s="262">
        <v>0.9</v>
      </c>
      <c r="X40" s="48">
        <f t="shared" si="5"/>
        <v>13.32</v>
      </c>
      <c r="Y40" s="48">
        <f t="shared" si="6"/>
        <v>66.599999999999994</v>
      </c>
      <c r="Z40" s="48">
        <f t="shared" si="7"/>
        <v>799.19999999999993</v>
      </c>
    </row>
    <row r="41" spans="19:26" x14ac:dyDescent="0.25">
      <c r="S41" s="687"/>
      <c r="T41" s="31" t="s">
        <v>107</v>
      </c>
      <c r="U41" s="48">
        <v>11.2</v>
      </c>
      <c r="V41" s="60">
        <v>4</v>
      </c>
      <c r="W41" s="262">
        <v>0.9</v>
      </c>
      <c r="X41" s="48">
        <f t="shared" si="5"/>
        <v>40.32</v>
      </c>
      <c r="Y41" s="48">
        <f t="shared" si="6"/>
        <v>201.6</v>
      </c>
      <c r="Z41" s="48">
        <f t="shared" si="7"/>
        <v>2419.1999999999998</v>
      </c>
    </row>
    <row r="42" spans="19:26" x14ac:dyDescent="0.25">
      <c r="S42" s="687"/>
      <c r="T42" s="31" t="s">
        <v>108</v>
      </c>
      <c r="U42" s="48">
        <v>1.3</v>
      </c>
      <c r="V42" s="60">
        <v>4</v>
      </c>
      <c r="W42" s="262">
        <v>0.9</v>
      </c>
      <c r="X42" s="48">
        <f t="shared" si="5"/>
        <v>4.6800000000000006</v>
      </c>
      <c r="Y42" s="48">
        <f t="shared" si="6"/>
        <v>23.400000000000002</v>
      </c>
      <c r="Z42" s="48">
        <f t="shared" si="7"/>
        <v>280.8</v>
      </c>
    </row>
    <row r="43" spans="19:26" x14ac:dyDescent="0.25">
      <c r="S43" s="31" t="s">
        <v>113</v>
      </c>
      <c r="T43" s="31" t="s">
        <v>109</v>
      </c>
      <c r="U43" s="48">
        <v>5.6</v>
      </c>
      <c r="V43" s="60">
        <v>4</v>
      </c>
      <c r="W43" s="262">
        <v>0.9</v>
      </c>
      <c r="X43" s="48">
        <f t="shared" si="5"/>
        <v>20.16</v>
      </c>
      <c r="Y43" s="48">
        <f t="shared" si="6"/>
        <v>100.8</v>
      </c>
      <c r="Z43" s="48">
        <f t="shared" si="7"/>
        <v>1209.5999999999999</v>
      </c>
    </row>
    <row r="44" spans="19:26" x14ac:dyDescent="0.25">
      <c r="S44" s="687" t="s">
        <v>118</v>
      </c>
      <c r="T44" s="31" t="s">
        <v>110</v>
      </c>
      <c r="U44" s="48">
        <v>22.4</v>
      </c>
      <c r="V44" s="60">
        <v>4</v>
      </c>
      <c r="W44" s="262">
        <v>0.9</v>
      </c>
      <c r="X44" s="48">
        <f t="shared" si="5"/>
        <v>80.64</v>
      </c>
      <c r="Y44" s="48">
        <f t="shared" si="6"/>
        <v>403.2</v>
      </c>
      <c r="Z44" s="48">
        <f t="shared" si="7"/>
        <v>4838.3999999999996</v>
      </c>
    </row>
    <row r="45" spans="19:26" x14ac:dyDescent="0.25">
      <c r="S45" s="687"/>
      <c r="T45" s="31" t="s">
        <v>111</v>
      </c>
      <c r="U45" s="48">
        <v>7.5</v>
      </c>
      <c r="V45" s="60">
        <v>4</v>
      </c>
      <c r="W45" s="262">
        <v>0.9</v>
      </c>
      <c r="X45" s="48">
        <f t="shared" si="5"/>
        <v>27</v>
      </c>
      <c r="Y45" s="48">
        <f t="shared" si="6"/>
        <v>135</v>
      </c>
      <c r="Z45" s="48">
        <f t="shared" si="7"/>
        <v>1620</v>
      </c>
    </row>
    <row r="46" spans="19:26" x14ac:dyDescent="0.25">
      <c r="S46" s="687"/>
      <c r="T46" s="31" t="s">
        <v>444</v>
      </c>
      <c r="U46" s="48">
        <v>1.5</v>
      </c>
      <c r="V46" s="60">
        <v>4</v>
      </c>
      <c r="W46" s="262">
        <v>0.9</v>
      </c>
      <c r="X46" s="48">
        <f t="shared" si="5"/>
        <v>5.4</v>
      </c>
      <c r="Y46" s="48">
        <f t="shared" si="6"/>
        <v>27</v>
      </c>
      <c r="Z46" s="48">
        <f t="shared" si="7"/>
        <v>324</v>
      </c>
    </row>
    <row r="47" spans="19:26" x14ac:dyDescent="0.25">
      <c r="S47" s="687"/>
      <c r="T47" s="31" t="s">
        <v>445</v>
      </c>
      <c r="U47" s="48">
        <v>1.5</v>
      </c>
      <c r="V47" s="60">
        <v>4</v>
      </c>
      <c r="W47" s="262">
        <v>0.9</v>
      </c>
      <c r="X47" s="48">
        <f t="shared" si="5"/>
        <v>5.4</v>
      </c>
      <c r="Y47" s="48">
        <f t="shared" si="6"/>
        <v>27</v>
      </c>
      <c r="Z47" s="48">
        <f t="shared" si="7"/>
        <v>324</v>
      </c>
    </row>
    <row r="48" spans="19:26" x14ac:dyDescent="0.25">
      <c r="S48" s="687"/>
      <c r="T48" s="31" t="s">
        <v>114</v>
      </c>
      <c r="U48" s="48">
        <v>1.5</v>
      </c>
      <c r="V48" s="60">
        <v>4</v>
      </c>
      <c r="W48" s="262">
        <v>0.9</v>
      </c>
      <c r="X48" s="48">
        <f t="shared" si="5"/>
        <v>5.4</v>
      </c>
      <c r="Y48" s="48">
        <f t="shared" si="6"/>
        <v>27</v>
      </c>
      <c r="Z48" s="48">
        <f t="shared" si="7"/>
        <v>324</v>
      </c>
    </row>
    <row r="49" spans="19:40" x14ac:dyDescent="0.25">
      <c r="S49" s="687"/>
      <c r="T49" s="31" t="s">
        <v>115</v>
      </c>
      <c r="U49" s="48">
        <v>1.6</v>
      </c>
      <c r="V49" s="60">
        <v>4</v>
      </c>
      <c r="W49" s="262">
        <v>0.9</v>
      </c>
      <c r="X49" s="48">
        <f t="shared" si="5"/>
        <v>5.7600000000000007</v>
      </c>
      <c r="Y49" s="48">
        <f t="shared" si="6"/>
        <v>28.800000000000004</v>
      </c>
      <c r="Z49" s="48">
        <f t="shared" si="7"/>
        <v>345.6</v>
      </c>
    </row>
    <row r="50" spans="19:40" x14ac:dyDescent="0.25">
      <c r="S50" s="687"/>
      <c r="T50" s="31" t="s">
        <v>116</v>
      </c>
      <c r="U50" s="48">
        <v>1.5</v>
      </c>
      <c r="V50" s="60">
        <v>4</v>
      </c>
      <c r="W50" s="262">
        <v>0.9</v>
      </c>
      <c r="X50" s="48">
        <f t="shared" si="5"/>
        <v>5.4</v>
      </c>
      <c r="Y50" s="48">
        <f t="shared" si="6"/>
        <v>27</v>
      </c>
      <c r="Z50" s="48">
        <f t="shared" si="7"/>
        <v>324</v>
      </c>
    </row>
    <row r="51" spans="19:40" x14ac:dyDescent="0.25">
      <c r="S51" s="687"/>
      <c r="T51" s="31" t="s">
        <v>105</v>
      </c>
      <c r="U51" s="48">
        <v>0.7</v>
      </c>
      <c r="V51" s="60">
        <v>4</v>
      </c>
      <c r="W51" s="262">
        <v>0.9</v>
      </c>
      <c r="X51" s="48">
        <f t="shared" si="5"/>
        <v>2.52</v>
      </c>
      <c r="Y51" s="48">
        <f t="shared" si="6"/>
        <v>12.6</v>
      </c>
      <c r="Z51" s="48">
        <f t="shared" si="7"/>
        <v>151.19999999999999</v>
      </c>
    </row>
    <row r="52" spans="19:40" x14ac:dyDescent="0.25">
      <c r="S52" s="687"/>
      <c r="T52" s="31" t="s">
        <v>117</v>
      </c>
      <c r="U52" s="48">
        <v>3</v>
      </c>
      <c r="V52" s="60">
        <v>4</v>
      </c>
      <c r="W52" s="262">
        <v>0.9</v>
      </c>
      <c r="X52" s="48">
        <f t="shared" si="5"/>
        <v>10.8</v>
      </c>
      <c r="Y52" s="48">
        <f t="shared" si="6"/>
        <v>54</v>
      </c>
      <c r="Z52" s="48">
        <f t="shared" si="7"/>
        <v>648</v>
      </c>
    </row>
    <row r="53" spans="19:40" x14ac:dyDescent="0.25">
      <c r="T53" s="31" t="s">
        <v>64</v>
      </c>
      <c r="U53" s="73">
        <f>SUM(U33:U52)</f>
        <v>84.399999999999991</v>
      </c>
      <c r="V53" s="62"/>
      <c r="W53" s="62"/>
      <c r="X53" s="73">
        <f>SUM(X33:X52)</f>
        <v>303.83999999999986</v>
      </c>
      <c r="Y53" s="73">
        <f>SUM(Y33:Y52)</f>
        <v>1519.1999999999998</v>
      </c>
      <c r="Z53" s="73">
        <f>SUM(Z33:Z52)</f>
        <v>18230.399999999998</v>
      </c>
    </row>
    <row r="56" spans="19:40" x14ac:dyDescent="0.25">
      <c r="AB56" s="687" t="s">
        <v>90</v>
      </c>
      <c r="AC56" s="687" t="s">
        <v>91</v>
      </c>
      <c r="AD56" s="686" t="s">
        <v>154</v>
      </c>
      <c r="AE56" s="714" t="s">
        <v>155</v>
      </c>
      <c r="AF56" s="714" t="s">
        <v>156</v>
      </c>
      <c r="AG56" s="714" t="s">
        <v>157</v>
      </c>
    </row>
    <row r="57" spans="19:40" x14ac:dyDescent="0.25">
      <c r="AB57" s="687"/>
      <c r="AC57" s="687"/>
      <c r="AD57" s="686"/>
      <c r="AE57" s="714"/>
      <c r="AF57" s="714"/>
      <c r="AG57" s="714"/>
    </row>
    <row r="58" spans="19:40" x14ac:dyDescent="0.25">
      <c r="AB58" s="31" t="s">
        <v>158</v>
      </c>
      <c r="AC58" s="31">
        <v>9.4999999999999998E-3</v>
      </c>
      <c r="AD58" s="31">
        <v>3</v>
      </c>
      <c r="AE58" s="31">
        <f>AC58*AD58</f>
        <v>2.8499999999999998E-2</v>
      </c>
      <c r="AF58" s="72">
        <f>AE58*5</f>
        <v>0.14249999999999999</v>
      </c>
      <c r="AG58" s="38">
        <f>AF58*12</f>
        <v>1.71</v>
      </c>
    </row>
    <row r="59" spans="19:40" x14ac:dyDescent="0.25">
      <c r="AB59" s="31" t="s">
        <v>159</v>
      </c>
      <c r="AC59" s="31">
        <v>1.92</v>
      </c>
      <c r="AD59" s="31">
        <v>24</v>
      </c>
      <c r="AE59" s="31">
        <f>AC59*AD59*5</f>
        <v>230.39999999999998</v>
      </c>
      <c r="AF59" s="72">
        <f>AE59*5</f>
        <v>1152</v>
      </c>
      <c r="AG59" s="72">
        <f>AF59*12</f>
        <v>13824</v>
      </c>
    </row>
    <row r="60" spans="19:40" x14ac:dyDescent="0.25">
      <c r="AB60" s="31" t="s">
        <v>160</v>
      </c>
      <c r="AC60" s="31">
        <v>1.5</v>
      </c>
      <c r="AD60" s="31">
        <v>3</v>
      </c>
      <c r="AE60" s="31">
        <f>AC60*AD60</f>
        <v>4.5</v>
      </c>
      <c r="AF60" s="72">
        <f>AE60*5</f>
        <v>22.5</v>
      </c>
      <c r="AG60" s="74">
        <f>AF60*12</f>
        <v>270</v>
      </c>
    </row>
    <row r="61" spans="19:40" x14ac:dyDescent="0.25">
      <c r="AB61" s="31" t="s">
        <v>528</v>
      </c>
      <c r="AC61" s="31">
        <v>12</v>
      </c>
      <c r="AD61" s="31">
        <v>16</v>
      </c>
      <c r="AE61" s="31">
        <f>AC61*AD61</f>
        <v>192</v>
      </c>
      <c r="AF61" s="72">
        <f>AE61*5</f>
        <v>960</v>
      </c>
      <c r="AG61" s="74">
        <f>AF61*12</f>
        <v>11520</v>
      </c>
    </row>
    <row r="62" spans="19:40" x14ac:dyDescent="0.25">
      <c r="AB62" s="31"/>
      <c r="AC62" s="38">
        <f>SUM(AC58:AC61)</f>
        <v>15.429500000000001</v>
      </c>
      <c r="AE62" s="31">
        <f>SUM(AE58:AE61)</f>
        <v>426.92849999999999</v>
      </c>
      <c r="AF62" s="72">
        <f>SUM(AF58:AF61)</f>
        <v>2134.6424999999999</v>
      </c>
      <c r="AG62" s="72">
        <f>SUM(AG58:AG61)</f>
        <v>25615.71</v>
      </c>
    </row>
    <row r="64" spans="19:40" x14ac:dyDescent="0.25">
      <c r="AI64" s="702" t="s">
        <v>89</v>
      </c>
      <c r="AJ64" s="702" t="s">
        <v>90</v>
      </c>
      <c r="AK64" s="702" t="s">
        <v>161</v>
      </c>
      <c r="AL64" s="702" t="s">
        <v>162</v>
      </c>
      <c r="AM64" s="702" t="s">
        <v>163</v>
      </c>
      <c r="AN64" s="702" t="s">
        <v>164</v>
      </c>
    </row>
    <row r="65" spans="35:40" x14ac:dyDescent="0.25">
      <c r="AI65" s="704"/>
      <c r="AJ65" s="704"/>
      <c r="AK65" s="704"/>
      <c r="AL65" s="704"/>
      <c r="AM65" s="704"/>
      <c r="AN65" s="704"/>
    </row>
    <row r="66" spans="35:40" x14ac:dyDescent="0.25">
      <c r="AI66" s="704"/>
      <c r="AJ66" s="704"/>
      <c r="AK66" s="704"/>
      <c r="AL66" s="704"/>
      <c r="AM66" s="704"/>
      <c r="AN66" s="704"/>
    </row>
    <row r="67" spans="35:40" x14ac:dyDescent="0.25">
      <c r="AI67" s="703"/>
      <c r="AJ67" s="703"/>
      <c r="AK67" s="703"/>
      <c r="AL67" s="703"/>
      <c r="AM67" s="703"/>
      <c r="AN67" s="703"/>
    </row>
    <row r="68" spans="35:40" x14ac:dyDescent="0.25">
      <c r="AI68" s="702" t="s">
        <v>104</v>
      </c>
      <c r="AJ68" s="702" t="s">
        <v>165</v>
      </c>
      <c r="AK68" s="702" t="s">
        <v>168</v>
      </c>
      <c r="AL68" s="702" t="s">
        <v>169</v>
      </c>
      <c r="AM68" s="721">
        <f>Cuantificador!F121</f>
        <v>31.633869039145907</v>
      </c>
      <c r="AN68" s="721">
        <f>AM68*12</f>
        <v>379.60642846975088</v>
      </c>
    </row>
    <row r="69" spans="35:40" x14ac:dyDescent="0.25">
      <c r="AI69" s="703"/>
      <c r="AJ69" s="703"/>
      <c r="AK69" s="703"/>
      <c r="AL69" s="703"/>
      <c r="AM69" s="687"/>
      <c r="AN69" s="687"/>
    </row>
    <row r="70" spans="35:40" x14ac:dyDescent="0.25">
      <c r="AI70" s="702" t="s">
        <v>167</v>
      </c>
      <c r="AJ70" s="702" t="s">
        <v>165</v>
      </c>
      <c r="AK70" s="702" t="s">
        <v>168</v>
      </c>
      <c r="AL70" s="702" t="s">
        <v>169</v>
      </c>
      <c r="AM70" s="715">
        <f>Cuantificador!F123</f>
        <v>105.48042704626334</v>
      </c>
      <c r="AN70" s="716">
        <f>AM70*12</f>
        <v>1265.7651245551601</v>
      </c>
    </row>
    <row r="71" spans="35:40" x14ac:dyDescent="0.25">
      <c r="AI71" s="704"/>
      <c r="AJ71" s="703"/>
      <c r="AK71" s="703"/>
      <c r="AL71" s="703"/>
      <c r="AM71" s="704"/>
      <c r="AN71" s="717"/>
    </row>
    <row r="72" spans="35:40" x14ac:dyDescent="0.25">
      <c r="AI72" s="704"/>
      <c r="AJ72" s="702" t="s">
        <v>165</v>
      </c>
      <c r="AK72" s="702" t="s">
        <v>168</v>
      </c>
      <c r="AL72" s="702" t="s">
        <v>169</v>
      </c>
      <c r="AM72" s="704"/>
      <c r="AN72" s="717"/>
    </row>
    <row r="73" spans="35:40" x14ac:dyDescent="0.25">
      <c r="AI73" s="703"/>
      <c r="AJ73" s="703"/>
      <c r="AK73" s="703"/>
      <c r="AL73" s="703"/>
      <c r="AM73" s="703"/>
      <c r="AN73" s="718"/>
    </row>
    <row r="74" spans="35:40" x14ac:dyDescent="0.25">
      <c r="AI74" s="702" t="s">
        <v>112</v>
      </c>
      <c r="AJ74" s="702" t="s">
        <v>329</v>
      </c>
      <c r="AK74" s="702" t="s">
        <v>168</v>
      </c>
      <c r="AL74" s="702" t="s">
        <v>169</v>
      </c>
      <c r="AM74" s="715">
        <f>Cuantificador!F127</f>
        <v>149.98087679979704</v>
      </c>
      <c r="AN74" s="716">
        <f>AM74*12</f>
        <v>1799.7705215975645</v>
      </c>
    </row>
    <row r="75" spans="35:40" x14ac:dyDescent="0.25">
      <c r="AI75" s="704"/>
      <c r="AJ75" s="703"/>
      <c r="AK75" s="703"/>
      <c r="AL75" s="703"/>
      <c r="AM75" s="719"/>
      <c r="AN75" s="717"/>
    </row>
    <row r="76" spans="35:40" x14ac:dyDescent="0.25">
      <c r="AI76" s="704"/>
      <c r="AJ76" s="702" t="s">
        <v>166</v>
      </c>
      <c r="AK76" s="702" t="s">
        <v>168</v>
      </c>
      <c r="AL76" s="702" t="s">
        <v>169</v>
      </c>
      <c r="AM76" s="719"/>
      <c r="AN76" s="717"/>
    </row>
    <row r="77" spans="35:40" x14ac:dyDescent="0.25">
      <c r="AI77" s="703"/>
      <c r="AJ77" s="703"/>
      <c r="AK77" s="703"/>
      <c r="AL77" s="703"/>
      <c r="AM77" s="720"/>
      <c r="AN77" s="718"/>
    </row>
    <row r="78" spans="35:40" x14ac:dyDescent="0.25">
      <c r="AI78" s="17" t="s">
        <v>64</v>
      </c>
      <c r="AM78" s="72">
        <f>SUM(AM68:AM77)</f>
        <v>287.0951728852063</v>
      </c>
      <c r="AN78" s="72">
        <f>SUM(AN68:AN77)</f>
        <v>3445.1420746224758</v>
      </c>
    </row>
    <row r="81" spans="42:58" ht="45" x14ac:dyDescent="0.25">
      <c r="AP81" s="183" t="s">
        <v>89</v>
      </c>
      <c r="AQ81" s="183" t="s">
        <v>90</v>
      </c>
      <c r="AR81" s="45" t="s">
        <v>91</v>
      </c>
      <c r="AS81" s="45" t="s">
        <v>92</v>
      </c>
      <c r="AT81" s="45" t="s">
        <v>93</v>
      </c>
      <c r="AU81" s="45" t="s">
        <v>555</v>
      </c>
      <c r="AV81" s="45" t="s">
        <v>556</v>
      </c>
      <c r="AW81" s="45" t="s">
        <v>557</v>
      </c>
    </row>
    <row r="82" spans="42:58" x14ac:dyDescent="0.25">
      <c r="AP82" s="69" t="s">
        <v>112</v>
      </c>
      <c r="AQ82" s="31" t="s">
        <v>119</v>
      </c>
      <c r="AR82" s="48">
        <v>37.29</v>
      </c>
      <c r="AS82" s="60">
        <v>4</v>
      </c>
      <c r="AT82" s="48">
        <v>0.9</v>
      </c>
      <c r="AU82" s="48">
        <f>AR82*AS82*AT82</f>
        <v>134.244</v>
      </c>
      <c r="AV82" s="48">
        <f>AU82*5</f>
        <v>671.22</v>
      </c>
      <c r="AW82" s="452">
        <f>AV82*12</f>
        <v>8054.64</v>
      </c>
    </row>
    <row r="85" spans="42:58" x14ac:dyDescent="0.25">
      <c r="AY85" s="684" t="s">
        <v>1</v>
      </c>
      <c r="AZ85" s="684"/>
      <c r="BA85" s="684"/>
      <c r="BB85" s="684"/>
      <c r="BC85" s="684" t="s">
        <v>2</v>
      </c>
      <c r="BD85" s="684"/>
      <c r="BE85" s="684"/>
      <c r="BF85" s="684"/>
    </row>
    <row r="86" spans="42:58" x14ac:dyDescent="0.25">
      <c r="AY86" s="687" t="s">
        <v>3</v>
      </c>
      <c r="AZ86" s="687" t="s">
        <v>4</v>
      </c>
      <c r="BA86" s="687" t="s">
        <v>5</v>
      </c>
      <c r="BB86" s="687" t="s">
        <v>6</v>
      </c>
      <c r="BC86" s="686" t="s">
        <v>7</v>
      </c>
      <c r="BD86" s="686" t="s">
        <v>8</v>
      </c>
      <c r="BE86" s="686" t="s">
        <v>9</v>
      </c>
      <c r="BF86" s="687" t="s">
        <v>10</v>
      </c>
    </row>
    <row r="87" spans="42:58" x14ac:dyDescent="0.25">
      <c r="AY87" s="687"/>
      <c r="AZ87" s="687"/>
      <c r="BA87" s="687"/>
      <c r="BB87" s="687"/>
      <c r="BC87" s="686"/>
      <c r="BD87" s="686"/>
      <c r="BE87" s="686"/>
      <c r="BF87" s="687"/>
    </row>
    <row r="88" spans="42:58" x14ac:dyDescent="0.25">
      <c r="AY88" s="390">
        <v>44562</v>
      </c>
      <c r="AZ88" s="459">
        <v>44564</v>
      </c>
      <c r="BA88" s="459">
        <v>44595</v>
      </c>
      <c r="BB88" s="17">
        <f>BA88-AZ88</f>
        <v>31</v>
      </c>
      <c r="BC88" s="460">
        <v>4846.99</v>
      </c>
      <c r="BD88" s="460">
        <v>1648.32</v>
      </c>
      <c r="BE88" s="460">
        <v>1779.6200000000001</v>
      </c>
      <c r="BF88" s="461">
        <f>SUM(BC88:BE88)</f>
        <v>8274.93</v>
      </c>
    </row>
    <row r="89" spans="42:58" x14ac:dyDescent="0.25">
      <c r="AY89" s="390">
        <v>44593</v>
      </c>
      <c r="AZ89" s="459">
        <f>BA88</f>
        <v>44595</v>
      </c>
      <c r="BA89" s="459">
        <v>44625</v>
      </c>
      <c r="BB89" s="17">
        <f t="shared" ref="BB89:BB111" si="8">BA89-AZ89</f>
        <v>30</v>
      </c>
      <c r="BC89" s="460">
        <v>7003.34</v>
      </c>
      <c r="BD89" s="460">
        <v>1467.53</v>
      </c>
      <c r="BE89" s="460">
        <v>1632.16</v>
      </c>
      <c r="BF89" s="461">
        <f t="shared" ref="BF89:BF111" si="9">SUM(BC89:BE89)</f>
        <v>10103.030000000001</v>
      </c>
    </row>
    <row r="90" spans="42:58" x14ac:dyDescent="0.25">
      <c r="AY90" s="390">
        <v>44621</v>
      </c>
      <c r="AZ90" s="459">
        <f t="shared" ref="AZ90:AZ111" si="10">BA89</f>
        <v>44625</v>
      </c>
      <c r="BA90" s="459">
        <v>44655</v>
      </c>
      <c r="BB90" s="17">
        <f t="shared" si="8"/>
        <v>30</v>
      </c>
      <c r="BC90" s="460">
        <v>7339.67</v>
      </c>
      <c r="BD90" s="460">
        <v>1476.6200000000001</v>
      </c>
      <c r="BE90" s="460">
        <v>1730.13</v>
      </c>
      <c r="BF90" s="461">
        <f t="shared" si="9"/>
        <v>10546.420000000002</v>
      </c>
    </row>
    <row r="91" spans="42:58" x14ac:dyDescent="0.25">
      <c r="AY91" s="390">
        <v>44652</v>
      </c>
      <c r="AZ91" s="459">
        <f t="shared" si="10"/>
        <v>44655</v>
      </c>
      <c r="BA91" s="459">
        <v>44686</v>
      </c>
      <c r="BB91" s="17">
        <f t="shared" si="8"/>
        <v>31</v>
      </c>
      <c r="BC91" s="460">
        <v>6355.93</v>
      </c>
      <c r="BD91" s="460">
        <v>1402.89</v>
      </c>
      <c r="BE91" s="460">
        <v>1664.48</v>
      </c>
      <c r="BF91" s="461">
        <f t="shared" si="9"/>
        <v>9423.3000000000011</v>
      </c>
    </row>
    <row r="92" spans="42:58" x14ac:dyDescent="0.25">
      <c r="AY92" s="390">
        <v>44682</v>
      </c>
      <c r="AZ92" s="459">
        <f t="shared" si="10"/>
        <v>44686</v>
      </c>
      <c r="BA92" s="459">
        <v>44716</v>
      </c>
      <c r="BB92" s="17">
        <f t="shared" si="8"/>
        <v>30</v>
      </c>
      <c r="BC92" s="460">
        <v>9939.41</v>
      </c>
      <c r="BD92" s="460">
        <v>1755.38</v>
      </c>
      <c r="BE92" s="460">
        <v>1886.68</v>
      </c>
      <c r="BF92" s="461">
        <f t="shared" si="9"/>
        <v>13581.470000000001</v>
      </c>
    </row>
    <row r="93" spans="42:58" x14ac:dyDescent="0.25">
      <c r="AY93" s="390">
        <v>44713</v>
      </c>
      <c r="AZ93" s="459">
        <f t="shared" si="10"/>
        <v>44716</v>
      </c>
      <c r="BA93" s="459">
        <v>44747</v>
      </c>
      <c r="BB93" s="17">
        <f t="shared" si="8"/>
        <v>31</v>
      </c>
      <c r="BC93" s="460">
        <v>7217.46</v>
      </c>
      <c r="BD93" s="460">
        <v>1246.3399999999999</v>
      </c>
      <c r="BE93" s="460">
        <v>1467.53</v>
      </c>
      <c r="BF93" s="461">
        <f t="shared" si="9"/>
        <v>9931.33</v>
      </c>
    </row>
    <row r="94" spans="42:58" x14ac:dyDescent="0.25">
      <c r="AY94" s="390">
        <v>44743</v>
      </c>
      <c r="AZ94" s="459">
        <f t="shared" si="10"/>
        <v>44747</v>
      </c>
      <c r="BA94" s="459">
        <v>44777</v>
      </c>
      <c r="BB94" s="17">
        <f t="shared" si="8"/>
        <v>30</v>
      </c>
      <c r="BC94" s="460">
        <v>6847.8</v>
      </c>
      <c r="BD94" s="460">
        <v>1287.75</v>
      </c>
      <c r="BE94" s="460">
        <v>1533.18</v>
      </c>
      <c r="BF94" s="461">
        <f t="shared" si="9"/>
        <v>9668.73</v>
      </c>
    </row>
    <row r="95" spans="42:58" x14ac:dyDescent="0.25">
      <c r="AY95" s="390">
        <v>44774</v>
      </c>
      <c r="AZ95" s="459">
        <f t="shared" si="10"/>
        <v>44777</v>
      </c>
      <c r="BA95" s="459">
        <v>44807</v>
      </c>
      <c r="BB95" s="17">
        <f t="shared" si="8"/>
        <v>30</v>
      </c>
      <c r="BC95" s="460">
        <v>5962.03</v>
      </c>
      <c r="BD95" s="460">
        <v>1156.45</v>
      </c>
      <c r="BE95" s="460">
        <v>1410.97</v>
      </c>
      <c r="BF95" s="461">
        <f t="shared" si="9"/>
        <v>8529.4499999999989</v>
      </c>
    </row>
    <row r="96" spans="42:58" x14ac:dyDescent="0.25">
      <c r="AY96" s="390">
        <v>44805</v>
      </c>
      <c r="AZ96" s="459">
        <f t="shared" si="10"/>
        <v>44807</v>
      </c>
      <c r="BA96" s="459">
        <v>44837</v>
      </c>
      <c r="BB96" s="17">
        <f t="shared" si="8"/>
        <v>30</v>
      </c>
      <c r="BC96" s="460">
        <v>6987.18</v>
      </c>
      <c r="BD96" s="460">
        <v>1230.18</v>
      </c>
      <c r="BE96" s="460">
        <v>1467.53</v>
      </c>
      <c r="BF96" s="461">
        <f t="shared" si="9"/>
        <v>9684.8900000000012</v>
      </c>
    </row>
    <row r="97" spans="51:58" x14ac:dyDescent="0.25">
      <c r="AY97" s="390">
        <v>44835</v>
      </c>
      <c r="AZ97" s="459">
        <f t="shared" si="10"/>
        <v>44837</v>
      </c>
      <c r="BA97" s="459">
        <v>44868</v>
      </c>
      <c r="BB97" s="17">
        <f t="shared" si="8"/>
        <v>31</v>
      </c>
      <c r="BC97" s="460">
        <v>6495.31</v>
      </c>
      <c r="BD97" s="460">
        <v>1172.6099999999999</v>
      </c>
      <c r="BE97" s="460">
        <v>1377.64</v>
      </c>
      <c r="BF97" s="461">
        <f t="shared" si="9"/>
        <v>9045.56</v>
      </c>
    </row>
    <row r="98" spans="51:58" x14ac:dyDescent="0.25">
      <c r="AY98" s="390">
        <v>44866</v>
      </c>
      <c r="AZ98" s="459">
        <f t="shared" si="10"/>
        <v>44868</v>
      </c>
      <c r="BA98" s="459">
        <v>44899</v>
      </c>
      <c r="BB98" s="17">
        <f t="shared" si="8"/>
        <v>31</v>
      </c>
      <c r="BC98" s="460">
        <v>6921.53</v>
      </c>
      <c r="BD98" s="460">
        <v>1262.5</v>
      </c>
      <c r="BE98" s="460">
        <v>1492.78</v>
      </c>
      <c r="BF98" s="461">
        <f t="shared" si="9"/>
        <v>9676.81</v>
      </c>
    </row>
    <row r="99" spans="51:58" x14ac:dyDescent="0.25">
      <c r="AY99" s="390">
        <v>44896</v>
      </c>
      <c r="AZ99" s="459">
        <f t="shared" si="10"/>
        <v>44899</v>
      </c>
      <c r="BA99" s="459">
        <v>44929</v>
      </c>
      <c r="BB99" s="17">
        <f t="shared" si="8"/>
        <v>30</v>
      </c>
      <c r="BC99" s="460">
        <v>6019.6</v>
      </c>
      <c r="BD99" s="460">
        <v>1188.77</v>
      </c>
      <c r="BE99" s="460">
        <v>1369.56</v>
      </c>
      <c r="BF99" s="461">
        <f t="shared" si="9"/>
        <v>8577.93</v>
      </c>
    </row>
    <row r="100" spans="51:58" x14ac:dyDescent="0.25">
      <c r="AY100" s="390">
        <v>44927</v>
      </c>
      <c r="AZ100" s="459">
        <f t="shared" si="10"/>
        <v>44929</v>
      </c>
      <c r="BA100" s="459">
        <v>44960</v>
      </c>
      <c r="BB100" s="17">
        <f t="shared" si="8"/>
        <v>31</v>
      </c>
      <c r="BC100" s="460">
        <v>4703.0199999999995</v>
      </c>
      <c r="BD100" s="460">
        <v>1599.36</v>
      </c>
      <c r="BE100" s="460">
        <v>1726.76</v>
      </c>
      <c r="BF100" s="461">
        <f t="shared" si="9"/>
        <v>8029.1399999999994</v>
      </c>
    </row>
    <row r="101" spans="51:58" x14ac:dyDescent="0.25">
      <c r="AY101" s="390">
        <v>44958</v>
      </c>
      <c r="AZ101" s="459">
        <f t="shared" si="10"/>
        <v>44960</v>
      </c>
      <c r="BA101" s="459">
        <v>44990</v>
      </c>
      <c r="BB101" s="17">
        <f t="shared" si="8"/>
        <v>30</v>
      </c>
      <c r="BC101" s="460">
        <v>6101.92</v>
      </c>
      <c r="BD101" s="460">
        <v>1278.6400000000001</v>
      </c>
      <c r="BE101" s="460">
        <v>1422.08</v>
      </c>
      <c r="BF101" s="461">
        <f t="shared" si="9"/>
        <v>8802.64</v>
      </c>
    </row>
    <row r="102" spans="51:58" x14ac:dyDescent="0.25">
      <c r="AY102" s="390">
        <v>44986</v>
      </c>
      <c r="AZ102" s="459">
        <f t="shared" si="10"/>
        <v>44990</v>
      </c>
      <c r="BA102" s="459">
        <v>45020</v>
      </c>
      <c r="BB102" s="17">
        <f t="shared" si="8"/>
        <v>30</v>
      </c>
      <c r="BC102" s="460">
        <v>7121.66</v>
      </c>
      <c r="BD102" s="460">
        <v>1432.76</v>
      </c>
      <c r="BE102" s="460">
        <v>1678.74</v>
      </c>
      <c r="BF102" s="461">
        <f t="shared" si="9"/>
        <v>10233.16</v>
      </c>
    </row>
    <row r="103" spans="51:58" x14ac:dyDescent="0.25">
      <c r="AY103" s="390">
        <v>45017</v>
      </c>
      <c r="AZ103" s="459">
        <f t="shared" si="10"/>
        <v>45020</v>
      </c>
      <c r="BA103" s="459">
        <v>45051</v>
      </c>
      <c r="BB103" s="17">
        <f t="shared" si="8"/>
        <v>31</v>
      </c>
      <c r="BC103" s="460">
        <v>6607.6500000000005</v>
      </c>
      <c r="BD103" s="460">
        <v>1458.45</v>
      </c>
      <c r="BE103" s="460">
        <v>1730.4</v>
      </c>
      <c r="BF103" s="461">
        <f t="shared" si="9"/>
        <v>9796.5</v>
      </c>
    </row>
    <row r="104" spans="51:58" x14ac:dyDescent="0.25">
      <c r="AY104" s="390">
        <v>45047</v>
      </c>
      <c r="AZ104" s="459">
        <f t="shared" si="10"/>
        <v>45051</v>
      </c>
      <c r="BA104" s="459">
        <v>45081</v>
      </c>
      <c r="BB104" s="17">
        <f t="shared" si="8"/>
        <v>30</v>
      </c>
      <c r="BC104" s="460">
        <v>8758.49</v>
      </c>
      <c r="BD104" s="460">
        <v>1546.82</v>
      </c>
      <c r="BE104" s="460">
        <v>1662.52</v>
      </c>
      <c r="BF104" s="461">
        <f t="shared" si="9"/>
        <v>11967.83</v>
      </c>
    </row>
    <row r="105" spans="51:58" x14ac:dyDescent="0.25">
      <c r="AY105" s="390">
        <v>45078</v>
      </c>
      <c r="AZ105" s="459">
        <f t="shared" si="10"/>
        <v>45081</v>
      </c>
      <c r="BA105" s="459">
        <v>45111</v>
      </c>
      <c r="BB105" s="17">
        <f t="shared" si="8"/>
        <v>30</v>
      </c>
      <c r="BC105" s="460">
        <v>7003.08</v>
      </c>
      <c r="BD105" s="460">
        <v>1209.32</v>
      </c>
      <c r="BE105" s="460">
        <v>1423.94</v>
      </c>
      <c r="BF105" s="461">
        <f t="shared" si="9"/>
        <v>9636.34</v>
      </c>
    </row>
    <row r="106" spans="51:58" x14ac:dyDescent="0.25">
      <c r="AY106" s="390">
        <v>45108</v>
      </c>
      <c r="AZ106" s="459">
        <f t="shared" si="10"/>
        <v>45111</v>
      </c>
      <c r="BA106" s="459">
        <v>45142</v>
      </c>
      <c r="BB106" s="17">
        <f t="shared" si="8"/>
        <v>31</v>
      </c>
      <c r="BC106" s="460">
        <v>7119</v>
      </c>
      <c r="BD106" s="460">
        <v>1338.75</v>
      </c>
      <c r="BE106" s="460">
        <v>1593.9</v>
      </c>
      <c r="BF106" s="461">
        <f t="shared" si="9"/>
        <v>10051.65</v>
      </c>
    </row>
    <row r="107" spans="51:58" x14ac:dyDescent="0.25">
      <c r="AY107" s="390">
        <v>45139</v>
      </c>
      <c r="AZ107" s="459">
        <f t="shared" si="10"/>
        <v>45142</v>
      </c>
      <c r="BA107" s="459">
        <v>45172</v>
      </c>
      <c r="BB107" s="17">
        <f t="shared" si="8"/>
        <v>30</v>
      </c>
      <c r="BC107" s="460">
        <v>5548.82</v>
      </c>
      <c r="BD107" s="460">
        <v>1076.3</v>
      </c>
      <c r="BE107" s="460">
        <v>1313.1799999999998</v>
      </c>
      <c r="BF107" s="461">
        <f t="shared" si="9"/>
        <v>7938.2999999999993</v>
      </c>
    </row>
    <row r="108" spans="51:58" x14ac:dyDescent="0.25">
      <c r="AY108" s="390">
        <v>45170</v>
      </c>
      <c r="AZ108" s="459">
        <f t="shared" si="10"/>
        <v>45172</v>
      </c>
      <c r="BA108" s="459">
        <v>45203</v>
      </c>
      <c r="BB108" s="17">
        <f t="shared" si="8"/>
        <v>31</v>
      </c>
      <c r="BC108" s="460">
        <v>6502.92</v>
      </c>
      <c r="BD108" s="460">
        <v>1144.9199999999998</v>
      </c>
      <c r="BE108" s="460">
        <v>1365.82</v>
      </c>
      <c r="BF108" s="461">
        <f t="shared" si="9"/>
        <v>9013.66</v>
      </c>
    </row>
    <row r="109" spans="51:58" x14ac:dyDescent="0.25">
      <c r="AY109" s="390">
        <v>45200</v>
      </c>
      <c r="AZ109" s="459">
        <f t="shared" si="10"/>
        <v>45203</v>
      </c>
      <c r="BA109" s="459">
        <v>45233</v>
      </c>
      <c r="BB109" s="17">
        <f t="shared" si="8"/>
        <v>30</v>
      </c>
      <c r="BC109" s="460">
        <v>6752.55</v>
      </c>
      <c r="BD109" s="460">
        <v>1219.05</v>
      </c>
      <c r="BE109" s="460">
        <v>1432.2</v>
      </c>
      <c r="BF109" s="461">
        <f t="shared" si="9"/>
        <v>9403.8000000000011</v>
      </c>
    </row>
    <row r="110" spans="51:58" x14ac:dyDescent="0.25">
      <c r="AY110" s="390">
        <v>45231</v>
      </c>
      <c r="AZ110" s="459">
        <f t="shared" si="10"/>
        <v>45233</v>
      </c>
      <c r="BA110" s="459">
        <v>45263</v>
      </c>
      <c r="BB110" s="17">
        <f t="shared" si="8"/>
        <v>30</v>
      </c>
      <c r="BC110" s="460">
        <v>7195.6500000000005</v>
      </c>
      <c r="BD110" s="460">
        <v>1312.5</v>
      </c>
      <c r="BE110" s="460">
        <v>1551.9</v>
      </c>
      <c r="BF110" s="461">
        <f t="shared" si="9"/>
        <v>10060.050000000001</v>
      </c>
    </row>
    <row r="111" spans="51:58" x14ac:dyDescent="0.25">
      <c r="AY111" s="390">
        <v>45261</v>
      </c>
      <c r="AZ111" s="459">
        <f t="shared" si="10"/>
        <v>45263</v>
      </c>
      <c r="BA111" s="459">
        <v>45294</v>
      </c>
      <c r="BB111" s="17">
        <f t="shared" si="8"/>
        <v>31</v>
      </c>
      <c r="BC111" s="460">
        <v>5662</v>
      </c>
      <c r="BD111" s="460">
        <v>1118.1499999999999</v>
      </c>
      <c r="BE111" s="460">
        <v>1288.2</v>
      </c>
      <c r="BF111" s="461">
        <f t="shared" si="9"/>
        <v>8068.3499999999995</v>
      </c>
    </row>
    <row r="112" spans="51:58" x14ac:dyDescent="0.25">
      <c r="AY112" s="722" t="s">
        <v>11</v>
      </c>
      <c r="AZ112" s="723"/>
      <c r="BA112" s="724"/>
      <c r="BB112" s="1"/>
      <c r="BC112" s="70">
        <f>AVERAGE(BC88:BC99)</f>
        <v>6828.020833333333</v>
      </c>
      <c r="BD112" s="70">
        <f>AVERAGE(BD88:BD99)</f>
        <v>1357.9450000000002</v>
      </c>
      <c r="BE112" s="70">
        <f>AVERAGE(BE88:BE99)</f>
        <v>1567.6883333333335</v>
      </c>
      <c r="BF112" s="70">
        <f>AVERAGE(BF88:BF99)</f>
        <v>9753.6541666666672</v>
      </c>
    </row>
    <row r="113" spans="51:58" x14ac:dyDescent="0.25">
      <c r="AY113" s="725" t="s">
        <v>12</v>
      </c>
      <c r="AZ113" s="726"/>
      <c r="BA113" s="727"/>
      <c r="BB113" s="1"/>
      <c r="BC113" s="70">
        <f>SUM(BC88:BC99)</f>
        <v>81936.25</v>
      </c>
      <c r="BD113" s="70">
        <f>SUM(BD88:BD99)</f>
        <v>16295.340000000002</v>
      </c>
      <c r="BE113" s="70">
        <f>SUM(BE88:BE99)</f>
        <v>18812.260000000002</v>
      </c>
      <c r="BF113" s="70">
        <f>SUM(BF88:BF99)</f>
        <v>117043.85</v>
      </c>
    </row>
    <row r="114" spans="51:58" x14ac:dyDescent="0.25">
      <c r="AY114" s="722" t="s">
        <v>13</v>
      </c>
      <c r="AZ114" s="723"/>
      <c r="BA114" s="724"/>
      <c r="BB114" s="1"/>
      <c r="BC114" s="70">
        <f>AVERAGE(BC100:BC111)</f>
        <v>6589.73</v>
      </c>
      <c r="BD114" s="70">
        <f>AVERAGE(BD100:BD111)</f>
        <v>1311.2516666666666</v>
      </c>
      <c r="BE114" s="70">
        <f>AVERAGE(BE100:BE111)</f>
        <v>1515.8033333333335</v>
      </c>
      <c r="BF114" s="70">
        <f>AVERAGE(BF100:BF111)</f>
        <v>9416.7850000000017</v>
      </c>
    </row>
    <row r="115" spans="51:58" x14ac:dyDescent="0.25">
      <c r="AY115" s="725" t="s">
        <v>14</v>
      </c>
      <c r="AZ115" s="726"/>
      <c r="BA115" s="727"/>
      <c r="BB115" s="1"/>
      <c r="BC115" s="70">
        <f>SUM(BC100:BC111)</f>
        <v>79076.759999999995</v>
      </c>
      <c r="BD115" s="70">
        <f>SUM(BD100:BD111)</f>
        <v>15735.019999999999</v>
      </c>
      <c r="BE115" s="70">
        <f>SUM(BE100:BE111)</f>
        <v>18189.640000000003</v>
      </c>
      <c r="BF115" s="70">
        <f>SUM(BF100:BF111)</f>
        <v>113001.42000000001</v>
      </c>
    </row>
  </sheetData>
  <mergeCells count="56">
    <mergeCell ref="AG56:AG57"/>
    <mergeCell ref="B4:B5"/>
    <mergeCell ref="B6:B7"/>
    <mergeCell ref="B9:B10"/>
    <mergeCell ref="S33:S39"/>
    <mergeCell ref="S40:S42"/>
    <mergeCell ref="S44:S52"/>
    <mergeCell ref="AB56:AB57"/>
    <mergeCell ref="AC56:AC57"/>
    <mergeCell ref="AD56:AD57"/>
    <mergeCell ref="AE56:AE57"/>
    <mergeCell ref="AF56:AF57"/>
    <mergeCell ref="AN68:AN69"/>
    <mergeCell ref="AI64:AI67"/>
    <mergeCell ref="AJ64:AJ67"/>
    <mergeCell ref="AK64:AK67"/>
    <mergeCell ref="AL64:AL67"/>
    <mergeCell ref="AM64:AM67"/>
    <mergeCell ref="AN64:AN67"/>
    <mergeCell ref="AI68:AI69"/>
    <mergeCell ref="AJ68:AJ69"/>
    <mergeCell ref="AK68:AK69"/>
    <mergeCell ref="AL68:AL69"/>
    <mergeCell ref="AM68:AM69"/>
    <mergeCell ref="AM70:AM73"/>
    <mergeCell ref="AN70:AN73"/>
    <mergeCell ref="AJ72:AJ73"/>
    <mergeCell ref="AK72:AK73"/>
    <mergeCell ref="AL72:AL73"/>
    <mergeCell ref="AJ76:AJ77"/>
    <mergeCell ref="AK76:AK77"/>
    <mergeCell ref="AL76:AL77"/>
    <mergeCell ref="AI70:AI73"/>
    <mergeCell ref="AJ70:AJ71"/>
    <mergeCell ref="AK70:AK71"/>
    <mergeCell ref="AL70:AL71"/>
    <mergeCell ref="AI74:AI77"/>
    <mergeCell ref="AJ74:AJ75"/>
    <mergeCell ref="AK74:AK75"/>
    <mergeCell ref="AL74:AL75"/>
    <mergeCell ref="AM74:AM77"/>
    <mergeCell ref="BC85:BF85"/>
    <mergeCell ref="AY86:AY87"/>
    <mergeCell ref="AZ86:AZ87"/>
    <mergeCell ref="BA86:BA87"/>
    <mergeCell ref="BB86:BB87"/>
    <mergeCell ref="BC86:BC87"/>
    <mergeCell ref="BD86:BD87"/>
    <mergeCell ref="BE86:BE87"/>
    <mergeCell ref="BF86:BF87"/>
    <mergeCell ref="AN74:AN77"/>
    <mergeCell ref="AY112:BA112"/>
    <mergeCell ref="AY113:BA113"/>
    <mergeCell ref="AY114:BA114"/>
    <mergeCell ref="AY115:BA115"/>
    <mergeCell ref="AY85:BB85"/>
  </mergeCells>
  <pageMargins left="0.7" right="0.7" top="0.75" bottom="0.75" header="0.3" footer="0.3"/>
  <ignoredErrors>
    <ignoredError sqref="AE59" formula="1"/>
    <ignoredError sqref="BC112:BC115 BD112:BD115 BE112:BE115"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5DDFF-098E-41B9-804E-0C1EAB005736}">
  <dimension ref="B1:BH146"/>
  <sheetViews>
    <sheetView showGridLines="0" zoomScale="80" zoomScaleNormal="80" workbookViewId="0">
      <selection activeCell="D80" sqref="D80:D93"/>
    </sheetView>
  </sheetViews>
  <sheetFormatPr baseColWidth="10" defaultRowHeight="15" x14ac:dyDescent="0.25"/>
  <cols>
    <col min="2" max="2" width="16.42578125" customWidth="1"/>
    <col min="3" max="3" width="39.140625" customWidth="1"/>
    <col min="4" max="4" width="14.42578125" customWidth="1"/>
    <col min="5" max="5" width="15.5703125" customWidth="1"/>
    <col min="6" max="6" width="13.85546875" customWidth="1"/>
    <col min="7" max="7" width="13.28515625" customWidth="1"/>
    <col min="8" max="8" width="12.140625" customWidth="1"/>
    <col min="9" max="9" width="12.7109375" customWidth="1"/>
    <col min="13" max="13" width="14" customWidth="1"/>
    <col min="15" max="15" width="20.42578125" bestFit="1" customWidth="1"/>
    <col min="16" max="16" width="49.140625" bestFit="1" customWidth="1"/>
    <col min="17" max="17" width="16.28515625" bestFit="1" customWidth="1"/>
    <col min="18" max="18" width="8" bestFit="1" customWidth="1"/>
    <col min="19" max="19" width="20" customWidth="1"/>
    <col min="20" max="20" width="8" bestFit="1" customWidth="1"/>
    <col min="21" max="21" width="20.7109375" customWidth="1"/>
    <col min="22" max="22" width="15" customWidth="1"/>
    <col min="25" max="25" width="49.140625" bestFit="1" customWidth="1"/>
    <col min="26" max="26" width="16.28515625" bestFit="1" customWidth="1"/>
    <col min="27" max="27" width="13.42578125" bestFit="1" customWidth="1"/>
    <col min="41" max="41" width="49.140625" bestFit="1" customWidth="1"/>
    <col min="42" max="42" width="17.42578125" bestFit="1" customWidth="1"/>
    <col min="43" max="43" width="17.42578125" customWidth="1"/>
    <col min="57" max="57" width="47.42578125" bestFit="1" customWidth="1"/>
    <col min="58" max="58" width="18.7109375" bestFit="1" customWidth="1"/>
  </cols>
  <sheetData>
    <row r="1" spans="2:25" x14ac:dyDescent="0.25">
      <c r="C1" t="s">
        <v>28</v>
      </c>
    </row>
    <row r="3" spans="2:25" ht="30" x14ac:dyDescent="0.25">
      <c r="B3" s="68" t="s">
        <v>89</v>
      </c>
      <c r="C3" s="68" t="s">
        <v>90</v>
      </c>
      <c r="D3" s="45" t="s">
        <v>91</v>
      </c>
      <c r="E3" s="45" t="s">
        <v>92</v>
      </c>
      <c r="F3" s="45" t="s">
        <v>93</v>
      </c>
      <c r="G3" s="45" t="s">
        <v>94</v>
      </c>
      <c r="H3" s="45" t="s">
        <v>95</v>
      </c>
      <c r="I3" s="45" t="s">
        <v>96</v>
      </c>
      <c r="L3" s="45" t="s">
        <v>96</v>
      </c>
      <c r="Y3" s="1" t="s">
        <v>545</v>
      </c>
    </row>
    <row r="4" spans="2:25" x14ac:dyDescent="0.25">
      <c r="B4" s="738" t="s">
        <v>104</v>
      </c>
      <c r="C4" s="391" t="s">
        <v>97</v>
      </c>
      <c r="D4" s="392">
        <v>0.7</v>
      </c>
      <c r="E4" s="393">
        <v>4</v>
      </c>
      <c r="F4" s="394">
        <v>0.9</v>
      </c>
      <c r="G4" s="392">
        <f>D4*E4*F4</f>
        <v>2.52</v>
      </c>
      <c r="H4" s="392">
        <f>G4*5</f>
        <v>12.6</v>
      </c>
      <c r="I4" s="392">
        <f>H4*12</f>
        <v>151.19999999999999</v>
      </c>
      <c r="J4" s="395" t="s">
        <v>43</v>
      </c>
      <c r="K4" s="741" t="s">
        <v>520</v>
      </c>
      <c r="L4" s="756">
        <f>SUM(I4:I14)</f>
        <v>9331.1999999999989</v>
      </c>
    </row>
    <row r="5" spans="2:25" x14ac:dyDescent="0.25">
      <c r="B5" s="738"/>
      <c r="C5" s="391" t="s">
        <v>98</v>
      </c>
      <c r="D5" s="392">
        <v>5.6</v>
      </c>
      <c r="E5" s="393">
        <v>4</v>
      </c>
      <c r="F5" s="394">
        <v>0.9</v>
      </c>
      <c r="G5" s="392">
        <f t="shared" ref="G5:G23" si="0">D5*E5*F5</f>
        <v>20.16</v>
      </c>
      <c r="H5" s="392">
        <f t="shared" ref="H5:H23" si="1">G5*5</f>
        <v>100.8</v>
      </c>
      <c r="I5" s="392">
        <f t="shared" ref="I5:I23" si="2">H5*12</f>
        <v>1209.5999999999999</v>
      </c>
      <c r="J5" s="395" t="s">
        <v>43</v>
      </c>
      <c r="K5" s="741"/>
      <c r="L5" s="741"/>
    </row>
    <row r="6" spans="2:25" x14ac:dyDescent="0.25">
      <c r="B6" s="738"/>
      <c r="C6" s="391" t="s">
        <v>99</v>
      </c>
      <c r="D6" s="392">
        <v>1.5</v>
      </c>
      <c r="E6" s="393">
        <v>4</v>
      </c>
      <c r="F6" s="394">
        <v>0.9</v>
      </c>
      <c r="G6" s="392">
        <f t="shared" si="0"/>
        <v>5.4</v>
      </c>
      <c r="H6" s="392">
        <f t="shared" si="1"/>
        <v>27</v>
      </c>
      <c r="I6" s="392">
        <f t="shared" si="2"/>
        <v>324</v>
      </c>
      <c r="J6" s="395" t="s">
        <v>43</v>
      </c>
      <c r="K6" s="741"/>
      <c r="L6" s="741"/>
    </row>
    <row r="7" spans="2:25" x14ac:dyDescent="0.25">
      <c r="B7" s="738"/>
      <c r="C7" s="391" t="s">
        <v>101</v>
      </c>
      <c r="D7" s="392">
        <v>3</v>
      </c>
      <c r="E7" s="393">
        <v>4</v>
      </c>
      <c r="F7" s="394">
        <v>0.9</v>
      </c>
      <c r="G7" s="392">
        <f t="shared" si="0"/>
        <v>10.8</v>
      </c>
      <c r="H7" s="392">
        <f t="shared" si="1"/>
        <v>54</v>
      </c>
      <c r="I7" s="392">
        <f t="shared" si="2"/>
        <v>648</v>
      </c>
      <c r="J7" s="395" t="s">
        <v>43</v>
      </c>
      <c r="K7" s="741"/>
      <c r="L7" s="741"/>
    </row>
    <row r="8" spans="2:25" x14ac:dyDescent="0.25">
      <c r="B8" s="738"/>
      <c r="C8" s="391" t="s">
        <v>100</v>
      </c>
      <c r="D8" s="392">
        <v>0.2</v>
      </c>
      <c r="E8" s="393">
        <v>4</v>
      </c>
      <c r="F8" s="394">
        <v>0.9</v>
      </c>
      <c r="G8" s="392">
        <f t="shared" si="0"/>
        <v>0.72000000000000008</v>
      </c>
      <c r="H8" s="392">
        <f t="shared" si="1"/>
        <v>3.6000000000000005</v>
      </c>
      <c r="I8" s="392">
        <f t="shared" si="2"/>
        <v>43.2</v>
      </c>
      <c r="J8" s="395" t="s">
        <v>43</v>
      </c>
      <c r="K8" s="741"/>
      <c r="L8" s="741"/>
    </row>
    <row r="9" spans="2:25" x14ac:dyDescent="0.25">
      <c r="B9" s="738"/>
      <c r="C9" s="391" t="s">
        <v>102</v>
      </c>
      <c r="D9" s="392">
        <v>2.2000000000000002</v>
      </c>
      <c r="E9" s="393">
        <v>4</v>
      </c>
      <c r="F9" s="394">
        <v>0.9</v>
      </c>
      <c r="G9" s="392">
        <f t="shared" si="0"/>
        <v>7.9200000000000008</v>
      </c>
      <c r="H9" s="392">
        <f t="shared" si="1"/>
        <v>39.6</v>
      </c>
      <c r="I9" s="392">
        <f t="shared" si="2"/>
        <v>475.20000000000005</v>
      </c>
      <c r="J9" s="395" t="s">
        <v>43</v>
      </c>
      <c r="K9" s="741"/>
      <c r="L9" s="741"/>
    </row>
    <row r="10" spans="2:25" x14ac:dyDescent="0.25">
      <c r="B10" s="738"/>
      <c r="C10" s="391" t="s">
        <v>103</v>
      </c>
      <c r="D10" s="392">
        <v>8.1999999999999993</v>
      </c>
      <c r="E10" s="393">
        <v>4</v>
      </c>
      <c r="F10" s="394">
        <v>0.9</v>
      </c>
      <c r="G10" s="392">
        <f t="shared" si="0"/>
        <v>29.52</v>
      </c>
      <c r="H10" s="392">
        <f t="shared" si="1"/>
        <v>147.6</v>
      </c>
      <c r="I10" s="424">
        <f t="shared" si="2"/>
        <v>1771.1999999999998</v>
      </c>
      <c r="J10" s="395" t="s">
        <v>43</v>
      </c>
      <c r="K10" s="741"/>
      <c r="L10" s="741"/>
    </row>
    <row r="11" spans="2:25" x14ac:dyDescent="0.25">
      <c r="B11" s="738" t="s">
        <v>112</v>
      </c>
      <c r="C11" s="391" t="s">
        <v>554</v>
      </c>
      <c r="D11" s="392">
        <v>3.7</v>
      </c>
      <c r="E11" s="393">
        <v>4</v>
      </c>
      <c r="F11" s="394">
        <v>0.9</v>
      </c>
      <c r="G11" s="392">
        <f t="shared" si="0"/>
        <v>13.32</v>
      </c>
      <c r="H11" s="392">
        <f t="shared" si="1"/>
        <v>66.599999999999994</v>
      </c>
      <c r="I11" s="392">
        <f t="shared" si="2"/>
        <v>799.19999999999993</v>
      </c>
      <c r="J11" s="395" t="s">
        <v>43</v>
      </c>
      <c r="K11" s="741"/>
      <c r="L11" s="741"/>
    </row>
    <row r="12" spans="2:25" x14ac:dyDescent="0.25">
      <c r="B12" s="738"/>
      <c r="C12" s="391" t="s">
        <v>107</v>
      </c>
      <c r="D12" s="392">
        <v>11.2</v>
      </c>
      <c r="E12" s="393">
        <v>4</v>
      </c>
      <c r="F12" s="394">
        <v>0.9</v>
      </c>
      <c r="G12" s="392">
        <f t="shared" si="0"/>
        <v>40.32</v>
      </c>
      <c r="H12" s="392">
        <f t="shared" si="1"/>
        <v>201.6</v>
      </c>
      <c r="I12" s="424">
        <f t="shared" si="2"/>
        <v>2419.1999999999998</v>
      </c>
      <c r="J12" s="395" t="s">
        <v>43</v>
      </c>
      <c r="K12" s="741"/>
      <c r="L12" s="741"/>
    </row>
    <row r="13" spans="2:25" x14ac:dyDescent="0.25">
      <c r="B13" s="738"/>
      <c r="C13" s="391" t="s">
        <v>108</v>
      </c>
      <c r="D13" s="392">
        <v>1.3</v>
      </c>
      <c r="E13" s="393">
        <v>4</v>
      </c>
      <c r="F13" s="394">
        <v>0.9</v>
      </c>
      <c r="G13" s="392">
        <f t="shared" si="0"/>
        <v>4.6800000000000006</v>
      </c>
      <c r="H13" s="392">
        <f t="shared" si="1"/>
        <v>23.400000000000002</v>
      </c>
      <c r="I13" s="392">
        <f t="shared" si="2"/>
        <v>280.8</v>
      </c>
      <c r="J13" s="395" t="s">
        <v>43</v>
      </c>
      <c r="K13" s="741"/>
      <c r="L13" s="741"/>
    </row>
    <row r="14" spans="2:25" x14ac:dyDescent="0.25">
      <c r="B14" s="391" t="s">
        <v>113</v>
      </c>
      <c r="C14" s="391" t="s">
        <v>109</v>
      </c>
      <c r="D14" s="392">
        <v>5.6</v>
      </c>
      <c r="E14" s="393">
        <v>4</v>
      </c>
      <c r="F14" s="394">
        <v>0.9</v>
      </c>
      <c r="G14" s="392">
        <f t="shared" si="0"/>
        <v>20.16</v>
      </c>
      <c r="H14" s="392">
        <f t="shared" si="1"/>
        <v>100.8</v>
      </c>
      <c r="I14" s="392">
        <f t="shared" si="2"/>
        <v>1209.5999999999999</v>
      </c>
      <c r="J14" s="395" t="s">
        <v>43</v>
      </c>
      <c r="K14" s="741"/>
      <c r="L14" s="741"/>
    </row>
    <row r="15" spans="2:25" x14ac:dyDescent="0.25">
      <c r="B15" s="739" t="s">
        <v>118</v>
      </c>
      <c r="C15" s="397" t="s">
        <v>110</v>
      </c>
      <c r="D15" s="398">
        <v>22.4</v>
      </c>
      <c r="E15" s="399">
        <v>4</v>
      </c>
      <c r="F15" s="400">
        <v>0.9</v>
      </c>
      <c r="G15" s="398">
        <f t="shared" si="0"/>
        <v>80.64</v>
      </c>
      <c r="H15" s="398">
        <f t="shared" si="1"/>
        <v>403.2</v>
      </c>
      <c r="I15" s="424">
        <f t="shared" si="2"/>
        <v>4838.3999999999996</v>
      </c>
      <c r="J15" s="401" t="s">
        <v>43</v>
      </c>
      <c r="K15" s="742" t="s">
        <v>521</v>
      </c>
      <c r="L15" s="757">
        <f>SUM(I15:I23)</f>
        <v>8899.2000000000007</v>
      </c>
    </row>
    <row r="16" spans="2:25" x14ac:dyDescent="0.25">
      <c r="B16" s="739"/>
      <c r="C16" s="397" t="s">
        <v>111</v>
      </c>
      <c r="D16" s="398">
        <v>7.5</v>
      </c>
      <c r="E16" s="399">
        <v>4</v>
      </c>
      <c r="F16" s="400">
        <v>0.9</v>
      </c>
      <c r="G16" s="398">
        <f t="shared" si="0"/>
        <v>27</v>
      </c>
      <c r="H16" s="398">
        <f t="shared" si="1"/>
        <v>135</v>
      </c>
      <c r="I16" s="398">
        <f t="shared" si="2"/>
        <v>1620</v>
      </c>
      <c r="J16" s="401" t="s">
        <v>43</v>
      </c>
      <c r="K16" s="742"/>
      <c r="L16" s="742"/>
    </row>
    <row r="17" spans="2:12" x14ac:dyDescent="0.25">
      <c r="B17" s="739"/>
      <c r="C17" s="397" t="s">
        <v>444</v>
      </c>
      <c r="D17" s="398">
        <v>1.5</v>
      </c>
      <c r="E17" s="399">
        <v>4</v>
      </c>
      <c r="F17" s="400">
        <v>0.9</v>
      </c>
      <c r="G17" s="398">
        <f t="shared" si="0"/>
        <v>5.4</v>
      </c>
      <c r="H17" s="398">
        <f t="shared" si="1"/>
        <v>27</v>
      </c>
      <c r="I17" s="398">
        <f t="shared" si="2"/>
        <v>324</v>
      </c>
      <c r="J17" s="401" t="s">
        <v>43</v>
      </c>
      <c r="K17" s="742"/>
      <c r="L17" s="742"/>
    </row>
    <row r="18" spans="2:12" x14ac:dyDescent="0.25">
      <c r="B18" s="739"/>
      <c r="C18" s="397" t="s">
        <v>445</v>
      </c>
      <c r="D18" s="398">
        <v>1.5</v>
      </c>
      <c r="E18" s="399">
        <v>4</v>
      </c>
      <c r="F18" s="400">
        <v>0.9</v>
      </c>
      <c r="G18" s="398">
        <f t="shared" si="0"/>
        <v>5.4</v>
      </c>
      <c r="H18" s="398">
        <f t="shared" si="1"/>
        <v>27</v>
      </c>
      <c r="I18" s="398">
        <f t="shared" si="2"/>
        <v>324</v>
      </c>
      <c r="J18" s="401" t="s">
        <v>43</v>
      </c>
      <c r="K18" s="742"/>
      <c r="L18" s="742"/>
    </row>
    <row r="19" spans="2:12" x14ac:dyDescent="0.25">
      <c r="B19" s="739"/>
      <c r="C19" s="397" t="s">
        <v>114</v>
      </c>
      <c r="D19" s="398">
        <v>1.5</v>
      </c>
      <c r="E19" s="399">
        <v>4</v>
      </c>
      <c r="F19" s="400">
        <v>0.9</v>
      </c>
      <c r="G19" s="398">
        <f t="shared" si="0"/>
        <v>5.4</v>
      </c>
      <c r="H19" s="398">
        <f t="shared" si="1"/>
        <v>27</v>
      </c>
      <c r="I19" s="398">
        <f t="shared" si="2"/>
        <v>324</v>
      </c>
      <c r="J19" s="401" t="s">
        <v>43</v>
      </c>
      <c r="K19" s="742"/>
      <c r="L19" s="742"/>
    </row>
    <row r="20" spans="2:12" x14ac:dyDescent="0.25">
      <c r="B20" s="739"/>
      <c r="C20" s="397" t="s">
        <v>115</v>
      </c>
      <c r="D20" s="398">
        <v>1.6</v>
      </c>
      <c r="E20" s="399">
        <v>4</v>
      </c>
      <c r="F20" s="400">
        <v>0.9</v>
      </c>
      <c r="G20" s="398">
        <f t="shared" si="0"/>
        <v>5.7600000000000007</v>
      </c>
      <c r="H20" s="398">
        <f t="shared" si="1"/>
        <v>28.800000000000004</v>
      </c>
      <c r="I20" s="398">
        <f t="shared" si="2"/>
        <v>345.6</v>
      </c>
      <c r="J20" s="401" t="s">
        <v>43</v>
      </c>
      <c r="K20" s="742"/>
      <c r="L20" s="742"/>
    </row>
    <row r="21" spans="2:12" x14ac:dyDescent="0.25">
      <c r="B21" s="739"/>
      <c r="C21" s="397" t="s">
        <v>116</v>
      </c>
      <c r="D21" s="398">
        <v>1.5</v>
      </c>
      <c r="E21" s="399">
        <v>4</v>
      </c>
      <c r="F21" s="400">
        <v>0.9</v>
      </c>
      <c r="G21" s="398">
        <f t="shared" si="0"/>
        <v>5.4</v>
      </c>
      <c r="H21" s="398">
        <f t="shared" si="1"/>
        <v>27</v>
      </c>
      <c r="I21" s="398">
        <f t="shared" si="2"/>
        <v>324</v>
      </c>
      <c r="J21" s="401" t="s">
        <v>43</v>
      </c>
      <c r="K21" s="742"/>
      <c r="L21" s="742"/>
    </row>
    <row r="22" spans="2:12" x14ac:dyDescent="0.25">
      <c r="B22" s="739"/>
      <c r="C22" s="397" t="s">
        <v>105</v>
      </c>
      <c r="D22" s="398">
        <v>0.7</v>
      </c>
      <c r="E22" s="399">
        <v>4</v>
      </c>
      <c r="F22" s="400">
        <v>0.9</v>
      </c>
      <c r="G22" s="398">
        <f t="shared" si="0"/>
        <v>2.52</v>
      </c>
      <c r="H22" s="398">
        <f t="shared" si="1"/>
        <v>12.6</v>
      </c>
      <c r="I22" s="398">
        <f t="shared" si="2"/>
        <v>151.19999999999999</v>
      </c>
      <c r="J22" s="401" t="s">
        <v>43</v>
      </c>
      <c r="K22" s="742"/>
      <c r="L22" s="742"/>
    </row>
    <row r="23" spans="2:12" x14ac:dyDescent="0.25">
      <c r="B23" s="739"/>
      <c r="C23" s="397" t="s">
        <v>117</v>
      </c>
      <c r="D23" s="398">
        <v>3</v>
      </c>
      <c r="E23" s="399">
        <v>4</v>
      </c>
      <c r="F23" s="400">
        <v>0.9</v>
      </c>
      <c r="G23" s="398">
        <f t="shared" si="0"/>
        <v>10.8</v>
      </c>
      <c r="H23" s="398">
        <f t="shared" si="1"/>
        <v>54</v>
      </c>
      <c r="I23" s="398">
        <f t="shared" si="2"/>
        <v>648</v>
      </c>
      <c r="J23" s="401" t="s">
        <v>43</v>
      </c>
      <c r="K23" s="742"/>
      <c r="L23" s="742"/>
    </row>
    <row r="24" spans="2:12" x14ac:dyDescent="0.25">
      <c r="C24" s="31" t="s">
        <v>64</v>
      </c>
      <c r="D24" s="73">
        <f>SUM(D4:D23)</f>
        <v>84.399999999999991</v>
      </c>
      <c r="E24" s="62"/>
      <c r="F24" s="62"/>
      <c r="G24" s="73">
        <f>SUM(G4:G23)</f>
        <v>303.83999999999986</v>
      </c>
      <c r="H24" s="73">
        <f>SUM(H4:H23)</f>
        <v>1519.1999999999998</v>
      </c>
      <c r="I24" s="73">
        <f>SUM(I4:I23)</f>
        <v>18230.399999999998</v>
      </c>
    </row>
    <row r="25" spans="2:12" x14ac:dyDescent="0.25">
      <c r="D25" s="62"/>
      <c r="E25" s="62"/>
      <c r="F25" s="62"/>
      <c r="G25" s="62"/>
      <c r="H25" s="62"/>
      <c r="I25" s="62"/>
    </row>
    <row r="26" spans="2:12" x14ac:dyDescent="0.25">
      <c r="D26" s="62"/>
      <c r="E26" s="62"/>
      <c r="F26" s="62"/>
      <c r="G26" s="62"/>
      <c r="H26" s="62">
        <v>1519.1999999999998</v>
      </c>
      <c r="I26" s="62">
        <v>18230.399999999998</v>
      </c>
    </row>
    <row r="27" spans="2:12" x14ac:dyDescent="0.25">
      <c r="D27" s="62"/>
      <c r="E27" s="62"/>
      <c r="F27" s="62"/>
      <c r="G27" s="62"/>
    </row>
    <row r="28" spans="2:12" x14ac:dyDescent="0.25">
      <c r="D28" s="62"/>
      <c r="E28" s="62"/>
      <c r="F28" s="62"/>
      <c r="G28" s="62"/>
      <c r="H28" s="62"/>
      <c r="I28" s="62"/>
    </row>
    <row r="29" spans="2:12" x14ac:dyDescent="0.25">
      <c r="D29" s="62"/>
      <c r="E29" s="62"/>
      <c r="F29" s="62"/>
      <c r="G29" s="62"/>
      <c r="H29" s="62"/>
      <c r="I29" s="62"/>
    </row>
    <row r="30" spans="2:12" x14ac:dyDescent="0.25">
      <c r="D30" s="62"/>
      <c r="E30" s="62"/>
      <c r="F30" s="62"/>
      <c r="G30" s="62"/>
      <c r="H30" s="62"/>
      <c r="I30" s="62"/>
    </row>
    <row r="31" spans="2:12" x14ac:dyDescent="0.25">
      <c r="D31" s="62"/>
      <c r="E31" s="62"/>
      <c r="F31" s="62"/>
      <c r="G31" s="62"/>
      <c r="H31" s="62"/>
      <c r="I31" s="62"/>
    </row>
    <row r="32" spans="2:12" x14ac:dyDescent="0.25">
      <c r="D32" s="62"/>
      <c r="E32" s="62"/>
      <c r="F32" s="62"/>
      <c r="G32" s="62"/>
      <c r="H32" s="62"/>
      <c r="I32" s="62"/>
    </row>
    <row r="35" spans="2:43" x14ac:dyDescent="0.25">
      <c r="H35" s="64"/>
      <c r="I35" s="64"/>
    </row>
    <row r="36" spans="2:43" x14ac:dyDescent="0.25">
      <c r="G36" s="64"/>
    </row>
    <row r="37" spans="2:43" x14ac:dyDescent="0.25">
      <c r="H37" s="64"/>
      <c r="I37" s="64"/>
    </row>
    <row r="38" spans="2:43" x14ac:dyDescent="0.25">
      <c r="H38" s="64"/>
      <c r="I38" s="64"/>
    </row>
    <row r="39" spans="2:43" x14ac:dyDescent="0.25">
      <c r="C39" t="s">
        <v>29</v>
      </c>
    </row>
    <row r="40" spans="2:43" x14ac:dyDescent="0.25">
      <c r="S40" s="45" t="s">
        <v>96</v>
      </c>
      <c r="T40" s="357"/>
      <c r="W40" s="45" t="s">
        <v>96</v>
      </c>
    </row>
    <row r="41" spans="2:43" ht="30" x14ac:dyDescent="0.25">
      <c r="B41" s="68" t="s">
        <v>89</v>
      </c>
      <c r="C41" s="68" t="s">
        <v>90</v>
      </c>
      <c r="D41" s="45" t="s">
        <v>91</v>
      </c>
      <c r="E41" s="45" t="s">
        <v>92</v>
      </c>
      <c r="F41" s="45" t="s">
        <v>93</v>
      </c>
      <c r="G41" s="45" t="s">
        <v>555</v>
      </c>
      <c r="H41" s="45" t="s">
        <v>556</v>
      </c>
      <c r="I41" s="45" t="s">
        <v>557</v>
      </c>
      <c r="L41" s="45" t="s">
        <v>96</v>
      </c>
      <c r="Q41" s="68" t="s">
        <v>525</v>
      </c>
      <c r="R41" s="68"/>
      <c r="S41" s="422">
        <f>L4+L15+L42+L48+L51+L80+L87+L115</f>
        <v>104946.39600000001</v>
      </c>
      <c r="T41" s="473"/>
      <c r="V41" s="69" t="s">
        <v>319</v>
      </c>
      <c r="W41" s="423">
        <f>N131+N133+N137</f>
        <v>134455.54793778266</v>
      </c>
      <c r="Y41" s="255"/>
    </row>
    <row r="42" spans="2:43" x14ac:dyDescent="0.25">
      <c r="B42" s="402" t="s">
        <v>112</v>
      </c>
      <c r="C42" s="391" t="s">
        <v>119</v>
      </c>
      <c r="D42" s="392">
        <v>37.29</v>
      </c>
      <c r="E42" s="393">
        <v>4</v>
      </c>
      <c r="F42" s="392">
        <v>0.9</v>
      </c>
      <c r="G42" s="392">
        <f>D42*E42*F42</f>
        <v>134.244</v>
      </c>
      <c r="H42" s="392">
        <f>G42*5</f>
        <v>671.22</v>
      </c>
      <c r="I42" s="392">
        <f>H42*12</f>
        <v>8054.64</v>
      </c>
      <c r="J42" s="395" t="s">
        <v>43</v>
      </c>
      <c r="K42" s="396" t="s">
        <v>520</v>
      </c>
      <c r="L42" s="421">
        <f>I42</f>
        <v>8054.64</v>
      </c>
    </row>
    <row r="43" spans="2:43" x14ac:dyDescent="0.25">
      <c r="D43" s="62"/>
      <c r="E43" s="62"/>
      <c r="F43" s="62"/>
      <c r="G43" s="62"/>
      <c r="H43" s="62"/>
      <c r="I43" s="62"/>
      <c r="Q43" s="31" t="s">
        <v>526</v>
      </c>
      <c r="R43" s="31"/>
      <c r="S43" s="31">
        <f>'Consumo Eléctrico'!I33</f>
        <v>114268.13</v>
      </c>
      <c r="T43" s="31"/>
      <c r="U43" s="31"/>
      <c r="V43" s="31" t="s">
        <v>527</v>
      </c>
      <c r="W43" s="38">
        <f>'Consumo Térmico de la empresa'!S39</f>
        <v>134458.08630663127</v>
      </c>
      <c r="Y43" s="22"/>
      <c r="AQ43" s="22"/>
    </row>
    <row r="44" spans="2:43" x14ac:dyDescent="0.25">
      <c r="H44" s="236">
        <v>671.22</v>
      </c>
      <c r="I44" s="236">
        <v>8054.64</v>
      </c>
    </row>
    <row r="45" spans="2:43" x14ac:dyDescent="0.25">
      <c r="C45" t="s">
        <v>30</v>
      </c>
      <c r="Q45" s="31" t="s">
        <v>225</v>
      </c>
      <c r="R45" s="31"/>
      <c r="S45" s="89">
        <f>S43-S41</f>
        <v>9321.7339999999967</v>
      </c>
      <c r="T45" s="3"/>
      <c r="V45" s="31" t="s">
        <v>340</v>
      </c>
      <c r="W45" s="38">
        <f>W43-W41</f>
        <v>2.53836884861812</v>
      </c>
      <c r="AQ45" s="24"/>
    </row>
    <row r="46" spans="2:43" x14ac:dyDescent="0.25">
      <c r="S46" s="3">
        <f>S45/12</f>
        <v>776.8111666666664</v>
      </c>
      <c r="T46" s="3"/>
    </row>
    <row r="47" spans="2:43" ht="45" x14ac:dyDescent="0.25">
      <c r="B47" s="68" t="s">
        <v>89</v>
      </c>
      <c r="C47" s="68" t="s">
        <v>122</v>
      </c>
      <c r="D47" s="45" t="s">
        <v>123</v>
      </c>
      <c r="E47" s="45" t="s">
        <v>124</v>
      </c>
      <c r="F47" s="45" t="s">
        <v>125</v>
      </c>
      <c r="G47" s="45" t="s">
        <v>126</v>
      </c>
      <c r="H47" s="45" t="s">
        <v>127</v>
      </c>
      <c r="I47" s="45" t="s">
        <v>128</v>
      </c>
      <c r="L47" s="45" t="s">
        <v>96</v>
      </c>
    </row>
    <row r="48" spans="2:43" ht="15" customHeight="1" x14ac:dyDescent="0.25">
      <c r="B48" s="373" t="s">
        <v>121</v>
      </c>
      <c r="C48" s="403" t="s">
        <v>120</v>
      </c>
      <c r="D48" s="404">
        <v>12000</v>
      </c>
      <c r="E48" s="405">
        <v>1.26</v>
      </c>
      <c r="F48" s="405">
        <f t="shared" ref="F48:F54" si="3">D48/E48/1000</f>
        <v>9.5238095238095237</v>
      </c>
      <c r="G48" s="404">
        <v>60</v>
      </c>
      <c r="H48" s="404">
        <f>G48*52</f>
        <v>3120</v>
      </c>
      <c r="I48" s="404">
        <f>G48*48*E48*0.8*0.81</f>
        <v>2351.4624000000003</v>
      </c>
      <c r="J48" s="406" t="s">
        <v>43</v>
      </c>
      <c r="K48" s="736" t="s">
        <v>523</v>
      </c>
      <c r="L48" s="758">
        <f>SUM(I48:I50)</f>
        <v>30345.062400000003</v>
      </c>
      <c r="Q48" s="684" t="s">
        <v>564</v>
      </c>
      <c r="R48" s="684"/>
      <c r="S48" s="684"/>
      <c r="T48" s="1"/>
    </row>
    <row r="49" spans="2:60" x14ac:dyDescent="0.25">
      <c r="B49" s="373" t="s">
        <v>121</v>
      </c>
      <c r="C49" s="408" t="s">
        <v>138</v>
      </c>
      <c r="D49" s="404">
        <v>60000</v>
      </c>
      <c r="E49" s="405">
        <v>7.5</v>
      </c>
      <c r="F49" s="405">
        <f t="shared" si="3"/>
        <v>8</v>
      </c>
      <c r="G49" s="404">
        <v>60</v>
      </c>
      <c r="H49" s="404">
        <f t="shared" ref="H49:H54" si="4">G49*52</f>
        <v>3120</v>
      </c>
      <c r="I49" s="404">
        <f t="shared" ref="I49:I54" si="5">G49*48*E49*0.8*0.81</f>
        <v>13996.800000000001</v>
      </c>
      <c r="J49" s="406" t="s">
        <v>43</v>
      </c>
      <c r="K49" s="736"/>
      <c r="L49" s="736"/>
      <c r="Q49" s="684" t="s">
        <v>96</v>
      </c>
      <c r="R49" s="684"/>
      <c r="S49" s="684"/>
      <c r="T49" s="1"/>
      <c r="Z49" s="684" t="s">
        <v>96</v>
      </c>
      <c r="AA49" s="684"/>
      <c r="AP49" s="684"/>
      <c r="AQ49" s="684"/>
    </row>
    <row r="50" spans="2:60" x14ac:dyDescent="0.25">
      <c r="B50" s="373" t="s">
        <v>133</v>
      </c>
      <c r="C50" s="408" t="s">
        <v>138</v>
      </c>
      <c r="D50" s="404">
        <v>60000</v>
      </c>
      <c r="E50" s="405">
        <v>7.5</v>
      </c>
      <c r="F50" s="405">
        <f t="shared" si="3"/>
        <v>8</v>
      </c>
      <c r="G50" s="404">
        <v>60</v>
      </c>
      <c r="H50" s="404">
        <f t="shared" si="4"/>
        <v>3120</v>
      </c>
      <c r="I50" s="404">
        <f t="shared" si="5"/>
        <v>13996.800000000001</v>
      </c>
      <c r="J50" s="406" t="s">
        <v>43</v>
      </c>
      <c r="K50" s="736"/>
      <c r="L50" s="736"/>
      <c r="P50" s="390"/>
      <c r="Q50" s="34" t="s">
        <v>519</v>
      </c>
      <c r="R50" s="34"/>
      <c r="S50" s="34" t="s">
        <v>320</v>
      </c>
      <c r="T50" s="34"/>
      <c r="U50" s="353" t="s">
        <v>221</v>
      </c>
      <c r="V50" s="353" t="s">
        <v>502</v>
      </c>
      <c r="W50" s="1"/>
      <c r="Z50" s="430" t="s">
        <v>519</v>
      </c>
      <c r="AA50" s="430" t="s">
        <v>320</v>
      </c>
      <c r="AB50" s="431" t="s">
        <v>221</v>
      </c>
      <c r="AC50" s="353" t="s">
        <v>502</v>
      </c>
      <c r="AO50" s="353" t="s">
        <v>503</v>
      </c>
      <c r="AP50" s="353" t="s">
        <v>540</v>
      </c>
      <c r="AQ50" s="353" t="s">
        <v>541</v>
      </c>
      <c r="AR50" s="353" t="s">
        <v>221</v>
      </c>
      <c r="AS50" s="353" t="s">
        <v>502</v>
      </c>
      <c r="BE50" s="34" t="str">
        <f>AO50</f>
        <v>USE´s</v>
      </c>
      <c r="BF50" s="34" t="s">
        <v>1038</v>
      </c>
      <c r="BG50" s="17" t="str">
        <f>AR50</f>
        <v>%</v>
      </c>
      <c r="BH50" s="17" t="str">
        <f>AS50</f>
        <v>% acum</v>
      </c>
    </row>
    <row r="51" spans="2:60" x14ac:dyDescent="0.25">
      <c r="B51" s="409" t="s">
        <v>134</v>
      </c>
      <c r="C51" s="152" t="s">
        <v>120</v>
      </c>
      <c r="D51" s="410">
        <v>12000</v>
      </c>
      <c r="E51" s="411">
        <v>1.3</v>
      </c>
      <c r="F51" s="411">
        <f t="shared" si="3"/>
        <v>9.2307692307692299</v>
      </c>
      <c r="G51" s="410">
        <v>60</v>
      </c>
      <c r="H51" s="410">
        <f t="shared" si="4"/>
        <v>3120</v>
      </c>
      <c r="I51" s="410">
        <f t="shared" si="5"/>
        <v>2426.1120000000005</v>
      </c>
      <c r="J51" s="412" t="s">
        <v>43</v>
      </c>
      <c r="K51" s="713" t="s">
        <v>522</v>
      </c>
      <c r="L51" s="759">
        <f>SUM(I51:I54)</f>
        <v>9704.4480000000021</v>
      </c>
      <c r="P51" s="428" t="s">
        <v>524</v>
      </c>
      <c r="Q51" s="133"/>
      <c r="R51" s="133"/>
      <c r="S51" s="133">
        <f>N133</f>
        <v>49399.745989067625</v>
      </c>
      <c r="T51" s="133"/>
      <c r="U51" s="354">
        <f t="shared" ref="U51:U56" si="6">(Q51+S51)/($Q$58+$S$58)</f>
        <v>0.19861296036891507</v>
      </c>
      <c r="V51" s="427">
        <f>U51</f>
        <v>0.19861296036891507</v>
      </c>
      <c r="W51" s="236"/>
      <c r="Y51" s="428" t="str">
        <f>P52</f>
        <v>Proceso 02</v>
      </c>
      <c r="Z51" s="28">
        <f>Q52</f>
        <v>17385.84</v>
      </c>
      <c r="AA51" s="28">
        <f>S52</f>
        <v>85055.801948715016</v>
      </c>
      <c r="AB51" s="88">
        <f t="shared" ref="AB51:AB56" si="7">(Z51+AA51)/($Z$58+$AA$58)</f>
        <v>0.41186927918595839</v>
      </c>
      <c r="AC51" s="427">
        <f>AB51</f>
        <v>0.41186927918595839</v>
      </c>
      <c r="AO51" s="435" t="str">
        <f t="shared" ref="AO51:AO56" si="8">Y51</f>
        <v>Proceso 02</v>
      </c>
      <c r="AP51" s="434">
        <f>Z51*'Emisiones de GEI'!$D$52/1000</f>
        <v>4.1447842560000003</v>
      </c>
      <c r="AQ51" s="434">
        <f>AA51*'Emisiones de GEI'!$G$53/1000</f>
        <v>22.015843776405397</v>
      </c>
      <c r="AR51" s="88">
        <f t="shared" ref="AR51:AR56" si="9">(AP51+AQ51)/($AP$58+$AQ$58)</f>
        <v>0.42164640619782545</v>
      </c>
      <c r="AS51" s="427">
        <f>AR51</f>
        <v>0.42164640619782545</v>
      </c>
      <c r="BE51" s="17" t="str">
        <f t="shared" ref="BE51:BE58" si="10">AO51</f>
        <v>Proceso 02</v>
      </c>
      <c r="BF51" s="609">
        <f t="shared" ref="BF51:BF56" si="11">AP51+AQ51</f>
        <v>26.160628032405398</v>
      </c>
      <c r="BG51" s="88">
        <f t="shared" ref="BG51:BG56" si="12">BF51/$BF$58</f>
        <v>0.4216464061978254</v>
      </c>
      <c r="BH51" s="88">
        <f>BG51</f>
        <v>0.4216464061978254</v>
      </c>
    </row>
    <row r="52" spans="2:60" x14ac:dyDescent="0.25">
      <c r="B52" s="409" t="s">
        <v>135</v>
      </c>
      <c r="C52" s="152" t="s">
        <v>120</v>
      </c>
      <c r="D52" s="410">
        <v>12000</v>
      </c>
      <c r="E52" s="411">
        <v>1.3</v>
      </c>
      <c r="F52" s="411">
        <f t="shared" si="3"/>
        <v>9.2307692307692299</v>
      </c>
      <c r="G52" s="410">
        <v>60</v>
      </c>
      <c r="H52" s="410">
        <f t="shared" si="4"/>
        <v>3120</v>
      </c>
      <c r="I52" s="410">
        <f t="shared" si="5"/>
        <v>2426.1120000000005</v>
      </c>
      <c r="J52" s="412" t="s">
        <v>43</v>
      </c>
      <c r="K52" s="713"/>
      <c r="L52" s="713"/>
      <c r="P52" s="428" t="s">
        <v>520</v>
      </c>
      <c r="Q52" s="425">
        <f>L4+L42</f>
        <v>17385.84</v>
      </c>
      <c r="R52" s="425"/>
      <c r="S52" s="312">
        <f>N131+N137</f>
        <v>85055.801948715016</v>
      </c>
      <c r="T52" s="312"/>
      <c r="U52" s="354">
        <f t="shared" si="6"/>
        <v>0.41186927918595839</v>
      </c>
      <c r="V52" s="427">
        <f>V51+U52</f>
        <v>0.61048223955487346</v>
      </c>
      <c r="W52" s="236"/>
      <c r="Y52" s="432" t="str">
        <f>P55</f>
        <v>Sector 02</v>
      </c>
      <c r="Z52" s="28">
        <f>Q55</f>
        <v>66224.042400000006</v>
      </c>
      <c r="AA52" s="28">
        <f>S55</f>
        <v>0</v>
      </c>
      <c r="AB52" s="88">
        <f t="shared" si="7"/>
        <v>0.26625548057618265</v>
      </c>
      <c r="AC52" s="427">
        <f>AC51+AB52</f>
        <v>0.67812475976214104</v>
      </c>
      <c r="AO52" s="435" t="str">
        <f t="shared" si="8"/>
        <v>Sector 02</v>
      </c>
      <c r="AP52" s="434">
        <f>Z52*'Emisiones de GEI'!$D$52/1000</f>
        <v>15.787811708160001</v>
      </c>
      <c r="AQ52" s="434">
        <f>AA52*'Emisiones de GEI'!$G$53/1000</f>
        <v>0</v>
      </c>
      <c r="AR52" s="88">
        <f t="shared" si="9"/>
        <v>0.25446155421909933</v>
      </c>
      <c r="AS52" s="427">
        <f>AS51+AR52</f>
        <v>0.67610796041692478</v>
      </c>
      <c r="BE52" s="17" t="str">
        <f t="shared" si="10"/>
        <v>Sector 02</v>
      </c>
      <c r="BF52" s="609">
        <f t="shared" si="11"/>
        <v>15.787811708160001</v>
      </c>
      <c r="BG52" s="88">
        <f t="shared" si="12"/>
        <v>0.25446155421909933</v>
      </c>
      <c r="BH52" s="88">
        <f>BH51+BG52</f>
        <v>0.67610796041692467</v>
      </c>
    </row>
    <row r="53" spans="2:60" x14ac:dyDescent="0.25">
      <c r="B53" s="409" t="s">
        <v>136</v>
      </c>
      <c r="C53" s="152" t="s">
        <v>120</v>
      </c>
      <c r="D53" s="410">
        <v>12000</v>
      </c>
      <c r="E53" s="411">
        <v>1.3</v>
      </c>
      <c r="F53" s="411">
        <f t="shared" si="3"/>
        <v>9.2307692307692299</v>
      </c>
      <c r="G53" s="410">
        <v>60</v>
      </c>
      <c r="H53" s="410">
        <f t="shared" si="4"/>
        <v>3120</v>
      </c>
      <c r="I53" s="410">
        <f t="shared" si="5"/>
        <v>2426.1120000000005</v>
      </c>
      <c r="J53" s="412" t="s">
        <v>43</v>
      </c>
      <c r="K53" s="713"/>
      <c r="L53" s="713"/>
      <c r="P53" s="428" t="s">
        <v>521</v>
      </c>
      <c r="Q53" s="426">
        <f>L15</f>
        <v>8899.2000000000007</v>
      </c>
      <c r="R53" s="426"/>
      <c r="S53" s="17"/>
      <c r="T53" s="17"/>
      <c r="U53" s="354">
        <f t="shared" si="6"/>
        <v>3.5779464479558327E-2</v>
      </c>
      <c r="V53" s="427">
        <f>V52+U53</f>
        <v>0.64626170403443184</v>
      </c>
      <c r="W53" s="236"/>
      <c r="Y53" s="428" t="str">
        <f>P51</f>
        <v>Proceso 01</v>
      </c>
      <c r="Z53" s="28">
        <f>Q51</f>
        <v>0</v>
      </c>
      <c r="AA53" s="28">
        <f>S51</f>
        <v>49399.745989067625</v>
      </c>
      <c r="AB53" s="88">
        <f t="shared" si="7"/>
        <v>0.19861296036891507</v>
      </c>
      <c r="AC53" s="427">
        <f>AC52+AB53</f>
        <v>0.87673772013105611</v>
      </c>
      <c r="AO53" s="435" t="str">
        <f t="shared" si="8"/>
        <v>Proceso 01</v>
      </c>
      <c r="AP53" s="434">
        <f>Z53*'Emisiones de GEI'!$D$52/1000</f>
        <v>0</v>
      </c>
      <c r="AQ53" s="434">
        <f>AA53*'Emisiones de GEI'!$G$53/1000</f>
        <v>12.786630251810266</v>
      </c>
      <c r="AR53" s="88">
        <f t="shared" si="9"/>
        <v>0.20608972714178631</v>
      </c>
      <c r="AS53" s="427">
        <f>AS52+AR53</f>
        <v>0.88219768755871109</v>
      </c>
      <c r="BE53" s="17" t="str">
        <f t="shared" si="10"/>
        <v>Proceso 01</v>
      </c>
      <c r="BF53" s="609">
        <f t="shared" si="11"/>
        <v>12.786630251810266</v>
      </c>
      <c r="BG53" s="88">
        <f t="shared" si="12"/>
        <v>0.20608972714178628</v>
      </c>
      <c r="BH53" s="88">
        <f>BH52+BG53</f>
        <v>0.88219768755871097</v>
      </c>
    </row>
    <row r="54" spans="2:60" ht="15" customHeight="1" x14ac:dyDescent="0.25">
      <c r="B54" s="409" t="s">
        <v>137</v>
      </c>
      <c r="C54" s="152" t="s">
        <v>120</v>
      </c>
      <c r="D54" s="410">
        <v>12000</v>
      </c>
      <c r="E54" s="411">
        <v>1.3</v>
      </c>
      <c r="F54" s="411">
        <f t="shared" si="3"/>
        <v>9.2307692307692299</v>
      </c>
      <c r="G54" s="410">
        <v>60</v>
      </c>
      <c r="H54" s="410">
        <f t="shared" si="4"/>
        <v>3120</v>
      </c>
      <c r="I54" s="410">
        <f t="shared" si="5"/>
        <v>2426.1120000000005</v>
      </c>
      <c r="J54" s="412" t="s">
        <v>43</v>
      </c>
      <c r="K54" s="713"/>
      <c r="L54" s="713"/>
      <c r="P54" s="428" t="s">
        <v>522</v>
      </c>
      <c r="Q54" s="425">
        <f>L51+L87</f>
        <v>12437.313600000001</v>
      </c>
      <c r="R54" s="425"/>
      <c r="S54" s="17"/>
      <c r="T54" s="17"/>
      <c r="U54" s="354">
        <f t="shared" si="6"/>
        <v>5.0004542000666098E-2</v>
      </c>
      <c r="V54" s="427">
        <f>V53+U54</f>
        <v>0.6962662460350979</v>
      </c>
      <c r="W54" s="236"/>
      <c r="Y54" s="428" t="str">
        <f>P54</f>
        <v>Sector 01</v>
      </c>
      <c r="Z54" s="28">
        <f>Q54</f>
        <v>12437.313600000001</v>
      </c>
      <c r="AA54" s="28">
        <f>S54</f>
        <v>0</v>
      </c>
      <c r="AB54" s="88">
        <f t="shared" si="7"/>
        <v>5.0004542000666098E-2</v>
      </c>
      <c r="AC54" s="427">
        <f>AC53+AB54</f>
        <v>0.92674226213172217</v>
      </c>
      <c r="AO54" s="435" t="str">
        <f t="shared" si="8"/>
        <v>Sector 01</v>
      </c>
      <c r="AP54" s="434">
        <f>Z54*'Emisiones de GEI'!$D$52/1000</f>
        <v>2.9650555622400003</v>
      </c>
      <c r="AQ54" s="434">
        <f>AA54*'Emisiones de GEI'!$G$53/1000</f>
        <v>0</v>
      </c>
      <c r="AR54" s="88">
        <f t="shared" si="9"/>
        <v>4.7789564548937014E-2</v>
      </c>
      <c r="AS54" s="427">
        <f>AS53+AR54</f>
        <v>0.9299872521076481</v>
      </c>
      <c r="BE54" s="17" t="str">
        <f t="shared" si="10"/>
        <v>Sector 01</v>
      </c>
      <c r="BF54" s="609">
        <f t="shared" si="11"/>
        <v>2.9650555622400003</v>
      </c>
      <c r="BG54" s="88">
        <f t="shared" si="12"/>
        <v>4.7789564548937007E-2</v>
      </c>
      <c r="BH54" s="88">
        <f>BH53+BG54</f>
        <v>0.92998725210764799</v>
      </c>
    </row>
    <row r="55" spans="2:60" x14ac:dyDescent="0.25">
      <c r="B55" s="45" t="s">
        <v>64</v>
      </c>
      <c r="E55" s="73">
        <f>SUM(E48:E54)</f>
        <v>21.46</v>
      </c>
      <c r="F55" s="24"/>
      <c r="G55" s="71">
        <f>SUM(G48:G54)</f>
        <v>420</v>
      </c>
      <c r="H55" s="71">
        <f>SUM(H48:H54)</f>
        <v>21840</v>
      </c>
      <c r="I55" s="71">
        <f>SUM(I48:I54)</f>
        <v>40049.510400000006</v>
      </c>
      <c r="P55" s="428" t="s">
        <v>523</v>
      </c>
      <c r="Q55" s="29">
        <f>L48+L80+L115</f>
        <v>66224.042400000006</v>
      </c>
      <c r="R55" s="29"/>
      <c r="S55" s="17"/>
      <c r="T55" s="17"/>
      <c r="U55" s="354">
        <f t="shared" si="6"/>
        <v>0.26625548057618265</v>
      </c>
      <c r="V55" s="427">
        <f>V54+U55</f>
        <v>0.96252172661128055</v>
      </c>
      <c r="W55" s="236"/>
      <c r="Y55" s="428" t="str">
        <f>P56</f>
        <v>Otros</v>
      </c>
      <c r="Z55" s="28">
        <f>Q56</f>
        <v>9321.7339999999967</v>
      </c>
      <c r="AA55" s="28">
        <f>S56</f>
        <v>0</v>
      </c>
      <c r="AB55" s="88">
        <f t="shared" si="7"/>
        <v>3.7478273388719327E-2</v>
      </c>
      <c r="AC55" s="427">
        <f>AC54+AB55</f>
        <v>0.96422053552044151</v>
      </c>
      <c r="AO55" s="435" t="str">
        <f t="shared" si="8"/>
        <v>Otros</v>
      </c>
      <c r="AP55" s="434">
        <f>Z55*'Emisiones de GEI'!$D$52/1000</f>
        <v>2.2223013855999993</v>
      </c>
      <c r="AQ55" s="434">
        <f>AA55*'Emisiones de GEI'!$G$53/1000</f>
        <v>0</v>
      </c>
      <c r="AR55" s="88">
        <f t="shared" si="9"/>
        <v>3.5818153584309446E-2</v>
      </c>
      <c r="AS55" s="427">
        <f>AS54+AR55</f>
        <v>0.9658054056919575</v>
      </c>
      <c r="BE55" s="17" t="str">
        <f t="shared" si="10"/>
        <v>Otros</v>
      </c>
      <c r="BF55" s="609">
        <f t="shared" si="11"/>
        <v>2.2223013855999993</v>
      </c>
      <c r="BG55" s="88">
        <f t="shared" si="12"/>
        <v>3.581815358430944E-2</v>
      </c>
      <c r="BH55" s="88">
        <f>BH54+BG55</f>
        <v>0.96580540569195739</v>
      </c>
    </row>
    <row r="56" spans="2:60" x14ac:dyDescent="0.25">
      <c r="P56" s="428" t="s">
        <v>225</v>
      </c>
      <c r="Q56" s="29">
        <f>S45</f>
        <v>9321.7339999999967</v>
      </c>
      <c r="R56" s="29"/>
      <c r="S56" s="17"/>
      <c r="T56" s="17"/>
      <c r="U56" s="354">
        <f t="shared" si="6"/>
        <v>3.7478273388719327E-2</v>
      </c>
      <c r="V56" s="427">
        <f>V55+U56</f>
        <v>0.99999999999999989</v>
      </c>
      <c r="W56" s="236"/>
      <c r="Y56" s="428" t="str">
        <f>P53</f>
        <v>Proceso 03</v>
      </c>
      <c r="Z56" s="28">
        <f>Q53</f>
        <v>8899.2000000000007</v>
      </c>
      <c r="AA56" s="28">
        <f>S53</f>
        <v>0</v>
      </c>
      <c r="AB56" s="88">
        <f t="shared" si="7"/>
        <v>3.5779464479558327E-2</v>
      </c>
      <c r="AC56" s="427">
        <f>AC55+AB56</f>
        <v>0.99999999999999989</v>
      </c>
      <c r="AO56" s="435" t="str">
        <f t="shared" si="8"/>
        <v>Proceso 03</v>
      </c>
      <c r="AP56" s="434">
        <f>Z56*'Emisiones de GEI'!$D$52/1000</f>
        <v>2.1215692800000001</v>
      </c>
      <c r="AQ56" s="434">
        <f>AA56*'Emisiones de GEI'!$G$53/1000</f>
        <v>0</v>
      </c>
      <c r="AR56" s="88">
        <f t="shared" si="9"/>
        <v>3.4194594308042552E-2</v>
      </c>
      <c r="AS56" s="427">
        <f>AS55+AR56</f>
        <v>1</v>
      </c>
      <c r="BE56" s="17" t="str">
        <f t="shared" si="10"/>
        <v>Proceso 03</v>
      </c>
      <c r="BF56" s="609">
        <f t="shared" si="11"/>
        <v>2.1215692800000001</v>
      </c>
      <c r="BG56" s="88">
        <f t="shared" si="12"/>
        <v>3.4194594308042552E-2</v>
      </c>
      <c r="BH56" s="88">
        <f>BH55+BG56</f>
        <v>0.99999999999999989</v>
      </c>
    </row>
    <row r="57" spans="2:60" x14ac:dyDescent="0.25">
      <c r="E57" s="64"/>
      <c r="H57">
        <v>21840</v>
      </c>
      <c r="I57" s="22">
        <v>40049.510400000006</v>
      </c>
      <c r="BE57" s="1"/>
    </row>
    <row r="58" spans="2:60" x14ac:dyDescent="0.25">
      <c r="P58" s="390" t="s">
        <v>64</v>
      </c>
      <c r="Q58" s="425">
        <f>SUM(Q52:Q56)</f>
        <v>114268.13</v>
      </c>
      <c r="R58" s="425"/>
      <c r="S58" s="425">
        <f>SUM(S51:S56)</f>
        <v>134455.54793778266</v>
      </c>
      <c r="T58" s="425"/>
      <c r="U58" s="349">
        <f>SUM(U51:U56)</f>
        <v>0.99999999999999989</v>
      </c>
      <c r="V58" s="349">
        <f>V56</f>
        <v>0.99999999999999989</v>
      </c>
      <c r="W58" s="236"/>
      <c r="Y58" s="17" t="s">
        <v>64</v>
      </c>
      <c r="Z58" s="71">
        <f>SUM(Z51:Z57)</f>
        <v>114268.12999999999</v>
      </c>
      <c r="AA58" s="71">
        <f>SUM(AA51:AA57)</f>
        <v>134455.54793778266</v>
      </c>
      <c r="AB58" s="88">
        <f>SUM(AB51:AB56)</f>
        <v>0.99999999999999989</v>
      </c>
      <c r="AC58" s="350">
        <f>AC56</f>
        <v>0.99999999999999989</v>
      </c>
      <c r="AO58" s="34" t="s">
        <v>64</v>
      </c>
      <c r="AP58" s="434">
        <f>SUM(AP51:AP56)</f>
        <v>27.241522191999998</v>
      </c>
      <c r="AQ58" s="434">
        <f>SUM(AQ51:AQ56)</f>
        <v>34.802474028215663</v>
      </c>
      <c r="AR58" s="349">
        <f>SUM(AR51:AR56)</f>
        <v>1</v>
      </c>
      <c r="AS58" s="352">
        <f>AS56</f>
        <v>1</v>
      </c>
      <c r="BE58" s="17" t="str">
        <f t="shared" si="10"/>
        <v>Total</v>
      </c>
      <c r="BF58" s="70">
        <f>SUM(BF51:BF57)</f>
        <v>62.043996220215668</v>
      </c>
      <c r="BG58" s="88">
        <f>SUM(BG51:BG57)</f>
        <v>0.99999999999999989</v>
      </c>
      <c r="BH58" s="88">
        <f>BH56</f>
        <v>0.99999999999999989</v>
      </c>
    </row>
    <row r="59" spans="2:60" x14ac:dyDescent="0.25">
      <c r="P59" s="266"/>
      <c r="Q59" s="734">
        <f>SUM(Q58:S58)</f>
        <v>248723.67793778266</v>
      </c>
      <c r="R59" s="734"/>
      <c r="S59" s="734"/>
      <c r="T59" s="474"/>
      <c r="U59" s="465"/>
      <c r="V59" s="465"/>
      <c r="W59" s="236"/>
      <c r="Y59" s="1"/>
      <c r="Z59" s="87"/>
      <c r="AA59" s="87"/>
      <c r="AB59" s="93"/>
      <c r="AC59" s="94"/>
      <c r="AO59" s="97"/>
      <c r="AP59" s="466"/>
      <c r="AQ59" s="466"/>
      <c r="AR59" s="465"/>
      <c r="AS59" s="351"/>
    </row>
    <row r="60" spans="2:60" x14ac:dyDescent="0.25">
      <c r="P60" s="266"/>
      <c r="Q60" s="349">
        <f>Q58/$Q$59</f>
        <v>0.45941798122084609</v>
      </c>
      <c r="R60" s="349"/>
      <c r="S60" s="349">
        <f>S58/$Q$59</f>
        <v>0.54058201877915391</v>
      </c>
      <c r="T60" s="465"/>
      <c r="U60" s="465"/>
      <c r="V60" s="465"/>
      <c r="W60" s="236"/>
      <c r="Y60" s="1"/>
      <c r="Z60" s="87"/>
      <c r="AA60" s="87"/>
      <c r="AB60" s="93"/>
      <c r="AC60" s="94"/>
      <c r="AO60" s="97"/>
      <c r="AP60" s="466"/>
      <c r="AQ60" s="466"/>
      <c r="AR60" s="465"/>
      <c r="AS60" s="351"/>
    </row>
    <row r="61" spans="2:60" x14ac:dyDescent="0.25">
      <c r="D61" s="655" t="s">
        <v>566</v>
      </c>
      <c r="E61" s="655"/>
      <c r="F61" s="655"/>
      <c r="G61" s="655"/>
      <c r="H61" s="35">
        <f>S65/$S$77</f>
        <v>0.36740578389466411</v>
      </c>
      <c r="I61" s="274"/>
      <c r="J61" s="21"/>
      <c r="Z61" s="669" t="s">
        <v>589</v>
      </c>
      <c r="AA61" s="669"/>
    </row>
    <row r="62" spans="2:60" x14ac:dyDescent="0.25">
      <c r="D62" s="655" t="s">
        <v>565</v>
      </c>
      <c r="E62" s="655"/>
      <c r="F62" s="655"/>
      <c r="G62" s="655"/>
      <c r="H62" s="35">
        <f>S66/$S$77</f>
        <v>0.11018600111327737</v>
      </c>
      <c r="I62" s="274"/>
      <c r="J62" s="21"/>
      <c r="N62">
        <v>9</v>
      </c>
      <c r="O62" s="577" t="s">
        <v>1006</v>
      </c>
      <c r="P62" s="577"/>
      <c r="Z62" s="729"/>
      <c r="AA62" s="729"/>
    </row>
    <row r="63" spans="2:60" ht="16.5" x14ac:dyDescent="0.3">
      <c r="D63" s="655" t="s">
        <v>567</v>
      </c>
      <c r="E63" s="655"/>
      <c r="F63" s="655"/>
      <c r="G63" s="655"/>
      <c r="H63" s="35">
        <f>S67/$S$77</f>
        <v>0.52240821499205836</v>
      </c>
      <c r="I63" s="274"/>
      <c r="J63" s="65"/>
      <c r="Q63" s="684" t="s">
        <v>96</v>
      </c>
      <c r="R63" s="684"/>
      <c r="S63" s="684"/>
      <c r="T63" s="1"/>
      <c r="Z63" s="684" t="s">
        <v>96</v>
      </c>
      <c r="AA63" s="684"/>
      <c r="AP63" s="684"/>
      <c r="AQ63" s="684"/>
    </row>
    <row r="64" spans="2:60" x14ac:dyDescent="0.25">
      <c r="D64" s="274"/>
      <c r="E64" s="275"/>
      <c r="F64" s="275"/>
      <c r="G64" s="274"/>
      <c r="H64" s="274"/>
      <c r="I64" s="274"/>
      <c r="O64" s="34" t="s">
        <v>553</v>
      </c>
      <c r="P64" s="34" t="s">
        <v>552</v>
      </c>
      <c r="Q64" s="34" t="s">
        <v>519</v>
      </c>
      <c r="R64" s="34"/>
      <c r="S64" s="34" t="s">
        <v>320</v>
      </c>
      <c r="T64" s="34"/>
      <c r="U64" s="353" t="s">
        <v>221</v>
      </c>
      <c r="V64" s="353" t="s">
        <v>502</v>
      </c>
      <c r="Z64" s="430" t="s">
        <v>519</v>
      </c>
      <c r="AA64" s="430" t="s">
        <v>320</v>
      </c>
      <c r="AB64" s="353" t="s">
        <v>221</v>
      </c>
      <c r="AC64" s="353" t="s">
        <v>502</v>
      </c>
      <c r="AP64" s="430" t="s">
        <v>519</v>
      </c>
      <c r="AQ64" s="430" t="s">
        <v>541</v>
      </c>
      <c r="AR64" s="353" t="s">
        <v>221</v>
      </c>
      <c r="AS64" s="353" t="s">
        <v>502</v>
      </c>
      <c r="BF64" s="33" t="s">
        <v>1038</v>
      </c>
      <c r="BG64" s="34" t="str">
        <f>AR64</f>
        <v>%</v>
      </c>
      <c r="BH64" s="34" t="str">
        <f>AS64</f>
        <v>% acum</v>
      </c>
    </row>
    <row r="65" spans="2:60" x14ac:dyDescent="0.25">
      <c r="D65" s="274"/>
      <c r="F65" s="592">
        <f>G65/Q59</f>
        <v>0.19861296036891507</v>
      </c>
      <c r="G65" s="590">
        <f>S65</f>
        <v>49399.745989067625</v>
      </c>
      <c r="H65" s="591">
        <f>T65</f>
        <v>0.36740578389466411</v>
      </c>
      <c r="O65" s="428" t="s">
        <v>524</v>
      </c>
      <c r="P65" s="31" t="s">
        <v>1014</v>
      </c>
      <c r="Q65" s="31"/>
      <c r="R65" s="627">
        <f>Q65/$Q$77</f>
        <v>0</v>
      </c>
      <c r="S65" s="72">
        <f>N133</f>
        <v>49399.745989067625</v>
      </c>
      <c r="T65" s="168">
        <f>S65/$S$77</f>
        <v>0.36740578389466411</v>
      </c>
      <c r="U65" s="433">
        <f t="shared" ref="U65:U75" si="13">(Q65+S65)/($Q$77+$S$77)</f>
        <v>0.19861296036891507</v>
      </c>
      <c r="V65" s="427">
        <f>U65</f>
        <v>0.19861296036891507</v>
      </c>
      <c r="W65" s="578">
        <f>U65</f>
        <v>0.19861296036891507</v>
      </c>
      <c r="X65">
        <v>1</v>
      </c>
      <c r="Y65" s="31" t="str">
        <f>P67</f>
        <v>Bombas-Motores (Emulsión)</v>
      </c>
      <c r="Z65" s="72">
        <f>Q67</f>
        <v>11553.84</v>
      </c>
      <c r="AA65" s="72">
        <f>S67</f>
        <v>70240.682793956177</v>
      </c>
      <c r="AB65" s="433">
        <f t="shared" ref="AB65:AB75" si="14">(Z65+AA65)/($Z$77+$AA$77)</f>
        <v>0.32885700095837589</v>
      </c>
      <c r="AC65" s="433">
        <f>AB65</f>
        <v>0.32885700095837589</v>
      </c>
      <c r="AO65" s="31" t="str">
        <f>Y65</f>
        <v>Bombas-Motores (Emulsión)</v>
      </c>
      <c r="AP65" s="434">
        <f>Z65*'Emisiones de GEI'!$D$52/1000</f>
        <v>2.7544354559999999</v>
      </c>
      <c r="AQ65" s="434">
        <f>AA65*'Emisiones de GEI'!$G$53/1000</f>
        <v>18.181098334387617</v>
      </c>
      <c r="AR65" s="433">
        <f t="shared" ref="AR65:AR75" si="15">(AP65+AQ65)/($AP$77+$AQ$77)</f>
        <v>0.33743045364260782</v>
      </c>
      <c r="AS65" s="433">
        <f>AR65</f>
        <v>0.33743045364260782</v>
      </c>
      <c r="BE65" s="31" t="str">
        <f>AO65</f>
        <v>Bombas-Motores (Emulsión)</v>
      </c>
      <c r="BF65" s="89">
        <f>AP65+AQ65</f>
        <v>20.935533790387616</v>
      </c>
      <c r="BG65" s="168">
        <f>BF65/$BF$77</f>
        <v>0.33743045364260776</v>
      </c>
      <c r="BH65" s="90">
        <f>BG65</f>
        <v>0.33743045364260776</v>
      </c>
    </row>
    <row r="66" spans="2:60" x14ac:dyDescent="0.25">
      <c r="D66" s="274"/>
      <c r="F66" s="728">
        <f>G66/Q59</f>
        <v>0.34196905841023878</v>
      </c>
      <c r="G66" s="766">
        <f>S66+S67+S68+S69</f>
        <v>85055.801948715016</v>
      </c>
      <c r="H66" s="773">
        <f>T66+T67+T68+T69</f>
        <v>0.63259421610533573</v>
      </c>
      <c r="L66" s="728">
        <f>M66/Q59</f>
        <v>6.9900220775719654E-2</v>
      </c>
      <c r="M66" s="732">
        <f>Q66+Q67+Q68</f>
        <v>17385.84</v>
      </c>
      <c r="N66" s="731">
        <f>R66+R67+R68+R69</f>
        <v>0.2300294929128533</v>
      </c>
      <c r="O66" s="743" t="s">
        <v>520</v>
      </c>
      <c r="P66" s="31" t="s">
        <v>539</v>
      </c>
      <c r="Q66" s="437">
        <f>I4+I5+I6+I7+I8+I9+I10</f>
        <v>4622.3999999999996</v>
      </c>
      <c r="R66" s="168">
        <f t="shared" ref="R66:R75" si="16">Q66/$Q$77</f>
        <v>4.0452224080327552E-2</v>
      </c>
      <c r="S66" s="38">
        <f>N131</f>
        <v>14815.119154758839</v>
      </c>
      <c r="T66" s="168">
        <f t="shared" ref="T66:T75" si="17">S66/$S$77</f>
        <v>0.11018600111327737</v>
      </c>
      <c r="U66" s="433">
        <f t="shared" si="13"/>
        <v>7.8149050045894966E-2</v>
      </c>
      <c r="V66" s="427">
        <f>V65+U66</f>
        <v>0.27676201041481002</v>
      </c>
      <c r="W66" s="730">
        <f>U66+U67+U68</f>
        <v>0.41186927918595839</v>
      </c>
      <c r="X66">
        <v>2</v>
      </c>
      <c r="Y66" s="31" t="str">
        <f>P65</f>
        <v>Quemadores (Almacenamiento y aceite térmico)</v>
      </c>
      <c r="Z66" s="72">
        <f>Q65</f>
        <v>0</v>
      </c>
      <c r="AA66" s="72">
        <f>S65</f>
        <v>49399.745989067625</v>
      </c>
      <c r="AB66" s="433">
        <f t="shared" si="14"/>
        <v>0.19861296036891507</v>
      </c>
      <c r="AC66" s="433">
        <f>AC65+AB66</f>
        <v>0.52746996132729096</v>
      </c>
      <c r="AO66" s="31" t="str">
        <f t="shared" ref="AO66:AO75" si="18">Y66</f>
        <v>Quemadores (Almacenamiento y aceite térmico)</v>
      </c>
      <c r="AP66" s="434">
        <f>Z66*'Emisiones de GEI'!$D$52/1000</f>
        <v>0</v>
      </c>
      <c r="AQ66" s="434">
        <f>AA66*'Emisiones de GEI'!$G$53/1000</f>
        <v>12.786630251810266</v>
      </c>
      <c r="AR66" s="433">
        <f t="shared" si="15"/>
        <v>0.20608972714178631</v>
      </c>
      <c r="AS66" s="433">
        <f>AS65+AR66</f>
        <v>0.54352018078439412</v>
      </c>
      <c r="BE66" s="31" t="str">
        <f t="shared" ref="BE66:BE77" si="19">AO66</f>
        <v>Quemadores (Almacenamiento y aceite térmico)</v>
      </c>
      <c r="BF66" s="89">
        <f t="shared" ref="BF66:BF75" si="20">AP66+AQ66</f>
        <v>12.786630251810266</v>
      </c>
      <c r="BG66" s="168">
        <f t="shared" ref="BG66:BG75" si="21">BF66/$BF$77</f>
        <v>0.20608972714178625</v>
      </c>
      <c r="BH66" s="90">
        <f>BH65+BG66</f>
        <v>0.54352018078439401</v>
      </c>
    </row>
    <row r="67" spans="2:60" x14ac:dyDescent="0.25">
      <c r="D67" s="274"/>
      <c r="F67" s="728"/>
      <c r="G67" s="767"/>
      <c r="H67" s="767"/>
      <c r="L67" s="728"/>
      <c r="M67" s="732"/>
      <c r="N67" s="731"/>
      <c r="O67" s="743"/>
      <c r="P67" s="31" t="s">
        <v>530</v>
      </c>
      <c r="Q67" s="437">
        <f>I11+I12+I13+I42</f>
        <v>11553.84</v>
      </c>
      <c r="R67" s="168">
        <f t="shared" si="16"/>
        <v>0.10111165729237015</v>
      </c>
      <c r="S67" s="72">
        <f>N137</f>
        <v>70240.682793956177</v>
      </c>
      <c r="T67" s="168">
        <f t="shared" si="17"/>
        <v>0.52240821499205836</v>
      </c>
      <c r="U67" s="433">
        <f t="shared" si="13"/>
        <v>0.32885700095837589</v>
      </c>
      <c r="V67" s="427">
        <f t="shared" ref="V67:V75" si="22">V66+U67</f>
        <v>0.60561901137318586</v>
      </c>
      <c r="W67" s="730"/>
      <c r="X67">
        <v>3</v>
      </c>
      <c r="Y67" s="31" t="str">
        <f>P72</f>
        <v>Aires Acondicionados (Laboratorios)</v>
      </c>
      <c r="Z67" s="72">
        <f>Q72</f>
        <v>30345.062400000003</v>
      </c>
      <c r="AA67" s="72">
        <f>S72</f>
        <v>0</v>
      </c>
      <c r="AB67" s="433">
        <f t="shared" si="14"/>
        <v>0.12200311064711222</v>
      </c>
      <c r="AC67" s="433">
        <f t="shared" ref="AC67:AC75" si="23">AC66+AB67</f>
        <v>0.64947307197440318</v>
      </c>
      <c r="AO67" s="31" t="str">
        <f t="shared" si="18"/>
        <v>Aires Acondicionados (Laboratorios)</v>
      </c>
      <c r="AP67" s="434">
        <f>Z67*'Emisiones de GEI'!$D$52/1000</f>
        <v>7.2342628761600007</v>
      </c>
      <c r="AQ67" s="434">
        <f>AA67*'Emisiones de GEI'!$G$53/1000</f>
        <v>0</v>
      </c>
      <c r="AR67" s="433">
        <f t="shared" si="15"/>
        <v>0.11659891878149004</v>
      </c>
      <c r="AS67" s="433">
        <f t="shared" ref="AS67:AS75" si="24">AS66+AR67</f>
        <v>0.6601190995658841</v>
      </c>
      <c r="BE67" s="31" t="str">
        <f t="shared" si="19"/>
        <v>Aires Acondicionados (Laboratorios)</v>
      </c>
      <c r="BF67" s="89">
        <f t="shared" si="20"/>
        <v>7.2342628761600007</v>
      </c>
      <c r="BG67" s="168">
        <f t="shared" si="21"/>
        <v>0.11659891878149001</v>
      </c>
      <c r="BH67" s="90">
        <f t="shared" ref="BH67:BH75" si="25">BH66+BG67</f>
        <v>0.66011909956588399</v>
      </c>
    </row>
    <row r="68" spans="2:60" x14ac:dyDescent="0.25">
      <c r="D68" s="274"/>
      <c r="E68" s="275"/>
      <c r="F68" s="728"/>
      <c r="G68" s="767"/>
      <c r="H68" s="767"/>
      <c r="I68" s="274"/>
      <c r="L68" s="728"/>
      <c r="M68" s="732"/>
      <c r="N68" s="731"/>
      <c r="O68" s="743"/>
      <c r="P68" s="31" t="s">
        <v>531</v>
      </c>
      <c r="Q68" s="73">
        <f>I14</f>
        <v>1209.5999999999999</v>
      </c>
      <c r="R68" s="168">
        <f t="shared" si="16"/>
        <v>1.0585628731300669E-2</v>
      </c>
      <c r="S68" s="31"/>
      <c r="T68" s="627">
        <f t="shared" si="17"/>
        <v>0</v>
      </c>
      <c r="U68" s="433">
        <f t="shared" si="13"/>
        <v>4.863228181687539E-3</v>
      </c>
      <c r="V68" s="427">
        <f t="shared" si="22"/>
        <v>0.61048223955487335</v>
      </c>
      <c r="W68" s="730"/>
      <c r="X68">
        <v>4</v>
      </c>
      <c r="Y68" s="31" t="str">
        <f>P74</f>
        <v>Equipos (Laboratorios)</v>
      </c>
      <c r="Z68" s="72">
        <f>Q74</f>
        <v>25615.71</v>
      </c>
      <c r="AA68" s="72">
        <f>S74</f>
        <v>0</v>
      </c>
      <c r="AB68" s="433">
        <f t="shared" si="14"/>
        <v>0.10298862662527722</v>
      </c>
      <c r="AC68" s="433">
        <f t="shared" si="23"/>
        <v>0.75246169859968037</v>
      </c>
      <c r="AO68" s="31" t="str">
        <f t="shared" si="18"/>
        <v>Equipos (Laboratorios)</v>
      </c>
      <c r="AP68" s="434">
        <f>Z68*'Emisiones de GEI'!$D$52/1000</f>
        <v>6.106785264</v>
      </c>
      <c r="AQ68" s="434">
        <f>AA68*'Emisiones de GEI'!$G$53/1000</f>
        <v>0</v>
      </c>
      <c r="AR68" s="433">
        <f t="shared" si="15"/>
        <v>9.8426691316350762E-2</v>
      </c>
      <c r="AS68" s="433">
        <f t="shared" si="24"/>
        <v>0.75854579088223484</v>
      </c>
      <c r="BE68" s="31" t="str">
        <f t="shared" si="19"/>
        <v>Equipos (Laboratorios)</v>
      </c>
      <c r="BF68" s="89">
        <f t="shared" si="20"/>
        <v>6.106785264</v>
      </c>
      <c r="BG68" s="168">
        <f t="shared" si="21"/>
        <v>9.8426691316350734E-2</v>
      </c>
      <c r="BH68" s="90">
        <f t="shared" si="25"/>
        <v>0.75854579088223473</v>
      </c>
    </row>
    <row r="69" spans="2:60" x14ac:dyDescent="0.25">
      <c r="E69" s="62"/>
      <c r="F69" s="442">
        <f>SUM(F65:F68)</f>
        <v>0.54058201877915391</v>
      </c>
      <c r="G69" s="87"/>
      <c r="H69" s="87"/>
      <c r="I69" s="87"/>
      <c r="L69" s="593">
        <f>M69/Q59</f>
        <v>3.5779464479558327E-2</v>
      </c>
      <c r="M69" s="588">
        <f>Q69</f>
        <v>8899.2000000000007</v>
      </c>
      <c r="N69" s="589">
        <f>R69</f>
        <v>7.7879982808854928E-2</v>
      </c>
      <c r="O69" s="428" t="s">
        <v>521</v>
      </c>
      <c r="P69" s="31" t="s">
        <v>532</v>
      </c>
      <c r="Q69" s="73">
        <f>L15</f>
        <v>8899.2000000000007</v>
      </c>
      <c r="R69" s="168">
        <f t="shared" si="16"/>
        <v>7.7879982808854928E-2</v>
      </c>
      <c r="S69" s="31"/>
      <c r="T69" s="627">
        <f t="shared" si="17"/>
        <v>0</v>
      </c>
      <c r="U69" s="433">
        <f t="shared" si="13"/>
        <v>3.5779464479558327E-2</v>
      </c>
      <c r="V69" s="427">
        <f t="shared" si="22"/>
        <v>0.64626170403443173</v>
      </c>
      <c r="W69" s="578">
        <f>U69</f>
        <v>3.5779464479558327E-2</v>
      </c>
      <c r="X69">
        <v>5</v>
      </c>
      <c r="Y69" s="31" t="str">
        <f>P66</f>
        <v>Bombas-Motores (Agua jabonosa y aditivos)</v>
      </c>
      <c r="Z69" s="72">
        <f>Q66</f>
        <v>4622.3999999999996</v>
      </c>
      <c r="AA69" s="72">
        <f>S66</f>
        <v>14815.119154758839</v>
      </c>
      <c r="AB69" s="433">
        <f t="shared" si="14"/>
        <v>7.8149050045894966E-2</v>
      </c>
      <c r="AC69" s="433">
        <f t="shared" si="23"/>
        <v>0.83061074864557538</v>
      </c>
      <c r="AO69" s="31" t="str">
        <f t="shared" si="18"/>
        <v>Bombas-Motores (Agua jabonosa y aditivos)</v>
      </c>
      <c r="AP69" s="434">
        <f>Z69*'Emisiones de GEI'!$D$52/1000</f>
        <v>1.1019801599999999</v>
      </c>
      <c r="AQ69" s="434">
        <f>AA69*'Emisiones de GEI'!$G$53/1000</f>
        <v>3.8347454420177778</v>
      </c>
      <c r="AR69" s="433">
        <f t="shared" si="15"/>
        <v>7.9568143620143791E-2</v>
      </c>
      <c r="AS69" s="433">
        <f t="shared" si="24"/>
        <v>0.83811393450237859</v>
      </c>
      <c r="BE69" s="31" t="str">
        <f t="shared" si="19"/>
        <v>Bombas-Motores (Agua jabonosa y aditivos)</v>
      </c>
      <c r="BF69" s="89">
        <f t="shared" si="20"/>
        <v>4.9367256020177779</v>
      </c>
      <c r="BG69" s="168">
        <f t="shared" si="21"/>
        <v>7.9568143620143764E-2</v>
      </c>
      <c r="BH69" s="90">
        <f t="shared" si="25"/>
        <v>0.83811393450237848</v>
      </c>
    </row>
    <row r="70" spans="2:60" x14ac:dyDescent="0.25">
      <c r="L70" s="728">
        <f>M70/Q59</f>
        <v>5.0004542000666098E-2</v>
      </c>
      <c r="M70" s="732">
        <f>Q70+Q71</f>
        <v>12437.313600000001</v>
      </c>
      <c r="N70" s="731">
        <f>R70+R71</f>
        <v>0.10884324089315194</v>
      </c>
      <c r="O70" s="744" t="s">
        <v>522</v>
      </c>
      <c r="P70" s="31" t="s">
        <v>533</v>
      </c>
      <c r="Q70" s="71">
        <f>L51</f>
        <v>9704.4480000000021</v>
      </c>
      <c r="R70" s="168">
        <f t="shared" si="16"/>
        <v>8.4926987078549385E-2</v>
      </c>
      <c r="S70" s="31"/>
      <c r="T70" s="627">
        <f t="shared" si="17"/>
        <v>0</v>
      </c>
      <c r="U70" s="433">
        <f t="shared" si="13"/>
        <v>3.9016984954796038E-2</v>
      </c>
      <c r="V70" s="427">
        <f t="shared" si="22"/>
        <v>0.68527868898922772</v>
      </c>
      <c r="W70" s="730">
        <f>U70+U71</f>
        <v>5.0004542000666105E-2</v>
      </c>
      <c r="X70">
        <v>6</v>
      </c>
      <c r="Y70" s="31" t="str">
        <f>P75</f>
        <v>Varios</v>
      </c>
      <c r="Z70" s="72">
        <f>Q75</f>
        <v>9321.7339999999967</v>
      </c>
      <c r="AA70" s="72">
        <f>S72</f>
        <v>0</v>
      </c>
      <c r="AB70" s="433">
        <f t="shared" si="14"/>
        <v>3.7478273388719327E-2</v>
      </c>
      <c r="AC70" s="433">
        <f t="shared" si="23"/>
        <v>0.86808902203429472</v>
      </c>
      <c r="AO70" s="31" t="str">
        <f t="shared" si="18"/>
        <v>Varios</v>
      </c>
      <c r="AP70" s="434">
        <f>Z70*'Emisiones de GEI'!$D$52/1000</f>
        <v>2.2223013855999993</v>
      </c>
      <c r="AQ70" s="434">
        <f>AA70*'Emisiones de GEI'!$G$53/1000</f>
        <v>0</v>
      </c>
      <c r="AR70" s="433">
        <f t="shared" si="15"/>
        <v>3.5818153584309446E-2</v>
      </c>
      <c r="AS70" s="433">
        <f t="shared" si="24"/>
        <v>0.87393208808668799</v>
      </c>
      <c r="BE70" s="31" t="str">
        <f t="shared" si="19"/>
        <v>Varios</v>
      </c>
      <c r="BF70" s="89">
        <f t="shared" si="20"/>
        <v>2.2223013855999993</v>
      </c>
      <c r="BG70" s="168">
        <f t="shared" si="21"/>
        <v>3.581815358430944E-2</v>
      </c>
      <c r="BH70" s="90">
        <f t="shared" si="25"/>
        <v>0.87393208808668787</v>
      </c>
    </row>
    <row r="71" spans="2:60" x14ac:dyDescent="0.25">
      <c r="D71" s="66"/>
      <c r="L71" s="728"/>
      <c r="M71" s="733"/>
      <c r="N71" s="733"/>
      <c r="O71" s="744"/>
      <c r="P71" s="31" t="s">
        <v>534</v>
      </c>
      <c r="Q71" s="73">
        <f>L87</f>
        <v>2732.8656000000001</v>
      </c>
      <c r="R71" s="168">
        <f t="shared" si="16"/>
        <v>2.3916253814602551E-2</v>
      </c>
      <c r="S71" s="31"/>
      <c r="T71" s="627">
        <f t="shared" si="17"/>
        <v>0</v>
      </c>
      <c r="U71" s="433">
        <f t="shared" si="13"/>
        <v>1.0987557045870063E-2</v>
      </c>
      <c r="V71" s="427">
        <f t="shared" si="22"/>
        <v>0.69626624603509779</v>
      </c>
      <c r="W71" s="730"/>
      <c r="X71">
        <v>7</v>
      </c>
      <c r="Y71" s="31" t="str">
        <f>P73</f>
        <v>Luminarias (Laboratorios)</v>
      </c>
      <c r="Z71" s="72">
        <f>Q73</f>
        <v>10263.27</v>
      </c>
      <c r="AA71" s="72">
        <f>S73</f>
        <v>0</v>
      </c>
      <c r="AB71" s="433">
        <f t="shared" si="14"/>
        <v>4.1263743303793218E-2</v>
      </c>
      <c r="AC71" s="433">
        <f t="shared" si="23"/>
        <v>0.90935276533808795</v>
      </c>
      <c r="AO71" s="31" t="str">
        <f t="shared" si="18"/>
        <v>Luminarias (Laboratorios)</v>
      </c>
      <c r="AP71" s="434">
        <f>Z71*'Emisiones de GEI'!$D$52/1000</f>
        <v>2.4467635680000002</v>
      </c>
      <c r="AQ71" s="434">
        <f>AA71*'Emisiones de GEI'!$G$53/1000</f>
        <v>0</v>
      </c>
      <c r="AR71" s="433">
        <f t="shared" si="15"/>
        <v>3.9435944121258532E-2</v>
      </c>
      <c r="AS71" s="433">
        <f t="shared" si="24"/>
        <v>0.91336803220794649</v>
      </c>
      <c r="BE71" s="31" t="str">
        <f t="shared" si="19"/>
        <v>Luminarias (Laboratorios)</v>
      </c>
      <c r="BF71" s="89">
        <f t="shared" si="20"/>
        <v>2.4467635680000002</v>
      </c>
      <c r="BG71" s="168">
        <f t="shared" si="21"/>
        <v>3.9435944121258518E-2</v>
      </c>
      <c r="BH71" s="90">
        <f t="shared" si="25"/>
        <v>0.91336803220794638</v>
      </c>
    </row>
    <row r="72" spans="2:60" ht="16.5" x14ac:dyDescent="0.3">
      <c r="D72" s="67"/>
      <c r="G72" t="s">
        <v>1036</v>
      </c>
      <c r="H72" s="94">
        <f>F65+F66+L66+L69+L70+L72</f>
        <v>0.96252172661128066</v>
      </c>
      <c r="L72" s="728">
        <f>M72/Q59</f>
        <v>0.26625548057618265</v>
      </c>
      <c r="M72" s="772">
        <f>Q72+Q73+Q74</f>
        <v>66224.042400000006</v>
      </c>
      <c r="N72" s="731">
        <f>R72+R73+R74</f>
        <v>0.57954954194139696</v>
      </c>
      <c r="O72" s="744" t="s">
        <v>523</v>
      </c>
      <c r="P72" s="31" t="s">
        <v>535</v>
      </c>
      <c r="Q72" s="71">
        <f>L48</f>
        <v>30345.062400000003</v>
      </c>
      <c r="R72" s="168">
        <f t="shared" si="16"/>
        <v>0.26556015574946401</v>
      </c>
      <c r="S72" s="31"/>
      <c r="T72" s="627">
        <f t="shared" si="17"/>
        <v>0</v>
      </c>
      <c r="U72" s="433">
        <f t="shared" si="13"/>
        <v>0.12200311064711222</v>
      </c>
      <c r="V72" s="427">
        <f t="shared" si="22"/>
        <v>0.81826935668221001</v>
      </c>
      <c r="W72" s="730">
        <f>U72+U73+U74</f>
        <v>0.26625548057618265</v>
      </c>
      <c r="X72">
        <v>8</v>
      </c>
      <c r="Y72" s="31" t="str">
        <f>P70</f>
        <v>Aires Acondicionados (Oficinas)</v>
      </c>
      <c r="Z72" s="72">
        <f>Q70</f>
        <v>9704.4480000000021</v>
      </c>
      <c r="AA72" s="72">
        <f>S70</f>
        <v>0</v>
      </c>
      <c r="AB72" s="433">
        <f t="shared" si="14"/>
        <v>3.9016984954796038E-2</v>
      </c>
      <c r="AC72" s="433">
        <f t="shared" si="23"/>
        <v>0.94836975029288395</v>
      </c>
      <c r="AO72" s="31" t="str">
        <f t="shared" si="18"/>
        <v>Aires Acondicionados (Oficinas)</v>
      </c>
      <c r="AP72" s="434">
        <f>Z72*'Emisiones de GEI'!$D$52/1000</f>
        <v>2.3135404032000007</v>
      </c>
      <c r="AQ72" s="434">
        <f>AA72*'Emisiones de GEI'!$G$53/1000</f>
        <v>0</v>
      </c>
      <c r="AR72" s="433">
        <f t="shared" si="15"/>
        <v>3.7288707113391655E-2</v>
      </c>
      <c r="AS72" s="433">
        <f t="shared" si="24"/>
        <v>0.9506567393213381</v>
      </c>
      <c r="BE72" s="31" t="str">
        <f t="shared" si="19"/>
        <v>Aires Acondicionados (Oficinas)</v>
      </c>
      <c r="BF72" s="89">
        <f t="shared" si="20"/>
        <v>2.3135404032000007</v>
      </c>
      <c r="BG72" s="168">
        <f t="shared" si="21"/>
        <v>3.7288707113391648E-2</v>
      </c>
      <c r="BH72" s="90">
        <f t="shared" si="25"/>
        <v>0.95065673932133798</v>
      </c>
    </row>
    <row r="73" spans="2:60" ht="16.5" x14ac:dyDescent="0.3">
      <c r="D73" s="67"/>
      <c r="G73" t="s">
        <v>225</v>
      </c>
      <c r="H73" s="35">
        <f>Q75/Q59</f>
        <v>3.7478273388719327E-2</v>
      </c>
      <c r="L73" s="728"/>
      <c r="M73" s="733"/>
      <c r="N73" s="733"/>
      <c r="O73" s="744"/>
      <c r="P73" s="31" t="s">
        <v>536</v>
      </c>
      <c r="Q73" s="73">
        <f>L80</f>
        <v>10263.27</v>
      </c>
      <c r="R73" s="168">
        <f t="shared" si="16"/>
        <v>8.9817432034636435E-2</v>
      </c>
      <c r="S73" s="31"/>
      <c r="T73" s="627">
        <f t="shared" si="17"/>
        <v>0</v>
      </c>
      <c r="U73" s="433">
        <f t="shared" si="13"/>
        <v>4.1263743303793218E-2</v>
      </c>
      <c r="V73" s="427">
        <f t="shared" si="22"/>
        <v>0.85953309998600325</v>
      </c>
      <c r="W73" s="730"/>
      <c r="X73">
        <v>9</v>
      </c>
      <c r="Y73" s="31" t="str">
        <f>P69</f>
        <v>Bombas-Motores (Nodriza)</v>
      </c>
      <c r="Z73" s="72">
        <f>Q69</f>
        <v>8899.2000000000007</v>
      </c>
      <c r="AA73" s="72">
        <f>S69</f>
        <v>0</v>
      </c>
      <c r="AB73" s="433">
        <f t="shared" si="14"/>
        <v>3.5779464479558327E-2</v>
      </c>
      <c r="AC73" s="433">
        <f t="shared" si="23"/>
        <v>0.98414921477244233</v>
      </c>
      <c r="AO73" s="31" t="str">
        <f t="shared" si="18"/>
        <v>Bombas-Motores (Nodriza)</v>
      </c>
      <c r="AP73" s="434">
        <f>Z73*'Emisiones de GEI'!$D$52/1000</f>
        <v>2.1215692800000001</v>
      </c>
      <c r="AQ73" s="434">
        <f>AA73*'Emisiones de GEI'!$G$53/1000</f>
        <v>0</v>
      </c>
      <c r="AR73" s="433">
        <f t="shared" si="15"/>
        <v>3.4194594308042552E-2</v>
      </c>
      <c r="AS73" s="433">
        <f t="shared" si="24"/>
        <v>0.9848513336293806</v>
      </c>
      <c r="BE73" s="31" t="str">
        <f t="shared" si="19"/>
        <v>Bombas-Motores (Nodriza)</v>
      </c>
      <c r="BF73" s="89">
        <f t="shared" si="20"/>
        <v>2.1215692800000001</v>
      </c>
      <c r="BG73" s="168">
        <f t="shared" si="21"/>
        <v>3.4194594308042545E-2</v>
      </c>
      <c r="BH73" s="90">
        <f t="shared" si="25"/>
        <v>0.98485133362938049</v>
      </c>
    </row>
    <row r="74" spans="2:60" x14ac:dyDescent="0.25">
      <c r="D74" s="36"/>
      <c r="G74" t="s">
        <v>1037</v>
      </c>
      <c r="H74" s="35">
        <f>SUM(H72:H73)</f>
        <v>1</v>
      </c>
      <c r="L74" s="728"/>
      <c r="M74" s="733"/>
      <c r="N74" s="733"/>
      <c r="O74" s="744"/>
      <c r="P74" s="31" t="s">
        <v>537</v>
      </c>
      <c r="Q74" s="38">
        <f>L115</f>
        <v>25615.71</v>
      </c>
      <c r="R74" s="168">
        <f t="shared" si="16"/>
        <v>0.22417195415729652</v>
      </c>
      <c r="S74" s="31"/>
      <c r="T74" s="627">
        <f t="shared" si="17"/>
        <v>0</v>
      </c>
      <c r="U74" s="433">
        <f t="shared" si="13"/>
        <v>0.10298862662527722</v>
      </c>
      <c r="V74" s="427">
        <f t="shared" si="22"/>
        <v>0.96252172661128044</v>
      </c>
      <c r="W74" s="730"/>
      <c r="X74">
        <v>10</v>
      </c>
      <c r="Y74" s="31" t="str">
        <f>P71</f>
        <v>Luminarias (Oficinas)</v>
      </c>
      <c r="Z74" s="72">
        <f>Q71</f>
        <v>2732.8656000000001</v>
      </c>
      <c r="AA74" s="72">
        <f>S71</f>
        <v>0</v>
      </c>
      <c r="AB74" s="433">
        <f t="shared" si="14"/>
        <v>1.0987557045870063E-2</v>
      </c>
      <c r="AC74" s="433">
        <f t="shared" si="23"/>
        <v>0.99513677181831239</v>
      </c>
      <c r="AO74" s="31" t="str">
        <f t="shared" si="18"/>
        <v>Luminarias (Oficinas)</v>
      </c>
      <c r="AP74" s="434">
        <f>Z74*'Emisiones de GEI'!$D$52/1000</f>
        <v>0.65151515904000012</v>
      </c>
      <c r="AQ74" s="434">
        <f>AA74*'Emisiones de GEI'!$G$53/1000</f>
        <v>0</v>
      </c>
      <c r="AR74" s="433">
        <f t="shared" si="15"/>
        <v>1.0500857435545364E-2</v>
      </c>
      <c r="AS74" s="433">
        <f t="shared" si="24"/>
        <v>0.99535219106492601</v>
      </c>
      <c r="BE74" s="31" t="str">
        <f t="shared" si="19"/>
        <v>Luminarias (Oficinas)</v>
      </c>
      <c r="BF74" s="89">
        <f t="shared" si="20"/>
        <v>0.65151515904000012</v>
      </c>
      <c r="BG74" s="168">
        <f t="shared" si="21"/>
        <v>1.0500857435545363E-2</v>
      </c>
      <c r="BH74" s="90">
        <f t="shared" si="25"/>
        <v>0.9953521910649259</v>
      </c>
    </row>
    <row r="75" spans="2:60" x14ac:dyDescent="0.25">
      <c r="L75" s="478">
        <f>SUM(L66:L74)</f>
        <v>0.42193970783212675</v>
      </c>
      <c r="O75" s="428" t="s">
        <v>225</v>
      </c>
      <c r="P75" s="31" t="s">
        <v>538</v>
      </c>
      <c r="Q75" s="89">
        <f>S45</f>
        <v>9321.7339999999967</v>
      </c>
      <c r="R75" s="168">
        <f t="shared" si="16"/>
        <v>8.157772425259778E-2</v>
      </c>
      <c r="S75" s="31"/>
      <c r="T75" s="627">
        <f t="shared" si="17"/>
        <v>0</v>
      </c>
      <c r="U75" s="433">
        <f t="shared" si="13"/>
        <v>3.7478273388719327E-2</v>
      </c>
      <c r="V75" s="427">
        <f t="shared" si="22"/>
        <v>0.99999999999999978</v>
      </c>
      <c r="W75" s="578">
        <f>U75</f>
        <v>3.7478273388719327E-2</v>
      </c>
      <c r="X75">
        <v>11</v>
      </c>
      <c r="Y75" s="31" t="str">
        <f>P68</f>
        <v>Bomba (Almacenamiento)</v>
      </c>
      <c r="Z75" s="72">
        <f>Q68</f>
        <v>1209.5999999999999</v>
      </c>
      <c r="AA75" s="72">
        <f>S68</f>
        <v>0</v>
      </c>
      <c r="AB75" s="433">
        <f t="shared" si="14"/>
        <v>4.863228181687539E-3</v>
      </c>
      <c r="AC75" s="433">
        <f t="shared" si="23"/>
        <v>0.99999999999999989</v>
      </c>
      <c r="AO75" s="31" t="str">
        <f t="shared" si="18"/>
        <v>Bomba (Almacenamiento)</v>
      </c>
      <c r="AP75" s="434">
        <f>Z75*'Emisiones de GEI'!$D$52/1000</f>
        <v>0.28836863999999995</v>
      </c>
      <c r="AQ75" s="434">
        <f>AA75*'Emisiones de GEI'!$G$53/1000</f>
        <v>0</v>
      </c>
      <c r="AR75" s="433">
        <f t="shared" si="15"/>
        <v>4.6478089350737439E-3</v>
      </c>
      <c r="AS75" s="433">
        <f t="shared" si="24"/>
        <v>0.99999999999999978</v>
      </c>
      <c r="BE75" s="31" t="str">
        <f t="shared" si="19"/>
        <v>Bomba (Almacenamiento)</v>
      </c>
      <c r="BF75" s="89">
        <f t="shared" si="20"/>
        <v>0.28836863999999995</v>
      </c>
      <c r="BG75" s="168">
        <f t="shared" si="21"/>
        <v>4.6478089350737431E-3</v>
      </c>
      <c r="BH75" s="90">
        <f t="shared" si="25"/>
        <v>0.99999999999999967</v>
      </c>
    </row>
    <row r="76" spans="2:60" x14ac:dyDescent="0.25">
      <c r="M76" s="594">
        <f>F69+L75+H73</f>
        <v>1</v>
      </c>
    </row>
    <row r="77" spans="2:60" x14ac:dyDescent="0.25">
      <c r="C77" t="s">
        <v>31</v>
      </c>
      <c r="P77" s="390" t="s">
        <v>64</v>
      </c>
      <c r="Q77" s="425">
        <f>SUM(Q66:Q76)</f>
        <v>114268.13</v>
      </c>
      <c r="R77" s="349">
        <f>SUM(R65:R76)</f>
        <v>1</v>
      </c>
      <c r="S77" s="425">
        <f>SUM(S65:S73)</f>
        <v>134455.54793778266</v>
      </c>
      <c r="T77" s="349">
        <f>SUM(T65:T75)</f>
        <v>0.99999999999999978</v>
      </c>
      <c r="U77" s="349">
        <f>SUM(U65:U75)</f>
        <v>0.99999999999999978</v>
      </c>
      <c r="V77" s="349">
        <f>V75</f>
        <v>0.99999999999999978</v>
      </c>
      <c r="Y77" s="390" t="s">
        <v>64</v>
      </c>
      <c r="Z77" s="425">
        <f>SUM(Z65:Z75)</f>
        <v>114268.13000000002</v>
      </c>
      <c r="AA77" s="425">
        <f>SUM(AA65:AA75)</f>
        <v>134455.54793778266</v>
      </c>
      <c r="AB77" s="349">
        <f>SUM(AB65:AB75)</f>
        <v>0.99999999999999989</v>
      </c>
      <c r="AC77" s="349">
        <f>AC75</f>
        <v>0.99999999999999989</v>
      </c>
      <c r="AO77" s="390" t="s">
        <v>64</v>
      </c>
      <c r="AP77" s="436">
        <f>SUM(AP65:AP75)</f>
        <v>27.241522192000001</v>
      </c>
      <c r="AQ77" s="436">
        <f>SUM(AQ65:AQ75)</f>
        <v>34.802474028215663</v>
      </c>
      <c r="AR77" s="349">
        <f>SUM(AR65:AR75)</f>
        <v>0.99999999999999978</v>
      </c>
      <c r="AS77" s="349">
        <f>AS75</f>
        <v>0.99999999999999978</v>
      </c>
      <c r="BE77" s="31" t="str">
        <f t="shared" si="19"/>
        <v>Total</v>
      </c>
      <c r="BF77" s="262">
        <f>SUM(BF65:BF76)</f>
        <v>62.043996220215675</v>
      </c>
      <c r="BG77" s="88">
        <f>SUM(BG65:BG76)</f>
        <v>0.99999999999999967</v>
      </c>
      <c r="BH77" s="350">
        <f>BH75</f>
        <v>0.99999999999999967</v>
      </c>
    </row>
    <row r="79" spans="2:60" ht="45" x14ac:dyDescent="0.25">
      <c r="B79" s="68" t="s">
        <v>89</v>
      </c>
      <c r="C79" s="68" t="s">
        <v>122</v>
      </c>
      <c r="D79" s="45" t="s">
        <v>139</v>
      </c>
      <c r="E79" s="45" t="s">
        <v>140</v>
      </c>
      <c r="F79" s="45" t="s">
        <v>141</v>
      </c>
      <c r="G79" s="45" t="s">
        <v>142</v>
      </c>
      <c r="H79" s="45" t="s">
        <v>128</v>
      </c>
      <c r="L79" s="45" t="s">
        <v>96</v>
      </c>
    </row>
    <row r="80" spans="2:60" ht="15" customHeight="1" x14ac:dyDescent="0.25">
      <c r="B80" s="709" t="s">
        <v>147</v>
      </c>
      <c r="C80" s="408" t="s">
        <v>143</v>
      </c>
      <c r="D80" s="408">
        <v>32</v>
      </c>
      <c r="E80" s="408">
        <v>24</v>
      </c>
      <c r="F80" s="408">
        <f>D80*E80</f>
        <v>768</v>
      </c>
      <c r="G80" s="408">
        <v>9</v>
      </c>
      <c r="H80" s="414">
        <f>F80*G80*313/1000</f>
        <v>2163.4560000000001</v>
      </c>
      <c r="I80" s="406" t="s">
        <v>43</v>
      </c>
      <c r="J80" s="407"/>
      <c r="K80" s="736" t="s">
        <v>523</v>
      </c>
      <c r="L80" s="777">
        <f>SUM(H80:H86)</f>
        <v>10263.27</v>
      </c>
      <c r="Q80" s="265"/>
      <c r="R80" s="265"/>
      <c r="S80" s="463"/>
      <c r="T80" s="463"/>
      <c r="U80" s="464"/>
    </row>
    <row r="81" spans="2:12" x14ac:dyDescent="0.25">
      <c r="B81" s="709"/>
      <c r="C81" s="408" t="s">
        <v>144</v>
      </c>
      <c r="D81" s="408">
        <v>25</v>
      </c>
      <c r="E81" s="408">
        <v>1</v>
      </c>
      <c r="F81" s="408">
        <f t="shared" ref="F81:F93" si="26">D81*E81</f>
        <v>25</v>
      </c>
      <c r="G81" s="408">
        <v>9</v>
      </c>
      <c r="H81" s="414">
        <f t="shared" ref="H81:H93" si="27">F81*G81*313/1000</f>
        <v>70.424999999999997</v>
      </c>
      <c r="I81" s="406" t="s">
        <v>43</v>
      </c>
      <c r="J81" s="407"/>
      <c r="K81" s="736"/>
      <c r="L81" s="777"/>
    </row>
    <row r="82" spans="2:12" x14ac:dyDescent="0.25">
      <c r="B82" s="709" t="s">
        <v>148</v>
      </c>
      <c r="C82" s="408" t="s">
        <v>144</v>
      </c>
      <c r="D82" s="408">
        <v>25</v>
      </c>
      <c r="E82" s="408">
        <v>2</v>
      </c>
      <c r="F82" s="408">
        <f t="shared" si="26"/>
        <v>50</v>
      </c>
      <c r="G82" s="408">
        <v>6</v>
      </c>
      <c r="H82" s="414">
        <f t="shared" si="27"/>
        <v>93.9</v>
      </c>
      <c r="I82" s="406" t="s">
        <v>43</v>
      </c>
      <c r="J82" s="407"/>
      <c r="K82" s="736"/>
      <c r="L82" s="777"/>
    </row>
    <row r="83" spans="2:12" x14ac:dyDescent="0.25">
      <c r="B83" s="709"/>
      <c r="C83" s="408" t="s">
        <v>145</v>
      </c>
      <c r="D83" s="408">
        <v>75</v>
      </c>
      <c r="E83" s="408">
        <v>2</v>
      </c>
      <c r="F83" s="408">
        <f t="shared" si="26"/>
        <v>150</v>
      </c>
      <c r="G83" s="408">
        <v>12</v>
      </c>
      <c r="H83" s="414">
        <f t="shared" si="27"/>
        <v>563.4</v>
      </c>
      <c r="I83" s="406" t="s">
        <v>43</v>
      </c>
      <c r="J83" s="407"/>
      <c r="K83" s="736"/>
      <c r="L83" s="777"/>
    </row>
    <row r="84" spans="2:12" x14ac:dyDescent="0.25">
      <c r="B84" s="415" t="s">
        <v>149</v>
      </c>
      <c r="C84" s="408" t="s">
        <v>143</v>
      </c>
      <c r="D84" s="408">
        <v>32</v>
      </c>
      <c r="E84" s="408">
        <v>30</v>
      </c>
      <c r="F84" s="408">
        <f t="shared" si="26"/>
        <v>960</v>
      </c>
      <c r="G84" s="408">
        <v>9</v>
      </c>
      <c r="H84" s="414">
        <f t="shared" si="27"/>
        <v>2704.32</v>
      </c>
      <c r="I84" s="406" t="s">
        <v>43</v>
      </c>
      <c r="J84" s="407"/>
      <c r="K84" s="736"/>
      <c r="L84" s="777"/>
    </row>
    <row r="85" spans="2:12" x14ac:dyDescent="0.25">
      <c r="B85" s="735" t="s">
        <v>150</v>
      </c>
      <c r="C85" s="408" t="s">
        <v>143</v>
      </c>
      <c r="D85" s="408">
        <v>32</v>
      </c>
      <c r="E85" s="408">
        <v>51</v>
      </c>
      <c r="F85" s="408">
        <f t="shared" si="26"/>
        <v>1632</v>
      </c>
      <c r="G85" s="408">
        <v>9</v>
      </c>
      <c r="H85" s="414">
        <f t="shared" si="27"/>
        <v>4597.3440000000001</v>
      </c>
      <c r="I85" s="406" t="s">
        <v>43</v>
      </c>
      <c r="J85" s="407"/>
      <c r="K85" s="736"/>
      <c r="L85" s="777"/>
    </row>
    <row r="86" spans="2:12" ht="15" customHeight="1" x14ac:dyDescent="0.25">
      <c r="B86" s="735"/>
      <c r="C86" s="408" t="s">
        <v>146</v>
      </c>
      <c r="D86" s="408">
        <v>25</v>
      </c>
      <c r="E86" s="408">
        <v>1</v>
      </c>
      <c r="F86" s="408">
        <f t="shared" si="26"/>
        <v>25</v>
      </c>
      <c r="G86" s="408">
        <v>9</v>
      </c>
      <c r="H86" s="414">
        <f t="shared" si="27"/>
        <v>70.424999999999997</v>
      </c>
      <c r="I86" s="406" t="s">
        <v>43</v>
      </c>
      <c r="J86" s="407"/>
      <c r="K86" s="736"/>
      <c r="L86" s="777"/>
    </row>
    <row r="87" spans="2:12" ht="15" customHeight="1" x14ac:dyDescent="0.25">
      <c r="B87" s="416" t="s">
        <v>134</v>
      </c>
      <c r="C87" s="152" t="s">
        <v>143</v>
      </c>
      <c r="D87" s="152">
        <v>32</v>
      </c>
      <c r="E87" s="152">
        <v>8</v>
      </c>
      <c r="F87" s="152">
        <f t="shared" si="26"/>
        <v>256</v>
      </c>
      <c r="G87" s="152">
        <v>9</v>
      </c>
      <c r="H87" s="417">
        <f t="shared" si="27"/>
        <v>721.15200000000004</v>
      </c>
      <c r="I87" s="412" t="s">
        <v>43</v>
      </c>
      <c r="J87" s="413"/>
      <c r="K87" s="775" t="s">
        <v>522</v>
      </c>
      <c r="L87" s="740">
        <f>SUM(H87:H93)</f>
        <v>2732.8656000000001</v>
      </c>
    </row>
    <row r="88" spans="2:12" ht="15" customHeight="1" x14ac:dyDescent="0.25">
      <c r="B88" s="416" t="s">
        <v>135</v>
      </c>
      <c r="C88" s="152" t="s">
        <v>143</v>
      </c>
      <c r="D88" s="152">
        <v>32</v>
      </c>
      <c r="E88" s="152">
        <v>12</v>
      </c>
      <c r="F88" s="152">
        <f t="shared" si="26"/>
        <v>384</v>
      </c>
      <c r="G88" s="152">
        <v>9</v>
      </c>
      <c r="H88" s="417">
        <f t="shared" si="27"/>
        <v>1081.7280000000001</v>
      </c>
      <c r="I88" s="412" t="s">
        <v>43</v>
      </c>
      <c r="J88" s="413"/>
      <c r="K88" s="775"/>
      <c r="L88" s="740"/>
    </row>
    <row r="89" spans="2:12" ht="15" customHeight="1" x14ac:dyDescent="0.25">
      <c r="B89" s="416" t="s">
        <v>151</v>
      </c>
      <c r="C89" s="152" t="s">
        <v>143</v>
      </c>
      <c r="D89" s="152">
        <v>32</v>
      </c>
      <c r="E89" s="152">
        <v>2</v>
      </c>
      <c r="F89" s="152">
        <f t="shared" si="26"/>
        <v>64</v>
      </c>
      <c r="G89" s="152">
        <v>1</v>
      </c>
      <c r="H89" s="417">
        <f t="shared" si="27"/>
        <v>20.032</v>
      </c>
      <c r="I89" s="412" t="s">
        <v>43</v>
      </c>
      <c r="J89" s="413"/>
      <c r="K89" s="775"/>
      <c r="L89" s="740"/>
    </row>
    <row r="90" spans="2:12" ht="15" customHeight="1" x14ac:dyDescent="0.25">
      <c r="B90" s="416" t="s">
        <v>136</v>
      </c>
      <c r="C90" s="152" t="s">
        <v>143</v>
      </c>
      <c r="D90" s="152">
        <v>32</v>
      </c>
      <c r="E90" s="152">
        <v>3</v>
      </c>
      <c r="F90" s="152">
        <f t="shared" si="26"/>
        <v>96</v>
      </c>
      <c r="G90" s="152">
        <v>9</v>
      </c>
      <c r="H90" s="417">
        <f t="shared" si="27"/>
        <v>270.43200000000002</v>
      </c>
      <c r="I90" s="412" t="s">
        <v>43</v>
      </c>
      <c r="J90" s="413"/>
      <c r="K90" s="775"/>
      <c r="L90" s="740"/>
    </row>
    <row r="91" spans="2:12" ht="15" customHeight="1" x14ac:dyDescent="0.25">
      <c r="B91" s="416" t="s">
        <v>152</v>
      </c>
      <c r="C91" s="152" t="s">
        <v>143</v>
      </c>
      <c r="D91" s="152">
        <v>32</v>
      </c>
      <c r="E91" s="152">
        <v>6</v>
      </c>
      <c r="F91" s="152">
        <f t="shared" si="26"/>
        <v>192</v>
      </c>
      <c r="G91" s="152">
        <v>9</v>
      </c>
      <c r="H91" s="417">
        <f t="shared" si="27"/>
        <v>540.86400000000003</v>
      </c>
      <c r="I91" s="412" t="s">
        <v>43</v>
      </c>
      <c r="J91" s="413"/>
      <c r="K91" s="775"/>
      <c r="L91" s="740"/>
    </row>
    <row r="92" spans="2:12" ht="15" customHeight="1" x14ac:dyDescent="0.25">
      <c r="B92" s="416" t="s">
        <v>153</v>
      </c>
      <c r="C92" s="152" t="s">
        <v>144</v>
      </c>
      <c r="D92" s="152">
        <v>25</v>
      </c>
      <c r="E92" s="152">
        <v>2</v>
      </c>
      <c r="F92" s="152">
        <f t="shared" si="26"/>
        <v>50</v>
      </c>
      <c r="G92" s="152">
        <v>4</v>
      </c>
      <c r="H92" s="417">
        <f t="shared" si="27"/>
        <v>62.6</v>
      </c>
      <c r="I92" s="412" t="s">
        <v>43</v>
      </c>
      <c r="J92" s="413"/>
      <c r="K92" s="775"/>
      <c r="L92" s="740"/>
    </row>
    <row r="93" spans="2:12" ht="15" customHeight="1" x14ac:dyDescent="0.25">
      <c r="B93" s="416" t="s">
        <v>137</v>
      </c>
      <c r="C93" s="152" t="s">
        <v>143</v>
      </c>
      <c r="D93" s="152">
        <v>32</v>
      </c>
      <c r="E93" s="152">
        <v>12</v>
      </c>
      <c r="F93" s="152">
        <f t="shared" si="26"/>
        <v>384</v>
      </c>
      <c r="G93" s="152">
        <v>0.3</v>
      </c>
      <c r="H93" s="417">
        <f t="shared" si="27"/>
        <v>36.057600000000001</v>
      </c>
      <c r="I93" s="412" t="s">
        <v>43</v>
      </c>
      <c r="J93" s="413"/>
      <c r="K93" s="775"/>
      <c r="L93" s="740"/>
    </row>
    <row r="94" spans="2:12" ht="15" customHeight="1" x14ac:dyDescent="0.25">
      <c r="B94" s="17" t="s">
        <v>64</v>
      </c>
      <c r="E94">
        <f>SUM(E80:E93)</f>
        <v>156</v>
      </c>
      <c r="F94" s="31">
        <f>SUM(F80:F93)</f>
        <v>5036</v>
      </c>
      <c r="H94" s="72">
        <f>SUM(H80:H93)</f>
        <v>12996.135600000001</v>
      </c>
    </row>
    <row r="95" spans="2:12" ht="15" customHeight="1" x14ac:dyDescent="0.25"/>
    <row r="96" spans="2:12" ht="15" customHeight="1" x14ac:dyDescent="0.25">
      <c r="G96" t="s">
        <v>468</v>
      </c>
      <c r="H96" s="236">
        <v>12996.135600000001</v>
      </c>
    </row>
    <row r="97" spans="3:8" ht="15" customHeight="1" x14ac:dyDescent="0.25">
      <c r="G97" t="s">
        <v>546</v>
      </c>
      <c r="H97">
        <f>H96/12</f>
        <v>1083.0113000000001</v>
      </c>
    </row>
    <row r="98" spans="3:8" ht="15" customHeight="1" x14ac:dyDescent="0.25"/>
    <row r="99" spans="3:8" ht="15" customHeight="1" x14ac:dyDescent="0.25"/>
    <row r="100" spans="3:8" ht="15" customHeight="1" x14ac:dyDescent="0.25"/>
    <row r="101" spans="3:8" ht="15" customHeight="1" x14ac:dyDescent="0.25"/>
    <row r="102" spans="3:8" ht="15" customHeight="1" x14ac:dyDescent="0.25"/>
    <row r="103" spans="3:8" ht="15" customHeight="1" x14ac:dyDescent="0.25"/>
    <row r="104" spans="3:8" ht="15" customHeight="1" x14ac:dyDescent="0.25"/>
    <row r="105" spans="3:8" ht="15" customHeight="1" x14ac:dyDescent="0.25"/>
    <row r="106" spans="3:8" ht="15" customHeight="1" x14ac:dyDescent="0.25"/>
    <row r="107" spans="3:8" ht="15" customHeight="1" x14ac:dyDescent="0.25"/>
    <row r="108" spans="3:8" ht="15" customHeight="1" x14ac:dyDescent="0.25"/>
    <row r="109" spans="3:8" ht="15" customHeight="1" x14ac:dyDescent="0.25"/>
    <row r="110" spans="3:8" ht="15" customHeight="1" x14ac:dyDescent="0.25"/>
    <row r="111" spans="3:8" ht="15" customHeight="1" x14ac:dyDescent="0.25"/>
    <row r="112" spans="3:8" ht="15" customHeight="1" x14ac:dyDescent="0.25">
      <c r="C112" t="s">
        <v>32</v>
      </c>
    </row>
    <row r="113" spans="2:12" ht="15" customHeight="1" x14ac:dyDescent="0.25">
      <c r="B113" s="687" t="s">
        <v>90</v>
      </c>
      <c r="C113" s="687" t="s">
        <v>91</v>
      </c>
      <c r="D113" s="686" t="s">
        <v>154</v>
      </c>
      <c r="E113" s="714" t="s">
        <v>155</v>
      </c>
      <c r="F113" s="714" t="s">
        <v>156</v>
      </c>
      <c r="G113" s="714" t="s">
        <v>157</v>
      </c>
    </row>
    <row r="114" spans="2:12" ht="15" customHeight="1" x14ac:dyDescent="0.25">
      <c r="B114" s="687"/>
      <c r="C114" s="687"/>
      <c r="D114" s="686"/>
      <c r="E114" s="714"/>
      <c r="F114" s="714"/>
      <c r="G114" s="714"/>
      <c r="L114" s="45" t="s">
        <v>96</v>
      </c>
    </row>
    <row r="115" spans="2:12" ht="15" customHeight="1" x14ac:dyDescent="0.25">
      <c r="B115" s="408" t="s">
        <v>158</v>
      </c>
      <c r="C115" s="408">
        <v>9.4999999999999998E-3</v>
      </c>
      <c r="D115" s="408">
        <v>3</v>
      </c>
      <c r="E115" s="408">
        <f>C115*D115</f>
        <v>2.8499999999999998E-2</v>
      </c>
      <c r="F115" s="418">
        <f>E115*5</f>
        <v>0.14249999999999999</v>
      </c>
      <c r="G115" s="419">
        <f>F115*12</f>
        <v>1.71</v>
      </c>
      <c r="H115" s="406" t="s">
        <v>43</v>
      </c>
      <c r="I115" s="407"/>
      <c r="J115" s="407"/>
      <c r="K115" s="736" t="s">
        <v>523</v>
      </c>
      <c r="L115" s="737">
        <f>SUM(G115:G118)</f>
        <v>25615.71</v>
      </c>
    </row>
    <row r="116" spans="2:12" ht="15" customHeight="1" x14ac:dyDescent="0.25">
      <c r="B116" s="408" t="s">
        <v>529</v>
      </c>
      <c r="C116" s="408">
        <v>1.92</v>
      </c>
      <c r="D116" s="408">
        <v>24</v>
      </c>
      <c r="E116" s="408">
        <f>C116*D116*5</f>
        <v>230.39999999999998</v>
      </c>
      <c r="F116" s="418">
        <f>E116*5</f>
        <v>1152</v>
      </c>
      <c r="G116" s="418">
        <f>F116*12</f>
        <v>13824</v>
      </c>
      <c r="H116" s="406" t="s">
        <v>43</v>
      </c>
      <c r="I116" s="407"/>
      <c r="J116" s="407"/>
      <c r="K116" s="736"/>
      <c r="L116" s="737"/>
    </row>
    <row r="117" spans="2:12" ht="15" customHeight="1" x14ac:dyDescent="0.25">
      <c r="B117" s="408" t="s">
        <v>160</v>
      </c>
      <c r="C117" s="408">
        <v>1.5</v>
      </c>
      <c r="D117" s="408">
        <v>3</v>
      </c>
      <c r="E117" s="408">
        <f>C117*D117</f>
        <v>4.5</v>
      </c>
      <c r="F117" s="418">
        <f>E117*5</f>
        <v>22.5</v>
      </c>
      <c r="G117" s="420">
        <f>F117*12</f>
        <v>270</v>
      </c>
      <c r="H117" s="406" t="s">
        <v>43</v>
      </c>
      <c r="I117" s="407"/>
      <c r="J117" s="407"/>
      <c r="K117" s="736"/>
      <c r="L117" s="737"/>
    </row>
    <row r="118" spans="2:12" ht="15" customHeight="1" x14ac:dyDescent="0.25">
      <c r="B118" s="408" t="s">
        <v>528</v>
      </c>
      <c r="C118" s="408">
        <v>12</v>
      </c>
      <c r="D118" s="408">
        <v>16</v>
      </c>
      <c r="E118" s="408">
        <f>C118*D118</f>
        <v>192</v>
      </c>
      <c r="F118" s="418">
        <f>E118*5</f>
        <v>960</v>
      </c>
      <c r="G118" s="420">
        <f>F118*12</f>
        <v>11520</v>
      </c>
      <c r="H118" s="406" t="s">
        <v>43</v>
      </c>
      <c r="I118" s="407"/>
      <c r="J118" s="407"/>
      <c r="K118" s="736"/>
      <c r="L118" s="737"/>
    </row>
    <row r="119" spans="2:12" ht="15" customHeight="1" x14ac:dyDescent="0.25">
      <c r="B119" s="31"/>
      <c r="C119" s="38">
        <f>SUM(C115:C118)</f>
        <v>15.429500000000001</v>
      </c>
      <c r="E119" s="31">
        <f>SUM(E115:E118)</f>
        <v>426.92849999999999</v>
      </c>
      <c r="F119" s="72">
        <f>SUM(F115:F118)</f>
        <v>2134.6424999999999</v>
      </c>
      <c r="G119" s="72">
        <f>SUM(G115:G118)</f>
        <v>25615.71</v>
      </c>
    </row>
    <row r="120" spans="2:12" ht="15" customHeight="1" x14ac:dyDescent="0.25"/>
    <row r="121" spans="2:12" ht="15" customHeight="1" x14ac:dyDescent="0.25">
      <c r="F121" s="236">
        <v>2134.6424999999999</v>
      </c>
      <c r="G121" s="236">
        <v>25615.71</v>
      </c>
    </row>
    <row r="122" spans="2:12" ht="15" customHeight="1" x14ac:dyDescent="0.25">
      <c r="F122" s="64"/>
    </row>
    <row r="123" spans="2:12" ht="15" customHeight="1" x14ac:dyDescent="0.25"/>
    <row r="124" spans="2:12" ht="15" customHeight="1" x14ac:dyDescent="0.25"/>
    <row r="125" spans="2:12" ht="15" customHeight="1" x14ac:dyDescent="0.25"/>
    <row r="126" spans="2:12" ht="15" customHeight="1" x14ac:dyDescent="0.25">
      <c r="C126" t="s">
        <v>33</v>
      </c>
    </row>
    <row r="127" spans="2:12" ht="15" customHeight="1" x14ac:dyDescent="0.25">
      <c r="B127" s="702" t="s">
        <v>89</v>
      </c>
      <c r="C127" s="702" t="s">
        <v>90</v>
      </c>
      <c r="D127" s="702" t="s">
        <v>161</v>
      </c>
      <c r="E127" s="702" t="s">
        <v>162</v>
      </c>
      <c r="F127" s="702" t="s">
        <v>163</v>
      </c>
      <c r="G127" s="702" t="s">
        <v>164</v>
      </c>
    </row>
    <row r="128" spans="2:12" ht="15" customHeight="1" x14ac:dyDescent="0.25">
      <c r="B128" s="704"/>
      <c r="C128" s="704"/>
      <c r="D128" s="704"/>
      <c r="E128" s="704"/>
      <c r="F128" s="704"/>
      <c r="G128" s="704"/>
    </row>
    <row r="129" spans="2:14" ht="15" customHeight="1" x14ac:dyDescent="0.25">
      <c r="B129" s="704"/>
      <c r="C129" s="704"/>
      <c r="D129" s="704"/>
      <c r="E129" s="704"/>
      <c r="F129" s="704"/>
      <c r="G129" s="704"/>
    </row>
    <row r="130" spans="2:14" ht="15" customHeight="1" x14ac:dyDescent="0.25">
      <c r="B130" s="703"/>
      <c r="C130" s="703"/>
      <c r="D130" s="703"/>
      <c r="E130" s="703"/>
      <c r="F130" s="703"/>
      <c r="G130" s="703"/>
      <c r="N130" s="45" t="s">
        <v>96</v>
      </c>
    </row>
    <row r="131" spans="2:14" ht="15" customHeight="1" x14ac:dyDescent="0.25">
      <c r="B131" s="745" t="s">
        <v>104</v>
      </c>
      <c r="C131" s="745" t="s">
        <v>165</v>
      </c>
      <c r="D131" s="745" t="s">
        <v>168</v>
      </c>
      <c r="E131" s="745" t="s">
        <v>169</v>
      </c>
      <c r="F131" s="747">
        <f>'Balance Térmico'!G76</f>
        <v>31.633869039145907</v>
      </c>
      <c r="G131" s="747">
        <f>F131*12</f>
        <v>379.60642846975088</v>
      </c>
      <c r="H131" s="763">
        <f>G131</f>
        <v>379.60642846975088</v>
      </c>
      <c r="I131" s="741" t="s">
        <v>328</v>
      </c>
      <c r="J131" s="741"/>
      <c r="K131" s="741"/>
      <c r="L131" s="765"/>
      <c r="M131" s="764" t="s">
        <v>520</v>
      </c>
      <c r="N131" s="778">
        <f>G131*'Consumo Térmico de la empresa'!$B$5*10.31</f>
        <v>14815.119154758839</v>
      </c>
    </row>
    <row r="132" spans="2:14" ht="15" customHeight="1" x14ac:dyDescent="0.25">
      <c r="B132" s="746"/>
      <c r="C132" s="746"/>
      <c r="D132" s="746"/>
      <c r="E132" s="746"/>
      <c r="F132" s="738"/>
      <c r="G132" s="738"/>
      <c r="H132" s="763"/>
      <c r="I132" s="741"/>
      <c r="J132" s="741"/>
      <c r="K132" s="741"/>
      <c r="L132" s="765"/>
      <c r="M132" s="764"/>
      <c r="N132" s="778"/>
    </row>
    <row r="133" spans="2:14" ht="15" customHeight="1" x14ac:dyDescent="0.25">
      <c r="B133" s="751" t="s">
        <v>167</v>
      </c>
      <c r="C133" s="751" t="s">
        <v>165</v>
      </c>
      <c r="D133" s="751" t="s">
        <v>168</v>
      </c>
      <c r="E133" s="751" t="s">
        <v>169</v>
      </c>
      <c r="F133" s="755">
        <f>'Balance Térmico'!G74</f>
        <v>105.48042704626334</v>
      </c>
      <c r="G133" s="768">
        <f>F133*12</f>
        <v>1265.7651245551601</v>
      </c>
      <c r="H133" s="771">
        <f>G133+G135</f>
        <v>1265.7651245551601</v>
      </c>
      <c r="I133" s="776" t="s">
        <v>330</v>
      </c>
      <c r="J133" s="776"/>
      <c r="K133" s="776"/>
      <c r="L133" s="780" t="str">
        <f>IF(H133&gt;H137,"Mayor","-")</f>
        <v>-</v>
      </c>
      <c r="M133" s="780" t="s">
        <v>524</v>
      </c>
      <c r="N133" s="779">
        <f>G133*'Consumo Térmico de la empresa'!$B$5*10.31</f>
        <v>49399.745989067625</v>
      </c>
    </row>
    <row r="134" spans="2:14" x14ac:dyDescent="0.25">
      <c r="B134" s="754"/>
      <c r="C134" s="752"/>
      <c r="D134" s="752"/>
      <c r="E134" s="752"/>
      <c r="F134" s="754"/>
      <c r="G134" s="769"/>
      <c r="H134" s="771"/>
      <c r="I134" s="776"/>
      <c r="J134" s="776"/>
      <c r="K134" s="776"/>
      <c r="L134" s="780"/>
      <c r="M134" s="780"/>
      <c r="N134" s="780"/>
    </row>
    <row r="135" spans="2:14" x14ac:dyDescent="0.25">
      <c r="B135" s="754"/>
      <c r="C135" s="751" t="s">
        <v>165</v>
      </c>
      <c r="D135" s="751" t="s">
        <v>168</v>
      </c>
      <c r="E135" s="751" t="s">
        <v>169</v>
      </c>
      <c r="F135" s="754"/>
      <c r="G135" s="769"/>
      <c r="H135" s="771"/>
      <c r="I135" s="776"/>
      <c r="J135" s="776"/>
      <c r="K135" s="776"/>
      <c r="L135" s="780"/>
      <c r="M135" s="780"/>
      <c r="N135" s="780"/>
    </row>
    <row r="136" spans="2:14" x14ac:dyDescent="0.25">
      <c r="B136" s="752"/>
      <c r="C136" s="752"/>
      <c r="D136" s="752"/>
      <c r="E136" s="752"/>
      <c r="F136" s="752"/>
      <c r="G136" s="770"/>
      <c r="H136" s="771"/>
      <c r="I136" s="776"/>
      <c r="J136" s="776"/>
      <c r="K136" s="776"/>
      <c r="L136" s="780"/>
      <c r="M136" s="780"/>
      <c r="N136" s="780"/>
    </row>
    <row r="137" spans="2:14" x14ac:dyDescent="0.25">
      <c r="B137" s="745" t="s">
        <v>112</v>
      </c>
      <c r="C137" s="745" t="s">
        <v>329</v>
      </c>
      <c r="D137" s="745" t="s">
        <v>168</v>
      </c>
      <c r="E137" s="745" t="s">
        <v>169</v>
      </c>
      <c r="F137" s="748">
        <f>'Balance Térmico'!G75</f>
        <v>149.98087679979704</v>
      </c>
      <c r="G137" s="760">
        <f>F137*12</f>
        <v>1799.7705215975645</v>
      </c>
      <c r="H137" s="763">
        <f>G137+G139</f>
        <v>1799.7705215975645</v>
      </c>
      <c r="I137" s="741" t="s">
        <v>327</v>
      </c>
      <c r="J137" s="741"/>
      <c r="K137" s="741"/>
      <c r="L137" s="764" t="str">
        <f>IF(H137&gt;H133,"Mayor","-")</f>
        <v>Mayor</v>
      </c>
      <c r="M137" s="764" t="s">
        <v>520</v>
      </c>
      <c r="N137" s="774">
        <f>G137*'Consumo Térmico de la empresa'!$B$5*10.31</f>
        <v>70240.682793956177</v>
      </c>
    </row>
    <row r="138" spans="2:14" x14ac:dyDescent="0.25">
      <c r="B138" s="753"/>
      <c r="C138" s="746"/>
      <c r="D138" s="746"/>
      <c r="E138" s="746"/>
      <c r="F138" s="749"/>
      <c r="G138" s="761"/>
      <c r="H138" s="763"/>
      <c r="I138" s="741"/>
      <c r="J138" s="741"/>
      <c r="K138" s="741"/>
      <c r="L138" s="764"/>
      <c r="M138" s="764"/>
      <c r="N138" s="764"/>
    </row>
    <row r="139" spans="2:14" x14ac:dyDescent="0.25">
      <c r="B139" s="753"/>
      <c r="C139" s="745" t="s">
        <v>166</v>
      </c>
      <c r="D139" s="745" t="s">
        <v>168</v>
      </c>
      <c r="E139" s="745" t="s">
        <v>169</v>
      </c>
      <c r="F139" s="749"/>
      <c r="G139" s="761"/>
      <c r="H139" s="763"/>
      <c r="I139" s="741"/>
      <c r="J139" s="741"/>
      <c r="K139" s="741"/>
      <c r="L139" s="764"/>
      <c r="M139" s="764"/>
      <c r="N139" s="764"/>
    </row>
    <row r="140" spans="2:14" x14ac:dyDescent="0.25">
      <c r="B140" s="746"/>
      <c r="C140" s="746"/>
      <c r="D140" s="746"/>
      <c r="E140" s="746"/>
      <c r="F140" s="750"/>
      <c r="G140" s="762"/>
      <c r="H140" s="763"/>
      <c r="I140" s="741"/>
      <c r="J140" s="741"/>
      <c r="K140" s="741"/>
      <c r="L140" s="764"/>
      <c r="M140" s="764"/>
      <c r="N140" s="764"/>
    </row>
    <row r="141" spans="2:14" x14ac:dyDescent="0.25">
      <c r="B141" s="17" t="s">
        <v>64</v>
      </c>
      <c r="F141" s="72">
        <f>SUM(F131:F140)</f>
        <v>287.0951728852063</v>
      </c>
      <c r="G141" s="72">
        <f>SUM(G131:G140)</f>
        <v>3445.1420746224758</v>
      </c>
      <c r="N141">
        <f>G141*'Consumo Térmico de la empresa'!B5*10.31</f>
        <v>134455.54793778263</v>
      </c>
    </row>
    <row r="143" spans="2:14" x14ac:dyDescent="0.25">
      <c r="E143" s="23"/>
      <c r="F143" s="236">
        <v>287.0951728852063</v>
      </c>
      <c r="G143" s="236">
        <v>3445.1420746224758</v>
      </c>
    </row>
    <row r="144" spans="2:14" x14ac:dyDescent="0.25">
      <c r="E144" s="23"/>
    </row>
    <row r="145" spans="5:5" x14ac:dyDescent="0.25">
      <c r="E145" s="23"/>
    </row>
    <row r="146" spans="5:5" x14ac:dyDescent="0.25">
      <c r="E146" s="23"/>
    </row>
  </sheetData>
  <mergeCells count="101">
    <mergeCell ref="N72:N74"/>
    <mergeCell ref="M72:M74"/>
    <mergeCell ref="H66:H68"/>
    <mergeCell ref="L66:L68"/>
    <mergeCell ref="L70:L71"/>
    <mergeCell ref="L72:L74"/>
    <mergeCell ref="N137:N140"/>
    <mergeCell ref="K87:K93"/>
    <mergeCell ref="I133:K136"/>
    <mergeCell ref="L80:L86"/>
    <mergeCell ref="N131:N132"/>
    <mergeCell ref="N133:N136"/>
    <mergeCell ref="L133:L136"/>
    <mergeCell ref="M131:M132"/>
    <mergeCell ref="M137:M140"/>
    <mergeCell ref="M133:M136"/>
    <mergeCell ref="L4:L14"/>
    <mergeCell ref="L15:L23"/>
    <mergeCell ref="L48:L50"/>
    <mergeCell ref="L51:L54"/>
    <mergeCell ref="G137:G140"/>
    <mergeCell ref="H137:H140"/>
    <mergeCell ref="I137:K140"/>
    <mergeCell ref="L137:L140"/>
    <mergeCell ref="I131:K132"/>
    <mergeCell ref="L131:L132"/>
    <mergeCell ref="G66:G68"/>
    <mergeCell ref="H131:H132"/>
    <mergeCell ref="G133:G136"/>
    <mergeCell ref="H133:H136"/>
    <mergeCell ref="C139:C140"/>
    <mergeCell ref="D139:D140"/>
    <mergeCell ref="E139:E140"/>
    <mergeCell ref="F137:F140"/>
    <mergeCell ref="C135:C136"/>
    <mergeCell ref="D135:D136"/>
    <mergeCell ref="E135:E136"/>
    <mergeCell ref="B137:B140"/>
    <mergeCell ref="C137:C138"/>
    <mergeCell ref="D137:D138"/>
    <mergeCell ref="E137:E138"/>
    <mergeCell ref="B133:B136"/>
    <mergeCell ref="C133:C134"/>
    <mergeCell ref="D133:D134"/>
    <mergeCell ref="E133:E134"/>
    <mergeCell ref="F133:F136"/>
    <mergeCell ref="B131:B132"/>
    <mergeCell ref="C131:C132"/>
    <mergeCell ref="D131:D132"/>
    <mergeCell ref="E131:E132"/>
    <mergeCell ref="F131:F132"/>
    <mergeCell ref="G131:G132"/>
    <mergeCell ref="G127:G130"/>
    <mergeCell ref="B113:B114"/>
    <mergeCell ref="C113:C114"/>
    <mergeCell ref="D113:D114"/>
    <mergeCell ref="E113:E114"/>
    <mergeCell ref="F113:F114"/>
    <mergeCell ref="G113:G114"/>
    <mergeCell ref="B127:B130"/>
    <mergeCell ref="C127:C130"/>
    <mergeCell ref="D127:D130"/>
    <mergeCell ref="E127:E130"/>
    <mergeCell ref="F127:F130"/>
    <mergeCell ref="W72:W74"/>
    <mergeCell ref="Q59:S59"/>
    <mergeCell ref="B85:B86"/>
    <mergeCell ref="K115:K118"/>
    <mergeCell ref="L115:L118"/>
    <mergeCell ref="Q49:S49"/>
    <mergeCell ref="B4:B10"/>
    <mergeCell ref="B11:B13"/>
    <mergeCell ref="B15:B23"/>
    <mergeCell ref="B80:B81"/>
    <mergeCell ref="B82:B83"/>
    <mergeCell ref="L87:L93"/>
    <mergeCell ref="K4:K14"/>
    <mergeCell ref="K15:K23"/>
    <mergeCell ref="K48:K50"/>
    <mergeCell ref="K51:K54"/>
    <mergeCell ref="K80:K86"/>
    <mergeCell ref="O66:O68"/>
    <mergeCell ref="O70:O71"/>
    <mergeCell ref="O72:O74"/>
    <mergeCell ref="Q48:S48"/>
    <mergeCell ref="D62:G62"/>
    <mergeCell ref="D63:G63"/>
    <mergeCell ref="D61:G61"/>
    <mergeCell ref="F66:F68"/>
    <mergeCell ref="Z49:AA49"/>
    <mergeCell ref="AP49:AQ49"/>
    <mergeCell ref="Q63:S63"/>
    <mergeCell ref="Z63:AA63"/>
    <mergeCell ref="AP63:AQ63"/>
    <mergeCell ref="Z61:AA62"/>
    <mergeCell ref="W66:W68"/>
    <mergeCell ref="W70:W71"/>
    <mergeCell ref="N66:N68"/>
    <mergeCell ref="M66:M68"/>
    <mergeCell ref="N70:N71"/>
    <mergeCell ref="M70:M71"/>
  </mergeCells>
  <phoneticPr fontId="12" type="noConversion"/>
  <pageMargins left="0.7" right="0.7" top="0.75" bottom="0.75" header="0.3" footer="0.3"/>
  <pageSetup paperSize="9" orientation="portrait" r:id="rId1"/>
  <ignoredErrors>
    <ignoredError sqref="E116 V58" formula="1"/>
  </ignoredErrors>
  <drawing r:id="rId2"/>
  <legacyDrawing r:id="rId3"/>
  <oleObjects>
    <mc:AlternateContent xmlns:mc="http://schemas.openxmlformats.org/markup-compatibility/2006">
      <mc:Choice Requires="x14">
        <oleObject progId="Visio.Drawing.15" shapeId="12093" r:id="rId4">
          <objectPr defaultSize="0" r:id="rId5">
            <anchor moveWithCells="1">
              <from>
                <xdr:col>14</xdr:col>
                <xdr:colOff>0</xdr:colOff>
                <xdr:row>1</xdr:row>
                <xdr:rowOff>0</xdr:rowOff>
              </from>
              <to>
                <xdr:col>21</xdr:col>
                <xdr:colOff>390525</xdr:colOff>
                <xdr:row>36</xdr:row>
                <xdr:rowOff>19050</xdr:rowOff>
              </to>
            </anchor>
          </objectPr>
        </oleObject>
      </mc:Choice>
      <mc:Fallback>
        <oleObject progId="Visio.Drawing.15" shapeId="12093"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37E94-76B9-4A1E-8135-BE0667A500DC}">
  <sheetPr>
    <tabColor rgb="FFFFC000"/>
  </sheetPr>
  <dimension ref="B4:T25"/>
  <sheetViews>
    <sheetView showGridLines="0" zoomScale="70" zoomScaleNormal="70" workbookViewId="0">
      <selection activeCell="T28" sqref="T28"/>
    </sheetView>
  </sheetViews>
  <sheetFormatPr baseColWidth="10" defaultRowHeight="15" x14ac:dyDescent="0.25"/>
  <cols>
    <col min="2" max="2" width="43.85546875" bestFit="1" customWidth="1"/>
    <col min="3" max="3" width="23.28515625" bestFit="1" customWidth="1"/>
    <col min="4" max="4" width="11.7109375" bestFit="1" customWidth="1"/>
    <col min="5" max="5" width="12.7109375" bestFit="1" customWidth="1"/>
    <col min="6" max="6" width="8.140625" bestFit="1" customWidth="1"/>
    <col min="7" max="7" width="6.140625" bestFit="1" customWidth="1"/>
    <col min="8" max="8" width="12.140625" bestFit="1" customWidth="1"/>
    <col min="9" max="9" width="14.85546875" bestFit="1" customWidth="1"/>
    <col min="10" max="10" width="15.5703125" bestFit="1" customWidth="1"/>
    <col min="11" max="11" width="14.28515625" bestFit="1" customWidth="1"/>
    <col min="12" max="12" width="15.7109375" bestFit="1" customWidth="1"/>
    <col min="13" max="13" width="23.28515625" bestFit="1" customWidth="1"/>
    <col min="14" max="14" width="14" bestFit="1" customWidth="1"/>
    <col min="15" max="15" width="15.42578125" bestFit="1" customWidth="1"/>
    <col min="16" max="16" width="14" bestFit="1" customWidth="1"/>
    <col min="17" max="17" width="15.42578125" bestFit="1" customWidth="1"/>
    <col min="18" max="18" width="15" bestFit="1" customWidth="1"/>
    <col min="19" max="19" width="7.7109375" bestFit="1" customWidth="1"/>
    <col min="20" max="20" width="8.85546875" bestFit="1" customWidth="1"/>
  </cols>
  <sheetData>
    <row r="4" spans="2:20" x14ac:dyDescent="0.25">
      <c r="B4" s="480" t="s">
        <v>503</v>
      </c>
      <c r="C4" s="480" t="s">
        <v>611</v>
      </c>
      <c r="D4" s="481" t="s">
        <v>519</v>
      </c>
      <c r="E4" s="481" t="s">
        <v>319</v>
      </c>
      <c r="I4" s="17" t="str">
        <f>C5</f>
        <v>Proc-01 (Quem)</v>
      </c>
      <c r="J4" s="17" t="str">
        <f>C6</f>
        <v>Proc-02 (Mot A J)</v>
      </c>
      <c r="K4" s="17" t="str">
        <f>C7</f>
        <v>Proc-02 (Mot E)</v>
      </c>
      <c r="L4" s="17" t="str">
        <f>C8</f>
        <v>Proc-02 (BB Alm)</v>
      </c>
      <c r="M4" s="17" t="str">
        <f>C9</f>
        <v>Proc-03 (BBs y Mots Nod)</v>
      </c>
      <c r="N4" s="17" t="str">
        <f>C10</f>
        <v>Sect_01 (AA Of)</v>
      </c>
      <c r="O4" s="17" t="str">
        <f>C11</f>
        <v>Sect_01 (Lum Of)</v>
      </c>
      <c r="P4" s="17" t="str">
        <f>C12</f>
        <v>Sect_02 (AA Of)</v>
      </c>
      <c r="Q4" s="17" t="str">
        <f>C13</f>
        <v>Sect_02 (Lum Of)</v>
      </c>
      <c r="R4" s="476" t="str">
        <f>C14</f>
        <v>Sect_02 (Eq Lab)</v>
      </c>
      <c r="S4" s="17" t="str">
        <f>C15</f>
        <v>Varios</v>
      </c>
    </row>
    <row r="5" spans="2:20" x14ac:dyDescent="0.25">
      <c r="B5" s="482" t="s">
        <v>591</v>
      </c>
      <c r="C5" s="17" t="s">
        <v>603</v>
      </c>
      <c r="D5" s="479">
        <f>Pareto!R65</f>
        <v>0</v>
      </c>
      <c r="E5" s="168">
        <f>Pareto!T65</f>
        <v>0.36740578389466411</v>
      </c>
      <c r="F5" s="477">
        <f>(D5+E5)/2</f>
        <v>0.18370289194733205</v>
      </c>
      <c r="H5" s="17" t="s">
        <v>519</v>
      </c>
      <c r="I5" s="475">
        <f>D5</f>
        <v>0</v>
      </c>
      <c r="J5" s="476">
        <f>D6</f>
        <v>4.0452224080327552E-2</v>
      </c>
      <c r="K5" s="476">
        <f>D7</f>
        <v>0.10111165729237015</v>
      </c>
      <c r="L5" s="476">
        <f>D8</f>
        <v>1.0585628731300669E-2</v>
      </c>
      <c r="M5" s="476">
        <f>D9</f>
        <v>7.7879982808854928E-2</v>
      </c>
      <c r="N5" s="476">
        <f>D10</f>
        <v>8.4926987078549385E-2</v>
      </c>
      <c r="O5" s="476">
        <f>D11</f>
        <v>2.3916253814602551E-2</v>
      </c>
      <c r="P5" s="476">
        <f>D12</f>
        <v>0.26556015574946401</v>
      </c>
      <c r="Q5" s="476">
        <f>D13</f>
        <v>8.9817432034636435E-2</v>
      </c>
      <c r="R5" s="476">
        <f>D14</f>
        <v>0.22417195415729652</v>
      </c>
      <c r="S5" s="476">
        <f>D15</f>
        <v>8.157772425259778E-2</v>
      </c>
      <c r="T5" s="477">
        <f>SUM(I5:S5)</f>
        <v>1</v>
      </c>
    </row>
    <row r="6" spans="2:20" x14ac:dyDescent="0.25">
      <c r="B6" s="482" t="s">
        <v>592</v>
      </c>
      <c r="C6" s="17" t="s">
        <v>607</v>
      </c>
      <c r="D6" s="479">
        <f>Pareto!R66</f>
        <v>4.0452224080327552E-2</v>
      </c>
      <c r="E6" s="168">
        <f>Pareto!T66</f>
        <v>0.11018600111327737</v>
      </c>
      <c r="F6" s="477">
        <f t="shared" ref="F6:F15" si="0">(D6+E6)/2</f>
        <v>7.5319112596802462E-2</v>
      </c>
      <c r="H6" s="17" t="s">
        <v>319</v>
      </c>
      <c r="I6" s="476">
        <f>E5</f>
        <v>0.36740578389466411</v>
      </c>
      <c r="J6" s="476">
        <f>E6</f>
        <v>0.11018600111327737</v>
      </c>
      <c r="K6" s="476">
        <f>E7</f>
        <v>0.52240821499205836</v>
      </c>
      <c r="L6" s="475">
        <f>E8</f>
        <v>0</v>
      </c>
      <c r="M6" s="475">
        <f>E9</f>
        <v>0</v>
      </c>
      <c r="N6" s="475">
        <f>E10</f>
        <v>0</v>
      </c>
      <c r="O6" s="475">
        <f>E11</f>
        <v>0</v>
      </c>
      <c r="P6" s="475">
        <f>E12</f>
        <v>0</v>
      </c>
      <c r="Q6" s="475">
        <f>E13</f>
        <v>0</v>
      </c>
      <c r="R6" s="475">
        <f>E14</f>
        <v>0</v>
      </c>
      <c r="S6" s="475">
        <f>E15</f>
        <v>0</v>
      </c>
      <c r="T6" s="477">
        <f>SUM(I6:S6)</f>
        <v>0.99999999999999978</v>
      </c>
    </row>
    <row r="7" spans="2:20" x14ac:dyDescent="0.25">
      <c r="B7" s="482" t="s">
        <v>593</v>
      </c>
      <c r="C7" s="17" t="s">
        <v>608</v>
      </c>
      <c r="D7" s="479">
        <f>Pareto!R67</f>
        <v>0.10111165729237015</v>
      </c>
      <c r="E7" s="168">
        <f>Pareto!T67</f>
        <v>0.52240821499205836</v>
      </c>
      <c r="F7" s="477">
        <f t="shared" si="0"/>
        <v>0.31175993614221426</v>
      </c>
      <c r="H7" s="1" t="s">
        <v>612</v>
      </c>
      <c r="I7" s="478">
        <f>SUM(I5:I6)</f>
        <v>0.36740578389466411</v>
      </c>
      <c r="J7" s="478">
        <f t="shared" ref="J7:S7" si="1">SUM(J5:J6)</f>
        <v>0.15063822519360492</v>
      </c>
      <c r="K7" s="478">
        <f t="shared" si="1"/>
        <v>0.62351987228442851</v>
      </c>
      <c r="L7" s="478">
        <f t="shared" si="1"/>
        <v>1.0585628731300669E-2</v>
      </c>
      <c r="M7" s="478">
        <f t="shared" si="1"/>
        <v>7.7879982808854928E-2</v>
      </c>
      <c r="N7" s="478">
        <f t="shared" si="1"/>
        <v>8.4926987078549385E-2</v>
      </c>
      <c r="O7" s="478">
        <f t="shared" si="1"/>
        <v>2.3916253814602551E-2</v>
      </c>
      <c r="P7" s="478">
        <f t="shared" si="1"/>
        <v>0.26556015574946401</v>
      </c>
      <c r="Q7" s="478">
        <f t="shared" si="1"/>
        <v>8.9817432034636435E-2</v>
      </c>
      <c r="R7" s="478">
        <f t="shared" si="1"/>
        <v>0.22417195415729652</v>
      </c>
      <c r="S7" s="478">
        <f t="shared" si="1"/>
        <v>8.157772425259778E-2</v>
      </c>
      <c r="T7" s="477">
        <f>SUM(I7:S7)</f>
        <v>1.9999999999999996</v>
      </c>
    </row>
    <row r="8" spans="2:20" x14ac:dyDescent="0.25">
      <c r="B8" s="482" t="s">
        <v>594</v>
      </c>
      <c r="C8" s="17" t="s">
        <v>601</v>
      </c>
      <c r="D8" s="479">
        <f>Pareto!R68</f>
        <v>1.0585628731300669E-2</v>
      </c>
      <c r="E8" s="168">
        <f>Pareto!T68</f>
        <v>0</v>
      </c>
      <c r="F8" s="477">
        <f t="shared" si="0"/>
        <v>5.2928143656503345E-3</v>
      </c>
      <c r="I8" s="645">
        <f>I7/$T$7</f>
        <v>0.18370289194733208</v>
      </c>
      <c r="J8" s="645">
        <f t="shared" ref="J8:T8" si="2">J7/$T$7</f>
        <v>7.5319112596802476E-2</v>
      </c>
      <c r="K8" s="645">
        <f t="shared" si="2"/>
        <v>0.31175993614221431</v>
      </c>
      <c r="L8" s="477">
        <f t="shared" si="2"/>
        <v>5.2928143656503354E-3</v>
      </c>
      <c r="M8" s="477">
        <f t="shared" si="2"/>
        <v>3.8939991404427471E-2</v>
      </c>
      <c r="N8" s="477">
        <f t="shared" si="2"/>
        <v>4.2463493539274699E-2</v>
      </c>
      <c r="O8" s="477">
        <f t="shared" si="2"/>
        <v>1.1958126907301279E-2</v>
      </c>
      <c r="P8" s="645">
        <f t="shared" si="2"/>
        <v>0.13278007787473203</v>
      </c>
      <c r="Q8" s="477">
        <f t="shared" si="2"/>
        <v>4.4908716017318225E-2</v>
      </c>
      <c r="R8" s="645">
        <f t="shared" si="2"/>
        <v>0.11208597707864829</v>
      </c>
      <c r="S8" s="477">
        <f t="shared" si="2"/>
        <v>4.0788862126298897E-2</v>
      </c>
      <c r="T8" s="477">
        <f t="shared" si="2"/>
        <v>1</v>
      </c>
    </row>
    <row r="9" spans="2:20" x14ac:dyDescent="0.25">
      <c r="B9" s="482" t="s">
        <v>595</v>
      </c>
      <c r="C9" s="17" t="s">
        <v>602</v>
      </c>
      <c r="D9" s="479">
        <f>Pareto!R69</f>
        <v>7.7879982808854928E-2</v>
      </c>
      <c r="E9" s="168">
        <f>Pareto!T69</f>
        <v>0</v>
      </c>
      <c r="F9" s="477">
        <f t="shared" si="0"/>
        <v>3.8939991404427464E-2</v>
      </c>
    </row>
    <row r="10" spans="2:20" x14ac:dyDescent="0.25">
      <c r="B10" s="482" t="s">
        <v>596</v>
      </c>
      <c r="C10" s="17" t="s">
        <v>604</v>
      </c>
      <c r="D10" s="479">
        <f>Pareto!R70</f>
        <v>8.4926987078549385E-2</v>
      </c>
      <c r="E10" s="168">
        <f>Pareto!T70</f>
        <v>0</v>
      </c>
      <c r="F10" s="477">
        <f t="shared" si="0"/>
        <v>4.2463493539274692E-2</v>
      </c>
      <c r="H10" s="1" t="s">
        <v>64</v>
      </c>
      <c r="I10" s="646">
        <f>I8+J8+K8+P8+R8</f>
        <v>0.81564799563972912</v>
      </c>
    </row>
    <row r="11" spans="2:20" x14ac:dyDescent="0.25">
      <c r="B11" s="482" t="s">
        <v>597</v>
      </c>
      <c r="C11" s="17" t="s">
        <v>605</v>
      </c>
      <c r="D11" s="479">
        <f>Pareto!R71</f>
        <v>2.3916253814602551E-2</v>
      </c>
      <c r="E11" s="168">
        <f>Pareto!T71</f>
        <v>0</v>
      </c>
      <c r="F11" s="477">
        <f t="shared" si="0"/>
        <v>1.1958126907301275E-2</v>
      </c>
    </row>
    <row r="12" spans="2:20" x14ac:dyDescent="0.25">
      <c r="B12" s="482" t="s">
        <v>598</v>
      </c>
      <c r="C12" s="17" t="s">
        <v>606</v>
      </c>
      <c r="D12" s="479">
        <f>Pareto!R72</f>
        <v>0.26556015574946401</v>
      </c>
      <c r="E12" s="168">
        <f>Pareto!T72</f>
        <v>0</v>
      </c>
      <c r="F12" s="477">
        <f t="shared" si="0"/>
        <v>0.13278007787473201</v>
      </c>
    </row>
    <row r="13" spans="2:20" x14ac:dyDescent="0.25">
      <c r="B13" s="482" t="s">
        <v>599</v>
      </c>
      <c r="C13" s="17" t="s">
        <v>609</v>
      </c>
      <c r="D13" s="479">
        <f>Pareto!R73</f>
        <v>8.9817432034636435E-2</v>
      </c>
      <c r="E13" s="168">
        <f>Pareto!T73</f>
        <v>0</v>
      </c>
      <c r="F13" s="477">
        <f t="shared" si="0"/>
        <v>4.4908716017318218E-2</v>
      </c>
    </row>
    <row r="14" spans="2:20" x14ac:dyDescent="0.25">
      <c r="B14" s="482" t="s">
        <v>600</v>
      </c>
      <c r="C14" s="17" t="s">
        <v>610</v>
      </c>
      <c r="D14" s="479">
        <f>Pareto!R74</f>
        <v>0.22417195415729652</v>
      </c>
      <c r="E14" s="168">
        <f>Pareto!T74</f>
        <v>0</v>
      </c>
      <c r="F14" s="477">
        <f t="shared" si="0"/>
        <v>0.11208597707864826</v>
      </c>
    </row>
    <row r="15" spans="2:20" x14ac:dyDescent="0.25">
      <c r="B15" s="482" t="s">
        <v>538</v>
      </c>
      <c r="C15" s="17" t="s">
        <v>538</v>
      </c>
      <c r="D15" s="479">
        <f>Pareto!R75</f>
        <v>8.157772425259778E-2</v>
      </c>
      <c r="E15" s="168">
        <f>Pareto!T75</f>
        <v>0</v>
      </c>
      <c r="F15" s="477">
        <f t="shared" si="0"/>
        <v>4.078886212629889E-2</v>
      </c>
    </row>
    <row r="17" spans="2:6" x14ac:dyDescent="0.25">
      <c r="C17" s="17" t="s">
        <v>64</v>
      </c>
      <c r="D17" s="479">
        <f>SUM(D5:D15)</f>
        <v>1</v>
      </c>
      <c r="E17" s="479">
        <f>SUM(E5:E15)</f>
        <v>0.99999999999999978</v>
      </c>
      <c r="F17" s="477">
        <f>SUM(F5:F15)</f>
        <v>0.99999999999999978</v>
      </c>
    </row>
    <row r="23" spans="2:6" x14ac:dyDescent="0.25">
      <c r="B23" t="str">
        <f>B5</f>
        <v>Proc-01 Quemadores</v>
      </c>
      <c r="E23" s="477">
        <f>E5</f>
        <v>0.36740578389466411</v>
      </c>
    </row>
    <row r="24" spans="2:6" x14ac:dyDescent="0.25">
      <c r="B24" t="str">
        <f>B7</f>
        <v>Proc-02 (Motores Emulsión)</v>
      </c>
      <c r="E24" s="477">
        <f>E7</f>
        <v>0.52240821499205836</v>
      </c>
    </row>
    <row r="25" spans="2:6" x14ac:dyDescent="0.25">
      <c r="E25" s="477">
        <f>SUM(E23:E24)</f>
        <v>0.88981399888672241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6698B-D583-4E1D-89BE-0F5447F27B04}">
  <sheetPr codeName="Hoja6">
    <tabColor theme="8" tint="0.59999389629810485"/>
  </sheetPr>
  <dimension ref="B2:AE84"/>
  <sheetViews>
    <sheetView showGridLines="0" topLeftCell="A58" zoomScale="80" zoomScaleNormal="80" workbookViewId="0">
      <selection activeCell="J95" sqref="J95"/>
    </sheetView>
  </sheetViews>
  <sheetFormatPr baseColWidth="10" defaultColWidth="11.42578125" defaultRowHeight="15" x14ac:dyDescent="0.25"/>
  <cols>
    <col min="2" max="2" width="27.7109375" customWidth="1"/>
    <col min="3" max="3" width="15.28515625" customWidth="1"/>
    <col min="4" max="4" width="16.7109375" bestFit="1" customWidth="1"/>
    <col min="14" max="14" width="27.7109375" customWidth="1"/>
    <col min="15" max="15" width="15.28515625" customWidth="1"/>
    <col min="16" max="16" width="16.7109375" bestFit="1" customWidth="1"/>
    <col min="25" max="25" width="39.5703125" bestFit="1" customWidth="1"/>
    <col min="26" max="26" width="16.42578125" bestFit="1" customWidth="1"/>
  </cols>
  <sheetData>
    <row r="2" spans="2:16" x14ac:dyDescent="0.25">
      <c r="B2" t="s">
        <v>65</v>
      </c>
      <c r="N2" t="s">
        <v>68</v>
      </c>
    </row>
    <row r="4" spans="2:16" x14ac:dyDescent="0.25">
      <c r="B4" s="34" t="s">
        <v>3</v>
      </c>
      <c r="C4" s="33" t="s">
        <v>34</v>
      </c>
      <c r="D4" s="33" t="s">
        <v>46</v>
      </c>
      <c r="N4" s="34" t="s">
        <v>3</v>
      </c>
      <c r="O4" s="33" t="s">
        <v>34</v>
      </c>
      <c r="P4" s="33" t="s">
        <v>46</v>
      </c>
    </row>
    <row r="5" spans="2:16" x14ac:dyDescent="0.25">
      <c r="B5" s="4">
        <f>'Consumo Térmico de la empresa'!B25</f>
        <v>44562</v>
      </c>
      <c r="C5" s="37">
        <f>'Consumo Térmico de la empresa'!C25</f>
        <v>176.702</v>
      </c>
      <c r="D5" s="37">
        <f>'Consumo Térmico de la empresa'!D25</f>
        <v>24.826631000000003</v>
      </c>
      <c r="N5" s="4">
        <f>'Consumo Térmico de la empresa'!B56</f>
        <v>44927</v>
      </c>
      <c r="O5" s="37">
        <f>'Consumo Térmico de la empresa'!C56</f>
        <v>165.03</v>
      </c>
      <c r="P5" s="37">
        <f>'Consumo Térmico de la empresa'!D56</f>
        <v>23.186715000000003</v>
      </c>
    </row>
    <row r="6" spans="2:16" x14ac:dyDescent="0.25">
      <c r="B6" s="4">
        <f>'Consumo Térmico de la empresa'!B26</f>
        <v>44593</v>
      </c>
      <c r="C6" s="37">
        <f>'Consumo Térmico de la empresa'!C26</f>
        <v>229.2886</v>
      </c>
      <c r="D6" s="37">
        <f>'Consumo Térmico de la empresa'!D26</f>
        <v>32.215048300000007</v>
      </c>
      <c r="N6" s="4">
        <f>'Consumo Térmico de la empresa'!B57</f>
        <v>44958</v>
      </c>
      <c r="O6" s="37">
        <f>'Consumo Térmico de la empresa'!C57</f>
        <v>224.9624</v>
      </c>
      <c r="P6" s="37">
        <f>'Consumo Térmico de la empresa'!D57</f>
        <v>31.607217200000004</v>
      </c>
    </row>
    <row r="7" spans="2:16" x14ac:dyDescent="0.25">
      <c r="B7" s="4">
        <f>'Consumo Térmico de la empresa'!B27</f>
        <v>44621</v>
      </c>
      <c r="C7" s="37">
        <f>'Consumo Térmico de la empresa'!C27</f>
        <v>239.46460000000002</v>
      </c>
      <c r="D7" s="37">
        <f>'Consumo Térmico de la empresa'!D27</f>
        <v>33.644776300000004</v>
      </c>
      <c r="N7" s="4">
        <f>'Consumo Térmico de la empresa'!B58</f>
        <v>44986</v>
      </c>
      <c r="O7" s="37">
        <f>'Consumo Térmico de la empresa'!C58</f>
        <v>234.94640000000001</v>
      </c>
      <c r="P7" s="37">
        <f>'Consumo Térmico de la empresa'!D58</f>
        <v>33.009969200000008</v>
      </c>
    </row>
    <row r="8" spans="2:16" x14ac:dyDescent="0.25">
      <c r="B8" s="4">
        <f>'Consumo Térmico de la empresa'!B28</f>
        <v>44652</v>
      </c>
      <c r="C8" s="37">
        <f>'Consumo Térmico de la empresa'!C28</f>
        <v>422.12380000000002</v>
      </c>
      <c r="D8" s="37">
        <f>'Consumo Térmico de la empresa'!D28</f>
        <v>59.308393900000006</v>
      </c>
      <c r="N8" s="4">
        <f>'Consumo Térmico de la empresa'!B59</f>
        <v>45017</v>
      </c>
      <c r="O8" s="37">
        <f>'Consumo Térmico de la empresa'!C59</f>
        <v>414.15920000000006</v>
      </c>
      <c r="P8" s="37">
        <f>'Consumo Térmico de la empresa'!D59</f>
        <v>58.189367600000011</v>
      </c>
    </row>
    <row r="9" spans="2:16" x14ac:dyDescent="0.25">
      <c r="B9" s="4">
        <f>'Consumo Térmico de la empresa'!B29</f>
        <v>44682</v>
      </c>
      <c r="C9" s="37">
        <f>'Consumo Térmico de la empresa'!C29</f>
        <v>396.88520000000005</v>
      </c>
      <c r="D9" s="37">
        <f>'Consumo Térmico de la empresa'!D29</f>
        <v>55.762370600000011</v>
      </c>
      <c r="N9" s="4">
        <f>'Consumo Térmico de la empresa'!B60</f>
        <v>45047</v>
      </c>
      <c r="O9" s="37">
        <f>'Consumo Térmico de la empresa'!C60</f>
        <v>363.18740000000003</v>
      </c>
      <c r="P9" s="37">
        <f>'Consumo Térmico de la empresa'!D60</f>
        <v>51.027829700000005</v>
      </c>
    </row>
    <row r="10" spans="2:16" x14ac:dyDescent="0.25">
      <c r="B10" s="4">
        <f>'Consumo Térmico de la empresa'!B30</f>
        <v>44713</v>
      </c>
      <c r="C10" s="37">
        <f>'Consumo Térmico de la empresa'!C30</f>
        <v>401.75060000000002</v>
      </c>
      <c r="D10" s="37">
        <f>'Consumo Térmico de la empresa'!D30</f>
        <v>56.445959300000005</v>
      </c>
      <c r="N10" s="4">
        <f>'Consumo Térmico de la empresa'!B61</f>
        <v>45078</v>
      </c>
      <c r="O10" s="37">
        <f>'Consumo Térmico de la empresa'!C61</f>
        <v>352.47930000000002</v>
      </c>
      <c r="P10" s="37">
        <f>'Consumo Térmico de la empresa'!D61</f>
        <v>49.523341650000006</v>
      </c>
    </row>
    <row r="11" spans="2:16" x14ac:dyDescent="0.25">
      <c r="B11" s="4">
        <f>'Consumo Térmico de la empresa'!B31</f>
        <v>44743</v>
      </c>
      <c r="C11" s="37">
        <f>'Consumo Térmico de la empresa'!C31</f>
        <v>381.07</v>
      </c>
      <c r="D11" s="37">
        <f>'Consumo Térmico de la empresa'!D31</f>
        <v>53.540335000000006</v>
      </c>
      <c r="N11" s="4">
        <f>'Consumo Térmico de la empresa'!B62</f>
        <v>45108</v>
      </c>
      <c r="O11" s="37">
        <f>'Consumo Térmico de la empresa'!C62</f>
        <v>366.69</v>
      </c>
      <c r="P11" s="37">
        <f>'Consumo Térmico de la empresa'!D62</f>
        <v>51.519945000000007</v>
      </c>
    </row>
    <row r="12" spans="2:16" x14ac:dyDescent="0.25">
      <c r="B12" s="4">
        <f>'Consumo Térmico de la empresa'!B32</f>
        <v>44774</v>
      </c>
      <c r="C12" s="37">
        <f>'Consumo Térmico de la empresa'!C32</f>
        <v>405.05780000000004</v>
      </c>
      <c r="D12" s="37">
        <f>'Consumo Térmico de la empresa'!D32</f>
        <v>56.910620900000012</v>
      </c>
      <c r="N12" s="4">
        <f>'Consumo Térmico de la empresa'!B63</f>
        <v>45139</v>
      </c>
      <c r="O12" s="37">
        <f>'Consumo Térmico de la empresa'!C63</f>
        <v>389.77260000000001</v>
      </c>
      <c r="P12" s="37">
        <f>'Consumo Térmico de la empresa'!D63</f>
        <v>54.76305030000001</v>
      </c>
    </row>
    <row r="13" spans="2:16" x14ac:dyDescent="0.25">
      <c r="B13" s="4">
        <f>'Consumo Térmico de la empresa'!B33</f>
        <v>44805</v>
      </c>
      <c r="C13" s="37">
        <f>'Consumo Térmico de la empresa'!C33</f>
        <v>173.5856</v>
      </c>
      <c r="D13" s="37">
        <f>'Consumo Térmico de la empresa'!D33</f>
        <v>24.388776800000002</v>
      </c>
      <c r="N13" s="4">
        <f>'Consumo Térmico de la empresa'!B64</f>
        <v>45170</v>
      </c>
      <c r="O13" s="37">
        <f>'Consumo Térmico de la empresa'!C64</f>
        <v>167.0352</v>
      </c>
      <c r="P13" s="37">
        <f>'Consumo Térmico de la empresa'!D64</f>
        <v>23.468445600000003</v>
      </c>
    </row>
    <row r="14" spans="2:16" x14ac:dyDescent="0.25">
      <c r="B14" s="4">
        <f>'Consumo Térmico de la empresa'!B34</f>
        <v>44835</v>
      </c>
      <c r="C14" s="37">
        <f>'Consumo Térmico de la empresa'!C34</f>
        <v>172.45</v>
      </c>
      <c r="D14" s="37">
        <f>'Consumo Térmico de la empresa'!D34</f>
        <v>24.229225</v>
      </c>
      <c r="N14" s="4">
        <f>'Consumo Térmico de la empresa'!B65</f>
        <v>45200</v>
      </c>
      <c r="O14" s="37">
        <f>'Consumo Térmico de la empresa'!C65</f>
        <v>165.54</v>
      </c>
      <c r="P14" s="37">
        <f>'Consumo Térmico de la empresa'!D65</f>
        <v>23.258370000000003</v>
      </c>
    </row>
    <row r="15" spans="2:16" x14ac:dyDescent="0.25">
      <c r="B15" s="4">
        <f>'Consumo Térmico de la empresa'!B35</f>
        <v>44866</v>
      </c>
      <c r="C15" s="37">
        <f>'Consumo Térmico de la empresa'!C35</f>
        <v>330.90020000000004</v>
      </c>
      <c r="D15" s="37">
        <f>'Consumo Térmico de la empresa'!D35</f>
        <v>46.491478100000009</v>
      </c>
      <c r="N15" s="4">
        <f>'Consumo Térmico de la empresa'!B66</f>
        <v>45231</v>
      </c>
      <c r="O15" s="37">
        <f>'Consumo Térmico de la empresa'!C66</f>
        <v>318.41340000000002</v>
      </c>
      <c r="P15" s="37">
        <f>'Consumo Térmico de la empresa'!D66</f>
        <v>44.737082700000009</v>
      </c>
    </row>
    <row r="16" spans="2:16" x14ac:dyDescent="0.25">
      <c r="B16" s="4">
        <f>'Consumo Térmico de la empresa'!B36</f>
        <v>44896</v>
      </c>
      <c r="C16" s="37">
        <f>'Consumo Térmico de la empresa'!C36</f>
        <v>115.911</v>
      </c>
      <c r="D16" s="37">
        <f>'Consumo Térmico de la empresa'!D36</f>
        <v>16.285495500000003</v>
      </c>
      <c r="N16" s="4">
        <f>'Consumo Térmico de la empresa'!B67</f>
        <v>45261</v>
      </c>
      <c r="O16" s="37">
        <f>'Consumo Térmico de la empresa'!C67</f>
        <v>111.53699999999999</v>
      </c>
      <c r="P16" s="37">
        <f>'Consumo Térmico de la empresa'!D67</f>
        <v>15.6709485</v>
      </c>
    </row>
    <row r="17" spans="2:20" x14ac:dyDescent="0.25">
      <c r="B17" s="17" t="s">
        <v>16</v>
      </c>
      <c r="C17" s="75">
        <f>AVERAGE(C5:C16)</f>
        <v>287.09911666666665</v>
      </c>
      <c r="D17" s="70">
        <f>AVERAGE(D5:D16)</f>
        <v>40.337425891666676</v>
      </c>
      <c r="N17" s="17" t="s">
        <v>16</v>
      </c>
      <c r="O17" s="75">
        <f>AVERAGE(O5:O16)</f>
        <v>272.81274166666657</v>
      </c>
      <c r="P17" s="70">
        <f>AVERAGE(P5:P16)</f>
        <v>38.330190204166676</v>
      </c>
    </row>
    <row r="18" spans="2:20" x14ac:dyDescent="0.25">
      <c r="B18" s="6" t="s">
        <v>12</v>
      </c>
      <c r="C18" s="31">
        <f>SUM(C5:C16)</f>
        <v>3445.1893999999998</v>
      </c>
      <c r="D18" s="38">
        <f>SUM(D5:D16)</f>
        <v>484.04911070000014</v>
      </c>
      <c r="N18" s="6" t="s">
        <v>12</v>
      </c>
      <c r="O18" s="31">
        <f>SUM(O5:O16)</f>
        <v>3273.752899999999</v>
      </c>
      <c r="P18" s="38">
        <f>SUM(P5:P16)</f>
        <v>459.96228245000015</v>
      </c>
    </row>
    <row r="21" spans="2:20" x14ac:dyDescent="0.25">
      <c r="B21" t="s">
        <v>183</v>
      </c>
      <c r="N21" t="s">
        <v>183</v>
      </c>
    </row>
    <row r="23" spans="2:20" x14ac:dyDescent="0.25">
      <c r="B23" s="17" t="s">
        <v>90</v>
      </c>
      <c r="C23" s="17" t="s">
        <v>173</v>
      </c>
      <c r="D23" s="17" t="s">
        <v>174</v>
      </c>
      <c r="N23" s="17" t="s">
        <v>90</v>
      </c>
      <c r="O23" s="17" t="s">
        <v>173</v>
      </c>
      <c r="P23" s="17" t="s">
        <v>174</v>
      </c>
    </row>
    <row r="24" spans="2:20" ht="15" customHeight="1" x14ac:dyDescent="0.25">
      <c r="B24" s="31" t="s">
        <v>175</v>
      </c>
      <c r="C24" s="100">
        <v>3.03</v>
      </c>
      <c r="D24" s="17" t="s">
        <v>179</v>
      </c>
      <c r="G24" s="702" t="s">
        <v>230</v>
      </c>
      <c r="N24" s="31" t="s">
        <v>175</v>
      </c>
      <c r="O24" s="77">
        <v>3</v>
      </c>
      <c r="P24" s="17" t="s">
        <v>179</v>
      </c>
      <c r="S24" s="702" t="s">
        <v>230</v>
      </c>
    </row>
    <row r="25" spans="2:20" ht="15" customHeight="1" x14ac:dyDescent="0.25">
      <c r="B25" s="31" t="s">
        <v>176</v>
      </c>
      <c r="C25" s="85">
        <v>46369</v>
      </c>
      <c r="D25" s="17" t="s">
        <v>180</v>
      </c>
      <c r="F25" s="3">
        <f>C36/C41</f>
        <v>616.22807017543857</v>
      </c>
      <c r="G25" s="703"/>
      <c r="N25" s="31" t="s">
        <v>176</v>
      </c>
      <c r="O25" s="85">
        <v>46369</v>
      </c>
      <c r="P25" s="17" t="s">
        <v>180</v>
      </c>
      <c r="R25" s="3">
        <f>O36/O41</f>
        <v>616.22807017543869</v>
      </c>
      <c r="S25" s="703"/>
    </row>
    <row r="26" spans="2:20" x14ac:dyDescent="0.25">
      <c r="B26" s="31" t="s">
        <v>177</v>
      </c>
      <c r="C26" s="81">
        <f>C17</f>
        <v>287.09911666666665</v>
      </c>
      <c r="D26" s="17" t="s">
        <v>181</v>
      </c>
      <c r="G26" s="48">
        <v>220401.1</v>
      </c>
      <c r="H26" s="288">
        <f>G26/1000/C26</f>
        <v>0.76768296105868672</v>
      </c>
      <c r="N26" s="31" t="s">
        <v>177</v>
      </c>
      <c r="O26" s="81">
        <f>O17</f>
        <v>272.81274166666657</v>
      </c>
      <c r="P26" s="17" t="s">
        <v>181</v>
      </c>
      <c r="S26" s="48">
        <v>214210.6</v>
      </c>
      <c r="T26" s="288">
        <f>S26/1000/O26</f>
        <v>0.78519279814918252</v>
      </c>
    </row>
    <row r="27" spans="2:20" x14ac:dyDescent="0.25">
      <c r="B27" s="31" t="s">
        <v>178</v>
      </c>
      <c r="C27" s="82">
        <f>(C26*C25*C24)/1000000</f>
        <v>40.33687179037149</v>
      </c>
      <c r="D27" s="17" t="s">
        <v>182</v>
      </c>
      <c r="N27" s="31" t="s">
        <v>178</v>
      </c>
      <c r="O27" s="82">
        <f>(O26*O25*O24)/1000000</f>
        <v>37.95016205502499</v>
      </c>
      <c r="P27" s="17" t="s">
        <v>182</v>
      </c>
    </row>
    <row r="30" spans="2:20" x14ac:dyDescent="0.25">
      <c r="S30" s="23"/>
      <c r="T30" s="3"/>
    </row>
    <row r="31" spans="2:20" x14ac:dyDescent="0.25">
      <c r="B31" t="s">
        <v>184</v>
      </c>
      <c r="N31" t="s">
        <v>184</v>
      </c>
    </row>
    <row r="33" spans="2:21" x14ac:dyDescent="0.25">
      <c r="B33" s="17" t="s">
        <v>90</v>
      </c>
      <c r="C33" s="17" t="s">
        <v>173</v>
      </c>
      <c r="D33" s="76" t="s">
        <v>174</v>
      </c>
      <c r="N33" s="17" t="s">
        <v>90</v>
      </c>
      <c r="O33" s="17" t="s">
        <v>173</v>
      </c>
      <c r="P33" s="76" t="s">
        <v>174</v>
      </c>
    </row>
    <row r="34" spans="2:21" x14ac:dyDescent="0.25">
      <c r="B34" s="687" t="s">
        <v>185</v>
      </c>
      <c r="C34" s="61">
        <f>C36*C37*(C40-C39)</f>
        <v>14820000</v>
      </c>
      <c r="D34" s="17" t="s">
        <v>207</v>
      </c>
      <c r="N34" s="687" t="s">
        <v>185</v>
      </c>
      <c r="O34" s="86">
        <f>O36*O37*(O40-O39)</f>
        <v>14478000</v>
      </c>
      <c r="P34" s="17" t="s">
        <v>207</v>
      </c>
    </row>
    <row r="35" spans="2:21" x14ac:dyDescent="0.25">
      <c r="B35" s="687"/>
      <c r="C35" s="82">
        <f>C34/1000000</f>
        <v>14.82</v>
      </c>
      <c r="D35" s="17" t="s">
        <v>193</v>
      </c>
      <c r="H35" s="64"/>
      <c r="I35" s="35"/>
      <c r="L35" s="1"/>
      <c r="M35" s="35"/>
      <c r="N35" s="687"/>
      <c r="O35" s="82">
        <f>O34/1000000</f>
        <v>14.478</v>
      </c>
      <c r="P35" s="17" t="s">
        <v>193</v>
      </c>
      <c r="T35" s="64"/>
      <c r="U35" s="35"/>
    </row>
    <row r="36" spans="2:21" x14ac:dyDescent="0.25">
      <c r="B36" s="171" t="s">
        <v>186</v>
      </c>
      <c r="C36" s="86">
        <v>65000</v>
      </c>
      <c r="D36" s="17" t="s">
        <v>181</v>
      </c>
      <c r="J36" s="86">
        <f>C36</f>
        <v>65000</v>
      </c>
      <c r="K36" s="86">
        <f>O36</f>
        <v>63500</v>
      </c>
      <c r="N36" s="171" t="s">
        <v>186</v>
      </c>
      <c r="O36" s="86">
        <v>63500</v>
      </c>
      <c r="P36" s="17" t="s">
        <v>181</v>
      </c>
    </row>
    <row r="37" spans="2:21" x14ac:dyDescent="0.25">
      <c r="B37" s="31" t="s">
        <v>188</v>
      </c>
      <c r="C37" s="77">
        <v>1.9</v>
      </c>
      <c r="D37" s="17" t="s">
        <v>194</v>
      </c>
      <c r="J37" s="286">
        <f>C35</f>
        <v>14.82</v>
      </c>
      <c r="K37" s="286">
        <f>O35</f>
        <v>14.478</v>
      </c>
      <c r="N37" s="31" t="s">
        <v>188</v>
      </c>
      <c r="O37" s="77">
        <v>1.9</v>
      </c>
      <c r="P37" s="17" t="s">
        <v>194</v>
      </c>
    </row>
    <row r="38" spans="2:21" x14ac:dyDescent="0.25">
      <c r="B38" s="31" t="s">
        <v>187</v>
      </c>
      <c r="C38" s="77">
        <v>3.5</v>
      </c>
      <c r="D38" s="17" t="s">
        <v>195</v>
      </c>
      <c r="H38" t="s">
        <v>198</v>
      </c>
      <c r="N38" s="31" t="s">
        <v>187</v>
      </c>
      <c r="O38" s="77">
        <v>3.5</v>
      </c>
      <c r="P38" s="17" t="s">
        <v>195</v>
      </c>
    </row>
    <row r="39" spans="2:21" x14ac:dyDescent="0.25">
      <c r="B39" s="31" t="s">
        <v>189</v>
      </c>
      <c r="C39" s="77">
        <v>25</v>
      </c>
      <c r="D39" s="17" t="s">
        <v>196</v>
      </c>
      <c r="H39" t="s">
        <v>199</v>
      </c>
      <c r="N39" s="31" t="s">
        <v>189</v>
      </c>
      <c r="O39" s="77">
        <v>25</v>
      </c>
      <c r="P39" s="17" t="s">
        <v>196</v>
      </c>
    </row>
    <row r="40" spans="2:21" x14ac:dyDescent="0.25">
      <c r="B40" s="31" t="s">
        <v>190</v>
      </c>
      <c r="C40" s="77">
        <v>145</v>
      </c>
      <c r="D40" s="17" t="s">
        <v>196</v>
      </c>
      <c r="H40" t="s">
        <v>200</v>
      </c>
      <c r="N40" s="31" t="s">
        <v>190</v>
      </c>
      <c r="O40" s="77">
        <v>145</v>
      </c>
      <c r="P40" s="17" t="s">
        <v>196</v>
      </c>
    </row>
    <row r="41" spans="2:21" x14ac:dyDescent="0.25">
      <c r="B41" s="31" t="s">
        <v>191</v>
      </c>
      <c r="C41" s="38">
        <f>G74</f>
        <v>105.48042704626334</v>
      </c>
      <c r="D41" s="17" t="s">
        <v>181</v>
      </c>
      <c r="H41" t="s">
        <v>201</v>
      </c>
      <c r="N41" s="31" t="s">
        <v>191</v>
      </c>
      <c r="O41" s="38">
        <f>S74</f>
        <v>103.04626334519571</v>
      </c>
      <c r="P41" s="17" t="s">
        <v>181</v>
      </c>
    </row>
    <row r="42" spans="2:21" x14ac:dyDescent="0.25">
      <c r="B42" s="31" t="s">
        <v>197</v>
      </c>
      <c r="C42" s="78">
        <f>D74</f>
        <v>0.36740578389466416</v>
      </c>
      <c r="N42" s="31" t="s">
        <v>197</v>
      </c>
      <c r="O42" s="78">
        <v>0.44</v>
      </c>
    </row>
    <row r="43" spans="2:21" x14ac:dyDescent="0.25">
      <c r="F43" s="23"/>
      <c r="G43" s="103"/>
      <c r="H43" s="103"/>
      <c r="I43" s="103"/>
      <c r="J43" s="174"/>
      <c r="K43" s="103"/>
      <c r="L43" s="87"/>
      <c r="M43" s="24"/>
    </row>
    <row r="44" spans="2:21" x14ac:dyDescent="0.25">
      <c r="G44" s="103"/>
      <c r="H44" s="103"/>
      <c r="I44" s="103"/>
      <c r="J44" s="103"/>
      <c r="K44" s="103"/>
    </row>
    <row r="45" spans="2:21" x14ac:dyDescent="0.25">
      <c r="F45" s="23"/>
      <c r="G45" s="103"/>
      <c r="H45" s="103"/>
      <c r="I45" s="103"/>
      <c r="J45" s="174"/>
      <c r="K45" s="103"/>
      <c r="L45" s="87"/>
      <c r="M45" s="24"/>
    </row>
    <row r="46" spans="2:21" x14ac:dyDescent="0.25">
      <c r="B46" t="s">
        <v>202</v>
      </c>
      <c r="G46" s="103"/>
      <c r="H46" s="103"/>
      <c r="I46" s="103"/>
      <c r="J46" s="103"/>
      <c r="K46" s="103"/>
      <c r="N46" t="s">
        <v>202</v>
      </c>
    </row>
    <row r="47" spans="2:21" x14ac:dyDescent="0.25">
      <c r="G47" s="103"/>
      <c r="H47" s="103"/>
      <c r="I47" s="172" t="s">
        <v>323</v>
      </c>
      <c r="J47" s="173">
        <f>J36*C37*(C40-C39)/1000000</f>
        <v>14.82</v>
      </c>
      <c r="K47" s="169" t="s">
        <v>193</v>
      </c>
    </row>
    <row r="48" spans="2:21" x14ac:dyDescent="0.25">
      <c r="B48" s="17" t="s">
        <v>90</v>
      </c>
      <c r="C48" s="17" t="s">
        <v>173</v>
      </c>
      <c r="D48" s="76" t="s">
        <v>174</v>
      </c>
      <c r="G48" s="103"/>
      <c r="H48" s="103"/>
      <c r="I48" s="103"/>
      <c r="J48" s="103"/>
      <c r="K48" s="103"/>
      <c r="N48" s="17" t="s">
        <v>90</v>
      </c>
      <c r="O48" s="17" t="s">
        <v>173</v>
      </c>
      <c r="P48" s="76" t="s">
        <v>174</v>
      </c>
    </row>
    <row r="49" spans="2:21" x14ac:dyDescent="0.25">
      <c r="B49" s="714" t="s">
        <v>203</v>
      </c>
      <c r="C49" s="48">
        <f>C51*C52*(C55-C54)</f>
        <v>4444558.6000000006</v>
      </c>
      <c r="D49" s="17" t="s">
        <v>207</v>
      </c>
      <c r="N49" s="714" t="s">
        <v>203</v>
      </c>
      <c r="O49" s="48">
        <f>O51*O52*(O55-O54)</f>
        <v>4444558.6000000006</v>
      </c>
      <c r="P49" s="17" t="s">
        <v>207</v>
      </c>
    </row>
    <row r="50" spans="2:21" x14ac:dyDescent="0.25">
      <c r="B50" s="714"/>
      <c r="C50" s="82">
        <f>C49/1000000</f>
        <v>4.4445586000000006</v>
      </c>
      <c r="D50" s="17" t="s">
        <v>193</v>
      </c>
      <c r="H50" s="64"/>
      <c r="I50" s="35"/>
      <c r="M50" s="35"/>
      <c r="N50" s="714"/>
      <c r="O50" s="82">
        <f>O49/1000000</f>
        <v>4.4445586000000006</v>
      </c>
      <c r="P50" s="17" t="s">
        <v>193</v>
      </c>
      <c r="Q50" s="21"/>
      <c r="T50" s="64"/>
      <c r="U50" s="35"/>
    </row>
    <row r="51" spans="2:21" x14ac:dyDescent="0.25">
      <c r="B51" s="31" t="s">
        <v>204</v>
      </c>
      <c r="C51" s="79">
        <v>42491</v>
      </c>
      <c r="D51" s="17" t="s">
        <v>192</v>
      </c>
      <c r="N51" s="31" t="s">
        <v>204</v>
      </c>
      <c r="O51" s="79">
        <v>42491</v>
      </c>
      <c r="P51" s="17" t="s">
        <v>181</v>
      </c>
    </row>
    <row r="52" spans="2:21" x14ac:dyDescent="0.25">
      <c r="B52" s="31" t="s">
        <v>205</v>
      </c>
      <c r="C52" s="77">
        <v>4.1840000000000002</v>
      </c>
      <c r="D52" s="17" t="s">
        <v>194</v>
      </c>
      <c r="N52" s="31" t="s">
        <v>205</v>
      </c>
      <c r="O52" s="77">
        <v>4.1840000000000002</v>
      </c>
      <c r="P52" s="17" t="s">
        <v>194</v>
      </c>
    </row>
    <row r="53" spans="2:21" x14ac:dyDescent="0.25">
      <c r="B53" s="31" t="s">
        <v>206</v>
      </c>
      <c r="C53" s="77">
        <v>3.8</v>
      </c>
      <c r="D53" s="17" t="s">
        <v>195</v>
      </c>
      <c r="N53" s="31" t="s">
        <v>206</v>
      </c>
      <c r="O53" s="77">
        <v>3.8</v>
      </c>
      <c r="P53" s="17" t="s">
        <v>195</v>
      </c>
    </row>
    <row r="54" spans="2:21" x14ac:dyDescent="0.25">
      <c r="B54" s="31" t="s">
        <v>189</v>
      </c>
      <c r="C54" s="77">
        <v>25</v>
      </c>
      <c r="D54" s="17" t="s">
        <v>196</v>
      </c>
      <c r="F54" s="22"/>
      <c r="N54" s="31" t="s">
        <v>189</v>
      </c>
      <c r="O54" s="77">
        <v>25</v>
      </c>
      <c r="P54" s="17" t="s">
        <v>196</v>
      </c>
    </row>
    <row r="55" spans="2:21" x14ac:dyDescent="0.25">
      <c r="B55" s="31" t="s">
        <v>190</v>
      </c>
      <c r="C55" s="77">
        <v>50</v>
      </c>
      <c r="D55" s="17" t="s">
        <v>196</v>
      </c>
      <c r="N55" s="31" t="s">
        <v>190</v>
      </c>
      <c r="O55" s="77">
        <v>50</v>
      </c>
      <c r="P55" s="17" t="s">
        <v>196</v>
      </c>
    </row>
    <row r="56" spans="2:21" x14ac:dyDescent="0.25">
      <c r="B56" s="31" t="s">
        <v>191</v>
      </c>
      <c r="C56" s="38">
        <f>G76</f>
        <v>31.633869039145907</v>
      </c>
      <c r="D56" s="17" t="s">
        <v>192</v>
      </c>
      <c r="N56" s="31" t="s">
        <v>191</v>
      </c>
      <c r="O56" s="38">
        <f>S76</f>
        <v>31.633869039145907</v>
      </c>
      <c r="P56" s="17" t="s">
        <v>192</v>
      </c>
    </row>
    <row r="57" spans="2:21" x14ac:dyDescent="0.25">
      <c r="B57" s="31" t="s">
        <v>197</v>
      </c>
      <c r="C57" s="78">
        <f>D76</f>
        <v>0.11018600111327741</v>
      </c>
      <c r="N57" s="31" t="s">
        <v>197</v>
      </c>
      <c r="O57" s="78">
        <v>0.13</v>
      </c>
    </row>
    <row r="60" spans="2:21" x14ac:dyDescent="0.25">
      <c r="G60" s="22"/>
    </row>
    <row r="61" spans="2:21" x14ac:dyDescent="0.25">
      <c r="B61" t="s">
        <v>208</v>
      </c>
      <c r="N61" t="s">
        <v>208</v>
      </c>
    </row>
    <row r="63" spans="2:21" x14ac:dyDescent="0.25">
      <c r="B63" s="17" t="s">
        <v>90</v>
      </c>
      <c r="C63" s="17" t="s">
        <v>173</v>
      </c>
      <c r="D63" s="76" t="s">
        <v>174</v>
      </c>
      <c r="N63" s="17" t="s">
        <v>90</v>
      </c>
      <c r="O63" s="17" t="s">
        <v>173</v>
      </c>
      <c r="P63" s="76" t="s">
        <v>174</v>
      </c>
    </row>
    <row r="64" spans="2:21" x14ac:dyDescent="0.25">
      <c r="B64" s="687" t="s">
        <v>209</v>
      </c>
      <c r="C64" s="82">
        <f>C27-C50-C35</f>
        <v>21.072313190371489</v>
      </c>
      <c r="D64" s="17" t="s">
        <v>193</v>
      </c>
      <c r="H64" s="64"/>
      <c r="I64" s="35"/>
      <c r="L64" s="64"/>
      <c r="M64" s="35"/>
      <c r="N64" s="687" t="s">
        <v>209</v>
      </c>
      <c r="O64" s="82">
        <f>O27-O50-O35</f>
        <v>19.027603455024988</v>
      </c>
      <c r="P64" s="17" t="s">
        <v>193</v>
      </c>
      <c r="T64" s="64"/>
      <c r="U64" s="35"/>
    </row>
    <row r="65" spans="2:31" x14ac:dyDescent="0.25">
      <c r="B65" s="687"/>
      <c r="C65" s="84">
        <f>C64*1000000</f>
        <v>21072313.190371487</v>
      </c>
      <c r="D65" s="17" t="s">
        <v>207</v>
      </c>
      <c r="N65" s="687"/>
      <c r="O65" s="84">
        <f>O64*1000000</f>
        <v>19027603.455024987</v>
      </c>
      <c r="P65" s="17" t="s">
        <v>207</v>
      </c>
    </row>
    <row r="66" spans="2:31" x14ac:dyDescent="0.25">
      <c r="B66" s="31" t="s">
        <v>191</v>
      </c>
      <c r="C66" s="38">
        <f>G75</f>
        <v>149.98087679979704</v>
      </c>
      <c r="D66" s="17" t="s">
        <v>181</v>
      </c>
      <c r="N66" s="31" t="s">
        <v>191</v>
      </c>
      <c r="O66" s="38">
        <f>S75</f>
        <v>135.4277825980426</v>
      </c>
      <c r="P66" s="17" t="s">
        <v>181</v>
      </c>
    </row>
    <row r="67" spans="2:31" x14ac:dyDescent="0.25">
      <c r="B67" s="31" t="s">
        <v>197</v>
      </c>
      <c r="C67" s="78">
        <f>D75</f>
        <v>0.52240821499205847</v>
      </c>
      <c r="N67" s="31" t="s">
        <v>197</v>
      </c>
      <c r="O67" s="78">
        <v>0.13</v>
      </c>
      <c r="T67" s="22"/>
    </row>
    <row r="71" spans="2:31" x14ac:dyDescent="0.25">
      <c r="B71" t="s">
        <v>217</v>
      </c>
      <c r="N71" t="s">
        <v>218</v>
      </c>
    </row>
    <row r="72" spans="2:31" x14ac:dyDescent="0.25">
      <c r="F72" t="s">
        <v>326</v>
      </c>
    </row>
    <row r="73" spans="2:31" x14ac:dyDescent="0.25">
      <c r="B73" s="17" t="s">
        <v>210</v>
      </c>
      <c r="C73" s="17" t="s">
        <v>211</v>
      </c>
      <c r="D73" s="17" t="s">
        <v>212</v>
      </c>
      <c r="E73" s="17" t="s">
        <v>213</v>
      </c>
      <c r="F73" s="17" t="s">
        <v>212</v>
      </c>
      <c r="G73" s="17" t="s">
        <v>181</v>
      </c>
      <c r="H73" s="17" t="s">
        <v>193</v>
      </c>
      <c r="N73" s="17" t="s">
        <v>210</v>
      </c>
      <c r="O73" s="17" t="s">
        <v>211</v>
      </c>
      <c r="P73" s="17" t="s">
        <v>212</v>
      </c>
      <c r="Q73" s="17" t="s">
        <v>213</v>
      </c>
      <c r="R73" s="17" t="s">
        <v>212</v>
      </c>
      <c r="S73" s="17" t="s">
        <v>181</v>
      </c>
      <c r="T73" s="17" t="s">
        <v>193</v>
      </c>
      <c r="Y73" s="1"/>
      <c r="Z73" s="1"/>
      <c r="AA73" s="1"/>
      <c r="AB73" s="1"/>
      <c r="AC73" s="1"/>
      <c r="AD73" s="1"/>
      <c r="AE73" s="1"/>
    </row>
    <row r="74" spans="2:31" x14ac:dyDescent="0.25">
      <c r="B74" s="31" t="s">
        <v>214</v>
      </c>
      <c r="C74" s="38">
        <f>G74*12</f>
        <v>1265.7651245551601</v>
      </c>
      <c r="D74" s="287">
        <f>C74/$C$77</f>
        <v>0.36740578389466416</v>
      </c>
      <c r="E74" s="89">
        <f>H74*12</f>
        <v>177.84</v>
      </c>
      <c r="F74" s="287">
        <f>E74/$E$77</f>
        <v>0.36740578389466405</v>
      </c>
      <c r="G74" s="38">
        <f>H74/'Consumo Térmico de la empresa'!$O$8</f>
        <v>105.48042704626334</v>
      </c>
      <c r="H74" s="70">
        <f>C35</f>
        <v>14.82</v>
      </c>
      <c r="K74" s="3"/>
      <c r="L74" s="35"/>
      <c r="N74" s="31" t="s">
        <v>214</v>
      </c>
      <c r="O74" s="38">
        <f>S74*12</f>
        <v>1236.5551601423485</v>
      </c>
      <c r="P74" s="287">
        <f>O74/$O$77</f>
        <v>0.38150034719240322</v>
      </c>
      <c r="Q74" s="89">
        <f>T74*12</f>
        <v>173.73599999999999</v>
      </c>
      <c r="R74" s="88">
        <f>Q74/$Q$77</f>
        <v>0.38150034719240322</v>
      </c>
      <c r="S74" s="38">
        <f>T74/'Consumo Térmico de la empresa'!$O$8</f>
        <v>103.04626334519571</v>
      </c>
      <c r="T74" s="70">
        <f>O35</f>
        <v>14.478</v>
      </c>
      <c r="Z74" s="22"/>
      <c r="AA74" s="260"/>
      <c r="AB74" s="3"/>
      <c r="AC74" s="260"/>
      <c r="AD74" s="22"/>
      <c r="AE74" s="24"/>
    </row>
    <row r="75" spans="2:31" x14ac:dyDescent="0.25">
      <c r="B75" s="31" t="s">
        <v>215</v>
      </c>
      <c r="C75" s="38">
        <f>G75*12</f>
        <v>1799.7705215975645</v>
      </c>
      <c r="D75" s="287">
        <f>C75/$C$77</f>
        <v>0.52240821499205847</v>
      </c>
      <c r="E75" s="89">
        <f>H75*12</f>
        <v>252.86775828445786</v>
      </c>
      <c r="F75" s="287">
        <f>E75/$E$77</f>
        <v>0.52240821499205847</v>
      </c>
      <c r="G75" s="38">
        <f>H75/'Consumo Térmico de la empresa'!$O$8</f>
        <v>149.98087679979704</v>
      </c>
      <c r="H75" s="70">
        <f>C64</f>
        <v>21.072313190371489</v>
      </c>
      <c r="K75" s="3"/>
      <c r="L75" s="35"/>
      <c r="N75" s="31" t="s">
        <v>215</v>
      </c>
      <c r="O75" s="38">
        <f>S75*12</f>
        <v>1625.1333911765112</v>
      </c>
      <c r="P75" s="287">
        <f>O75/$O$77</f>
        <v>0.50138398427485864</v>
      </c>
      <c r="Q75" s="89">
        <f>T75*12</f>
        <v>228.33124146029985</v>
      </c>
      <c r="R75" s="88">
        <f>Q75/$Q$77</f>
        <v>0.50138398427485875</v>
      </c>
      <c r="S75" s="38">
        <f>T75/'Consumo Térmico de la empresa'!$O$8</f>
        <v>135.4277825980426</v>
      </c>
      <c r="T75" s="70">
        <f>O64</f>
        <v>19.027603455024988</v>
      </c>
      <c r="Z75" s="22"/>
      <c r="AA75" s="260"/>
      <c r="AB75" s="3"/>
      <c r="AC75" s="260"/>
      <c r="AD75" s="22"/>
      <c r="AE75" s="24"/>
    </row>
    <row r="76" spans="2:31" x14ac:dyDescent="0.25">
      <c r="B76" s="31" t="s">
        <v>216</v>
      </c>
      <c r="C76" s="38">
        <f>G76*12</f>
        <v>379.60642846975088</v>
      </c>
      <c r="D76" s="287">
        <f>C76/$C$77</f>
        <v>0.11018600111327741</v>
      </c>
      <c r="E76" s="89">
        <f>H76*12</f>
        <v>53.334703200000007</v>
      </c>
      <c r="F76" s="287">
        <f>E76/$E$77</f>
        <v>0.11018600111327738</v>
      </c>
      <c r="G76" s="38">
        <f>H76/'Consumo Térmico de la empresa'!$O$8</f>
        <v>31.633869039145907</v>
      </c>
      <c r="H76" s="70">
        <f>C50</f>
        <v>4.4445586000000006</v>
      </c>
      <c r="K76" s="3"/>
      <c r="L76" s="35"/>
      <c r="N76" s="31" t="s">
        <v>216</v>
      </c>
      <c r="O76" s="38">
        <f>S76*12</f>
        <v>379.60642846975088</v>
      </c>
      <c r="P76" s="287">
        <f>O76/$O$77</f>
        <v>0.11711566853273807</v>
      </c>
      <c r="Q76" s="89">
        <f>T76*12</f>
        <v>53.334703200000007</v>
      </c>
      <c r="R76" s="88">
        <f>Q76/$Q$77</f>
        <v>0.11711566853273808</v>
      </c>
      <c r="S76" s="38">
        <f>T76/'Consumo Térmico de la empresa'!$O$8</f>
        <v>31.633869039145907</v>
      </c>
      <c r="T76" s="70">
        <f>O50</f>
        <v>4.4445586000000006</v>
      </c>
      <c r="Z76" s="22"/>
      <c r="AA76" s="260"/>
      <c r="AB76" s="3"/>
      <c r="AC76" s="260"/>
      <c r="AD76" s="22"/>
      <c r="AE76" s="24"/>
    </row>
    <row r="77" spans="2:31" x14ac:dyDescent="0.25">
      <c r="B77" s="31" t="s">
        <v>64</v>
      </c>
      <c r="C77" s="91">
        <f>SUM(C74:C76)</f>
        <v>3445.1420746224753</v>
      </c>
      <c r="D77" s="287">
        <f>SUM(D74:D76)</f>
        <v>1</v>
      </c>
      <c r="E77" s="91">
        <f>SUM(E74:E76)</f>
        <v>484.04246148445793</v>
      </c>
      <c r="F77" s="179">
        <f>E77/$E$77</f>
        <v>1</v>
      </c>
      <c r="G77" s="91">
        <f>SUM(G74:G76)</f>
        <v>287.0951728852063</v>
      </c>
      <c r="H77" s="75">
        <f>SUM(H74:H76)</f>
        <v>40.33687179037149</v>
      </c>
      <c r="K77" s="22"/>
      <c r="L77" s="35"/>
      <c r="N77" s="31" t="s">
        <v>64</v>
      </c>
      <c r="O77" s="91">
        <f>SUM(O74:O76)</f>
        <v>3241.2949797886108</v>
      </c>
      <c r="P77" s="88">
        <f>SUM(P74:P76)</f>
        <v>0.99999999999999989</v>
      </c>
      <c r="Q77" s="91">
        <f>SUM(Q74:Q76)</f>
        <v>455.40194466029982</v>
      </c>
      <c r="R77" s="179">
        <f>Q77/$E$77</f>
        <v>0.94083056941673349</v>
      </c>
      <c r="S77" s="91">
        <f>SUM(S74:S76)</f>
        <v>270.10791498238422</v>
      </c>
      <c r="T77" s="75">
        <f>SUM(T74:T76)</f>
        <v>37.95016205502499</v>
      </c>
      <c r="AA77" s="260"/>
      <c r="AB77" s="22"/>
      <c r="AC77" s="260"/>
      <c r="AD77" s="22"/>
      <c r="AE77" s="24"/>
    </row>
    <row r="81" spans="4:16" x14ac:dyDescent="0.25">
      <c r="D81" s="35"/>
      <c r="P81" s="35"/>
    </row>
    <row r="82" spans="4:16" x14ac:dyDescent="0.25">
      <c r="D82" s="35"/>
      <c r="P82" s="35"/>
    </row>
    <row r="83" spans="4:16" x14ac:dyDescent="0.25">
      <c r="D83" s="35"/>
      <c r="P83" s="35"/>
    </row>
    <row r="84" spans="4:16" x14ac:dyDescent="0.25">
      <c r="D84" s="35"/>
      <c r="P84" s="35"/>
    </row>
  </sheetData>
  <mergeCells count="8">
    <mergeCell ref="G24:G25"/>
    <mergeCell ref="S24:S25"/>
    <mergeCell ref="B49:B50"/>
    <mergeCell ref="B34:B35"/>
    <mergeCell ref="B64:B65"/>
    <mergeCell ref="N34:N35"/>
    <mergeCell ref="N49:N50"/>
    <mergeCell ref="N64:N65"/>
  </mergeCells>
  <pageMargins left="0.7" right="0.7" top="0.75" bottom="0.75" header="0.3" footer="0.3"/>
  <ignoredErrors>
    <ignoredError sqref="E74:E76 F77 R77" formula="1"/>
  </ignoredError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0662F-F6E9-4BB0-B563-A09888E58F46}">
  <sheetPr codeName="Hoja7">
    <tabColor theme="8" tint="0.59999389629810485"/>
  </sheetPr>
  <dimension ref="A2:Y46"/>
  <sheetViews>
    <sheetView showGridLines="0" zoomScale="80" zoomScaleNormal="80" workbookViewId="0">
      <selection activeCell="D8" sqref="D8"/>
    </sheetView>
  </sheetViews>
  <sheetFormatPr baseColWidth="10" defaultColWidth="11.42578125" defaultRowHeight="15" x14ac:dyDescent="0.25"/>
  <cols>
    <col min="2" max="2" width="21" customWidth="1"/>
    <col min="3" max="3" width="17.7109375" customWidth="1"/>
    <col min="11" max="11" width="21" customWidth="1"/>
    <col min="12" max="12" width="17.7109375" customWidth="1"/>
    <col min="17" max="17" width="21.42578125" bestFit="1" customWidth="1"/>
    <col min="18" max="18" width="12.7109375" bestFit="1" customWidth="1"/>
    <col min="19" max="19" width="13.7109375" bestFit="1" customWidth="1"/>
    <col min="22" max="22" width="21.42578125" bestFit="1" customWidth="1"/>
    <col min="23" max="23" width="23.5703125" customWidth="1"/>
    <col min="28" max="28" width="21.42578125" bestFit="1" customWidth="1"/>
  </cols>
  <sheetData>
    <row r="2" spans="1:25" x14ac:dyDescent="0.25">
      <c r="B2" t="s">
        <v>219</v>
      </c>
      <c r="K2" t="s">
        <v>219</v>
      </c>
    </row>
    <row r="4" spans="1:25" ht="15" customHeight="1" x14ac:dyDescent="0.25">
      <c r="B4" s="687" t="s">
        <v>220</v>
      </c>
      <c r="C4" s="687" t="s">
        <v>558</v>
      </c>
      <c r="D4" s="687" t="s">
        <v>221</v>
      </c>
      <c r="K4" s="687" t="s">
        <v>220</v>
      </c>
      <c r="L4" s="687" t="s">
        <v>559</v>
      </c>
      <c r="M4" s="687" t="s">
        <v>221</v>
      </c>
      <c r="V4" s="259"/>
      <c r="W4" s="259"/>
      <c r="X4" s="259"/>
    </row>
    <row r="5" spans="1:25" x14ac:dyDescent="0.25">
      <c r="B5" s="687"/>
      <c r="C5" s="687"/>
      <c r="D5" s="687"/>
      <c r="K5" s="687"/>
      <c r="L5" s="687"/>
      <c r="M5" s="687"/>
      <c r="V5" s="259"/>
      <c r="W5" s="259"/>
      <c r="X5" s="259"/>
    </row>
    <row r="6" spans="1:25" x14ac:dyDescent="0.25">
      <c r="A6" s="258" t="s">
        <v>43</v>
      </c>
      <c r="B6" s="31" t="s">
        <v>118</v>
      </c>
      <c r="C6" s="31">
        <f>SUM(Cuantificador!H15:H23)</f>
        <v>741.6</v>
      </c>
      <c r="D6" s="90">
        <f t="shared" ref="D6:D11" si="0">C6/$C$12</f>
        <v>7.7879982808854928E-2</v>
      </c>
      <c r="J6" s="258" t="s">
        <v>43</v>
      </c>
      <c r="K6" s="31" t="s">
        <v>118</v>
      </c>
      <c r="L6" s="31">
        <f>SUM(Cuantificador!W15:W23)</f>
        <v>741.6</v>
      </c>
      <c r="M6" s="90">
        <f t="shared" ref="M6:M11" si="1">L6/$L$12</f>
        <v>7.7879982808854928E-2</v>
      </c>
      <c r="X6" s="260"/>
    </row>
    <row r="7" spans="1:25" x14ac:dyDescent="0.25">
      <c r="A7" s="258" t="s">
        <v>43</v>
      </c>
      <c r="B7" s="31" t="s">
        <v>222</v>
      </c>
      <c r="C7" s="73">
        <f>SUM(Cuantificador!H11:H13)+SUM(Cuantificador!H4:H10)+Cuantificador!H34+Cuantificador!H14</f>
        <v>1448.82</v>
      </c>
      <c r="D7" s="90">
        <f t="shared" si="0"/>
        <v>0.15214951010399835</v>
      </c>
      <c r="J7" s="258" t="s">
        <v>43</v>
      </c>
      <c r="K7" s="31" t="s">
        <v>222</v>
      </c>
      <c r="L7" s="73">
        <f>SUM(Cuantificador!W11:W13)+SUM(Cuantificador!W4:W10)+Cuantificador!W34+Cuantificador!H14</f>
        <v>1448.82</v>
      </c>
      <c r="M7" s="90">
        <f t="shared" si="1"/>
        <v>0.15214951010399835</v>
      </c>
      <c r="W7" s="62"/>
      <c r="X7" s="260"/>
      <c r="Y7" s="255"/>
    </row>
    <row r="8" spans="1:25" x14ac:dyDescent="0.25">
      <c r="A8" s="258" t="s">
        <v>43</v>
      </c>
      <c r="B8" s="31" t="s">
        <v>223</v>
      </c>
      <c r="C8" s="38">
        <f>SUM(Cuantificador!I40:I46)/12</f>
        <v>3337.4592000000007</v>
      </c>
      <c r="D8" s="90">
        <f t="shared" si="0"/>
        <v>0.35048714282801341</v>
      </c>
      <c r="J8" s="258" t="s">
        <v>43</v>
      </c>
      <c r="K8" s="31" t="s">
        <v>223</v>
      </c>
      <c r="L8" s="38">
        <f>SUM(Cuantificador!X40:X46)/12</f>
        <v>3337.4592000000007</v>
      </c>
      <c r="M8" s="90">
        <f t="shared" si="1"/>
        <v>0.35048714282801341</v>
      </c>
      <c r="W8" s="22"/>
      <c r="X8" s="260"/>
      <c r="Y8" s="255"/>
    </row>
    <row r="9" spans="1:25" x14ac:dyDescent="0.25">
      <c r="A9" s="258" t="s">
        <v>43</v>
      </c>
      <c r="B9" s="31" t="s">
        <v>227</v>
      </c>
      <c r="C9" s="38">
        <f>Cuantificador!H84/12</f>
        <v>1083.0113000000001</v>
      </c>
      <c r="D9" s="90">
        <f t="shared" si="0"/>
        <v>0.11373368584923899</v>
      </c>
      <c r="J9" s="258" t="s">
        <v>43</v>
      </c>
      <c r="K9" s="31" t="s">
        <v>227</v>
      </c>
      <c r="L9" s="38">
        <f>Cuantificador!H84/12</f>
        <v>1083.0113000000001</v>
      </c>
      <c r="M9" s="90">
        <f t="shared" si="1"/>
        <v>0.11373368584923899</v>
      </c>
      <c r="W9" s="22"/>
      <c r="X9" s="260"/>
    </row>
    <row r="10" spans="1:25" x14ac:dyDescent="0.25">
      <c r="A10" s="258" t="s">
        <v>43</v>
      </c>
      <c r="B10" s="31" t="s">
        <v>224</v>
      </c>
      <c r="C10" s="38">
        <f>Cuantificador!G109/12</f>
        <v>2134.6424999999999</v>
      </c>
      <c r="D10" s="90">
        <f t="shared" si="0"/>
        <v>0.22417195415729649</v>
      </c>
      <c r="J10" s="258" t="s">
        <v>43</v>
      </c>
      <c r="K10" s="31" t="s">
        <v>224</v>
      </c>
      <c r="L10" s="38">
        <f>Cuantificador!V109/12</f>
        <v>2134.6424999999999</v>
      </c>
      <c r="M10" s="90">
        <f t="shared" si="1"/>
        <v>0.22417195415729649</v>
      </c>
      <c r="W10" s="22"/>
      <c r="X10" s="260"/>
    </row>
    <row r="11" spans="1:25" x14ac:dyDescent="0.25">
      <c r="A11" s="258" t="s">
        <v>43</v>
      </c>
      <c r="B11" s="31" t="s">
        <v>225</v>
      </c>
      <c r="C11" s="38">
        <f>Pareto!S46</f>
        <v>776.8111666666664</v>
      </c>
      <c r="D11" s="90">
        <f t="shared" si="0"/>
        <v>8.157772425259778E-2</v>
      </c>
      <c r="J11" s="258" t="s">
        <v>43</v>
      </c>
      <c r="K11" s="31" t="s">
        <v>225</v>
      </c>
      <c r="L11" s="38">
        <f>C11</f>
        <v>776.8111666666664</v>
      </c>
      <c r="M11" s="90">
        <f t="shared" si="1"/>
        <v>8.157772425259778E-2</v>
      </c>
      <c r="W11" s="22"/>
      <c r="X11" s="260"/>
    </row>
    <row r="12" spans="1:25" x14ac:dyDescent="0.25">
      <c r="B12" s="31" t="s">
        <v>226</v>
      </c>
      <c r="C12" s="91">
        <f>SUM(C6:C11)</f>
        <v>9522.3441666666677</v>
      </c>
      <c r="D12" s="88">
        <f>SUM(D6:D11)</f>
        <v>1</v>
      </c>
      <c r="F12" s="22"/>
      <c r="H12" s="22"/>
      <c r="K12" s="31" t="s">
        <v>226</v>
      </c>
      <c r="L12" s="91">
        <f>SUM(L6:L11)</f>
        <v>9522.3441666666677</v>
      </c>
      <c r="M12" s="88">
        <f>SUM(M6:M11)</f>
        <v>1</v>
      </c>
      <c r="W12" s="261"/>
      <c r="X12" s="260"/>
    </row>
    <row r="13" spans="1:25" x14ac:dyDescent="0.25">
      <c r="C13" s="236"/>
    </row>
    <row r="21" spans="9:20" x14ac:dyDescent="0.25">
      <c r="I21" s="255"/>
    </row>
    <row r="22" spans="9:20" x14ac:dyDescent="0.25">
      <c r="I22" s="255"/>
    </row>
    <row r="27" spans="9:20" x14ac:dyDescent="0.25">
      <c r="R27" s="18"/>
      <c r="S27" s="18"/>
      <c r="T27" s="288"/>
    </row>
    <row r="28" spans="9:20" x14ac:dyDescent="0.25">
      <c r="R28" s="18"/>
      <c r="S28" s="18"/>
      <c r="T28" s="288"/>
    </row>
    <row r="29" spans="9:20" x14ac:dyDescent="0.25">
      <c r="R29" s="18"/>
      <c r="S29" s="18"/>
      <c r="T29" s="288"/>
    </row>
    <row r="34" spans="3:19" x14ac:dyDescent="0.25">
      <c r="C34" s="64"/>
      <c r="L34" s="64"/>
    </row>
    <row r="35" spans="3:19" x14ac:dyDescent="0.25">
      <c r="C35" s="64"/>
      <c r="D35" s="62"/>
      <c r="E35" s="64"/>
      <c r="L35" s="64"/>
      <c r="M35" s="62"/>
      <c r="N35" s="64"/>
      <c r="R35" s="18"/>
      <c r="S35" s="18"/>
    </row>
    <row r="36" spans="3:19" x14ac:dyDescent="0.25">
      <c r="C36" s="64"/>
      <c r="L36" s="64"/>
    </row>
    <row r="37" spans="3:19" x14ac:dyDescent="0.25">
      <c r="D37" s="64"/>
      <c r="M37" s="64"/>
      <c r="R37" s="18"/>
    </row>
    <row r="41" spans="3:19" x14ac:dyDescent="0.25">
      <c r="R41" s="18"/>
    </row>
    <row r="42" spans="3:19" x14ac:dyDescent="0.25">
      <c r="R42" s="18"/>
    </row>
    <row r="44" spans="3:19" x14ac:dyDescent="0.25">
      <c r="R44" s="18"/>
      <c r="S44" s="18"/>
    </row>
    <row r="45" spans="3:19" x14ac:dyDescent="0.25">
      <c r="R45" s="18"/>
      <c r="S45" s="18"/>
    </row>
    <row r="46" spans="3:19" x14ac:dyDescent="0.25">
      <c r="R46" s="18"/>
      <c r="S46" s="18"/>
    </row>
  </sheetData>
  <mergeCells count="6">
    <mergeCell ref="M4:M5"/>
    <mergeCell ref="C4:C5"/>
    <mergeCell ref="B4:B5"/>
    <mergeCell ref="D4:D5"/>
    <mergeCell ref="K4:K5"/>
    <mergeCell ref="L4:L5"/>
  </mergeCells>
  <pageMargins left="0.7" right="0.7" top="0.75" bottom="0.75" header="0.3" footer="0.3"/>
  <ignoredErrors>
    <ignoredError sqref="D9" evalError="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F36F0-1267-42D3-92DB-5CF3DCF75E49}">
  <sheetPr codeName="Hoja8">
    <tabColor theme="8" tint="0.59999389629810485"/>
  </sheetPr>
  <dimension ref="B2:S34"/>
  <sheetViews>
    <sheetView showGridLines="0" zoomScale="80" zoomScaleNormal="80" workbookViewId="0">
      <selection activeCell="B6" sqref="B6"/>
    </sheetView>
  </sheetViews>
  <sheetFormatPr baseColWidth="10" defaultColWidth="11.42578125" defaultRowHeight="15" x14ac:dyDescent="0.25"/>
  <cols>
    <col min="2" max="2" width="19" customWidth="1"/>
    <col min="3" max="3" width="12.140625" bestFit="1" customWidth="1"/>
    <col min="6" max="6" width="12.140625" bestFit="1" customWidth="1"/>
    <col min="11" max="11" width="19" customWidth="1"/>
    <col min="12" max="12" width="12.140625" bestFit="1" customWidth="1"/>
    <col min="15" max="15" width="12.140625" bestFit="1" customWidth="1"/>
  </cols>
  <sheetData>
    <row r="2" spans="2:19" x14ac:dyDescent="0.25">
      <c r="B2" s="16" t="s">
        <v>234</v>
      </c>
      <c r="K2" s="16" t="s">
        <v>234</v>
      </c>
    </row>
    <row r="3" spans="2:19" x14ac:dyDescent="0.25">
      <c r="B3" t="s">
        <v>228</v>
      </c>
      <c r="K3" t="s">
        <v>228</v>
      </c>
    </row>
    <row r="4" spans="2:19" x14ac:dyDescent="0.25">
      <c r="B4" s="687" t="s">
        <v>229</v>
      </c>
      <c r="C4" s="687" t="s">
        <v>230</v>
      </c>
      <c r="D4" s="687" t="s">
        <v>231</v>
      </c>
      <c r="E4" s="687" t="s">
        <v>232</v>
      </c>
      <c r="K4" s="687" t="s">
        <v>229</v>
      </c>
      <c r="L4" s="687" t="s">
        <v>230</v>
      </c>
      <c r="M4" s="687" t="s">
        <v>231</v>
      </c>
      <c r="N4" s="687" t="s">
        <v>232</v>
      </c>
    </row>
    <row r="5" spans="2:19" x14ac:dyDescent="0.25">
      <c r="B5" s="687"/>
      <c r="C5" s="687"/>
      <c r="D5" s="687"/>
      <c r="E5" s="687"/>
      <c r="K5" s="687"/>
      <c r="L5" s="687"/>
      <c r="M5" s="687"/>
      <c r="N5" s="687"/>
    </row>
    <row r="6" spans="2:19" x14ac:dyDescent="0.25">
      <c r="B6" s="48">
        <f>SUM(C6:E6)</f>
        <v>364057.10000000003</v>
      </c>
      <c r="C6" s="48">
        <v>220401.1</v>
      </c>
      <c r="D6" s="48">
        <v>134701.1</v>
      </c>
      <c r="E6" s="48">
        <v>8954.9</v>
      </c>
      <c r="K6" s="48">
        <f>SUM(L6:N6)</f>
        <v>355724.55189211492</v>
      </c>
      <c r="L6" s="48">
        <v>214210.6</v>
      </c>
      <c r="M6" s="48">
        <v>132810.57200000001</v>
      </c>
      <c r="N6" s="48">
        <v>8703.3798921148755</v>
      </c>
      <c r="Q6" s="64"/>
      <c r="S6" s="290"/>
    </row>
    <row r="8" spans="2:19" x14ac:dyDescent="0.25">
      <c r="B8" s="92"/>
      <c r="C8" s="92"/>
      <c r="D8" s="92"/>
      <c r="E8" s="92"/>
      <c r="F8" s="92"/>
      <c r="G8" s="92"/>
      <c r="K8" s="92"/>
      <c r="L8" s="92"/>
      <c r="M8" s="92"/>
      <c r="N8" s="92"/>
      <c r="O8" s="92"/>
      <c r="P8" s="92"/>
    </row>
    <row r="9" spans="2:19" x14ac:dyDescent="0.25">
      <c r="C9" t="s">
        <v>235</v>
      </c>
      <c r="L9" t="s">
        <v>235</v>
      </c>
    </row>
    <row r="10" spans="2:19" x14ac:dyDescent="0.25">
      <c r="C10" s="291">
        <f>D6/B6</f>
        <v>0.36999992583580982</v>
      </c>
      <c r="L10" s="291">
        <f>M6/K6</f>
        <v>0.37335227859188969</v>
      </c>
    </row>
    <row r="15" spans="2:19" x14ac:dyDescent="0.25">
      <c r="B15" t="s">
        <v>236</v>
      </c>
      <c r="K15" t="s">
        <v>236</v>
      </c>
    </row>
    <row r="16" spans="2:19" x14ac:dyDescent="0.25">
      <c r="B16" s="291">
        <f>C6/B6</f>
        <v>0.60540255910405261</v>
      </c>
      <c r="F16" t="s">
        <v>112</v>
      </c>
      <c r="K16" s="291">
        <f>L6/K6</f>
        <v>0.60218109450304791</v>
      </c>
      <c r="O16" t="s">
        <v>112</v>
      </c>
    </row>
    <row r="17" spans="2:16" x14ac:dyDescent="0.25">
      <c r="F17" s="94">
        <f>B16+C10+C26</f>
        <v>0.99999999999999989</v>
      </c>
      <c r="O17" s="94">
        <f>K16+L10+L26</f>
        <v>1</v>
      </c>
    </row>
    <row r="25" spans="2:16" x14ac:dyDescent="0.25">
      <c r="C25" t="s">
        <v>225</v>
      </c>
      <c r="L25" t="s">
        <v>225</v>
      </c>
    </row>
    <row r="26" spans="2:16" x14ac:dyDescent="0.25">
      <c r="C26" s="292">
        <f>E6/B6</f>
        <v>2.4597515060137541E-2</v>
      </c>
      <c r="L26" s="292">
        <f>N6/K6</f>
        <v>2.4466626905062374E-2</v>
      </c>
    </row>
    <row r="28" spans="2:16" ht="15.75" thickBot="1" x14ac:dyDescent="0.3">
      <c r="B28" s="95"/>
      <c r="C28" s="95"/>
      <c r="D28" s="95"/>
      <c r="E28" s="95"/>
      <c r="F28" s="95"/>
      <c r="G28" s="95"/>
      <c r="K28" s="95"/>
      <c r="L28" s="95"/>
      <c r="M28" s="95"/>
      <c r="N28" s="95"/>
      <c r="O28" s="95"/>
      <c r="P28" s="95"/>
    </row>
    <row r="29" spans="2:16" ht="15.75" thickTop="1" x14ac:dyDescent="0.25"/>
    <row r="30" spans="2:16" x14ac:dyDescent="0.25">
      <c r="B30" s="16" t="s">
        <v>324</v>
      </c>
      <c r="K30" s="16" t="s">
        <v>324</v>
      </c>
    </row>
    <row r="31" spans="2:16" x14ac:dyDescent="0.25">
      <c r="B31" t="s">
        <v>228</v>
      </c>
      <c r="K31" t="s">
        <v>228</v>
      </c>
    </row>
    <row r="32" spans="2:16" x14ac:dyDescent="0.25">
      <c r="B32" s="687" t="s">
        <v>229</v>
      </c>
      <c r="C32" s="687" t="s">
        <v>325</v>
      </c>
      <c r="D32" s="687" t="s">
        <v>230</v>
      </c>
      <c r="E32" s="687" t="s">
        <v>231</v>
      </c>
      <c r="F32" s="687" t="s">
        <v>232</v>
      </c>
      <c r="K32" s="687" t="s">
        <v>229</v>
      </c>
      <c r="L32" s="687" t="s">
        <v>325</v>
      </c>
      <c r="M32" s="687" t="s">
        <v>230</v>
      </c>
      <c r="N32" s="687" t="s">
        <v>231</v>
      </c>
      <c r="O32" s="687" t="s">
        <v>232</v>
      </c>
    </row>
    <row r="33" spans="2:15" x14ac:dyDescent="0.25">
      <c r="B33" s="687"/>
      <c r="C33" s="687"/>
      <c r="D33" s="687"/>
      <c r="E33" s="687"/>
      <c r="F33" s="687"/>
      <c r="K33" s="687"/>
      <c r="L33" s="687"/>
      <c r="M33" s="687"/>
      <c r="N33" s="687"/>
      <c r="O33" s="687"/>
    </row>
    <row r="34" spans="2:15" x14ac:dyDescent="0.25">
      <c r="B34" s="48">
        <v>5489733.2000000002</v>
      </c>
      <c r="C34" s="48">
        <v>1932877.3</v>
      </c>
      <c r="D34" s="48">
        <v>411620.3</v>
      </c>
      <c r="E34" s="48">
        <v>77447.100000000006</v>
      </c>
      <c r="F34" s="48">
        <v>3067788.4</v>
      </c>
      <c r="K34" s="48">
        <v>5489733.2000000002</v>
      </c>
      <c r="L34" s="48">
        <v>1932877.3</v>
      </c>
      <c r="M34" s="48">
        <v>411620.3</v>
      </c>
      <c r="N34" s="48">
        <v>77447.100000000006</v>
      </c>
      <c r="O34" s="48">
        <v>3067788.4</v>
      </c>
    </row>
  </sheetData>
  <mergeCells count="18">
    <mergeCell ref="F32:F33"/>
    <mergeCell ref="C32:C33"/>
    <mergeCell ref="B4:B5"/>
    <mergeCell ref="C4:C5"/>
    <mergeCell ref="D4:D5"/>
    <mergeCell ref="E4:E5"/>
    <mergeCell ref="B32:B33"/>
    <mergeCell ref="D32:D33"/>
    <mergeCell ref="E32:E33"/>
    <mergeCell ref="O32:O33"/>
    <mergeCell ref="K4:K5"/>
    <mergeCell ref="L4:L5"/>
    <mergeCell ref="M4:M5"/>
    <mergeCell ref="N4:N5"/>
    <mergeCell ref="K32:K33"/>
    <mergeCell ref="L32:L33"/>
    <mergeCell ref="M32:M33"/>
    <mergeCell ref="N32:N3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FC1A1-FB06-48ED-956D-D580B651788F}">
  <sheetPr codeName="Hoja9">
    <tabColor theme="8" tint="0.59999389629810485"/>
  </sheetPr>
  <dimension ref="A2:S919"/>
  <sheetViews>
    <sheetView showGridLines="0" zoomScale="84" zoomScaleNormal="84" workbookViewId="0">
      <selection activeCell="J31" sqref="J31"/>
    </sheetView>
  </sheetViews>
  <sheetFormatPr baseColWidth="10" defaultColWidth="11.42578125" defaultRowHeight="15" x14ac:dyDescent="0.25"/>
  <cols>
    <col min="1" max="1" width="18.42578125" customWidth="1"/>
    <col min="2" max="2" width="36.85546875" customWidth="1"/>
    <col min="3" max="3" width="30.7109375" customWidth="1"/>
    <col min="4" max="4" width="24" customWidth="1"/>
    <col min="5" max="5" width="25.7109375" customWidth="1"/>
    <col min="6" max="6" width="22.42578125" customWidth="1"/>
    <col min="7" max="7" width="19.42578125" customWidth="1"/>
    <col min="8" max="8" width="12" bestFit="1" customWidth="1"/>
    <col min="9" max="9" width="17.42578125" bestFit="1" customWidth="1"/>
    <col min="10" max="10" width="33.140625" customWidth="1"/>
    <col min="11" max="11" width="30.7109375" customWidth="1"/>
    <col min="12" max="12" width="24" customWidth="1"/>
  </cols>
  <sheetData>
    <row r="2" spans="1:8" x14ac:dyDescent="0.25">
      <c r="B2" s="783" t="s">
        <v>240</v>
      </c>
      <c r="C2" s="783"/>
      <c r="D2" s="92"/>
      <c r="E2" s="92"/>
      <c r="F2" s="92"/>
      <c r="G2" s="92"/>
    </row>
    <row r="3" spans="1:8" x14ac:dyDescent="0.25">
      <c r="C3" s="1"/>
      <c r="D3" s="1"/>
      <c r="E3" s="1"/>
      <c r="F3" s="1"/>
      <c r="G3" s="1"/>
    </row>
    <row r="4" spans="1:8" x14ac:dyDescent="0.25">
      <c r="B4" s="97"/>
      <c r="C4" s="784" t="s">
        <v>242</v>
      </c>
      <c r="D4" s="784"/>
      <c r="E4" s="784"/>
      <c r="F4" s="784"/>
      <c r="G4" s="784"/>
    </row>
    <row r="5" spans="1:8" x14ac:dyDescent="0.25">
      <c r="A5" s="1"/>
      <c r="C5" s="198" t="s">
        <v>227</v>
      </c>
      <c r="D5" s="198" t="s">
        <v>223</v>
      </c>
      <c r="E5" s="198" t="s">
        <v>244</v>
      </c>
      <c r="F5" s="198" t="s">
        <v>245</v>
      </c>
      <c r="G5" s="198" t="s">
        <v>246</v>
      </c>
    </row>
    <row r="6" spans="1:8" x14ac:dyDescent="0.25">
      <c r="B6" s="31" t="s">
        <v>237</v>
      </c>
      <c r="C6" s="113" t="s">
        <v>43</v>
      </c>
      <c r="D6" s="113" t="s">
        <v>43</v>
      </c>
      <c r="E6" s="113" t="s">
        <v>43</v>
      </c>
      <c r="F6" s="113" t="s">
        <v>43</v>
      </c>
      <c r="G6" s="113" t="s">
        <v>43</v>
      </c>
    </row>
    <row r="7" spans="1:8" x14ac:dyDescent="0.25">
      <c r="B7" s="31" t="s">
        <v>243</v>
      </c>
      <c r="C7" s="31"/>
      <c r="D7" s="113" t="s">
        <v>43</v>
      </c>
      <c r="E7" s="113" t="s">
        <v>43</v>
      </c>
      <c r="F7" s="113" t="s">
        <v>43</v>
      </c>
      <c r="G7" s="113" t="s">
        <v>43</v>
      </c>
    </row>
    <row r="8" spans="1:8" x14ac:dyDescent="0.25">
      <c r="B8" s="31" t="s">
        <v>238</v>
      </c>
      <c r="C8" s="113" t="s">
        <v>43</v>
      </c>
      <c r="D8" s="113" t="s">
        <v>43</v>
      </c>
      <c r="E8" s="113" t="s">
        <v>43</v>
      </c>
      <c r="F8" s="113" t="s">
        <v>43</v>
      </c>
      <c r="G8" s="113" t="s">
        <v>43</v>
      </c>
    </row>
    <row r="9" spans="1:8" x14ac:dyDescent="0.25">
      <c r="B9" s="31" t="s">
        <v>247</v>
      </c>
      <c r="C9" s="96"/>
      <c r="D9" s="96"/>
      <c r="E9" s="96"/>
      <c r="F9" s="96"/>
      <c r="G9" s="113" t="s">
        <v>43</v>
      </c>
    </row>
    <row r="10" spans="1:8" x14ac:dyDescent="0.25">
      <c r="B10" s="31" t="s">
        <v>248</v>
      </c>
      <c r="C10" s="96"/>
      <c r="D10" s="96"/>
      <c r="E10" s="96"/>
      <c r="F10" s="96"/>
      <c r="G10" s="113" t="s">
        <v>43</v>
      </c>
    </row>
    <row r="11" spans="1:8" x14ac:dyDescent="0.25">
      <c r="B11" s="31" t="s">
        <v>239</v>
      </c>
      <c r="C11" s="113" t="s">
        <v>43</v>
      </c>
      <c r="D11" s="113" t="s">
        <v>43</v>
      </c>
      <c r="E11" s="113" t="s">
        <v>43</v>
      </c>
      <c r="F11" s="113" t="s">
        <v>43</v>
      </c>
      <c r="G11" s="113" t="s">
        <v>43</v>
      </c>
    </row>
    <row r="12" spans="1:8" x14ac:dyDescent="0.25">
      <c r="B12" s="31" t="s">
        <v>241</v>
      </c>
      <c r="C12" s="113" t="s">
        <v>43</v>
      </c>
      <c r="D12" s="113" t="s">
        <v>43</v>
      </c>
      <c r="E12" s="113" t="s">
        <v>43</v>
      </c>
      <c r="F12" s="113" t="s">
        <v>43</v>
      </c>
      <c r="G12" s="113" t="s">
        <v>43</v>
      </c>
      <c r="H12" s="197"/>
    </row>
    <row r="13" spans="1:8" ht="15.75" thickBot="1" x14ac:dyDescent="0.3">
      <c r="B13" s="98"/>
      <c r="C13" s="98"/>
      <c r="D13" s="98"/>
      <c r="E13" s="98"/>
      <c r="F13" s="98"/>
      <c r="G13" s="98"/>
    </row>
    <row r="17" spans="1:7" ht="15.75" thickBot="1" x14ac:dyDescent="0.3">
      <c r="B17" s="123" t="s">
        <v>227</v>
      </c>
      <c r="C17" s="124"/>
      <c r="D17" s="124"/>
      <c r="E17" s="124"/>
      <c r="F17" s="124"/>
      <c r="G17" s="124"/>
    </row>
    <row r="18" spans="1:7" x14ac:dyDescent="0.25">
      <c r="A18" s="199" t="s">
        <v>363</v>
      </c>
      <c r="B18" s="101" t="str">
        <f>B6</f>
        <v>Situación actual</v>
      </c>
    </row>
    <row r="19" spans="1:7" x14ac:dyDescent="0.25">
      <c r="B19" s="31" t="s">
        <v>249</v>
      </c>
      <c r="C19" s="99">
        <v>150</v>
      </c>
      <c r="D19" s="35">
        <f>C19/C21</f>
        <v>0.96153846153846156</v>
      </c>
    </row>
    <row r="20" spans="1:7" x14ac:dyDescent="0.25">
      <c r="B20" s="31" t="s">
        <v>250</v>
      </c>
      <c r="C20" s="100">
        <v>6</v>
      </c>
    </row>
    <row r="21" spans="1:7" x14ac:dyDescent="0.25">
      <c r="B21" s="31" t="s">
        <v>64</v>
      </c>
      <c r="C21" s="31">
        <f>SUM(C19:C20)</f>
        <v>156</v>
      </c>
    </row>
    <row r="23" spans="1:7" ht="30" x14ac:dyDescent="0.25">
      <c r="A23" s="68" t="s">
        <v>89</v>
      </c>
      <c r="B23" s="68" t="s">
        <v>122</v>
      </c>
      <c r="C23" s="45" t="s">
        <v>139</v>
      </c>
      <c r="D23" s="45" t="s">
        <v>140</v>
      </c>
      <c r="E23" s="45" t="s">
        <v>141</v>
      </c>
      <c r="F23" s="45" t="s">
        <v>142</v>
      </c>
      <c r="G23" s="45" t="s">
        <v>128</v>
      </c>
    </row>
    <row r="24" spans="1:7" x14ac:dyDescent="0.25">
      <c r="A24" s="687" t="s">
        <v>147</v>
      </c>
      <c r="B24" s="31" t="s">
        <v>143</v>
      </c>
      <c r="C24" s="80">
        <f>Cuantificador!D70</f>
        <v>32</v>
      </c>
      <c r="D24" s="31">
        <f>Cuantificador!E70</f>
        <v>24</v>
      </c>
      <c r="E24" s="31">
        <f>C24*D24</f>
        <v>768</v>
      </c>
      <c r="F24" s="31">
        <f>Cuantificador!G70</f>
        <v>9</v>
      </c>
      <c r="G24" s="48">
        <f>E24*F24*313/1000</f>
        <v>2163.4560000000001</v>
      </c>
    </row>
    <row r="25" spans="1:7" x14ac:dyDescent="0.25">
      <c r="A25" s="687"/>
      <c r="B25" s="31" t="s">
        <v>144</v>
      </c>
      <c r="C25" s="31">
        <f>Cuantificador!D71</f>
        <v>25</v>
      </c>
      <c r="D25" s="31">
        <f>Cuantificador!E71</f>
        <v>1</v>
      </c>
      <c r="E25" s="31">
        <f t="shared" ref="E25:E37" si="0">C25*D25</f>
        <v>25</v>
      </c>
      <c r="F25" s="31">
        <f>Cuantificador!G71</f>
        <v>9</v>
      </c>
      <c r="G25" s="48">
        <f t="shared" ref="G25:G37" si="1">E25*F25*313/1000</f>
        <v>70.424999999999997</v>
      </c>
    </row>
    <row r="26" spans="1:7" x14ac:dyDescent="0.25">
      <c r="A26" s="687" t="s">
        <v>148</v>
      </c>
      <c r="B26" s="31" t="s">
        <v>144</v>
      </c>
      <c r="C26" s="31">
        <f>Cuantificador!D72</f>
        <v>25</v>
      </c>
      <c r="D26" s="31">
        <f>Cuantificador!E72</f>
        <v>2</v>
      </c>
      <c r="E26" s="31">
        <f t="shared" si="0"/>
        <v>50</v>
      </c>
      <c r="F26" s="31">
        <f>Cuantificador!G72</f>
        <v>6</v>
      </c>
      <c r="G26" s="48">
        <f t="shared" si="1"/>
        <v>93.9</v>
      </c>
    </row>
    <row r="27" spans="1:7" x14ac:dyDescent="0.25">
      <c r="A27" s="687"/>
      <c r="B27" s="31" t="s">
        <v>145</v>
      </c>
      <c r="C27" s="31">
        <f>Cuantificador!D73</f>
        <v>75</v>
      </c>
      <c r="D27" s="31">
        <f>Cuantificador!E73</f>
        <v>2</v>
      </c>
      <c r="E27" s="31">
        <f t="shared" si="0"/>
        <v>150</v>
      </c>
      <c r="F27" s="31">
        <f>Cuantificador!G73</f>
        <v>12</v>
      </c>
      <c r="G27" s="48">
        <f t="shared" si="1"/>
        <v>563.4</v>
      </c>
    </row>
    <row r="28" spans="1:7" x14ac:dyDescent="0.25">
      <c r="A28" s="17" t="s">
        <v>149</v>
      </c>
      <c r="B28" s="31" t="s">
        <v>143</v>
      </c>
      <c r="C28" s="80">
        <f>Cuantificador!D74</f>
        <v>32</v>
      </c>
      <c r="D28" s="31">
        <f>Cuantificador!E74</f>
        <v>30</v>
      </c>
      <c r="E28" s="31">
        <f t="shared" si="0"/>
        <v>960</v>
      </c>
      <c r="F28" s="31">
        <f>Cuantificador!G74</f>
        <v>9</v>
      </c>
      <c r="G28" s="48">
        <f t="shared" si="1"/>
        <v>2704.32</v>
      </c>
    </row>
    <row r="29" spans="1:7" x14ac:dyDescent="0.25">
      <c r="A29" s="714" t="s">
        <v>150</v>
      </c>
      <c r="B29" s="31" t="s">
        <v>143</v>
      </c>
      <c r="C29" s="80">
        <f>Cuantificador!D75</f>
        <v>32</v>
      </c>
      <c r="D29" s="31">
        <f>Cuantificador!E75</f>
        <v>51</v>
      </c>
      <c r="E29" s="31">
        <f t="shared" si="0"/>
        <v>1632</v>
      </c>
      <c r="F29" s="31">
        <f>Cuantificador!G75</f>
        <v>9</v>
      </c>
      <c r="G29" s="48">
        <f t="shared" si="1"/>
        <v>4597.3440000000001</v>
      </c>
    </row>
    <row r="30" spans="1:7" x14ac:dyDescent="0.25">
      <c r="A30" s="714"/>
      <c r="B30" s="31" t="s">
        <v>146</v>
      </c>
      <c r="C30" s="31">
        <f>Cuantificador!D76</f>
        <v>25</v>
      </c>
      <c r="D30" s="31">
        <f>Cuantificador!E76</f>
        <v>1</v>
      </c>
      <c r="E30" s="31">
        <f t="shared" si="0"/>
        <v>25</v>
      </c>
      <c r="F30" s="31">
        <f>Cuantificador!G76</f>
        <v>9</v>
      </c>
      <c r="G30" s="48">
        <f t="shared" si="1"/>
        <v>70.424999999999997</v>
      </c>
    </row>
    <row r="31" spans="1:7" x14ac:dyDescent="0.25">
      <c r="A31" s="17" t="s">
        <v>134</v>
      </c>
      <c r="B31" s="31" t="s">
        <v>143</v>
      </c>
      <c r="C31" s="80">
        <f>Cuantificador!D77</f>
        <v>32</v>
      </c>
      <c r="D31" s="31">
        <f>Cuantificador!E77</f>
        <v>8</v>
      </c>
      <c r="E31" s="31">
        <f t="shared" si="0"/>
        <v>256</v>
      </c>
      <c r="F31" s="31">
        <f>Cuantificador!G77</f>
        <v>9</v>
      </c>
      <c r="G31" s="48">
        <f t="shared" si="1"/>
        <v>721.15200000000004</v>
      </c>
    </row>
    <row r="32" spans="1:7" x14ac:dyDescent="0.25">
      <c r="A32" s="17" t="s">
        <v>135</v>
      </c>
      <c r="B32" s="31" t="s">
        <v>143</v>
      </c>
      <c r="C32" s="80">
        <f>Cuantificador!D78</f>
        <v>32</v>
      </c>
      <c r="D32" s="31">
        <f>Cuantificador!E78</f>
        <v>12</v>
      </c>
      <c r="E32" s="31">
        <f t="shared" si="0"/>
        <v>384</v>
      </c>
      <c r="F32" s="31">
        <f>Cuantificador!G78</f>
        <v>9</v>
      </c>
      <c r="G32" s="48">
        <f t="shared" si="1"/>
        <v>1081.7280000000001</v>
      </c>
    </row>
    <row r="33" spans="1:8" x14ac:dyDescent="0.25">
      <c r="A33" s="17" t="s">
        <v>151</v>
      </c>
      <c r="B33" s="31" t="s">
        <v>143</v>
      </c>
      <c r="C33" s="80">
        <f>Cuantificador!D79</f>
        <v>32</v>
      </c>
      <c r="D33" s="31">
        <f>Cuantificador!E79</f>
        <v>2</v>
      </c>
      <c r="E33" s="31">
        <f t="shared" si="0"/>
        <v>64</v>
      </c>
      <c r="F33" s="31">
        <f>Cuantificador!G79</f>
        <v>1</v>
      </c>
      <c r="G33" s="48">
        <f t="shared" si="1"/>
        <v>20.032</v>
      </c>
    </row>
    <row r="34" spans="1:8" x14ac:dyDescent="0.25">
      <c r="A34" s="17" t="s">
        <v>136</v>
      </c>
      <c r="B34" s="31" t="s">
        <v>143</v>
      </c>
      <c r="C34" s="80">
        <f>Cuantificador!D80</f>
        <v>32</v>
      </c>
      <c r="D34" s="31">
        <f>Cuantificador!E80</f>
        <v>3</v>
      </c>
      <c r="E34" s="31">
        <f t="shared" si="0"/>
        <v>96</v>
      </c>
      <c r="F34" s="31">
        <f>Cuantificador!G80</f>
        <v>9</v>
      </c>
      <c r="G34" s="48">
        <f t="shared" si="1"/>
        <v>270.43200000000002</v>
      </c>
    </row>
    <row r="35" spans="1:8" x14ac:dyDescent="0.25">
      <c r="A35" s="17" t="s">
        <v>152</v>
      </c>
      <c r="B35" s="31" t="s">
        <v>143</v>
      </c>
      <c r="C35" s="80">
        <f>Cuantificador!D81</f>
        <v>32</v>
      </c>
      <c r="D35" s="31">
        <f>Cuantificador!E81</f>
        <v>6</v>
      </c>
      <c r="E35" s="31">
        <f t="shared" si="0"/>
        <v>192</v>
      </c>
      <c r="F35" s="31">
        <f>Cuantificador!G81</f>
        <v>9</v>
      </c>
      <c r="G35" s="48">
        <f t="shared" si="1"/>
        <v>540.86400000000003</v>
      </c>
    </row>
    <row r="36" spans="1:8" x14ac:dyDescent="0.25">
      <c r="A36" s="17" t="s">
        <v>153</v>
      </c>
      <c r="B36" s="31" t="s">
        <v>144</v>
      </c>
      <c r="C36" s="31">
        <f>Cuantificador!D82</f>
        <v>25</v>
      </c>
      <c r="D36" s="31">
        <f>Cuantificador!E82</f>
        <v>2</v>
      </c>
      <c r="E36" s="31">
        <f t="shared" si="0"/>
        <v>50</v>
      </c>
      <c r="F36" s="31">
        <f>Cuantificador!G82</f>
        <v>4</v>
      </c>
      <c r="G36" s="48">
        <f t="shared" si="1"/>
        <v>62.6</v>
      </c>
    </row>
    <row r="37" spans="1:8" x14ac:dyDescent="0.25">
      <c r="A37" s="17" t="s">
        <v>137</v>
      </c>
      <c r="B37" s="31" t="s">
        <v>143</v>
      </c>
      <c r="C37" s="80">
        <f>Cuantificador!D83</f>
        <v>32</v>
      </c>
      <c r="D37" s="31">
        <f>Cuantificador!E83</f>
        <v>12</v>
      </c>
      <c r="E37" s="31">
        <f t="shared" si="0"/>
        <v>384</v>
      </c>
      <c r="F37" s="31">
        <f>Cuantificador!G83</f>
        <v>0.3</v>
      </c>
      <c r="G37" s="48">
        <f t="shared" si="1"/>
        <v>36.057600000000001</v>
      </c>
    </row>
    <row r="38" spans="1:8" x14ac:dyDescent="0.25">
      <c r="A38" s="17" t="s">
        <v>64</v>
      </c>
      <c r="D38">
        <f>SUM(D24:D37)</f>
        <v>156</v>
      </c>
      <c r="E38" s="31">
        <f>SUM(E24:E37)</f>
        <v>5036</v>
      </c>
      <c r="G38" s="72">
        <f>SUM(G24:G37)</f>
        <v>12996.135600000001</v>
      </c>
    </row>
    <row r="41" spans="1:8" x14ac:dyDescent="0.25">
      <c r="A41" s="199" t="s">
        <v>363</v>
      </c>
      <c r="B41" s="101" t="str">
        <f>B8</f>
        <v>Viabilidad técnica</v>
      </c>
    </row>
    <row r="43" spans="1:8" ht="30" x14ac:dyDescent="0.25">
      <c r="A43" s="68" t="s">
        <v>89</v>
      </c>
      <c r="B43" s="68" t="s">
        <v>122</v>
      </c>
      <c r="C43" s="45" t="s">
        <v>139</v>
      </c>
      <c r="D43" s="45" t="s">
        <v>140</v>
      </c>
      <c r="E43" s="45" t="s">
        <v>141</v>
      </c>
      <c r="F43" s="45" t="s">
        <v>142</v>
      </c>
      <c r="G43" s="45" t="s">
        <v>251</v>
      </c>
      <c r="H43" s="45" t="s">
        <v>252</v>
      </c>
    </row>
    <row r="44" spans="1:8" x14ac:dyDescent="0.25">
      <c r="A44" s="687" t="s">
        <v>147</v>
      </c>
      <c r="B44" s="31" t="str">
        <f>B20</f>
        <v>Tecnología LED</v>
      </c>
      <c r="C44" s="100">
        <v>18</v>
      </c>
      <c r="D44" s="31">
        <f t="shared" ref="D44:D57" si="2">D24</f>
        <v>24</v>
      </c>
      <c r="E44" s="60">
        <f>C44*D44</f>
        <v>432</v>
      </c>
      <c r="F44" s="31">
        <f>F24</f>
        <v>9</v>
      </c>
      <c r="G44" s="48">
        <f>E44*F44*313/1000</f>
        <v>1216.944</v>
      </c>
      <c r="H44" s="48">
        <f t="shared" ref="H44:H57" si="3">G24-G44</f>
        <v>946.51200000000017</v>
      </c>
    </row>
    <row r="45" spans="1:8" x14ac:dyDescent="0.25">
      <c r="A45" s="687"/>
      <c r="B45" s="31" t="s">
        <v>144</v>
      </c>
      <c r="C45" s="31">
        <f>C25</f>
        <v>25</v>
      </c>
      <c r="D45" s="31">
        <f t="shared" si="2"/>
        <v>1</v>
      </c>
      <c r="E45" s="60">
        <f t="shared" ref="E45:E57" si="4">C45*D45</f>
        <v>25</v>
      </c>
      <c r="F45" s="31">
        <f t="shared" ref="F45:F57" si="5">F25</f>
        <v>9</v>
      </c>
      <c r="G45" s="48">
        <f t="shared" ref="G45:G57" si="6">E45*F45*313/1000</f>
        <v>70.424999999999997</v>
      </c>
      <c r="H45" s="48">
        <f t="shared" si="3"/>
        <v>0</v>
      </c>
    </row>
    <row r="46" spans="1:8" x14ac:dyDescent="0.25">
      <c r="A46" s="687" t="s">
        <v>148</v>
      </c>
      <c r="B46" s="31" t="s">
        <v>144</v>
      </c>
      <c r="C46" s="31">
        <f>C26</f>
        <v>25</v>
      </c>
      <c r="D46" s="31">
        <f t="shared" si="2"/>
        <v>2</v>
      </c>
      <c r="E46" s="60">
        <f t="shared" si="4"/>
        <v>50</v>
      </c>
      <c r="F46" s="31">
        <f t="shared" si="5"/>
        <v>6</v>
      </c>
      <c r="G46" s="48">
        <f t="shared" si="6"/>
        <v>93.9</v>
      </c>
      <c r="H46" s="48">
        <f t="shared" si="3"/>
        <v>0</v>
      </c>
    </row>
    <row r="47" spans="1:8" x14ac:dyDescent="0.25">
      <c r="A47" s="687"/>
      <c r="B47" s="31" t="s">
        <v>145</v>
      </c>
      <c r="C47" s="31">
        <f>C27</f>
        <v>75</v>
      </c>
      <c r="D47" s="31">
        <f t="shared" si="2"/>
        <v>2</v>
      </c>
      <c r="E47" s="60">
        <f t="shared" si="4"/>
        <v>150</v>
      </c>
      <c r="F47" s="31">
        <f t="shared" si="5"/>
        <v>12</v>
      </c>
      <c r="G47" s="48">
        <f t="shared" si="6"/>
        <v>563.4</v>
      </c>
      <c r="H47" s="48">
        <f t="shared" si="3"/>
        <v>0</v>
      </c>
    </row>
    <row r="48" spans="1:8" x14ac:dyDescent="0.25">
      <c r="A48" s="17" t="s">
        <v>149</v>
      </c>
      <c r="B48" s="31" t="str">
        <f>B20</f>
        <v>Tecnología LED</v>
      </c>
      <c r="C48" s="100">
        <v>18</v>
      </c>
      <c r="D48" s="31">
        <f t="shared" si="2"/>
        <v>30</v>
      </c>
      <c r="E48" s="60">
        <f t="shared" si="4"/>
        <v>540</v>
      </c>
      <c r="F48" s="31">
        <f t="shared" si="5"/>
        <v>9</v>
      </c>
      <c r="G48" s="48">
        <f t="shared" si="6"/>
        <v>1521.18</v>
      </c>
      <c r="H48" s="48">
        <f t="shared" si="3"/>
        <v>1183.1400000000001</v>
      </c>
    </row>
    <row r="49" spans="1:8" x14ac:dyDescent="0.25">
      <c r="A49" s="714" t="s">
        <v>150</v>
      </c>
      <c r="B49" s="31" t="str">
        <f>B20</f>
        <v>Tecnología LED</v>
      </c>
      <c r="C49" s="100">
        <v>18</v>
      </c>
      <c r="D49" s="31">
        <f t="shared" si="2"/>
        <v>51</v>
      </c>
      <c r="E49" s="60">
        <f t="shared" si="4"/>
        <v>918</v>
      </c>
      <c r="F49" s="31">
        <f t="shared" si="5"/>
        <v>9</v>
      </c>
      <c r="G49" s="48">
        <f t="shared" si="6"/>
        <v>2586.0059999999999</v>
      </c>
      <c r="H49" s="48">
        <f t="shared" si="3"/>
        <v>2011.3380000000002</v>
      </c>
    </row>
    <row r="50" spans="1:8" x14ac:dyDescent="0.25">
      <c r="A50" s="714"/>
      <c r="B50" s="31" t="s">
        <v>146</v>
      </c>
      <c r="C50" s="31">
        <f>C30</f>
        <v>25</v>
      </c>
      <c r="D50" s="31">
        <f t="shared" si="2"/>
        <v>1</v>
      </c>
      <c r="E50" s="60">
        <f t="shared" si="4"/>
        <v>25</v>
      </c>
      <c r="F50" s="31">
        <f t="shared" si="5"/>
        <v>9</v>
      </c>
      <c r="G50" s="48">
        <f t="shared" si="6"/>
        <v>70.424999999999997</v>
      </c>
      <c r="H50" s="48">
        <f t="shared" si="3"/>
        <v>0</v>
      </c>
    </row>
    <row r="51" spans="1:8" x14ac:dyDescent="0.25">
      <c r="A51" s="17" t="s">
        <v>134</v>
      </c>
      <c r="B51" s="31" t="str">
        <f>B20</f>
        <v>Tecnología LED</v>
      </c>
      <c r="C51" s="100">
        <v>18</v>
      </c>
      <c r="D51" s="31">
        <f t="shared" si="2"/>
        <v>8</v>
      </c>
      <c r="E51" s="60">
        <f t="shared" si="4"/>
        <v>144</v>
      </c>
      <c r="F51" s="31">
        <f t="shared" si="5"/>
        <v>9</v>
      </c>
      <c r="G51" s="48">
        <f t="shared" si="6"/>
        <v>405.64800000000002</v>
      </c>
      <c r="H51" s="48">
        <f t="shared" si="3"/>
        <v>315.50400000000002</v>
      </c>
    </row>
    <row r="52" spans="1:8" x14ac:dyDescent="0.25">
      <c r="A52" s="17" t="s">
        <v>135</v>
      </c>
      <c r="B52" s="31" t="str">
        <f>B20</f>
        <v>Tecnología LED</v>
      </c>
      <c r="C52" s="100">
        <v>18</v>
      </c>
      <c r="D52" s="31">
        <f t="shared" si="2"/>
        <v>12</v>
      </c>
      <c r="E52" s="60">
        <f t="shared" si="4"/>
        <v>216</v>
      </c>
      <c r="F52" s="31">
        <f t="shared" si="5"/>
        <v>9</v>
      </c>
      <c r="G52" s="48">
        <f t="shared" si="6"/>
        <v>608.47199999999998</v>
      </c>
      <c r="H52" s="48">
        <f t="shared" si="3"/>
        <v>473.25600000000009</v>
      </c>
    </row>
    <row r="53" spans="1:8" x14ac:dyDescent="0.25">
      <c r="A53" s="17" t="s">
        <v>151</v>
      </c>
      <c r="B53" s="31" t="str">
        <f>B20</f>
        <v>Tecnología LED</v>
      </c>
      <c r="C53" s="100">
        <v>18</v>
      </c>
      <c r="D53" s="31">
        <f t="shared" si="2"/>
        <v>2</v>
      </c>
      <c r="E53" s="60">
        <f t="shared" si="4"/>
        <v>36</v>
      </c>
      <c r="F53" s="31">
        <f t="shared" si="5"/>
        <v>1</v>
      </c>
      <c r="G53" s="48">
        <f t="shared" si="6"/>
        <v>11.268000000000001</v>
      </c>
      <c r="H53" s="48">
        <f t="shared" si="3"/>
        <v>8.7639999999999993</v>
      </c>
    </row>
    <row r="54" spans="1:8" x14ac:dyDescent="0.25">
      <c r="A54" s="17" t="s">
        <v>136</v>
      </c>
      <c r="B54" s="31" t="str">
        <f>B20</f>
        <v>Tecnología LED</v>
      </c>
      <c r="C54" s="100">
        <v>18</v>
      </c>
      <c r="D54" s="31">
        <f t="shared" si="2"/>
        <v>3</v>
      </c>
      <c r="E54" s="60">
        <f t="shared" si="4"/>
        <v>54</v>
      </c>
      <c r="F54" s="31">
        <f t="shared" si="5"/>
        <v>9</v>
      </c>
      <c r="G54" s="48">
        <f t="shared" si="6"/>
        <v>152.11799999999999</v>
      </c>
      <c r="H54" s="48">
        <f t="shared" si="3"/>
        <v>118.31400000000002</v>
      </c>
    </row>
    <row r="55" spans="1:8" x14ac:dyDescent="0.25">
      <c r="A55" s="102" t="s">
        <v>152</v>
      </c>
      <c r="B55" s="31" t="str">
        <f>B20</f>
        <v>Tecnología LED</v>
      </c>
      <c r="C55" s="100">
        <v>18</v>
      </c>
      <c r="D55" s="31">
        <f t="shared" si="2"/>
        <v>6</v>
      </c>
      <c r="E55" s="60">
        <f t="shared" si="4"/>
        <v>108</v>
      </c>
      <c r="F55" s="31">
        <f t="shared" si="5"/>
        <v>9</v>
      </c>
      <c r="G55" s="48">
        <f t="shared" si="6"/>
        <v>304.23599999999999</v>
      </c>
      <c r="H55" s="178">
        <f t="shared" si="3"/>
        <v>236.62800000000004</v>
      </c>
    </row>
    <row r="56" spans="1:8" x14ac:dyDescent="0.25">
      <c r="A56" s="17" t="s">
        <v>153</v>
      </c>
      <c r="B56" s="31" t="s">
        <v>144</v>
      </c>
      <c r="C56" s="31">
        <f>C36</f>
        <v>25</v>
      </c>
      <c r="D56" s="31">
        <f t="shared" si="2"/>
        <v>2</v>
      </c>
      <c r="E56" s="60">
        <f t="shared" si="4"/>
        <v>50</v>
      </c>
      <c r="F56" s="31">
        <f t="shared" si="5"/>
        <v>4</v>
      </c>
      <c r="G56" s="48">
        <f t="shared" si="6"/>
        <v>62.6</v>
      </c>
      <c r="H56" s="48">
        <f t="shared" si="3"/>
        <v>0</v>
      </c>
    </row>
    <row r="57" spans="1:8" x14ac:dyDescent="0.25">
      <c r="A57" s="102" t="s">
        <v>137</v>
      </c>
      <c r="B57" s="31" t="str">
        <f>B20</f>
        <v>Tecnología LED</v>
      </c>
      <c r="C57" s="100">
        <v>18</v>
      </c>
      <c r="D57" s="31">
        <f t="shared" si="2"/>
        <v>12</v>
      </c>
      <c r="E57" s="60">
        <f t="shared" si="4"/>
        <v>216</v>
      </c>
      <c r="F57" s="31">
        <f t="shared" si="5"/>
        <v>0.3</v>
      </c>
      <c r="G57" s="48">
        <f t="shared" si="6"/>
        <v>20.282399999999999</v>
      </c>
      <c r="H57" s="178">
        <f t="shared" si="3"/>
        <v>15.775200000000002</v>
      </c>
    </row>
    <row r="58" spans="1:8" x14ac:dyDescent="0.25">
      <c r="A58" s="17" t="s">
        <v>64</v>
      </c>
      <c r="D58">
        <f>SUM(D44:D57)</f>
        <v>156</v>
      </c>
      <c r="E58" s="60">
        <f>SUM(E44:E57)</f>
        <v>2964</v>
      </c>
      <c r="G58" s="82">
        <f>SUM(G44:G57)</f>
        <v>7686.9044000000004</v>
      </c>
      <c r="H58" s="82">
        <f>SUM(H44:H57)</f>
        <v>5309.2312000000002</v>
      </c>
    </row>
    <row r="59" spans="1:8" x14ac:dyDescent="0.25">
      <c r="D59">
        <f>D58-D45-D46-D47-D50-D56</f>
        <v>148</v>
      </c>
    </row>
    <row r="60" spans="1:8" x14ac:dyDescent="0.25">
      <c r="D60" s="438">
        <f>D59/D58</f>
        <v>0.94871794871794868</v>
      </c>
    </row>
    <row r="61" spans="1:8" x14ac:dyDescent="0.25">
      <c r="A61" s="199" t="s">
        <v>363</v>
      </c>
      <c r="B61" s="101" t="str">
        <f>B11</f>
        <v>Viabilidad económica</v>
      </c>
    </row>
    <row r="65" spans="2:8" x14ac:dyDescent="0.25">
      <c r="B65" s="103" t="s">
        <v>447</v>
      </c>
      <c r="C65" s="103"/>
      <c r="D65" s="103"/>
      <c r="E65" s="103"/>
      <c r="F65" s="103"/>
    </row>
    <row r="66" spans="2:8" x14ac:dyDescent="0.25">
      <c r="B66" s="103"/>
      <c r="C66" s="103"/>
      <c r="D66" s="103"/>
      <c r="E66" s="103"/>
      <c r="F66" s="103"/>
    </row>
    <row r="67" spans="2:8" x14ac:dyDescent="0.25">
      <c r="B67" s="103"/>
      <c r="C67" s="103"/>
      <c r="D67" s="103"/>
      <c r="E67" s="103"/>
      <c r="F67" s="103"/>
    </row>
    <row r="68" spans="2:8" x14ac:dyDescent="0.25">
      <c r="B68" s="103"/>
      <c r="C68" s="103"/>
      <c r="D68" s="103"/>
      <c r="E68" s="103"/>
      <c r="F68" s="103"/>
    </row>
    <row r="69" spans="2:8" x14ac:dyDescent="0.25">
      <c r="B69" s="103"/>
      <c r="C69" s="103"/>
      <c r="D69" s="103"/>
      <c r="E69" s="103"/>
      <c r="F69" s="103"/>
    </row>
    <row r="70" spans="2:8" x14ac:dyDescent="0.25">
      <c r="B70" s="103"/>
      <c r="C70" s="103"/>
      <c r="D70" s="103"/>
      <c r="E70" s="103"/>
      <c r="F70" s="103"/>
    </row>
    <row r="72" spans="2:8" x14ac:dyDescent="0.25">
      <c r="B72" s="103"/>
      <c r="C72" s="782" t="s">
        <v>253</v>
      </c>
      <c r="D72" s="782"/>
      <c r="E72" s="119">
        <f>D78*H44</f>
        <v>372973.0536000001</v>
      </c>
      <c r="F72" s="103"/>
    </row>
    <row r="73" spans="2:8" x14ac:dyDescent="0.25">
      <c r="B73" s="103"/>
      <c r="C73" s="103"/>
      <c r="D73" s="103"/>
      <c r="E73" s="106">
        <f>E72/980</f>
        <v>380.58474857142869</v>
      </c>
      <c r="F73" s="103" t="s">
        <v>256</v>
      </c>
    </row>
    <row r="74" spans="2:8" x14ac:dyDescent="0.25">
      <c r="G74" s="3"/>
    </row>
    <row r="75" spans="2:8" x14ac:dyDescent="0.25">
      <c r="B75" s="36" t="s">
        <v>254</v>
      </c>
      <c r="G75" s="3"/>
    </row>
    <row r="76" spans="2:8" x14ac:dyDescent="0.25">
      <c r="B76" t="s">
        <v>255</v>
      </c>
    </row>
    <row r="78" spans="2:8" x14ac:dyDescent="0.25">
      <c r="D78" s="253">
        <v>394.05</v>
      </c>
      <c r="E78" s="655" t="s">
        <v>260</v>
      </c>
      <c r="F78" s="655"/>
      <c r="G78" s="254">
        <f>D78*H58</f>
        <v>2092102.5543600002</v>
      </c>
    </row>
    <row r="79" spans="2:8" x14ac:dyDescent="0.25">
      <c r="G79" s="3">
        <f>G78/980</f>
        <v>2134.7985248571431</v>
      </c>
      <c r="H79" t="s">
        <v>256</v>
      </c>
    </row>
    <row r="81" spans="1:8" x14ac:dyDescent="0.25">
      <c r="D81" s="253">
        <v>101.92</v>
      </c>
      <c r="E81" s="655" t="s">
        <v>260</v>
      </c>
      <c r="F81" s="655"/>
      <c r="G81" s="119">
        <f>D78*H58</f>
        <v>2092102.5543600002</v>
      </c>
    </row>
    <row r="82" spans="1:8" x14ac:dyDescent="0.25">
      <c r="D82" s="253">
        <v>225.84</v>
      </c>
      <c r="G82" s="3">
        <f>G81/980</f>
        <v>2134.7985248571431</v>
      </c>
      <c r="H82" t="s">
        <v>256</v>
      </c>
    </row>
    <row r="83" spans="1:8" x14ac:dyDescent="0.25">
      <c r="D83" s="253">
        <v>375.28</v>
      </c>
    </row>
    <row r="86" spans="1:8" x14ac:dyDescent="0.25">
      <c r="B86" s="31" t="s">
        <v>257</v>
      </c>
      <c r="C86" s="107">
        <v>1690</v>
      </c>
      <c r="D86" s="36" t="s">
        <v>274</v>
      </c>
    </row>
    <row r="87" spans="1:8" x14ac:dyDescent="0.25">
      <c r="B87" s="31" t="s">
        <v>258</v>
      </c>
      <c r="C87" s="99">
        <v>130</v>
      </c>
    </row>
    <row r="88" spans="1:8" x14ac:dyDescent="0.25">
      <c r="B88" t="s">
        <v>259</v>
      </c>
      <c r="C88" s="121">
        <f>C86*C87</f>
        <v>219700</v>
      </c>
    </row>
    <row r="90" spans="1:8" ht="17.25" x14ac:dyDescent="0.4">
      <c r="B90" s="696" t="s">
        <v>316</v>
      </c>
      <c r="C90" s="109" t="str">
        <f>B88</f>
        <v>Costo inversión</v>
      </c>
      <c r="D90" s="108">
        <f>C88</f>
        <v>219700</v>
      </c>
      <c r="E90" s="284">
        <f>D90/D91</f>
        <v>0.10501397244706721</v>
      </c>
    </row>
    <row r="91" spans="1:8" x14ac:dyDescent="0.25">
      <c r="B91" s="696"/>
      <c r="C91" s="1" t="str">
        <f>E81</f>
        <v xml:space="preserve">Beneficio económico </v>
      </c>
      <c r="D91" s="120">
        <f>G81</f>
        <v>2092102.5543600002</v>
      </c>
      <c r="E91" s="348"/>
    </row>
    <row r="94" spans="1:8" x14ac:dyDescent="0.25">
      <c r="A94" s="199" t="s">
        <v>363</v>
      </c>
      <c r="B94" s="101" t="str">
        <f>B12</f>
        <v>Viabilidad ambiental</v>
      </c>
    </row>
    <row r="96" spans="1:8" x14ac:dyDescent="0.25">
      <c r="A96" s="263" t="s">
        <v>446</v>
      </c>
      <c r="B96" s="83">
        <f>'Indicadores Energéticos'!C155</f>
        <v>0.2384</v>
      </c>
      <c r="C96" t="str">
        <f>'Indicadores Energéticos'!D155</f>
        <v>Ton de CO₂/MWh  (factor por emisión de combustible)</v>
      </c>
    </row>
    <row r="103" spans="2:4" x14ac:dyDescent="0.25">
      <c r="B103" s="104" t="s">
        <v>261</v>
      </c>
      <c r="C103" s="365">
        <f>(B96*H58)/1000</f>
        <v>1.2657207180800001</v>
      </c>
    </row>
    <row r="104" spans="2:4" x14ac:dyDescent="0.25">
      <c r="C104" s="111"/>
    </row>
    <row r="106" spans="2:4" x14ac:dyDescent="0.25">
      <c r="B106" s="16" t="s">
        <v>262</v>
      </c>
      <c r="D106" s="103" t="s">
        <v>227</v>
      </c>
    </row>
    <row r="108" spans="2:4" x14ac:dyDescent="0.25">
      <c r="B108" s="33" t="s">
        <v>263</v>
      </c>
      <c r="C108" s="31" t="s">
        <v>227</v>
      </c>
    </row>
    <row r="109" spans="2:4" x14ac:dyDescent="0.25">
      <c r="B109" s="33" t="s">
        <v>305</v>
      </c>
      <c r="C109" s="31" t="s">
        <v>264</v>
      </c>
    </row>
    <row r="110" spans="2:4" x14ac:dyDescent="0.25">
      <c r="B110" s="33" t="s">
        <v>265</v>
      </c>
      <c r="C110" s="114">
        <f>G38</f>
        <v>12996.135600000001</v>
      </c>
    </row>
    <row r="111" spans="2:4" x14ac:dyDescent="0.25">
      <c r="B111" s="33" t="s">
        <v>266</v>
      </c>
      <c r="C111" s="114">
        <f>G58</f>
        <v>7686.9044000000004</v>
      </c>
    </row>
    <row r="112" spans="2:4" x14ac:dyDescent="0.25">
      <c r="B112" s="33" t="s">
        <v>273</v>
      </c>
      <c r="C112" s="114">
        <f>H58</f>
        <v>5309.2312000000002</v>
      </c>
    </row>
    <row r="113" spans="1:9" x14ac:dyDescent="0.25">
      <c r="B113" s="33" t="s">
        <v>267</v>
      </c>
      <c r="C113" s="88">
        <f>C112/C110</f>
        <v>0.4085238384247083</v>
      </c>
    </row>
    <row r="114" spans="1:9" x14ac:dyDescent="0.25">
      <c r="B114" s="33" t="s">
        <v>268</v>
      </c>
      <c r="C114" s="122">
        <f>D91</f>
        <v>2092102.5543600002</v>
      </c>
      <c r="D114" s="23">
        <f>C114</f>
        <v>2092102.5543600002</v>
      </c>
    </row>
    <row r="115" spans="1:9" x14ac:dyDescent="0.25">
      <c r="B115" s="33" t="s">
        <v>269</v>
      </c>
      <c r="C115" s="146">
        <f>D90</f>
        <v>219700</v>
      </c>
    </row>
    <row r="116" spans="1:9" x14ac:dyDescent="0.25">
      <c r="B116" s="33" t="s">
        <v>270</v>
      </c>
      <c r="C116" s="115">
        <f>E90</f>
        <v>0.10501397244706721</v>
      </c>
    </row>
    <row r="117" spans="1:9" x14ac:dyDescent="0.25">
      <c r="B117" s="33" t="s">
        <v>271</v>
      </c>
      <c r="C117" s="116">
        <v>40000</v>
      </c>
    </row>
    <row r="118" spans="1:9" x14ac:dyDescent="0.25">
      <c r="B118" s="33" t="s">
        <v>272</v>
      </c>
      <c r="C118" s="117">
        <f>C103</f>
        <v>1.2657207180800001</v>
      </c>
    </row>
    <row r="121" spans="1:9" ht="15.75" thickBot="1" x14ac:dyDescent="0.3">
      <c r="B121" s="118"/>
      <c r="C121" s="118"/>
      <c r="D121" s="118"/>
      <c r="E121" s="118"/>
      <c r="F121" s="118"/>
      <c r="G121" s="118"/>
      <c r="H121" s="118"/>
      <c r="I121" s="118"/>
    </row>
    <row r="123" spans="1:9" ht="15.75" thickBot="1" x14ac:dyDescent="0.3">
      <c r="B123" s="123" t="s">
        <v>275</v>
      </c>
      <c r="C123" s="124"/>
      <c r="D123" s="124"/>
      <c r="E123" s="124"/>
      <c r="F123" s="124"/>
      <c r="G123" s="124"/>
    </row>
    <row r="124" spans="1:9" x14ac:dyDescent="0.25">
      <c r="A124" s="199" t="s">
        <v>363</v>
      </c>
      <c r="B124" s="101" t="str">
        <f>B6</f>
        <v>Situación actual</v>
      </c>
    </row>
    <row r="125" spans="1:9" x14ac:dyDescent="0.25">
      <c r="C125" s="17" t="s">
        <v>277</v>
      </c>
      <c r="D125" s="17" t="s">
        <v>125</v>
      </c>
      <c r="E125" s="17" t="s">
        <v>278</v>
      </c>
    </row>
    <row r="126" spans="1:9" x14ac:dyDescent="0.25">
      <c r="B126" s="31" t="s">
        <v>276</v>
      </c>
      <c r="C126" s="127">
        <v>2</v>
      </c>
      <c r="D126" s="133">
        <f>E133</f>
        <v>8</v>
      </c>
      <c r="E126" s="126">
        <v>60000</v>
      </c>
    </row>
    <row r="127" spans="1:9" x14ac:dyDescent="0.25">
      <c r="B127" s="31" t="s">
        <v>120</v>
      </c>
      <c r="C127" s="127">
        <v>4</v>
      </c>
      <c r="D127" s="133">
        <f>E135</f>
        <v>9.2307692307692299</v>
      </c>
      <c r="E127" s="126">
        <v>12000</v>
      </c>
    </row>
    <row r="128" spans="1:9" x14ac:dyDescent="0.25">
      <c r="B128" s="31" t="s">
        <v>120</v>
      </c>
      <c r="C128" s="128">
        <v>1</v>
      </c>
      <c r="D128" s="133">
        <f>E132</f>
        <v>9.5238095238095237</v>
      </c>
      <c r="E128" s="126">
        <v>12000</v>
      </c>
    </row>
    <row r="129" spans="1:8" x14ac:dyDescent="0.25">
      <c r="B129" s="31" t="s">
        <v>64</v>
      </c>
      <c r="C129" s="129">
        <f>SUM(C126:C128)</f>
        <v>7</v>
      </c>
      <c r="E129" s="125">
        <f>SUM(E126:E128)</f>
        <v>84000</v>
      </c>
    </row>
    <row r="131" spans="1:8" ht="45" x14ac:dyDescent="0.25">
      <c r="A131" s="68" t="s">
        <v>89</v>
      </c>
      <c r="B131" s="68" t="s">
        <v>122</v>
      </c>
      <c r="C131" s="45" t="s">
        <v>123</v>
      </c>
      <c r="D131" s="45" t="s">
        <v>124</v>
      </c>
      <c r="E131" s="45" t="s">
        <v>125</v>
      </c>
      <c r="F131" s="45" t="s">
        <v>126</v>
      </c>
      <c r="G131" s="45" t="s">
        <v>127</v>
      </c>
      <c r="H131" s="45" t="s">
        <v>128</v>
      </c>
    </row>
    <row r="132" spans="1:8" x14ac:dyDescent="0.25">
      <c r="A132" s="45" t="s">
        <v>121</v>
      </c>
      <c r="B132" s="69" t="str">
        <f>Cuantificador!C40</f>
        <v>Mini Split</v>
      </c>
      <c r="C132" s="131">
        <f>Cuantificador!D40</f>
        <v>12000</v>
      </c>
      <c r="D132" s="138">
        <f>Cuantificador!E40</f>
        <v>1.26</v>
      </c>
      <c r="E132" s="132">
        <f>Cuantificador!F40</f>
        <v>9.5238095238095237</v>
      </c>
      <c r="F132" s="63">
        <f>Cuantificador!G40</f>
        <v>60</v>
      </c>
      <c r="G132" s="63">
        <f>F132*52</f>
        <v>3120</v>
      </c>
      <c r="H132" s="130">
        <f>Cuantificador!I40</f>
        <v>2351.4624000000003</v>
      </c>
    </row>
    <row r="133" spans="1:8" x14ac:dyDescent="0.25">
      <c r="A133" s="45" t="s">
        <v>121</v>
      </c>
      <c r="B133" s="69" t="str">
        <f>Cuantificador!C41</f>
        <v>Central</v>
      </c>
      <c r="C133" s="131">
        <f>Cuantificador!D41</f>
        <v>60000</v>
      </c>
      <c r="D133" s="138">
        <f>Cuantificador!E41</f>
        <v>7.5</v>
      </c>
      <c r="E133" s="132">
        <f>Cuantificador!F41</f>
        <v>8</v>
      </c>
      <c r="F133" s="63">
        <f>Cuantificador!G41</f>
        <v>60</v>
      </c>
      <c r="G133" s="63">
        <f t="shared" ref="G133:G138" si="7">F133*52</f>
        <v>3120</v>
      </c>
      <c r="H133" s="130">
        <f>Cuantificador!I41</f>
        <v>13996.800000000001</v>
      </c>
    </row>
    <row r="134" spans="1:8" x14ac:dyDescent="0.25">
      <c r="A134" s="45" t="s">
        <v>133</v>
      </c>
      <c r="B134" s="69" t="str">
        <f>Cuantificador!C42</f>
        <v>Central</v>
      </c>
      <c r="C134" s="131">
        <f>Cuantificador!D42</f>
        <v>60000</v>
      </c>
      <c r="D134" s="138">
        <f>Cuantificador!E42</f>
        <v>7.5</v>
      </c>
      <c r="E134" s="132">
        <f>Cuantificador!F42</f>
        <v>8</v>
      </c>
      <c r="F134" s="63">
        <f>Cuantificador!G42</f>
        <v>60</v>
      </c>
      <c r="G134" s="63">
        <f t="shared" si="7"/>
        <v>3120</v>
      </c>
      <c r="H134" s="130">
        <f>Cuantificador!I42</f>
        <v>13996.800000000001</v>
      </c>
    </row>
    <row r="135" spans="1:8" x14ac:dyDescent="0.25">
      <c r="A135" s="45" t="s">
        <v>134</v>
      </c>
      <c r="B135" s="69" t="str">
        <f>Cuantificador!C43</f>
        <v>Mini Split</v>
      </c>
      <c r="C135" s="131">
        <f>Cuantificador!D43</f>
        <v>12000</v>
      </c>
      <c r="D135" s="138">
        <f>Cuantificador!E43</f>
        <v>1.3</v>
      </c>
      <c r="E135" s="132">
        <f>Cuantificador!F43</f>
        <v>9.2307692307692299</v>
      </c>
      <c r="F135" s="63">
        <f>Cuantificador!G43</f>
        <v>60</v>
      </c>
      <c r="G135" s="63">
        <f t="shared" si="7"/>
        <v>3120</v>
      </c>
      <c r="H135" s="130">
        <f>Cuantificador!I43</f>
        <v>2426.1120000000005</v>
      </c>
    </row>
    <row r="136" spans="1:8" x14ac:dyDescent="0.25">
      <c r="A136" s="45" t="s">
        <v>135</v>
      </c>
      <c r="B136" s="69" t="str">
        <f>Cuantificador!C44</f>
        <v>Mini Split</v>
      </c>
      <c r="C136" s="131">
        <f>Cuantificador!D44</f>
        <v>12000</v>
      </c>
      <c r="D136" s="138">
        <f>Cuantificador!E44</f>
        <v>1.3</v>
      </c>
      <c r="E136" s="132">
        <f>Cuantificador!F44</f>
        <v>9.2307692307692299</v>
      </c>
      <c r="F136" s="63">
        <f>Cuantificador!G44</f>
        <v>60</v>
      </c>
      <c r="G136" s="63">
        <f t="shared" si="7"/>
        <v>3120</v>
      </c>
      <c r="H136" s="130">
        <f>Cuantificador!I44</f>
        <v>2426.1120000000005</v>
      </c>
    </row>
    <row r="137" spans="1:8" x14ac:dyDescent="0.25">
      <c r="A137" s="45" t="s">
        <v>136</v>
      </c>
      <c r="B137" s="69" t="str">
        <f>Cuantificador!C45</f>
        <v>Mini Split</v>
      </c>
      <c r="C137" s="131">
        <f>Cuantificador!D45</f>
        <v>12000</v>
      </c>
      <c r="D137" s="138">
        <f>Cuantificador!E45</f>
        <v>1.3</v>
      </c>
      <c r="E137" s="132">
        <f>Cuantificador!F45</f>
        <v>9.2307692307692299</v>
      </c>
      <c r="F137" s="63">
        <f>Cuantificador!G45</f>
        <v>60</v>
      </c>
      <c r="G137" s="63">
        <f t="shared" si="7"/>
        <v>3120</v>
      </c>
      <c r="H137" s="130">
        <f>Cuantificador!I45</f>
        <v>2426.1120000000005</v>
      </c>
    </row>
    <row r="138" spans="1:8" x14ac:dyDescent="0.25">
      <c r="A138" s="45" t="s">
        <v>137</v>
      </c>
      <c r="B138" s="69" t="str">
        <f>Cuantificador!C46</f>
        <v>Mini Split</v>
      </c>
      <c r="C138" s="131">
        <f>Cuantificador!D46</f>
        <v>12000</v>
      </c>
      <c r="D138" s="138">
        <f>Cuantificador!E46</f>
        <v>1.3</v>
      </c>
      <c r="E138" s="132">
        <f>Cuantificador!F46</f>
        <v>9.2307692307692299</v>
      </c>
      <c r="F138" s="63">
        <f>Cuantificador!G46</f>
        <v>60</v>
      </c>
      <c r="G138" s="63">
        <f t="shared" si="7"/>
        <v>3120</v>
      </c>
      <c r="H138" s="130">
        <f>Cuantificador!I46</f>
        <v>2426.1120000000005</v>
      </c>
    </row>
    <row r="139" spans="1:8" x14ac:dyDescent="0.25">
      <c r="A139" s="45" t="s">
        <v>64</v>
      </c>
      <c r="D139" s="70">
        <f>SUM(D132:D138)</f>
        <v>21.46</v>
      </c>
      <c r="E139" s="24"/>
      <c r="F139" s="71">
        <f>SUM(F132:F138)</f>
        <v>420</v>
      </c>
      <c r="G139" s="71">
        <f>SUM(G132:G138)</f>
        <v>21840</v>
      </c>
      <c r="H139" s="70">
        <f>SUM(H132:H138)</f>
        <v>40049.510400000006</v>
      </c>
    </row>
    <row r="142" spans="1:8" x14ac:dyDescent="0.25">
      <c r="A142" s="199" t="s">
        <v>363</v>
      </c>
      <c r="B142" s="101" t="str">
        <f>B7</f>
        <v>Situación propuesta</v>
      </c>
    </row>
    <row r="143" spans="1:8" x14ac:dyDescent="0.25">
      <c r="B143" t="s">
        <v>290</v>
      </c>
    </row>
    <row r="144" spans="1:8" x14ac:dyDescent="0.25">
      <c r="B144" t="s">
        <v>291</v>
      </c>
    </row>
    <row r="145" spans="1:8" x14ac:dyDescent="0.25">
      <c r="G145" s="3"/>
    </row>
    <row r="146" spans="1:8" x14ac:dyDescent="0.25">
      <c r="B146" t="s">
        <v>292</v>
      </c>
    </row>
    <row r="147" spans="1:8" x14ac:dyDescent="0.25">
      <c r="B147" t="s">
        <v>293</v>
      </c>
    </row>
    <row r="149" spans="1:8" x14ac:dyDescent="0.25">
      <c r="B149" t="s">
        <v>294</v>
      </c>
    </row>
    <row r="152" spans="1:8" x14ac:dyDescent="0.25">
      <c r="A152" s="199" t="s">
        <v>363</v>
      </c>
      <c r="B152" s="101" t="str">
        <f>B8</f>
        <v>Viabilidad técnica</v>
      </c>
    </row>
    <row r="154" spans="1:8" ht="60" x14ac:dyDescent="0.25">
      <c r="A154" s="68" t="s">
        <v>89</v>
      </c>
      <c r="B154" s="68" t="s">
        <v>122</v>
      </c>
      <c r="C154" s="45" t="s">
        <v>123</v>
      </c>
      <c r="D154" s="45" t="s">
        <v>124</v>
      </c>
      <c r="E154" s="45" t="s">
        <v>125</v>
      </c>
      <c r="F154" s="45" t="s">
        <v>126</v>
      </c>
      <c r="G154" s="45" t="s">
        <v>127</v>
      </c>
      <c r="H154" s="45" t="s">
        <v>282</v>
      </c>
    </row>
    <row r="155" spans="1:8" x14ac:dyDescent="0.25">
      <c r="A155" s="45" t="s">
        <v>121</v>
      </c>
      <c r="B155" s="69" t="str">
        <f>B132</f>
        <v>Mini Split</v>
      </c>
      <c r="C155" s="131">
        <f>C132</f>
        <v>12000</v>
      </c>
      <c r="D155" s="135">
        <v>1.1000000000000001</v>
      </c>
      <c r="E155" s="135">
        <f>C155/D155/1000</f>
        <v>10.909090909090908</v>
      </c>
      <c r="F155" s="63">
        <f t="shared" ref="F155:F161" si="8">F132</f>
        <v>60</v>
      </c>
      <c r="G155" s="63">
        <f>F155*52</f>
        <v>3120</v>
      </c>
      <c r="H155" s="130">
        <f>F155*48*D155*0.8*0.81</f>
        <v>2052.8640000000005</v>
      </c>
    </row>
    <row r="156" spans="1:8" x14ac:dyDescent="0.25">
      <c r="A156" s="45" t="s">
        <v>121</v>
      </c>
      <c r="B156" s="69" t="str">
        <f t="shared" ref="B156:B161" si="9">B133</f>
        <v>Central</v>
      </c>
      <c r="C156" s="134">
        <v>54000</v>
      </c>
      <c r="D156" s="135">
        <v>5.2</v>
      </c>
      <c r="E156" s="135">
        <f t="shared" ref="E156:E161" si="10">C156/D156/1000</f>
        <v>10.384615384615385</v>
      </c>
      <c r="F156" s="63">
        <f t="shared" si="8"/>
        <v>60</v>
      </c>
      <c r="G156" s="63">
        <f t="shared" ref="G156:G161" si="11">F156*52</f>
        <v>3120</v>
      </c>
      <c r="H156" s="130">
        <f t="shared" ref="H156:H161" si="12">F156*48*D156*0.8*0.81</f>
        <v>9704.4480000000021</v>
      </c>
    </row>
    <row r="157" spans="1:8" x14ac:dyDescent="0.25">
      <c r="A157" s="45" t="s">
        <v>133</v>
      </c>
      <c r="B157" s="69" t="str">
        <f t="shared" si="9"/>
        <v>Central</v>
      </c>
      <c r="C157" s="134">
        <v>54000</v>
      </c>
      <c r="D157" s="135">
        <v>5.2</v>
      </c>
      <c r="E157" s="135">
        <f t="shared" si="10"/>
        <v>10.384615384615385</v>
      </c>
      <c r="F157" s="63">
        <f t="shared" si="8"/>
        <v>60</v>
      </c>
      <c r="G157" s="63">
        <f t="shared" si="11"/>
        <v>3120</v>
      </c>
      <c r="H157" s="130">
        <f t="shared" si="12"/>
        <v>9704.4480000000021</v>
      </c>
    </row>
    <row r="158" spans="1:8" x14ac:dyDescent="0.25">
      <c r="A158" s="45" t="s">
        <v>134</v>
      </c>
      <c r="B158" s="69" t="str">
        <f t="shared" si="9"/>
        <v>Mini Split</v>
      </c>
      <c r="C158" s="131">
        <f>C135</f>
        <v>12000</v>
      </c>
      <c r="D158" s="135">
        <v>1.1000000000000001</v>
      </c>
      <c r="E158" s="135">
        <f t="shared" si="10"/>
        <v>10.909090909090908</v>
      </c>
      <c r="F158" s="63">
        <f t="shared" si="8"/>
        <v>60</v>
      </c>
      <c r="G158" s="63">
        <f t="shared" si="11"/>
        <v>3120</v>
      </c>
      <c r="H158" s="130">
        <f t="shared" si="12"/>
        <v>2052.8640000000005</v>
      </c>
    </row>
    <row r="159" spans="1:8" x14ac:dyDescent="0.25">
      <c r="A159" s="45" t="s">
        <v>135</v>
      </c>
      <c r="B159" s="69" t="str">
        <f t="shared" si="9"/>
        <v>Mini Split</v>
      </c>
      <c r="C159" s="131">
        <f>C136</f>
        <v>12000</v>
      </c>
      <c r="D159" s="135">
        <v>1.1000000000000001</v>
      </c>
      <c r="E159" s="135">
        <f t="shared" si="10"/>
        <v>10.909090909090908</v>
      </c>
      <c r="F159" s="63">
        <f t="shared" si="8"/>
        <v>60</v>
      </c>
      <c r="G159" s="63">
        <f t="shared" si="11"/>
        <v>3120</v>
      </c>
      <c r="H159" s="130">
        <f t="shared" si="12"/>
        <v>2052.8640000000005</v>
      </c>
    </row>
    <row r="160" spans="1:8" x14ac:dyDescent="0.25">
      <c r="A160" s="45" t="s">
        <v>136</v>
      </c>
      <c r="B160" s="69" t="str">
        <f t="shared" si="9"/>
        <v>Mini Split</v>
      </c>
      <c r="C160" s="131">
        <f>C137</f>
        <v>12000</v>
      </c>
      <c r="D160" s="135">
        <v>1.1000000000000001</v>
      </c>
      <c r="E160" s="135">
        <f t="shared" si="10"/>
        <v>10.909090909090908</v>
      </c>
      <c r="F160" s="63">
        <f t="shared" si="8"/>
        <v>60</v>
      </c>
      <c r="G160" s="63">
        <f t="shared" si="11"/>
        <v>3120</v>
      </c>
      <c r="H160" s="130">
        <f t="shared" si="12"/>
        <v>2052.8640000000005</v>
      </c>
    </row>
    <row r="161" spans="1:8" ht="15.75" thickBot="1" x14ac:dyDescent="0.3">
      <c r="A161" s="45" t="s">
        <v>137</v>
      </c>
      <c r="B161" s="69" t="str">
        <f t="shared" si="9"/>
        <v>Mini Split</v>
      </c>
      <c r="C161" s="131">
        <f>C138</f>
        <v>12000</v>
      </c>
      <c r="D161" s="136">
        <v>1.1000000000000001</v>
      </c>
      <c r="E161" s="135">
        <f t="shared" si="10"/>
        <v>10.909090909090908</v>
      </c>
      <c r="F161" s="63">
        <f t="shared" si="8"/>
        <v>60</v>
      </c>
      <c r="G161" s="63">
        <f t="shared" si="11"/>
        <v>3120</v>
      </c>
      <c r="H161" s="130">
        <f t="shared" si="12"/>
        <v>2052.8640000000005</v>
      </c>
    </row>
    <row r="162" spans="1:8" ht="15.75" thickBot="1" x14ac:dyDescent="0.3">
      <c r="A162" s="45" t="s">
        <v>64</v>
      </c>
      <c r="D162" s="137">
        <f>SUM(D155:D161)</f>
        <v>15.899999999999999</v>
      </c>
      <c r="E162" s="24"/>
      <c r="F162" s="71">
        <f>SUM(F155:F161)</f>
        <v>420</v>
      </c>
      <c r="G162" s="71">
        <f>SUM(G155:G161)</f>
        <v>21840</v>
      </c>
      <c r="H162" s="70">
        <f>SUM(H155:H161)</f>
        <v>29673.216000000008</v>
      </c>
    </row>
    <row r="164" spans="1:8" x14ac:dyDescent="0.25">
      <c r="G164" s="3"/>
    </row>
    <row r="165" spans="1:8" x14ac:dyDescent="0.25">
      <c r="G165" s="3"/>
    </row>
    <row r="166" spans="1:8" x14ac:dyDescent="0.25">
      <c r="F166" s="3"/>
    </row>
    <row r="173" spans="1:8" x14ac:dyDescent="0.25">
      <c r="B173" s="32" t="s">
        <v>286</v>
      </c>
      <c r="C173" s="141">
        <f>H139-H162</f>
        <v>10376.294399999999</v>
      </c>
    </row>
    <row r="176" spans="1:8" x14ac:dyDescent="0.25">
      <c r="A176" s="199" t="s">
        <v>363</v>
      </c>
      <c r="B176" s="101" t="str">
        <f>B11</f>
        <v>Viabilidad económica</v>
      </c>
    </row>
    <row r="186" spans="2:4" x14ac:dyDescent="0.25">
      <c r="B186" s="32" t="s">
        <v>283</v>
      </c>
      <c r="C186" s="119">
        <f>D78*C173</f>
        <v>4088778.8083199998</v>
      </c>
      <c r="D186" s="105">
        <f>C186/980</f>
        <v>4172.2232737959184</v>
      </c>
    </row>
    <row r="188" spans="2:4" x14ac:dyDescent="0.25">
      <c r="B188" s="31" t="s">
        <v>284</v>
      </c>
      <c r="C188" s="142">
        <v>456460</v>
      </c>
      <c r="D188" s="128">
        <v>5</v>
      </c>
    </row>
    <row r="189" spans="2:4" x14ac:dyDescent="0.25">
      <c r="B189" s="31" t="s">
        <v>285</v>
      </c>
      <c r="C189" s="142">
        <f>3569990*1.19</f>
        <v>4248288.0999999996</v>
      </c>
      <c r="D189" s="128">
        <v>2</v>
      </c>
    </row>
    <row r="190" spans="2:4" x14ac:dyDescent="0.25">
      <c r="C190" s="18"/>
      <c r="D190" s="128">
        <f>SUM(D188:D189)</f>
        <v>7</v>
      </c>
    </row>
    <row r="192" spans="2:4" x14ac:dyDescent="0.25">
      <c r="B192" s="32" t="s">
        <v>269</v>
      </c>
      <c r="C192" s="145">
        <f>(C188*D188)+(C189*D189)</f>
        <v>10778876.199999999</v>
      </c>
    </row>
    <row r="194" spans="1:5" ht="17.25" x14ac:dyDescent="0.4">
      <c r="B194" s="696" t="s">
        <v>316</v>
      </c>
      <c r="C194" s="109" t="str">
        <f>B192</f>
        <v>Inversión</v>
      </c>
      <c r="D194" s="143">
        <f>C192</f>
        <v>10778876.199999999</v>
      </c>
      <c r="E194" s="284">
        <f>D194/D195</f>
        <v>2.6362091727893766</v>
      </c>
    </row>
    <row r="195" spans="1:5" x14ac:dyDescent="0.25">
      <c r="B195" s="696"/>
      <c r="C195" s="1" t="str">
        <f>B186</f>
        <v>Ahorros anuales=</v>
      </c>
      <c r="D195" s="144">
        <f>C186</f>
        <v>4088778.8083199998</v>
      </c>
      <c r="E195" s="348"/>
    </row>
    <row r="199" spans="1:5" x14ac:dyDescent="0.25">
      <c r="A199" s="199" t="s">
        <v>363</v>
      </c>
      <c r="B199" s="101" t="str">
        <f>B12</f>
        <v>Viabilidad ambiental</v>
      </c>
    </row>
    <row r="201" spans="1:5" x14ac:dyDescent="0.25">
      <c r="A201" s="263" t="s">
        <v>446</v>
      </c>
      <c r="B201" s="83">
        <f>'Indicadores Energéticos'!C155</f>
        <v>0.2384</v>
      </c>
      <c r="C201" t="str">
        <f>'Indicadores Energéticos'!D155</f>
        <v>Ton de CO₂/MWh  (factor por emisión de combustible)</v>
      </c>
    </row>
    <row r="210" spans="2:4" x14ac:dyDescent="0.25">
      <c r="B210" s="104" t="s">
        <v>287</v>
      </c>
      <c r="C210" s="112">
        <f>(C173/1000)*B201</f>
        <v>2.4737085849599998</v>
      </c>
    </row>
    <row r="213" spans="2:4" x14ac:dyDescent="0.25">
      <c r="B213" s="16" t="s">
        <v>262</v>
      </c>
      <c r="D213" s="103" t="s">
        <v>223</v>
      </c>
    </row>
    <row r="215" spans="2:4" x14ac:dyDescent="0.25">
      <c r="B215" s="33" t="s">
        <v>263</v>
      </c>
      <c r="C215" s="31" t="s">
        <v>223</v>
      </c>
    </row>
    <row r="216" spans="2:4" x14ac:dyDescent="0.25">
      <c r="B216" s="33" t="s">
        <v>305</v>
      </c>
      <c r="C216" s="31" t="s">
        <v>288</v>
      </c>
    </row>
    <row r="217" spans="2:4" x14ac:dyDescent="0.25">
      <c r="B217" s="33" t="s">
        <v>265</v>
      </c>
      <c r="C217" s="114">
        <f>H139</f>
        <v>40049.510400000006</v>
      </c>
    </row>
    <row r="218" spans="2:4" x14ac:dyDescent="0.25">
      <c r="B218" s="33" t="s">
        <v>266</v>
      </c>
      <c r="C218" s="114">
        <f>H162</f>
        <v>29673.216000000008</v>
      </c>
    </row>
    <row r="219" spans="2:4" x14ac:dyDescent="0.25">
      <c r="B219" s="33" t="s">
        <v>273</v>
      </c>
      <c r="C219" s="114">
        <f>C173</f>
        <v>10376.294399999999</v>
      </c>
      <c r="D219" s="156">
        <f>C219/1000</f>
        <v>10.376294399999999</v>
      </c>
    </row>
    <row r="220" spans="2:4" x14ac:dyDescent="0.25">
      <c r="B220" s="33" t="s">
        <v>267</v>
      </c>
      <c r="C220" s="88">
        <f>C219/C217</f>
        <v>0.25908667287977627</v>
      </c>
    </row>
    <row r="221" spans="2:4" x14ac:dyDescent="0.25">
      <c r="B221" s="33" t="s">
        <v>268</v>
      </c>
      <c r="C221" s="122">
        <f>C186</f>
        <v>4088778.8083199998</v>
      </c>
      <c r="D221" s="18">
        <f>C221</f>
        <v>4088778.8083199998</v>
      </c>
    </row>
    <row r="222" spans="2:4" x14ac:dyDescent="0.25">
      <c r="B222" s="33" t="s">
        <v>269</v>
      </c>
      <c r="C222" s="107">
        <f>C192</f>
        <v>10778876.199999999</v>
      </c>
    </row>
    <row r="223" spans="2:4" x14ac:dyDescent="0.25">
      <c r="B223" s="33" t="s">
        <v>270</v>
      </c>
      <c r="C223" s="115">
        <f>E194</f>
        <v>2.6362091727893766</v>
      </c>
    </row>
    <row r="224" spans="2:4" x14ac:dyDescent="0.25">
      <c r="B224" s="33" t="s">
        <v>271</v>
      </c>
      <c r="C224" s="347">
        <v>10</v>
      </c>
    </row>
    <row r="225" spans="1:9" x14ac:dyDescent="0.25">
      <c r="B225" s="33" t="s">
        <v>272</v>
      </c>
      <c r="C225" s="117">
        <f>C210</f>
        <v>2.4737085849599998</v>
      </c>
    </row>
    <row r="228" spans="1:9" ht="15.75" thickBot="1" x14ac:dyDescent="0.3">
      <c r="B228" s="118"/>
      <c r="C228" s="118"/>
      <c r="D228" s="118"/>
      <c r="E228" s="118"/>
      <c r="F228" s="118"/>
      <c r="G228" s="118"/>
      <c r="H228" s="118"/>
      <c r="I228" s="118"/>
    </row>
    <row r="230" spans="1:9" ht="15.75" thickBot="1" x14ac:dyDescent="0.3">
      <c r="B230" s="123" t="s">
        <v>244</v>
      </c>
      <c r="C230" s="124"/>
      <c r="D230" s="124"/>
      <c r="E230" s="124"/>
      <c r="F230" s="124"/>
      <c r="G230" s="124"/>
    </row>
    <row r="231" spans="1:9" x14ac:dyDescent="0.25">
      <c r="A231" s="199" t="s">
        <v>363</v>
      </c>
      <c r="B231" s="101" t="str">
        <f>B6</f>
        <v>Situación actual</v>
      </c>
    </row>
    <row r="233" spans="1:9" x14ac:dyDescent="0.25">
      <c r="B233" s="68" t="s">
        <v>90</v>
      </c>
      <c r="C233" s="45" t="s">
        <v>91</v>
      </c>
      <c r="D233" s="45" t="s">
        <v>92</v>
      </c>
      <c r="E233" s="45" t="s">
        <v>93</v>
      </c>
      <c r="F233" s="45" t="s">
        <v>94</v>
      </c>
      <c r="G233" s="45" t="s">
        <v>95</v>
      </c>
      <c r="H233" s="45" t="s">
        <v>96</v>
      </c>
    </row>
    <row r="234" spans="1:9" x14ac:dyDescent="0.25">
      <c r="B234" s="31" t="str">
        <f>Cuantificador!C4</f>
        <v>Bomba de pozo</v>
      </c>
      <c r="C234" s="72">
        <f>Cuantificador!D4</f>
        <v>0.7</v>
      </c>
      <c r="D234" s="72">
        <f>Cuantificador!E4</f>
        <v>4</v>
      </c>
      <c r="E234" s="72">
        <f>Cuantificador!F4</f>
        <v>0.9</v>
      </c>
      <c r="F234" s="48">
        <f>C234*D234*E234</f>
        <v>2.52</v>
      </c>
      <c r="G234" s="48">
        <f>F234*5</f>
        <v>12.6</v>
      </c>
      <c r="H234" s="48">
        <f>G234*12</f>
        <v>151.19999999999999</v>
      </c>
    </row>
    <row r="235" spans="1:9" x14ac:dyDescent="0.25">
      <c r="B235" s="31" t="str">
        <f>Cuantificador!C5</f>
        <v>Bomba mezclador</v>
      </c>
      <c r="C235" s="72">
        <f>Cuantificador!D5</f>
        <v>5.6</v>
      </c>
      <c r="D235" s="72">
        <f>Cuantificador!E5</f>
        <v>4</v>
      </c>
      <c r="E235" s="72">
        <f>Cuantificador!F5</f>
        <v>0.9</v>
      </c>
      <c r="F235" s="48">
        <f t="shared" ref="F235:F253" si="13">C235*D235*E235</f>
        <v>20.16</v>
      </c>
      <c r="G235" s="48">
        <f t="shared" ref="G235:G253" si="14">F235*5</f>
        <v>100.8</v>
      </c>
      <c r="H235" s="48">
        <f t="shared" ref="H235:H253" si="15">G235*12</f>
        <v>1209.5999999999999</v>
      </c>
    </row>
    <row r="236" spans="1:9" x14ac:dyDescent="0.25">
      <c r="B236" s="31" t="str">
        <f>Cuantificador!C6</f>
        <v>Bomba para ácido</v>
      </c>
      <c r="C236" s="72">
        <f>Cuantificador!D6</f>
        <v>1.5</v>
      </c>
      <c r="D236" s="72">
        <f>Cuantificador!E6</f>
        <v>4</v>
      </c>
      <c r="E236" s="72">
        <f>Cuantificador!F6</f>
        <v>0.9</v>
      </c>
      <c r="F236" s="48">
        <f t="shared" si="13"/>
        <v>5.4</v>
      </c>
      <c r="G236" s="48">
        <f t="shared" si="14"/>
        <v>27</v>
      </c>
      <c r="H236" s="48">
        <f t="shared" si="15"/>
        <v>324</v>
      </c>
    </row>
    <row r="237" spans="1:9" x14ac:dyDescent="0.25">
      <c r="B237" s="31" t="str">
        <f>Cuantificador!C7</f>
        <v>Bomba para jabón (estanque de preparación)</v>
      </c>
      <c r="C237" s="72">
        <f>Cuantificador!D7</f>
        <v>3</v>
      </c>
      <c r="D237" s="72">
        <f>Cuantificador!E7</f>
        <v>4</v>
      </c>
      <c r="E237" s="72">
        <f>Cuantificador!F7</f>
        <v>0.9</v>
      </c>
      <c r="F237" s="48">
        <f t="shared" si="13"/>
        <v>10.8</v>
      </c>
      <c r="G237" s="48">
        <f t="shared" si="14"/>
        <v>54</v>
      </c>
      <c r="H237" s="48">
        <f t="shared" si="15"/>
        <v>648</v>
      </c>
    </row>
    <row r="238" spans="1:9" x14ac:dyDescent="0.25">
      <c r="B238" s="31" t="str">
        <f>Cuantificador!C8</f>
        <v>Bomba de kereosene (calentar agua)</v>
      </c>
      <c r="C238" s="72">
        <f>Cuantificador!D8</f>
        <v>0.2</v>
      </c>
      <c r="D238" s="72">
        <f>Cuantificador!E8</f>
        <v>4</v>
      </c>
      <c r="E238" s="72">
        <f>Cuantificador!F8</f>
        <v>0.9</v>
      </c>
      <c r="F238" s="48">
        <f t="shared" si="13"/>
        <v>0.72000000000000008</v>
      </c>
      <c r="G238" s="48">
        <f t="shared" si="14"/>
        <v>3.6000000000000005</v>
      </c>
      <c r="H238" s="48">
        <f t="shared" si="15"/>
        <v>43.2</v>
      </c>
    </row>
    <row r="239" spans="1:9" x14ac:dyDescent="0.25">
      <c r="B239" s="31" t="str">
        <f>Cuantificador!C9</f>
        <v>Bomba de jabón (agua preparada)</v>
      </c>
      <c r="C239" s="72">
        <f>Cuantificador!D9</f>
        <v>2.2000000000000002</v>
      </c>
      <c r="D239" s="72">
        <f>Cuantificador!E9</f>
        <v>4</v>
      </c>
      <c r="E239" s="72">
        <f>Cuantificador!F9</f>
        <v>0.9</v>
      </c>
      <c r="F239" s="48">
        <f t="shared" si="13"/>
        <v>7.9200000000000008</v>
      </c>
      <c r="G239" s="48">
        <f t="shared" si="14"/>
        <v>39.6</v>
      </c>
      <c r="H239" s="48">
        <f t="shared" si="15"/>
        <v>475.20000000000005</v>
      </c>
    </row>
    <row r="240" spans="1:9" x14ac:dyDescent="0.25">
      <c r="B240" s="100" t="str">
        <f>Cuantificador!C10</f>
        <v>Motor rotador emulsión</v>
      </c>
      <c r="C240" s="147">
        <f>Cuantificador!D10</f>
        <v>8.1999999999999993</v>
      </c>
      <c r="D240" s="147">
        <f>Cuantificador!E10</f>
        <v>4</v>
      </c>
      <c r="E240" s="147">
        <f>Cuantificador!F10</f>
        <v>0.9</v>
      </c>
      <c r="F240" s="82">
        <f t="shared" si="13"/>
        <v>29.52</v>
      </c>
      <c r="G240" s="82">
        <f t="shared" si="14"/>
        <v>147.6</v>
      </c>
      <c r="H240" s="82">
        <f t="shared" si="15"/>
        <v>1771.1999999999998</v>
      </c>
    </row>
    <row r="241" spans="2:9" x14ac:dyDescent="0.25">
      <c r="B241" s="31" t="str">
        <f>Cuantificador!C11</f>
        <v>Bomba de asfalto ex</v>
      </c>
      <c r="C241" s="72">
        <f>Cuantificador!D11</f>
        <v>3.7</v>
      </c>
      <c r="D241" s="72">
        <f>Cuantificador!E11</f>
        <v>4</v>
      </c>
      <c r="E241" s="72">
        <f>Cuantificador!F11</f>
        <v>0.9</v>
      </c>
      <c r="F241" s="48">
        <f t="shared" si="13"/>
        <v>13.32</v>
      </c>
      <c r="G241" s="48">
        <f t="shared" si="14"/>
        <v>66.599999999999994</v>
      </c>
      <c r="H241" s="48">
        <f t="shared" si="15"/>
        <v>799.19999999999993</v>
      </c>
    </row>
    <row r="242" spans="2:9" x14ac:dyDescent="0.25">
      <c r="B242" s="100" t="str">
        <f>Cuantificador!C12</f>
        <v>Bomba de asfalto in</v>
      </c>
      <c r="C242" s="147">
        <f>Cuantificador!D12</f>
        <v>11.2</v>
      </c>
      <c r="D242" s="147">
        <f>Cuantificador!E12</f>
        <v>4</v>
      </c>
      <c r="E242" s="147">
        <f>Cuantificador!F12</f>
        <v>0.9</v>
      </c>
      <c r="F242" s="82">
        <f t="shared" si="13"/>
        <v>40.32</v>
      </c>
      <c r="G242" s="82">
        <f t="shared" si="14"/>
        <v>201.6</v>
      </c>
      <c r="H242" s="82">
        <f t="shared" si="15"/>
        <v>2419.1999999999998</v>
      </c>
    </row>
    <row r="243" spans="2:9" x14ac:dyDescent="0.25">
      <c r="B243" s="31" t="str">
        <f>Cuantificador!C13</f>
        <v>Motor aceite térmico</v>
      </c>
      <c r="C243" s="72">
        <f>Cuantificador!D13</f>
        <v>1.3</v>
      </c>
      <c r="D243" s="72">
        <f>Cuantificador!E13</f>
        <v>4</v>
      </c>
      <c r="E243" s="72">
        <f>Cuantificador!F13</f>
        <v>0.9</v>
      </c>
      <c r="F243" s="48">
        <f t="shared" si="13"/>
        <v>4.6800000000000006</v>
      </c>
      <c r="G243" s="48">
        <f t="shared" si="14"/>
        <v>23.400000000000002</v>
      </c>
      <c r="H243" s="48">
        <f t="shared" si="15"/>
        <v>280.8</v>
      </c>
    </row>
    <row r="244" spans="2:9" x14ac:dyDescent="0.25">
      <c r="B244" s="31" t="str">
        <f>Cuantificador!C14</f>
        <v>Bomba de emulsión</v>
      </c>
      <c r="C244" s="72">
        <f>Cuantificador!D14</f>
        <v>5.6</v>
      </c>
      <c r="D244" s="72">
        <f>Cuantificador!E14</f>
        <v>4</v>
      </c>
      <c r="E244" s="72">
        <f>Cuantificador!F14</f>
        <v>0.9</v>
      </c>
      <c r="F244" s="48">
        <f t="shared" si="13"/>
        <v>20.16</v>
      </c>
      <c r="G244" s="48">
        <f t="shared" si="14"/>
        <v>100.8</v>
      </c>
      <c r="H244" s="48">
        <f t="shared" si="15"/>
        <v>1209.5999999999999</v>
      </c>
    </row>
    <row r="245" spans="2:9" x14ac:dyDescent="0.25">
      <c r="B245" s="100" t="str">
        <f>Cuantificador!C15</f>
        <v>Motor de mezcladora</v>
      </c>
      <c r="C245" s="147">
        <f>Cuantificador!D15</f>
        <v>22.4</v>
      </c>
      <c r="D245" s="147">
        <f>Cuantificador!E15</f>
        <v>4</v>
      </c>
      <c r="E245" s="147">
        <f>Cuantificador!F15</f>
        <v>0.9</v>
      </c>
      <c r="F245" s="82">
        <f t="shared" si="13"/>
        <v>80.64</v>
      </c>
      <c r="G245" s="82">
        <f t="shared" si="14"/>
        <v>403.2</v>
      </c>
      <c r="H245" s="82">
        <f t="shared" si="15"/>
        <v>4838.3999999999996</v>
      </c>
    </row>
    <row r="246" spans="2:9" x14ac:dyDescent="0.25">
      <c r="B246" s="31" t="str">
        <f>Cuantificador!C16</f>
        <v>Bomba de emulsiones</v>
      </c>
      <c r="C246" s="72">
        <f>Cuantificador!D16</f>
        <v>7.5</v>
      </c>
      <c r="D246" s="72">
        <f>Cuantificador!E16</f>
        <v>4</v>
      </c>
      <c r="E246" s="72">
        <f>Cuantificador!F16</f>
        <v>0.9</v>
      </c>
      <c r="F246" s="48">
        <f t="shared" si="13"/>
        <v>27</v>
      </c>
      <c r="G246" s="48">
        <f t="shared" si="14"/>
        <v>135</v>
      </c>
      <c r="H246" s="48">
        <f t="shared" si="15"/>
        <v>1620</v>
      </c>
    </row>
    <row r="247" spans="2:9" x14ac:dyDescent="0.25">
      <c r="B247" s="31" t="s">
        <v>444</v>
      </c>
      <c r="C247" s="48">
        <v>1.5</v>
      </c>
      <c r="D247" s="60">
        <v>4</v>
      </c>
      <c r="E247" s="262">
        <v>0.9</v>
      </c>
      <c r="F247" s="48">
        <f t="shared" si="13"/>
        <v>5.4</v>
      </c>
      <c r="G247" s="48">
        <f t="shared" si="14"/>
        <v>27</v>
      </c>
      <c r="H247" s="48">
        <f t="shared" si="15"/>
        <v>324</v>
      </c>
      <c r="I247" s="21"/>
    </row>
    <row r="248" spans="2:9" x14ac:dyDescent="0.25">
      <c r="B248" s="31" t="s">
        <v>445</v>
      </c>
      <c r="C248" s="48">
        <v>1.5</v>
      </c>
      <c r="D248" s="60">
        <v>4</v>
      </c>
      <c r="E248" s="262">
        <v>0.9</v>
      </c>
      <c r="F248" s="48">
        <f t="shared" si="13"/>
        <v>5.4</v>
      </c>
      <c r="G248" s="48">
        <f t="shared" si="14"/>
        <v>27</v>
      </c>
      <c r="H248" s="48">
        <f t="shared" si="15"/>
        <v>324</v>
      </c>
      <c r="I248" s="21"/>
    </row>
    <row r="249" spans="2:9" x14ac:dyDescent="0.25">
      <c r="B249" s="31" t="str">
        <f>Cuantificador!C19</f>
        <v>Motor reductor de chispa</v>
      </c>
      <c r="C249" s="72">
        <f>Cuantificador!D19</f>
        <v>1.5</v>
      </c>
      <c r="D249" s="72">
        <f>Cuantificador!E19</f>
        <v>4</v>
      </c>
      <c r="E249" s="72">
        <f>Cuantificador!F19</f>
        <v>0.9</v>
      </c>
      <c r="F249" s="48">
        <f t="shared" si="13"/>
        <v>5.4</v>
      </c>
      <c r="G249" s="48">
        <f t="shared" si="14"/>
        <v>27</v>
      </c>
      <c r="H249" s="48">
        <f t="shared" si="15"/>
        <v>324</v>
      </c>
    </row>
    <row r="250" spans="2:9" x14ac:dyDescent="0.25">
      <c r="B250" s="31" t="str">
        <f>Cuantificador!C20</f>
        <v>Motor banda transportadora</v>
      </c>
      <c r="C250" s="72">
        <f>Cuantificador!D20</f>
        <v>1.6</v>
      </c>
      <c r="D250" s="72">
        <f>Cuantificador!E20</f>
        <v>4</v>
      </c>
      <c r="E250" s="72">
        <f>Cuantificador!F20</f>
        <v>0.9</v>
      </c>
      <c r="F250" s="48">
        <f t="shared" si="13"/>
        <v>5.7600000000000007</v>
      </c>
      <c r="G250" s="48">
        <f t="shared" si="14"/>
        <v>28.800000000000004</v>
      </c>
      <c r="H250" s="48">
        <f t="shared" si="15"/>
        <v>345.6</v>
      </c>
    </row>
    <row r="251" spans="2:9" x14ac:dyDescent="0.25">
      <c r="B251" s="31" t="str">
        <f>Cuantificador!C21</f>
        <v>Bomba de agua</v>
      </c>
      <c r="C251" s="72">
        <f>Cuantificador!D21</f>
        <v>1.5</v>
      </c>
      <c r="D251" s="72">
        <f>Cuantificador!E21</f>
        <v>4</v>
      </c>
      <c r="E251" s="72">
        <f>Cuantificador!F21</f>
        <v>0.9</v>
      </c>
      <c r="F251" s="48">
        <f t="shared" si="13"/>
        <v>5.4</v>
      </c>
      <c r="G251" s="48">
        <f t="shared" si="14"/>
        <v>27</v>
      </c>
      <c r="H251" s="48">
        <f t="shared" si="15"/>
        <v>324</v>
      </c>
    </row>
    <row r="252" spans="2:9" x14ac:dyDescent="0.25">
      <c r="B252" s="31" t="str">
        <f>Cuantificador!C22</f>
        <v>Bomba de asfalto</v>
      </c>
      <c r="C252" s="72">
        <f>Cuantificador!D22</f>
        <v>0.7</v>
      </c>
      <c r="D252" s="72">
        <f>Cuantificador!E22</f>
        <v>4</v>
      </c>
      <c r="E252" s="72">
        <f>Cuantificador!F22</f>
        <v>0.9</v>
      </c>
      <c r="F252" s="48">
        <f t="shared" si="13"/>
        <v>2.52</v>
      </c>
      <c r="G252" s="48">
        <f t="shared" si="14"/>
        <v>12.6</v>
      </c>
      <c r="H252" s="48">
        <f t="shared" si="15"/>
        <v>151.19999999999999</v>
      </c>
    </row>
    <row r="253" spans="2:9" x14ac:dyDescent="0.25">
      <c r="B253" s="31" t="str">
        <f>Cuantificador!C23</f>
        <v>Bomba contra incendio</v>
      </c>
      <c r="C253" s="72">
        <f>Cuantificador!D23</f>
        <v>3</v>
      </c>
      <c r="D253" s="72">
        <f>Cuantificador!E23</f>
        <v>4</v>
      </c>
      <c r="E253" s="72">
        <f>Cuantificador!F23</f>
        <v>0.9</v>
      </c>
      <c r="F253" s="48">
        <f t="shared" si="13"/>
        <v>10.8</v>
      </c>
      <c r="G253" s="48">
        <f t="shared" si="14"/>
        <v>54</v>
      </c>
      <c r="H253" s="48">
        <f t="shared" si="15"/>
        <v>648</v>
      </c>
    </row>
    <row r="254" spans="2:9" x14ac:dyDescent="0.25">
      <c r="B254" s="31" t="s">
        <v>64</v>
      </c>
      <c r="C254" s="73">
        <f>SUM(C234:C253)</f>
        <v>84.399999999999991</v>
      </c>
      <c r="D254" s="62"/>
      <c r="E254" s="62"/>
      <c r="F254" s="73">
        <f>SUM(F234:F253)</f>
        <v>303.83999999999986</v>
      </c>
      <c r="G254" s="48">
        <f>SUM(G234:G253)</f>
        <v>1519.1999999999998</v>
      </c>
      <c r="H254" s="73">
        <f>SUM(H234:H253)</f>
        <v>18230.399999999998</v>
      </c>
    </row>
    <row r="256" spans="2:9" x14ac:dyDescent="0.25">
      <c r="G256" s="1"/>
      <c r="H256" s="1"/>
    </row>
    <row r="257" spans="1:19" x14ac:dyDescent="0.25">
      <c r="G257" s="1"/>
      <c r="H257" s="1"/>
    </row>
    <row r="258" spans="1:19" x14ac:dyDescent="0.25">
      <c r="B258" s="148" t="s">
        <v>289</v>
      </c>
    </row>
    <row r="260" spans="1:19" x14ac:dyDescent="0.25">
      <c r="B260" s="68" t="s">
        <v>90</v>
      </c>
      <c r="C260" s="45" t="s">
        <v>91</v>
      </c>
      <c r="D260" s="45" t="s">
        <v>92</v>
      </c>
      <c r="E260" s="45" t="s">
        <v>93</v>
      </c>
      <c r="F260" s="45" t="s">
        <v>94</v>
      </c>
      <c r="G260" s="45" t="s">
        <v>95</v>
      </c>
      <c r="H260" s="45" t="s">
        <v>96</v>
      </c>
    </row>
    <row r="261" spans="1:19" x14ac:dyDescent="0.25">
      <c r="B261" s="150" t="str">
        <f t="shared" ref="B261:H261" si="16">B240</f>
        <v>Motor rotador emulsión</v>
      </c>
      <c r="C261" s="31">
        <f t="shared" si="16"/>
        <v>8.1999999999999993</v>
      </c>
      <c r="D261" s="31">
        <f t="shared" si="16"/>
        <v>4</v>
      </c>
      <c r="E261" s="31">
        <f t="shared" si="16"/>
        <v>0.9</v>
      </c>
      <c r="F261" s="31">
        <f t="shared" si="16"/>
        <v>29.52</v>
      </c>
      <c r="G261" s="31">
        <f t="shared" si="16"/>
        <v>147.6</v>
      </c>
      <c r="H261" s="31">
        <f t="shared" si="16"/>
        <v>1771.1999999999998</v>
      </c>
    </row>
    <row r="262" spans="1:19" x14ac:dyDescent="0.25">
      <c r="B262" s="151" t="str">
        <f t="shared" ref="B262:H262" si="17">B242</f>
        <v>Bomba de asfalto in</v>
      </c>
      <c r="C262" s="31">
        <f t="shared" si="17"/>
        <v>11.2</v>
      </c>
      <c r="D262" s="31">
        <f t="shared" si="17"/>
        <v>4</v>
      </c>
      <c r="E262" s="31">
        <f t="shared" si="17"/>
        <v>0.9</v>
      </c>
      <c r="F262" s="31">
        <f t="shared" si="17"/>
        <v>40.32</v>
      </c>
      <c r="G262" s="31">
        <f t="shared" si="17"/>
        <v>201.6</v>
      </c>
      <c r="H262" s="31">
        <f t="shared" si="17"/>
        <v>2419.1999999999998</v>
      </c>
    </row>
    <row r="263" spans="1:19" x14ac:dyDescent="0.25">
      <c r="B263" s="152" t="str">
        <f t="shared" ref="B263:H263" si="18">B245</f>
        <v>Motor de mezcladora</v>
      </c>
      <c r="C263" s="31">
        <f t="shared" si="18"/>
        <v>22.4</v>
      </c>
      <c r="D263" s="31">
        <f t="shared" si="18"/>
        <v>4</v>
      </c>
      <c r="E263" s="31">
        <f t="shared" si="18"/>
        <v>0.9</v>
      </c>
      <c r="F263" s="31">
        <f t="shared" si="18"/>
        <v>80.64</v>
      </c>
      <c r="G263" s="31">
        <f t="shared" si="18"/>
        <v>403.2</v>
      </c>
      <c r="H263" s="31">
        <f t="shared" si="18"/>
        <v>4838.3999999999996</v>
      </c>
    </row>
    <row r="264" spans="1:19" x14ac:dyDescent="0.25">
      <c r="B264" s="31" t="s">
        <v>64</v>
      </c>
      <c r="H264" s="73">
        <f>SUM(H261:H263)</f>
        <v>9028.7999999999993</v>
      </c>
    </row>
    <row r="266" spans="1:19" x14ac:dyDescent="0.25">
      <c r="A266" s="199" t="s">
        <v>363</v>
      </c>
      <c r="B266" s="101" t="str">
        <f>B7</f>
        <v>Situación propuesta</v>
      </c>
    </row>
    <row r="267" spans="1:19" x14ac:dyDescent="0.25">
      <c r="B267" t="s">
        <v>295</v>
      </c>
    </row>
    <row r="270" spans="1:19" x14ac:dyDescent="0.25">
      <c r="A270" s="199" t="s">
        <v>363</v>
      </c>
      <c r="B270" s="101" t="str">
        <f>B8</f>
        <v>Viabilidad técnica</v>
      </c>
    </row>
    <row r="272" spans="1:19" x14ac:dyDescent="0.25">
      <c r="B272" s="31" t="s">
        <v>296</v>
      </c>
      <c r="C272" s="88">
        <v>0.93</v>
      </c>
      <c r="D272" s="88">
        <v>0.93</v>
      </c>
      <c r="E272" s="88">
        <v>0.93</v>
      </c>
      <c r="J272" s="66" t="s">
        <v>130</v>
      </c>
      <c r="S272" s="22"/>
    </row>
    <row r="273" spans="1:10" ht="16.5" x14ac:dyDescent="0.3">
      <c r="B273" s="31" t="s">
        <v>297</v>
      </c>
      <c r="C273" s="149">
        <v>10</v>
      </c>
      <c r="D273" s="149">
        <v>15</v>
      </c>
      <c r="E273" s="149">
        <v>30</v>
      </c>
      <c r="J273" s="67" t="s">
        <v>131</v>
      </c>
    </row>
    <row r="274" spans="1:10" ht="16.5" x14ac:dyDescent="0.3">
      <c r="B274" s="31"/>
      <c r="C274" s="153">
        <f>C273*0.7457</f>
        <v>7.4570000000000007</v>
      </c>
      <c r="D274" s="153">
        <f>D273*0.7457</f>
        <v>11.185500000000001</v>
      </c>
      <c r="E274" s="153">
        <f>E273*0.7457</f>
        <v>22.371000000000002</v>
      </c>
      <c r="J274" s="67" t="s">
        <v>132</v>
      </c>
    </row>
    <row r="275" spans="1:10" x14ac:dyDescent="0.25">
      <c r="B275" s="31" t="s">
        <v>299</v>
      </c>
      <c r="C275" s="142">
        <v>250000</v>
      </c>
      <c r="D275" s="142">
        <v>250000</v>
      </c>
      <c r="E275" s="142">
        <v>250000</v>
      </c>
      <c r="J275" s="36" t="s">
        <v>129</v>
      </c>
    </row>
    <row r="276" spans="1:10" x14ac:dyDescent="0.25">
      <c r="B276" s="31" t="s">
        <v>298</v>
      </c>
      <c r="C276" s="31">
        <v>120</v>
      </c>
      <c r="D276" s="31">
        <v>120</v>
      </c>
      <c r="E276" s="31">
        <v>120</v>
      </c>
    </row>
    <row r="279" spans="1:10" x14ac:dyDescent="0.25">
      <c r="A279" s="199" t="s">
        <v>363</v>
      </c>
      <c r="B279" s="101" t="str">
        <f>B11</f>
        <v>Viabilidad económica</v>
      </c>
    </row>
    <row r="280" spans="1:10" x14ac:dyDescent="0.25">
      <c r="B280" s="16"/>
    </row>
    <row r="281" spans="1:10" x14ac:dyDescent="0.25">
      <c r="B281" s="92"/>
      <c r="C281" s="92"/>
      <c r="D281" s="92"/>
      <c r="E281" s="92"/>
      <c r="F281" s="92"/>
      <c r="G281" s="92"/>
    </row>
    <row r="282" spans="1:10" x14ac:dyDescent="0.25">
      <c r="B282" s="158" t="str">
        <f>B261</f>
        <v>Motor rotador emulsión</v>
      </c>
    </row>
    <row r="284" spans="1:10" x14ac:dyDescent="0.25">
      <c r="B284" s="1" t="s">
        <v>448</v>
      </c>
      <c r="C284" s="35">
        <v>0.78</v>
      </c>
    </row>
    <row r="288" spans="1:10" x14ac:dyDescent="0.25">
      <c r="C288" s="93"/>
    </row>
    <row r="289" spans="2:3" x14ac:dyDescent="0.25">
      <c r="B289" s="32" t="s">
        <v>300</v>
      </c>
      <c r="C289" s="159">
        <f>C284-0.03</f>
        <v>0.75</v>
      </c>
    </row>
    <row r="303" spans="2:3" x14ac:dyDescent="0.25">
      <c r="B303" t="s">
        <v>301</v>
      </c>
      <c r="C303" s="141">
        <f>C274*C308*C276*(1/C289-1/C272)</f>
        <v>184.74116129032262</v>
      </c>
    </row>
    <row r="305" spans="1:7" x14ac:dyDescent="0.25">
      <c r="B305" s="33" t="s">
        <v>263</v>
      </c>
      <c r="C305" s="31" t="s">
        <v>302</v>
      </c>
    </row>
    <row r="306" spans="1:7" x14ac:dyDescent="0.25">
      <c r="B306" s="33" t="s">
        <v>305</v>
      </c>
      <c r="C306" s="31" t="s">
        <v>303</v>
      </c>
    </row>
    <row r="307" spans="1:7" x14ac:dyDescent="0.25">
      <c r="B307" s="33" t="s">
        <v>312</v>
      </c>
      <c r="C307" s="149">
        <f>C240/0.7457</f>
        <v>10.996379240981627</v>
      </c>
    </row>
    <row r="308" spans="1:7" x14ac:dyDescent="0.25">
      <c r="B308" s="33" t="s">
        <v>304</v>
      </c>
      <c r="C308" s="61">
        <v>0.8</v>
      </c>
      <c r="D308" s="1">
        <v>0.9</v>
      </c>
    </row>
    <row r="309" spans="1:7" x14ac:dyDescent="0.25">
      <c r="B309" s="33" t="s">
        <v>306</v>
      </c>
      <c r="C309" s="154">
        <v>1</v>
      </c>
    </row>
    <row r="310" spans="1:7" x14ac:dyDescent="0.25">
      <c r="B310" s="33" t="s">
        <v>307</v>
      </c>
      <c r="C310" s="155">
        <f>C275</f>
        <v>250000</v>
      </c>
    </row>
    <row r="311" spans="1:7" x14ac:dyDescent="0.25">
      <c r="B311" s="33" t="s">
        <v>308</v>
      </c>
      <c r="C311" s="88">
        <f>C289</f>
        <v>0.75</v>
      </c>
    </row>
    <row r="312" spans="1:7" x14ac:dyDescent="0.25">
      <c r="B312" s="33" t="s">
        <v>309</v>
      </c>
      <c r="C312" s="88">
        <v>0.93</v>
      </c>
    </row>
    <row r="313" spans="1:7" x14ac:dyDescent="0.25">
      <c r="B313" s="33" t="s">
        <v>311</v>
      </c>
      <c r="C313" s="149">
        <v>10</v>
      </c>
    </row>
    <row r="314" spans="1:7" x14ac:dyDescent="0.25">
      <c r="B314" s="33" t="s">
        <v>310</v>
      </c>
      <c r="C314" s="157">
        <f>C276</f>
        <v>120</v>
      </c>
    </row>
    <row r="315" spans="1:7" ht="15.75" thickBot="1" x14ac:dyDescent="0.3">
      <c r="B315" s="98"/>
      <c r="C315" s="98"/>
      <c r="D315" s="98"/>
      <c r="E315" s="98"/>
      <c r="F315" s="98"/>
      <c r="G315" s="98"/>
    </row>
    <row r="318" spans="1:7" x14ac:dyDescent="0.25">
      <c r="B318" s="92"/>
      <c r="C318" s="92"/>
      <c r="D318" s="92"/>
      <c r="E318" s="92"/>
      <c r="F318" s="92"/>
      <c r="G318" s="92"/>
    </row>
    <row r="319" spans="1:7" x14ac:dyDescent="0.25">
      <c r="A319" s="199" t="s">
        <v>363</v>
      </c>
      <c r="B319" s="160" t="str">
        <f>B262</f>
        <v>Bomba de asfalto in</v>
      </c>
    </row>
    <row r="321" spans="2:3" x14ac:dyDescent="0.25">
      <c r="B321" s="1" t="s">
        <v>448</v>
      </c>
      <c r="C321" s="35">
        <v>0.78</v>
      </c>
    </row>
    <row r="325" spans="2:3" x14ac:dyDescent="0.25">
      <c r="C325" s="93"/>
    </row>
    <row r="326" spans="2:3" x14ac:dyDescent="0.25">
      <c r="B326" s="32" t="s">
        <v>300</v>
      </c>
      <c r="C326" s="159">
        <f>C321-0.03</f>
        <v>0.75</v>
      </c>
    </row>
    <row r="340" spans="2:7" x14ac:dyDescent="0.25">
      <c r="B340" t="s">
        <v>301</v>
      </c>
      <c r="C340" s="141">
        <f>D274*C345*D276*(1/C326-1/D272)</f>
        <v>277.11174193548391</v>
      </c>
    </row>
    <row r="342" spans="2:7" x14ac:dyDescent="0.25">
      <c r="B342" s="33" t="s">
        <v>263</v>
      </c>
      <c r="C342" s="31" t="s">
        <v>302</v>
      </c>
    </row>
    <row r="343" spans="2:7" x14ac:dyDescent="0.25">
      <c r="B343" s="33" t="s">
        <v>305</v>
      </c>
      <c r="C343" s="31" t="s">
        <v>303</v>
      </c>
    </row>
    <row r="344" spans="2:7" x14ac:dyDescent="0.25">
      <c r="B344" s="33" t="s">
        <v>312</v>
      </c>
      <c r="C344" s="149">
        <f>C242/0.7457</f>
        <v>15.019444816950514</v>
      </c>
    </row>
    <row r="345" spans="2:7" x14ac:dyDescent="0.25">
      <c r="B345" s="33" t="s">
        <v>304</v>
      </c>
      <c r="C345" s="61">
        <v>0.8</v>
      </c>
      <c r="D345" s="1">
        <v>0.9</v>
      </c>
    </row>
    <row r="346" spans="2:7" x14ac:dyDescent="0.25">
      <c r="B346" s="33" t="s">
        <v>306</v>
      </c>
      <c r="C346" s="154">
        <v>1</v>
      </c>
    </row>
    <row r="347" spans="2:7" x14ac:dyDescent="0.25">
      <c r="B347" s="33" t="s">
        <v>307</v>
      </c>
      <c r="C347" s="155">
        <f>D275</f>
        <v>250000</v>
      </c>
    </row>
    <row r="348" spans="2:7" x14ac:dyDescent="0.25">
      <c r="B348" s="33" t="s">
        <v>308</v>
      </c>
      <c r="C348" s="88">
        <f>C326</f>
        <v>0.75</v>
      </c>
    </row>
    <row r="349" spans="2:7" x14ac:dyDescent="0.25">
      <c r="B349" s="33" t="s">
        <v>309</v>
      </c>
      <c r="C349" s="88">
        <v>0.93</v>
      </c>
    </row>
    <row r="350" spans="2:7" x14ac:dyDescent="0.25">
      <c r="B350" s="33" t="s">
        <v>311</v>
      </c>
      <c r="C350" s="149">
        <v>15</v>
      </c>
    </row>
    <row r="351" spans="2:7" x14ac:dyDescent="0.25">
      <c r="B351" s="33" t="s">
        <v>310</v>
      </c>
      <c r="C351" s="157">
        <f>D276</f>
        <v>120</v>
      </c>
    </row>
    <row r="352" spans="2:7" ht="15.75" thickBot="1" x14ac:dyDescent="0.3">
      <c r="B352" s="98"/>
      <c r="C352" s="98"/>
      <c r="D352" s="98"/>
      <c r="E352" s="98"/>
      <c r="F352" s="98"/>
      <c r="G352" s="98"/>
    </row>
    <row r="355" spans="1:7" x14ac:dyDescent="0.25">
      <c r="B355" s="92"/>
      <c r="C355" s="92"/>
      <c r="D355" s="92"/>
      <c r="E355" s="92"/>
      <c r="F355" s="92"/>
      <c r="G355" s="92"/>
    </row>
    <row r="356" spans="1:7" x14ac:dyDescent="0.25">
      <c r="A356" s="199" t="s">
        <v>363</v>
      </c>
      <c r="B356" s="161" t="str">
        <f>B263</f>
        <v>Motor de mezcladora</v>
      </c>
    </row>
    <row r="358" spans="1:7" x14ac:dyDescent="0.25">
      <c r="B358" s="1" t="s">
        <v>448</v>
      </c>
      <c r="C358" s="35">
        <v>0.78</v>
      </c>
    </row>
    <row r="362" spans="1:7" x14ac:dyDescent="0.25">
      <c r="C362" s="93"/>
    </row>
    <row r="363" spans="1:7" x14ac:dyDescent="0.25">
      <c r="B363" s="32" t="s">
        <v>300</v>
      </c>
      <c r="C363" s="159">
        <f>C358-0.03</f>
        <v>0.75</v>
      </c>
    </row>
    <row r="377" spans="2:4" x14ac:dyDescent="0.25">
      <c r="B377" t="s">
        <v>301</v>
      </c>
      <c r="C377" s="141">
        <f>E274*C382*E276*(1/C363-1/E272)</f>
        <v>554.22348387096781</v>
      </c>
    </row>
    <row r="379" spans="2:4" x14ac:dyDescent="0.25">
      <c r="B379" s="33" t="s">
        <v>263</v>
      </c>
      <c r="C379" s="31" t="s">
        <v>302</v>
      </c>
    </row>
    <row r="380" spans="2:4" x14ac:dyDescent="0.25">
      <c r="B380" s="33" t="s">
        <v>305</v>
      </c>
      <c r="C380" s="31" t="s">
        <v>303</v>
      </c>
    </row>
    <row r="381" spans="2:4" x14ac:dyDescent="0.25">
      <c r="B381" s="33" t="s">
        <v>312</v>
      </c>
      <c r="C381" s="149">
        <f>C263/0.7457</f>
        <v>30.038889633901029</v>
      </c>
    </row>
    <row r="382" spans="2:4" x14ac:dyDescent="0.25">
      <c r="B382" s="33" t="s">
        <v>304</v>
      </c>
      <c r="C382" s="61">
        <v>0.8</v>
      </c>
      <c r="D382" s="1">
        <v>0.9</v>
      </c>
    </row>
    <row r="383" spans="2:4" x14ac:dyDescent="0.25">
      <c r="B383" s="33" t="s">
        <v>306</v>
      </c>
      <c r="C383" s="154">
        <v>1</v>
      </c>
    </row>
    <row r="384" spans="2:4" x14ac:dyDescent="0.25">
      <c r="B384" s="33" t="s">
        <v>307</v>
      </c>
      <c r="C384" s="155">
        <f>E275</f>
        <v>250000</v>
      </c>
    </row>
    <row r="385" spans="2:8" x14ac:dyDescent="0.25">
      <c r="B385" s="33" t="s">
        <v>308</v>
      </c>
      <c r="C385" s="88">
        <f>C363</f>
        <v>0.75</v>
      </c>
    </row>
    <row r="386" spans="2:8" x14ac:dyDescent="0.25">
      <c r="B386" s="33" t="s">
        <v>309</v>
      </c>
      <c r="C386" s="88">
        <v>0.93</v>
      </c>
    </row>
    <row r="387" spans="2:8" x14ac:dyDescent="0.25">
      <c r="B387" s="33" t="s">
        <v>311</v>
      </c>
      <c r="C387" s="149">
        <v>30</v>
      </c>
    </row>
    <row r="388" spans="2:8" x14ac:dyDescent="0.25">
      <c r="B388" s="33" t="s">
        <v>310</v>
      </c>
      <c r="C388" s="157">
        <f>E276</f>
        <v>120</v>
      </c>
    </row>
    <row r="389" spans="2:8" ht="15.75" thickBot="1" x14ac:dyDescent="0.3">
      <c r="B389" s="98"/>
      <c r="C389" s="98"/>
      <c r="D389" s="98"/>
      <c r="E389" s="98"/>
      <c r="F389" s="98"/>
      <c r="G389" s="98"/>
    </row>
    <row r="391" spans="2:8" x14ac:dyDescent="0.25">
      <c r="C391" s="17" t="s">
        <v>313</v>
      </c>
      <c r="D391" s="17" t="s">
        <v>269</v>
      </c>
    </row>
    <row r="392" spans="2:8" x14ac:dyDescent="0.25">
      <c r="B392" s="162" t="str">
        <f>B282</f>
        <v>Motor rotador emulsión</v>
      </c>
      <c r="C392" s="164">
        <f>C313</f>
        <v>10</v>
      </c>
      <c r="D392" s="163">
        <v>649000</v>
      </c>
      <c r="F392" s="785" t="s">
        <v>318</v>
      </c>
    </row>
    <row r="393" spans="2:8" x14ac:dyDescent="0.25">
      <c r="B393" s="162" t="str">
        <f>B319</f>
        <v>Bomba de asfalto in</v>
      </c>
      <c r="C393" s="164">
        <f>C350</f>
        <v>15</v>
      </c>
      <c r="D393" s="163">
        <v>945000</v>
      </c>
      <c r="F393" s="785"/>
      <c r="G393" t="s">
        <v>1180</v>
      </c>
      <c r="H393" s="36" t="s">
        <v>454</v>
      </c>
    </row>
    <row r="394" spans="2:8" x14ac:dyDescent="0.25">
      <c r="B394" s="162" t="str">
        <f>B356</f>
        <v>Motor de mezcladora</v>
      </c>
      <c r="C394" s="164">
        <f>C387</f>
        <v>30</v>
      </c>
      <c r="D394" s="163">
        <v>1700000</v>
      </c>
      <c r="F394" s="785"/>
    </row>
    <row r="395" spans="2:8" x14ac:dyDescent="0.25">
      <c r="H395" s="36" t="s">
        <v>455</v>
      </c>
    </row>
    <row r="399" spans="2:8" x14ac:dyDescent="0.25">
      <c r="B399" s="32" t="s">
        <v>314</v>
      </c>
      <c r="C399" s="165">
        <f>(C303+C340+C377)*D78+(3*250000)</f>
        <v>1150384.900335484</v>
      </c>
      <c r="D399" s="105">
        <f>C399/980</f>
        <v>1173.8621431994734</v>
      </c>
    </row>
    <row r="401" spans="1:5" ht="17.25" x14ac:dyDescent="0.4">
      <c r="B401" s="696" t="s">
        <v>315</v>
      </c>
      <c r="C401" s="109" t="str">
        <f>D391</f>
        <v>Inversión</v>
      </c>
      <c r="D401" s="143">
        <f>D392+D393+D394</f>
        <v>3294000</v>
      </c>
      <c r="E401" s="283">
        <f>D401/D402</f>
        <v>2.8633894612484734</v>
      </c>
    </row>
    <row r="402" spans="1:5" x14ac:dyDescent="0.25">
      <c r="B402" s="696"/>
      <c r="C402" s="1" t="str">
        <f>B399</f>
        <v>Ahorro económico</v>
      </c>
      <c r="D402" s="144">
        <f>C399</f>
        <v>1150384.900335484</v>
      </c>
    </row>
    <row r="406" spans="1:5" x14ac:dyDescent="0.25">
      <c r="A406" s="199" t="s">
        <v>363</v>
      </c>
      <c r="B406" s="101" t="str">
        <f>B12</f>
        <v>Viabilidad ambiental</v>
      </c>
    </row>
    <row r="408" spans="1:5" x14ac:dyDescent="0.25">
      <c r="A408" s="263" t="s">
        <v>446</v>
      </c>
      <c r="B408" s="83">
        <f>'Indicadores Energéticos'!C155</f>
        <v>0.2384</v>
      </c>
      <c r="C408" t="str">
        <f>'Indicadores Energéticos'!D155</f>
        <v>Ton de CO₂/MWh  (factor por emisión de combustible)</v>
      </c>
    </row>
    <row r="414" spans="1:5" x14ac:dyDescent="0.25">
      <c r="B414" s="32" t="s">
        <v>272</v>
      </c>
      <c r="C414" s="358">
        <f>B408*(C303+C340+C377)/1000</f>
        <v>0.24223261068387103</v>
      </c>
    </row>
    <row r="416" spans="1:5" x14ac:dyDescent="0.25">
      <c r="B416" s="16" t="s">
        <v>262</v>
      </c>
      <c r="D416" s="103" t="s">
        <v>244</v>
      </c>
    </row>
    <row r="418" spans="2:9" x14ac:dyDescent="0.25">
      <c r="B418" s="33" t="s">
        <v>263</v>
      </c>
      <c r="C418" s="31" t="s">
        <v>244</v>
      </c>
    </row>
    <row r="419" spans="2:9" x14ac:dyDescent="0.25">
      <c r="B419" s="33" t="s">
        <v>305</v>
      </c>
      <c r="C419" s="31" t="s">
        <v>317</v>
      </c>
    </row>
    <row r="420" spans="2:9" x14ac:dyDescent="0.25">
      <c r="B420" s="33" t="s">
        <v>265</v>
      </c>
      <c r="C420" s="114">
        <f>H264</f>
        <v>9028.7999999999993</v>
      </c>
    </row>
    <row r="421" spans="2:9" x14ac:dyDescent="0.25">
      <c r="B421" s="33" t="s">
        <v>266</v>
      </c>
      <c r="C421" s="114">
        <f>C420-C422</f>
        <v>8012.7236129032244</v>
      </c>
    </row>
    <row r="422" spans="2:9" x14ac:dyDescent="0.25">
      <c r="B422" s="33" t="s">
        <v>273</v>
      </c>
      <c r="C422" s="114">
        <f>C303+C340+C377</f>
        <v>1016.0763870967744</v>
      </c>
    </row>
    <row r="423" spans="2:9" x14ac:dyDescent="0.25">
      <c r="B423" s="33" t="s">
        <v>267</v>
      </c>
      <c r="C423" s="168">
        <f>C422/C420</f>
        <v>0.1125372571212979</v>
      </c>
    </row>
    <row r="424" spans="2:9" x14ac:dyDescent="0.25">
      <c r="B424" s="33" t="s">
        <v>268</v>
      </c>
      <c r="C424" s="122">
        <f>C399</f>
        <v>1150384.900335484</v>
      </c>
      <c r="D424" s="18">
        <f>C424</f>
        <v>1150384.900335484</v>
      </c>
    </row>
    <row r="425" spans="2:9" x14ac:dyDescent="0.25">
      <c r="B425" s="33" t="s">
        <v>269</v>
      </c>
      <c r="C425" s="146">
        <f>D401</f>
        <v>3294000</v>
      </c>
    </row>
    <row r="426" spans="2:9" x14ac:dyDescent="0.25">
      <c r="B426" s="33" t="s">
        <v>270</v>
      </c>
      <c r="C426" s="166">
        <f>E401</f>
        <v>2.8633894612484734</v>
      </c>
    </row>
    <row r="427" spans="2:9" x14ac:dyDescent="0.25">
      <c r="B427" s="33" t="s">
        <v>271</v>
      </c>
      <c r="C427" s="167">
        <v>15</v>
      </c>
    </row>
    <row r="428" spans="2:9" x14ac:dyDescent="0.25">
      <c r="B428" s="33" t="s">
        <v>272</v>
      </c>
      <c r="C428" s="117">
        <f>C414</f>
        <v>0.24223261068387103</v>
      </c>
    </row>
    <row r="431" spans="2:9" ht="15.75" thickBot="1" x14ac:dyDescent="0.3">
      <c r="B431" s="118"/>
      <c r="C431" s="118"/>
      <c r="D431" s="118"/>
      <c r="E431" s="118"/>
      <c r="F431" s="118"/>
      <c r="G431" s="118"/>
      <c r="H431" s="118"/>
      <c r="I431" s="118"/>
    </row>
    <row r="433" spans="1:10" ht="15.75" thickBot="1" x14ac:dyDescent="0.3">
      <c r="B433" s="123" t="s">
        <v>245</v>
      </c>
      <c r="C433" s="124"/>
      <c r="D433" s="124"/>
      <c r="E433" s="124"/>
      <c r="F433" s="124"/>
      <c r="G433" s="124"/>
    </row>
    <row r="434" spans="1:10" x14ac:dyDescent="0.25">
      <c r="A434" s="199" t="s">
        <v>363</v>
      </c>
      <c r="B434" s="101" t="str">
        <f>B6</f>
        <v>Situación actual</v>
      </c>
    </row>
    <row r="435" spans="1:10" x14ac:dyDescent="0.25">
      <c r="B435" s="16"/>
    </row>
    <row r="436" spans="1:10" x14ac:dyDescent="0.25">
      <c r="C436" s="170" t="s">
        <v>140</v>
      </c>
      <c r="D436" s="170" t="s">
        <v>319</v>
      </c>
      <c r="E436" s="170" t="s">
        <v>321</v>
      </c>
      <c r="F436" s="170" t="s">
        <v>322</v>
      </c>
    </row>
    <row r="437" spans="1:10" x14ac:dyDescent="0.25">
      <c r="B437" s="17" t="s">
        <v>245</v>
      </c>
      <c r="C437" s="17">
        <v>5</v>
      </c>
      <c r="D437" s="17" t="s">
        <v>320</v>
      </c>
      <c r="E437" s="175">
        <f>F453</f>
        <v>3445.1420746224758</v>
      </c>
      <c r="F437" s="180">
        <f>'Balance Térmico'!E77</f>
        <v>484.04246148445793</v>
      </c>
    </row>
    <row r="439" spans="1:10" ht="15" customHeight="1" x14ac:dyDescent="0.25">
      <c r="A439" s="687" t="str">
        <f>Cuantificador!B117</f>
        <v>Área</v>
      </c>
      <c r="B439" s="687" t="str">
        <f>Cuantificador!C117</f>
        <v>Descripción</v>
      </c>
      <c r="C439" s="687" t="str">
        <f>Cuantificador!D117</f>
        <v>Capacidad de procesamiento  gal/hora (placa)</v>
      </c>
      <c r="D439" s="687" t="str">
        <f>Cuantificador!E117</f>
        <v>Capacidad de generación de energía kBTU/hora (placa)</v>
      </c>
      <c r="E439" s="687" t="str">
        <f>Cuantificador!F117</f>
        <v>Combustible consumido gal/mes</v>
      </c>
      <c r="F439" s="687" t="str">
        <f>Cuantificador!G117</f>
        <v>Consumo anual gal/año</v>
      </c>
    </row>
    <row r="440" spans="1:10" x14ac:dyDescent="0.25">
      <c r="A440" s="687"/>
      <c r="B440" s="687"/>
      <c r="C440" s="687"/>
      <c r="D440" s="687"/>
      <c r="E440" s="687"/>
      <c r="F440" s="687"/>
    </row>
    <row r="441" spans="1:10" x14ac:dyDescent="0.25">
      <c r="A441" s="687"/>
      <c r="B441" s="687"/>
      <c r="C441" s="687"/>
      <c r="D441" s="687"/>
      <c r="E441" s="687"/>
      <c r="F441" s="687"/>
    </row>
    <row r="442" spans="1:10" x14ac:dyDescent="0.25">
      <c r="A442" s="687"/>
      <c r="B442" s="687"/>
      <c r="C442" s="687"/>
      <c r="D442" s="687"/>
      <c r="E442" s="687"/>
      <c r="F442" s="687"/>
    </row>
    <row r="443" spans="1:10" x14ac:dyDescent="0.25">
      <c r="A443" s="687" t="str">
        <f>Cuantificador!B121</f>
        <v>Agua jabonosa y aditivos</v>
      </c>
      <c r="B443" s="687" t="str">
        <f>Cuantificador!C121</f>
        <v>Quemador kerosene</v>
      </c>
      <c r="C443" s="687" t="str">
        <f>Cuantificador!D121</f>
        <v>1,2 a 5,5</v>
      </c>
      <c r="D443" s="687" t="str">
        <f>Cuantificador!E121</f>
        <v>175 a 170</v>
      </c>
      <c r="E443" s="708">
        <f>'Balance Térmico'!G76</f>
        <v>31.633869039145907</v>
      </c>
      <c r="F443" s="708">
        <f>E443*12</f>
        <v>379.60642846975088</v>
      </c>
      <c r="G443" s="700">
        <f>F443</f>
        <v>379.60642846975088</v>
      </c>
      <c r="H443" s="710" t="s">
        <v>328</v>
      </c>
      <c r="I443" s="710"/>
      <c r="J443" s="710"/>
    </row>
    <row r="444" spans="1:10" x14ac:dyDescent="0.25">
      <c r="A444" s="687"/>
      <c r="B444" s="687"/>
      <c r="C444" s="687"/>
      <c r="D444" s="687"/>
      <c r="E444" s="709"/>
      <c r="F444" s="709"/>
      <c r="G444" s="700"/>
      <c r="H444" s="710"/>
      <c r="I444" s="710"/>
      <c r="J444" s="710"/>
    </row>
    <row r="445" spans="1:10" ht="15" customHeight="1" x14ac:dyDescent="0.25">
      <c r="A445" s="702" t="str">
        <f>Cuantificador!B123</f>
        <v>Almacenamiento y recirculación de asfalto</v>
      </c>
      <c r="B445" s="687" t="str">
        <f>Cuantificador!C123</f>
        <v>Quemador kerosene</v>
      </c>
      <c r="C445" s="702" t="str">
        <f>Cuantificador!D123</f>
        <v>1,2 a 5,5</v>
      </c>
      <c r="D445" s="702" t="str">
        <f>Cuantificador!E123</f>
        <v>175 a 170</v>
      </c>
      <c r="E445" s="705">
        <f>'Balance Térmico'!G74</f>
        <v>105.48042704626334</v>
      </c>
      <c r="F445" s="705">
        <f>E445*12</f>
        <v>1265.7651245551601</v>
      </c>
      <c r="G445" s="700">
        <f>F445</f>
        <v>1265.7651245551601</v>
      </c>
      <c r="H445" s="713" t="s">
        <v>330</v>
      </c>
      <c r="I445" s="713"/>
      <c r="J445" s="713"/>
    </row>
    <row r="446" spans="1:10" x14ac:dyDescent="0.25">
      <c r="A446" s="704"/>
      <c r="B446" s="687"/>
      <c r="C446" s="704"/>
      <c r="D446" s="704"/>
      <c r="E446" s="711"/>
      <c r="F446" s="706"/>
      <c r="G446" s="700"/>
      <c r="H446" s="713"/>
      <c r="I446" s="713"/>
      <c r="J446" s="713"/>
    </row>
    <row r="447" spans="1:10" x14ac:dyDescent="0.25">
      <c r="A447" s="704"/>
      <c r="B447" s="687" t="str">
        <f>Cuantificador!C125</f>
        <v>Quemador kerosene</v>
      </c>
      <c r="C447" s="704"/>
      <c r="D447" s="704"/>
      <c r="E447" s="711"/>
      <c r="F447" s="706"/>
      <c r="G447" s="700"/>
      <c r="H447" s="713"/>
      <c r="I447" s="713"/>
      <c r="J447" s="713"/>
    </row>
    <row r="448" spans="1:10" x14ac:dyDescent="0.25">
      <c r="A448" s="703"/>
      <c r="B448" s="687"/>
      <c r="C448" s="703"/>
      <c r="D448" s="703"/>
      <c r="E448" s="712"/>
      <c r="F448" s="707"/>
      <c r="G448" s="700"/>
      <c r="H448" s="713"/>
      <c r="I448" s="713"/>
      <c r="J448" s="713"/>
    </row>
    <row r="449" spans="1:10" x14ac:dyDescent="0.25">
      <c r="A449" s="702" t="str">
        <f>Cuantificador!B127</f>
        <v>Emulsión</v>
      </c>
      <c r="B449" s="687" t="str">
        <f>Cuantificador!C127</f>
        <v>Quemador kerosene (recirculación aceite térmico)</v>
      </c>
      <c r="C449" s="702" t="str">
        <f>Cuantificador!D127</f>
        <v>1,2 a 5,5</v>
      </c>
      <c r="D449" s="702" t="str">
        <f>Cuantificador!E127</f>
        <v>175 a 170</v>
      </c>
      <c r="E449" s="705">
        <f>'Balance Térmico'!G75</f>
        <v>149.98087679979704</v>
      </c>
      <c r="F449" s="697">
        <f>E449*12</f>
        <v>1799.7705215975645</v>
      </c>
      <c r="G449" s="700">
        <f>F449</f>
        <v>1799.7705215975645</v>
      </c>
      <c r="H449" s="701" t="s">
        <v>327</v>
      </c>
      <c r="I449" s="701"/>
      <c r="J449" s="701"/>
    </row>
    <row r="450" spans="1:10" x14ac:dyDescent="0.25">
      <c r="A450" s="704"/>
      <c r="B450" s="687"/>
      <c r="C450" s="704"/>
      <c r="D450" s="704"/>
      <c r="E450" s="706"/>
      <c r="F450" s="698"/>
      <c r="G450" s="700"/>
      <c r="H450" s="701"/>
      <c r="I450" s="701"/>
      <c r="J450" s="701"/>
    </row>
    <row r="451" spans="1:10" ht="15" customHeight="1" x14ac:dyDescent="0.25">
      <c r="A451" s="704"/>
      <c r="B451" s="687" t="str">
        <f>Cuantificador!C129</f>
        <v>Quemador kerosene (caldera aceite térmico)</v>
      </c>
      <c r="C451" s="704"/>
      <c r="D451" s="704"/>
      <c r="E451" s="706"/>
      <c r="F451" s="698"/>
      <c r="G451" s="700"/>
      <c r="H451" s="701"/>
      <c r="I451" s="701"/>
      <c r="J451" s="701"/>
    </row>
    <row r="452" spans="1:10" x14ac:dyDescent="0.25">
      <c r="A452" s="703"/>
      <c r="B452" s="687"/>
      <c r="C452" s="703"/>
      <c r="D452" s="703"/>
      <c r="E452" s="707"/>
      <c r="F452" s="699"/>
      <c r="G452" s="700"/>
      <c r="H452" s="701"/>
      <c r="I452" s="701"/>
      <c r="J452" s="701"/>
    </row>
    <row r="453" spans="1:10" x14ac:dyDescent="0.25">
      <c r="A453" s="17" t="s">
        <v>64</v>
      </c>
      <c r="D453" s="185">
        <f>170*3</f>
        <v>510</v>
      </c>
      <c r="E453" s="72">
        <f>SUM(E443:E452)</f>
        <v>287.0951728852063</v>
      </c>
      <c r="F453" s="38">
        <f>SUM(F443:F452)</f>
        <v>3445.1420746224758</v>
      </c>
    </row>
    <row r="456" spans="1:10" x14ac:dyDescent="0.25">
      <c r="A456" s="199" t="s">
        <v>363</v>
      </c>
      <c r="B456" s="101" t="str">
        <f>B7</f>
        <v>Situación propuesta</v>
      </c>
    </row>
    <row r="457" spans="1:10" x14ac:dyDescent="0.25">
      <c r="B457" t="s">
        <v>332</v>
      </c>
    </row>
    <row r="458" spans="1:10" x14ac:dyDescent="0.25">
      <c r="B458" t="s">
        <v>333</v>
      </c>
      <c r="C458" t="s">
        <v>334</v>
      </c>
      <c r="D458" s="263" t="s">
        <v>460</v>
      </c>
      <c r="E458" t="s">
        <v>1180</v>
      </c>
    </row>
    <row r="459" spans="1:10" x14ac:dyDescent="0.25">
      <c r="C459" t="s">
        <v>335</v>
      </c>
    </row>
    <row r="460" spans="1:10" x14ac:dyDescent="0.25">
      <c r="B460" t="s">
        <v>337</v>
      </c>
      <c r="C460" s="182">
        <v>952000</v>
      </c>
    </row>
    <row r="461" spans="1:10" x14ac:dyDescent="0.25">
      <c r="B461" t="s">
        <v>360</v>
      </c>
      <c r="C461" s="18">
        <f>1510500</f>
        <v>1510500</v>
      </c>
      <c r="D461" s="23"/>
    </row>
    <row r="462" spans="1:10" x14ac:dyDescent="0.25">
      <c r="B462" t="s">
        <v>361</v>
      </c>
      <c r="C462" s="18" t="s">
        <v>362</v>
      </c>
      <c r="D462" s="23"/>
    </row>
    <row r="463" spans="1:10" x14ac:dyDescent="0.25">
      <c r="C463" s="18"/>
      <c r="D463" s="23"/>
    </row>
    <row r="465" spans="1:9" x14ac:dyDescent="0.25">
      <c r="A465" s="199" t="s">
        <v>363</v>
      </c>
      <c r="B465" s="101" t="str">
        <f>B8</f>
        <v>Viabilidad técnica</v>
      </c>
    </row>
    <row r="466" spans="1:9" x14ac:dyDescent="0.25">
      <c r="B466" t="s">
        <v>336</v>
      </c>
    </row>
    <row r="467" spans="1:9" x14ac:dyDescent="0.25">
      <c r="B467" t="s">
        <v>338</v>
      </c>
      <c r="C467" s="181">
        <v>770000</v>
      </c>
      <c r="E467" s="371">
        <v>770000</v>
      </c>
      <c r="F467" t="s">
        <v>512</v>
      </c>
      <c r="G467" s="372">
        <v>410000</v>
      </c>
      <c r="H467" s="263" t="s">
        <v>514</v>
      </c>
      <c r="I467" s="263"/>
    </row>
    <row r="468" spans="1:9" x14ac:dyDescent="0.25">
      <c r="B468" t="s">
        <v>339</v>
      </c>
      <c r="C468" s="182">
        <f>C460</f>
        <v>952000</v>
      </c>
    </row>
    <row r="469" spans="1:9" x14ac:dyDescent="0.25">
      <c r="B469" t="s">
        <v>340</v>
      </c>
      <c r="C469" s="181">
        <f>C468-C467</f>
        <v>182000</v>
      </c>
      <c r="D469" t="s">
        <v>341</v>
      </c>
    </row>
    <row r="470" spans="1:9" x14ac:dyDescent="0.25">
      <c r="D470" t="s">
        <v>342</v>
      </c>
    </row>
    <row r="473" spans="1:9" x14ac:dyDescent="0.25">
      <c r="A473" s="199" t="s">
        <v>363</v>
      </c>
      <c r="B473" s="101" t="str">
        <f>B11</f>
        <v>Viabilidad económica</v>
      </c>
      <c r="C473" s="1" t="s">
        <v>344</v>
      </c>
      <c r="D473" s="1" t="s">
        <v>343</v>
      </c>
      <c r="E473" s="1" t="str">
        <f>B276</f>
        <v>Horas de uso año</v>
      </c>
      <c r="F473" t="s">
        <v>245</v>
      </c>
    </row>
    <row r="474" spans="1:9" x14ac:dyDescent="0.25">
      <c r="C474" s="181">
        <f>C467</f>
        <v>770000</v>
      </c>
      <c r="D474" s="184">
        <v>5.5</v>
      </c>
      <c r="E474" s="387">
        <v>216</v>
      </c>
      <c r="F474">
        <f>C437</f>
        <v>5</v>
      </c>
    </row>
    <row r="476" spans="1:9" x14ac:dyDescent="0.25">
      <c r="C476" t="s">
        <v>345</v>
      </c>
    </row>
    <row r="478" spans="1:9" x14ac:dyDescent="0.25">
      <c r="E478" s="788">
        <f>C474*E474</f>
        <v>166320000</v>
      </c>
    </row>
    <row r="479" spans="1:9" x14ac:dyDescent="0.25">
      <c r="E479" s="788"/>
    </row>
    <row r="481" spans="1:5" x14ac:dyDescent="0.25">
      <c r="C481" t="s">
        <v>346</v>
      </c>
    </row>
    <row r="483" spans="1:5" x14ac:dyDescent="0.25">
      <c r="E483" s="786">
        <f>C474/D474</f>
        <v>140000</v>
      </c>
    </row>
    <row r="484" spans="1:5" x14ac:dyDescent="0.25">
      <c r="E484" s="786"/>
    </row>
    <row r="486" spans="1:5" x14ac:dyDescent="0.25">
      <c r="C486" t="s">
        <v>347</v>
      </c>
    </row>
    <row r="487" spans="1:5" x14ac:dyDescent="0.25">
      <c r="E487" s="787">
        <f>(E478/E483)*F474</f>
        <v>5940</v>
      </c>
    </row>
    <row r="488" spans="1:5" x14ac:dyDescent="0.25">
      <c r="E488" s="787"/>
    </row>
    <row r="491" spans="1:5" x14ac:dyDescent="0.25">
      <c r="B491" s="148" t="s">
        <v>348</v>
      </c>
    </row>
    <row r="493" spans="1:5" x14ac:dyDescent="0.25">
      <c r="B493" s="31" t="s">
        <v>349</v>
      </c>
      <c r="C493" s="31">
        <f>F474</f>
        <v>5</v>
      </c>
    </row>
    <row r="494" spans="1:5" x14ac:dyDescent="0.25">
      <c r="B494" s="31" t="s">
        <v>350</v>
      </c>
      <c r="C494" s="256">
        <f>(E478*5)/1000000</f>
        <v>831.6</v>
      </c>
    </row>
    <row r="495" spans="1:5" x14ac:dyDescent="0.25">
      <c r="A495" t="s">
        <v>517</v>
      </c>
      <c r="B495" s="31" t="s">
        <v>351</v>
      </c>
      <c r="C495" s="186">
        <f>E487</f>
        <v>5940</v>
      </c>
    </row>
    <row r="496" spans="1:5" x14ac:dyDescent="0.25">
      <c r="B496" s="31" t="s">
        <v>353</v>
      </c>
      <c r="C496" s="187">
        <f>'Consumo Térmico de la empresa'!D5</f>
        <v>4129.88231</v>
      </c>
    </row>
    <row r="497" spans="2:5" x14ac:dyDescent="0.25">
      <c r="B497" s="31" t="s">
        <v>352</v>
      </c>
      <c r="C497" s="194">
        <f>C495*C496</f>
        <v>24531500.921399999</v>
      </c>
      <c r="D497" s="18">
        <f>C497</f>
        <v>24531500.921399999</v>
      </c>
    </row>
    <row r="500" spans="2:5" x14ac:dyDescent="0.25">
      <c r="B500" s="148" t="s">
        <v>452</v>
      </c>
    </row>
    <row r="502" spans="2:5" x14ac:dyDescent="0.25">
      <c r="B502" s="31" t="s">
        <v>176</v>
      </c>
      <c r="C502" s="188">
        <v>49.15</v>
      </c>
      <c r="E502" s="294" t="s">
        <v>451</v>
      </c>
    </row>
    <row r="503" spans="2:5" x14ac:dyDescent="0.25">
      <c r="B503" s="31" t="s">
        <v>467</v>
      </c>
      <c r="C503" s="257">
        <f>C494*E504</f>
        <v>877382.19953999994</v>
      </c>
      <c r="E503" s="295">
        <v>1</v>
      </c>
    </row>
    <row r="504" spans="2:5" x14ac:dyDescent="0.25">
      <c r="B504" s="31" t="s">
        <v>356</v>
      </c>
      <c r="C504" s="190">
        <f>C503/C502</f>
        <v>17851.112910274667</v>
      </c>
      <c r="E504" s="296">
        <v>1055.05315</v>
      </c>
    </row>
    <row r="505" spans="2:5" x14ac:dyDescent="0.25">
      <c r="B505" s="31" t="s">
        <v>354</v>
      </c>
      <c r="C505" s="191">
        <v>619</v>
      </c>
    </row>
    <row r="506" spans="2:5" x14ac:dyDescent="0.25">
      <c r="B506" s="31" t="s">
        <v>355</v>
      </c>
      <c r="C506" s="192">
        <f>C504*C505</f>
        <v>11049838.891460018</v>
      </c>
      <c r="D506" s="18"/>
    </row>
    <row r="509" spans="2:5" x14ac:dyDescent="0.25">
      <c r="B509" s="148" t="s">
        <v>357</v>
      </c>
    </row>
    <row r="510" spans="2:5" x14ac:dyDescent="0.25">
      <c r="B510" t="str">
        <f>B497</f>
        <v>Costo anual total de kerosene</v>
      </c>
      <c r="C510" s="193">
        <f>C497</f>
        <v>24531500.921399999</v>
      </c>
    </row>
    <row r="511" spans="2:5" x14ac:dyDescent="0.25">
      <c r="B511" t="str">
        <f>B506</f>
        <v>Costo anual de GLP</v>
      </c>
      <c r="C511" s="193">
        <f>C506</f>
        <v>11049838.891460018</v>
      </c>
    </row>
    <row r="512" spans="2:5" x14ac:dyDescent="0.25">
      <c r="B512" t="s">
        <v>358</v>
      </c>
      <c r="C512" s="195">
        <f>C510-C511</f>
        <v>13481662.029939981</v>
      </c>
    </row>
    <row r="517" spans="1:5" x14ac:dyDescent="0.25">
      <c r="B517" t="s">
        <v>359</v>
      </c>
      <c r="C517" s="196">
        <f>F474*C461</f>
        <v>7552500</v>
      </c>
    </row>
    <row r="520" spans="1:5" ht="17.25" x14ac:dyDescent="0.4">
      <c r="B520" s="696" t="s">
        <v>315</v>
      </c>
      <c r="C520" s="109" t="str">
        <f>B517</f>
        <v>Inversión total</v>
      </c>
      <c r="D520" s="143">
        <f>C517</f>
        <v>7552500</v>
      </c>
      <c r="E520" s="283">
        <f>D520/D521</f>
        <v>0.5602054096317991</v>
      </c>
    </row>
    <row r="521" spans="1:5" x14ac:dyDescent="0.25">
      <c r="B521" s="696"/>
      <c r="C521" s="1" t="str">
        <f>B512</f>
        <v>Ahorro por uso de GLP</v>
      </c>
      <c r="D521" s="144">
        <f>C512</f>
        <v>13481662.029939981</v>
      </c>
    </row>
    <row r="524" spans="1:5" x14ac:dyDescent="0.25">
      <c r="A524" s="199" t="s">
        <v>363</v>
      </c>
      <c r="B524" s="101" t="str">
        <f>B12</f>
        <v>Viabilidad ambiental</v>
      </c>
    </row>
    <row r="526" spans="1:5" x14ac:dyDescent="0.25">
      <c r="B526" t="s">
        <v>364</v>
      </c>
    </row>
    <row r="528" spans="1:5" x14ac:dyDescent="0.25">
      <c r="B528" s="148" t="s">
        <v>365</v>
      </c>
    </row>
    <row r="529" spans="2:9" x14ac:dyDescent="0.25">
      <c r="C529" s="369">
        <f>C530*1000</f>
        <v>877.38219953999999</v>
      </c>
    </row>
    <row r="530" spans="2:9" x14ac:dyDescent="0.25">
      <c r="B530" s="31" t="s">
        <v>366</v>
      </c>
      <c r="C530" s="247">
        <f>C503/1000000</f>
        <v>0.87738219953999996</v>
      </c>
      <c r="H530" t="s">
        <v>233</v>
      </c>
    </row>
    <row r="531" spans="2:9" x14ac:dyDescent="0.25">
      <c r="B531" s="31" t="s">
        <v>367</v>
      </c>
      <c r="C531" s="200">
        <v>71.900000000000006</v>
      </c>
      <c r="D531" s="370"/>
      <c r="G531" s="368" t="s">
        <v>513</v>
      </c>
      <c r="H531">
        <f>'Emisiones de GEI'!G53</f>
        <v>0.25884000000000001</v>
      </c>
      <c r="I531" s="381">
        <f>C529*H531*'Emisiones de GEI'!$Q$11/1000</f>
        <v>63.083780147430673</v>
      </c>
    </row>
    <row r="532" spans="2:9" x14ac:dyDescent="0.25">
      <c r="B532" s="31" t="s">
        <v>368</v>
      </c>
      <c r="C532" s="378">
        <f>C531*C530</f>
        <v>63.083780146926003</v>
      </c>
    </row>
    <row r="535" spans="2:9" x14ac:dyDescent="0.25">
      <c r="B535" s="148" t="s">
        <v>369</v>
      </c>
    </row>
    <row r="536" spans="2:9" x14ac:dyDescent="0.25">
      <c r="C536" s="369">
        <f>C537*1000</f>
        <v>877.38219953999999</v>
      </c>
    </row>
    <row r="537" spans="2:9" x14ac:dyDescent="0.25">
      <c r="B537" s="31" t="s">
        <v>366</v>
      </c>
      <c r="C537" s="247">
        <f>C503/1000000</f>
        <v>0.87738219953999996</v>
      </c>
      <c r="H537" t="s">
        <v>233</v>
      </c>
    </row>
    <row r="538" spans="2:9" x14ac:dyDescent="0.25">
      <c r="B538" s="31" t="s">
        <v>367</v>
      </c>
      <c r="C538" s="379">
        <v>65.7</v>
      </c>
      <c r="G538" s="368" t="s">
        <v>513</v>
      </c>
      <c r="H538">
        <v>0.23652000000000001</v>
      </c>
      <c r="I538" s="381">
        <f>C536*H538*'Emisiones de GEI'!$Q$11/1000</f>
        <v>57.644010510239163</v>
      </c>
    </row>
    <row r="539" spans="2:9" x14ac:dyDescent="0.25">
      <c r="B539" s="31" t="s">
        <v>368</v>
      </c>
      <c r="C539" s="380">
        <f>C538*C537</f>
        <v>57.644010509777999</v>
      </c>
    </row>
    <row r="542" spans="2:9" x14ac:dyDescent="0.25">
      <c r="B542" s="148" t="s">
        <v>370</v>
      </c>
      <c r="C542" s="117">
        <f>C532-C539</f>
        <v>5.4397696371480038</v>
      </c>
    </row>
    <row r="547" spans="2:4" x14ac:dyDescent="0.25">
      <c r="B547" s="16" t="s">
        <v>262</v>
      </c>
      <c r="D547" s="103" t="s">
        <v>245</v>
      </c>
    </row>
    <row r="549" spans="2:4" x14ac:dyDescent="0.25">
      <c r="B549" s="33" t="s">
        <v>263</v>
      </c>
      <c r="C549" s="31" t="s">
        <v>371</v>
      </c>
    </row>
    <row r="550" spans="2:4" x14ac:dyDescent="0.25">
      <c r="B550" s="33" t="s">
        <v>305</v>
      </c>
      <c r="C550" s="305" t="s">
        <v>372</v>
      </c>
    </row>
    <row r="551" spans="2:4" x14ac:dyDescent="0.25">
      <c r="B551" s="33" t="s">
        <v>265</v>
      </c>
      <c r="C551" s="186">
        <f>C495</f>
        <v>5940</v>
      </c>
    </row>
    <row r="552" spans="2:4" x14ac:dyDescent="0.25">
      <c r="B552" s="33" t="str">
        <f>B503</f>
        <v>Potencia requerida actual</v>
      </c>
      <c r="C552" s="189">
        <f>C503</f>
        <v>877382.19953999994</v>
      </c>
    </row>
    <row r="553" spans="2:4" x14ac:dyDescent="0.25">
      <c r="B553" s="33" t="str">
        <f>B504</f>
        <v>Masa anual de GLP</v>
      </c>
      <c r="C553" s="201">
        <f>C504</f>
        <v>17851.112910274667</v>
      </c>
    </row>
    <row r="554" spans="2:4" x14ac:dyDescent="0.25">
      <c r="B554" s="33" t="s">
        <v>268</v>
      </c>
      <c r="C554" s="122">
        <f>C512</f>
        <v>13481662.029939981</v>
      </c>
      <c r="D554" s="18">
        <f>C554</f>
        <v>13481662.029939981</v>
      </c>
    </row>
    <row r="555" spans="2:4" x14ac:dyDescent="0.25">
      <c r="B555" s="33" t="s">
        <v>269</v>
      </c>
      <c r="C555" s="146">
        <f>C517</f>
        <v>7552500</v>
      </c>
    </row>
    <row r="556" spans="2:4" x14ac:dyDescent="0.25">
      <c r="B556" s="33" t="s">
        <v>270</v>
      </c>
      <c r="C556" s="166">
        <f>E520</f>
        <v>0.5602054096317991</v>
      </c>
    </row>
    <row r="557" spans="2:4" x14ac:dyDescent="0.25">
      <c r="B557" s="33" t="s">
        <v>271</v>
      </c>
      <c r="C557" s="167">
        <v>15</v>
      </c>
    </row>
    <row r="558" spans="2:4" x14ac:dyDescent="0.25">
      <c r="B558" s="33" t="s">
        <v>272</v>
      </c>
      <c r="C558" s="117">
        <f>C542</f>
        <v>5.4397696371480038</v>
      </c>
    </row>
    <row r="561" spans="1:9" ht="15.75" thickBot="1" x14ac:dyDescent="0.3">
      <c r="B561" s="118"/>
      <c r="C561" s="118"/>
      <c r="D561" s="118"/>
      <c r="E561" s="118"/>
      <c r="F561" s="118"/>
      <c r="G561" s="118"/>
      <c r="H561" s="118"/>
      <c r="I561" s="118"/>
    </row>
    <row r="563" spans="1:9" ht="15.75" thickBot="1" x14ac:dyDescent="0.3">
      <c r="B563" s="123" t="s">
        <v>246</v>
      </c>
      <c r="C563" s="124"/>
      <c r="D563" s="124"/>
      <c r="E563" s="124"/>
      <c r="F563" s="124"/>
      <c r="G563" s="124"/>
    </row>
    <row r="564" spans="1:9" x14ac:dyDescent="0.25">
      <c r="A564" s="199" t="s">
        <v>363</v>
      </c>
      <c r="B564" s="101" t="str">
        <f>B6</f>
        <v>Situación actual</v>
      </c>
    </row>
    <row r="566" spans="1:9" x14ac:dyDescent="0.25">
      <c r="B566" t="s">
        <v>373</v>
      </c>
    </row>
    <row r="567" spans="1:9" x14ac:dyDescent="0.25">
      <c r="B567" t="s">
        <v>374</v>
      </c>
    </row>
    <row r="569" spans="1:9" x14ac:dyDescent="0.25">
      <c r="B569" s="31" t="s">
        <v>375</v>
      </c>
      <c r="C569" s="17" t="s">
        <v>376</v>
      </c>
    </row>
    <row r="571" spans="1:9" x14ac:dyDescent="0.25">
      <c r="B571" s="148" t="s">
        <v>377</v>
      </c>
    </row>
    <row r="573" spans="1:9" x14ac:dyDescent="0.25">
      <c r="B573" s="96" t="s">
        <v>378</v>
      </c>
      <c r="C573" s="31" t="s">
        <v>379</v>
      </c>
      <c r="D573" s="31" t="s">
        <v>380</v>
      </c>
    </row>
    <row r="574" spans="1:9" x14ac:dyDescent="0.25">
      <c r="B574" s="17">
        <v>4</v>
      </c>
      <c r="C574" s="202">
        <v>13.65</v>
      </c>
      <c r="D574" s="203">
        <v>145</v>
      </c>
    </row>
    <row r="575" spans="1:9" x14ac:dyDescent="0.25">
      <c r="B575" s="17">
        <v>3</v>
      </c>
      <c r="C575" s="202">
        <v>12.27</v>
      </c>
      <c r="D575" s="203">
        <v>145</v>
      </c>
    </row>
    <row r="578" spans="2:12" x14ac:dyDescent="0.25">
      <c r="B578" s="101" t="str">
        <f>B7</f>
        <v>Situación propuesta</v>
      </c>
    </row>
    <row r="580" spans="2:12" x14ac:dyDescent="0.25">
      <c r="B580" t="s">
        <v>381</v>
      </c>
    </row>
    <row r="581" spans="2:12" x14ac:dyDescent="0.25">
      <c r="B581" t="s">
        <v>382</v>
      </c>
    </row>
    <row r="584" spans="2:12" x14ac:dyDescent="0.25">
      <c r="B584" s="101" t="str">
        <f>B8</f>
        <v>Viabilidad técnica</v>
      </c>
    </row>
    <row r="586" spans="2:12" x14ac:dyDescent="0.25">
      <c r="B586" t="s">
        <v>420</v>
      </c>
    </row>
    <row r="588" spans="2:12" x14ac:dyDescent="0.25">
      <c r="B588" s="217" t="s">
        <v>247</v>
      </c>
      <c r="J588" s="218" t="s">
        <v>248</v>
      </c>
    </row>
    <row r="589" spans="2:12" x14ac:dyDescent="0.25">
      <c r="B589" s="17" t="str">
        <f>B573</f>
        <v>φ " Tubería</v>
      </c>
      <c r="C589" s="17" t="str">
        <f>C573</f>
        <v>Longitud</v>
      </c>
      <c r="D589" s="17" t="str">
        <f>D573</f>
        <v>Temperatura superficie</v>
      </c>
      <c r="J589" s="17" t="str">
        <f>B573</f>
        <v>φ " Tubería</v>
      </c>
      <c r="K589" s="17" t="str">
        <f>C573</f>
        <v>Longitud</v>
      </c>
      <c r="L589" s="17" t="str">
        <f>D573</f>
        <v>Temperatura superficie</v>
      </c>
    </row>
    <row r="590" spans="2:12" x14ac:dyDescent="0.25">
      <c r="B590" s="17">
        <f>B575</f>
        <v>3</v>
      </c>
      <c r="C590" s="202">
        <f>C575</f>
        <v>12.27</v>
      </c>
      <c r="D590" s="203">
        <f>D575</f>
        <v>145</v>
      </c>
      <c r="J590" s="17">
        <f>B575</f>
        <v>3</v>
      </c>
      <c r="K590" s="202">
        <f>C575</f>
        <v>12.27</v>
      </c>
      <c r="L590" s="203">
        <f>D575</f>
        <v>145</v>
      </c>
    </row>
    <row r="592" spans="2:12" x14ac:dyDescent="0.25">
      <c r="B592" s="17" t="s">
        <v>383</v>
      </c>
      <c r="C592" s="17" t="s">
        <v>384</v>
      </c>
      <c r="D592" s="17" t="s">
        <v>173</v>
      </c>
      <c r="E592" s="1"/>
      <c r="J592" s="17" t="s">
        <v>383</v>
      </c>
      <c r="K592" s="17" t="s">
        <v>384</v>
      </c>
      <c r="L592" s="17" t="s">
        <v>173</v>
      </c>
    </row>
    <row r="593" spans="1:13" x14ac:dyDescent="0.25">
      <c r="B593" s="17" t="s">
        <v>385</v>
      </c>
      <c r="C593" s="17" t="s">
        <v>394</v>
      </c>
      <c r="D593" s="206">
        <v>1.016</v>
      </c>
      <c r="E593" s="1"/>
      <c r="J593" s="17" t="s">
        <v>385</v>
      </c>
      <c r="K593" s="17" t="s">
        <v>394</v>
      </c>
      <c r="L593" s="206">
        <v>1.016</v>
      </c>
    </row>
    <row r="594" spans="1:13" x14ac:dyDescent="0.25">
      <c r="B594" s="17" t="s">
        <v>386</v>
      </c>
      <c r="C594" s="17" t="s">
        <v>395</v>
      </c>
      <c r="D594" s="205">
        <v>0</v>
      </c>
      <c r="E594" s="1"/>
      <c r="J594" s="17" t="s">
        <v>386</v>
      </c>
      <c r="K594" s="17" t="s">
        <v>395</v>
      </c>
      <c r="L594" s="220">
        <v>2.5399999999999999E-2</v>
      </c>
    </row>
    <row r="595" spans="1:13" x14ac:dyDescent="0.25">
      <c r="B595" s="17" t="s">
        <v>387</v>
      </c>
      <c r="C595" s="17" t="s">
        <v>396</v>
      </c>
      <c r="D595" s="213">
        <f>D575+273.15</f>
        <v>418.15</v>
      </c>
      <c r="E595" s="1"/>
      <c r="J595" s="17" t="s">
        <v>387</v>
      </c>
      <c r="K595" s="17" t="s">
        <v>396</v>
      </c>
      <c r="L595" s="213">
        <f>D574+273.15</f>
        <v>418.15</v>
      </c>
    </row>
    <row r="596" spans="1:13" ht="34.5" customHeight="1" x14ac:dyDescent="0.25">
      <c r="B596" s="183" t="s">
        <v>388</v>
      </c>
      <c r="C596" s="45" t="s">
        <v>397</v>
      </c>
      <c r="D596" s="214">
        <f>D575+273.15</f>
        <v>418.15</v>
      </c>
      <c r="E596" s="1"/>
      <c r="J596" s="183" t="s">
        <v>388</v>
      </c>
      <c r="K596" s="45" t="s">
        <v>397</v>
      </c>
      <c r="L596" s="214">
        <f>D574+273.15</f>
        <v>418.15</v>
      </c>
    </row>
    <row r="597" spans="1:13" ht="30" customHeight="1" x14ac:dyDescent="0.25">
      <c r="B597" s="183" t="s">
        <v>389</v>
      </c>
      <c r="C597" s="282" t="s">
        <v>453</v>
      </c>
      <c r="D597" s="214">
        <v>303.14999999999998</v>
      </c>
      <c r="E597" s="297"/>
      <c r="J597" s="183" t="s">
        <v>389</v>
      </c>
      <c r="K597" s="282" t="s">
        <v>453</v>
      </c>
      <c r="L597" s="214">
        <v>303.14999999999998</v>
      </c>
      <c r="M597" s="22"/>
    </row>
    <row r="598" spans="1:13" ht="31.5" customHeight="1" x14ac:dyDescent="0.25">
      <c r="B598" s="183" t="s">
        <v>390</v>
      </c>
      <c r="C598" s="45" t="s">
        <v>398</v>
      </c>
      <c r="D598" s="207">
        <v>50</v>
      </c>
      <c r="E598" s="1"/>
      <c r="J598" s="183" t="s">
        <v>390</v>
      </c>
      <c r="K598" s="45" t="s">
        <v>398</v>
      </c>
      <c r="L598" s="207">
        <v>0.04</v>
      </c>
    </row>
    <row r="599" spans="1:13" ht="32.1" customHeight="1" x14ac:dyDescent="0.25">
      <c r="B599" s="183" t="s">
        <v>391</v>
      </c>
      <c r="C599" s="45" t="s">
        <v>400</v>
      </c>
      <c r="D599" s="219">
        <v>0</v>
      </c>
      <c r="E599" s="1"/>
      <c r="J599" s="183" t="s">
        <v>391</v>
      </c>
      <c r="K599" s="45" t="s">
        <v>400</v>
      </c>
      <c r="L599" s="219">
        <v>0</v>
      </c>
    </row>
    <row r="600" spans="1:13" ht="32.1" customHeight="1" x14ac:dyDescent="0.25">
      <c r="B600" s="183" t="s">
        <v>392</v>
      </c>
      <c r="C600" s="45" t="s">
        <v>398</v>
      </c>
      <c r="D600" s="208">
        <v>0.79</v>
      </c>
      <c r="E600" s="1"/>
      <c r="J600" s="183" t="s">
        <v>392</v>
      </c>
      <c r="K600" s="45" t="s">
        <v>398</v>
      </c>
      <c r="L600" s="208">
        <v>0.79</v>
      </c>
    </row>
    <row r="601" spans="1:13" ht="32.1" customHeight="1" x14ac:dyDescent="0.25">
      <c r="B601" s="183" t="s">
        <v>393</v>
      </c>
      <c r="C601" s="45" t="s">
        <v>402</v>
      </c>
      <c r="D601" s="209">
        <v>7.6200000000000004E-2</v>
      </c>
      <c r="E601" s="1"/>
      <c r="J601" s="183" t="s">
        <v>393</v>
      </c>
      <c r="K601" s="45" t="s">
        <v>402</v>
      </c>
      <c r="L601" s="209">
        <v>7.6200000000000004E-2</v>
      </c>
    </row>
    <row r="603" spans="1:13" ht="15" customHeight="1" x14ac:dyDescent="0.25">
      <c r="B603" s="781" t="s">
        <v>399</v>
      </c>
      <c r="C603" s="781"/>
      <c r="D603" s="781"/>
    </row>
    <row r="604" spans="1:13" x14ac:dyDescent="0.25">
      <c r="B604" s="781"/>
      <c r="C604" s="781"/>
      <c r="D604" s="781"/>
    </row>
    <row r="606" spans="1:13" x14ac:dyDescent="0.25">
      <c r="A606">
        <v>1</v>
      </c>
      <c r="B606" s="148" t="s">
        <v>404</v>
      </c>
      <c r="I606">
        <v>1</v>
      </c>
      <c r="J606" s="148" t="s">
        <v>404</v>
      </c>
    </row>
    <row r="614" spans="1:11" x14ac:dyDescent="0.25">
      <c r="B614" s="32" t="s">
        <v>403</v>
      </c>
      <c r="C614" s="210">
        <f>D601+2*D594</f>
        <v>7.6200000000000004E-2</v>
      </c>
      <c r="J614" s="32" t="s">
        <v>403</v>
      </c>
      <c r="K614" s="210">
        <f>L601+2*L594</f>
        <v>0.127</v>
      </c>
    </row>
    <row r="617" spans="1:11" x14ac:dyDescent="0.25">
      <c r="A617">
        <v>2</v>
      </c>
      <c r="B617" s="148" t="s">
        <v>405</v>
      </c>
      <c r="I617">
        <v>2</v>
      </c>
      <c r="J617" s="148" t="s">
        <v>405</v>
      </c>
    </row>
    <row r="618" spans="1:11" ht="18.75" x14ac:dyDescent="0.3">
      <c r="B618" s="148" t="s">
        <v>406</v>
      </c>
      <c r="J618" s="148" t="s">
        <v>406</v>
      </c>
    </row>
    <row r="629" spans="1:11" x14ac:dyDescent="0.25">
      <c r="B629" s="32" t="s">
        <v>407</v>
      </c>
      <c r="C629" s="212">
        <f>(2.7241*D593*(C614^-0.2))*(1.11/(D596+D597-510.44))^0.181*(1.8*(D596-D597))^0.266*(1+(7.9366*0.0001)*D599)^0.5</f>
        <v>7.4017494543313553</v>
      </c>
      <c r="J629" s="32" t="s">
        <v>407</v>
      </c>
      <c r="K629" s="212">
        <f>(2.7241*L593*(K614^-0.2))*(1.11/(L596+L597-510.44))^0.181*(1.8*(L596-L597))^0.266*(1+(7.9366*0.0001)*L599)^0.5</f>
        <v>6.6828948888274926</v>
      </c>
    </row>
    <row r="631" spans="1:11" x14ac:dyDescent="0.25">
      <c r="C631" s="211"/>
      <c r="K631" s="211"/>
    </row>
    <row r="632" spans="1:11" x14ac:dyDescent="0.25">
      <c r="A632">
        <v>3</v>
      </c>
      <c r="B632" s="148" t="s">
        <v>410</v>
      </c>
      <c r="I632">
        <v>3</v>
      </c>
      <c r="J632" s="148" t="s">
        <v>410</v>
      </c>
    </row>
    <row r="643" spans="1:11" x14ac:dyDescent="0.25">
      <c r="B643" s="32" t="s">
        <v>408</v>
      </c>
      <c r="C643" s="212">
        <f>(0.9824*0.00000001)*D600*((D597^4-D596^4)/(D597-D596))</f>
        <v>1.4932576178268067</v>
      </c>
      <c r="J643" s="32" t="s">
        <v>408</v>
      </c>
      <c r="K643" s="212">
        <f>(0.9824*0.00000001)*L600*((L597^4-L596^4)/(L597-L596))</f>
        <v>1.4932576178268067</v>
      </c>
    </row>
    <row r="646" spans="1:11" x14ac:dyDescent="0.25">
      <c r="A646">
        <v>4</v>
      </c>
      <c r="B646" s="148" t="s">
        <v>409</v>
      </c>
      <c r="I646">
        <v>4</v>
      </c>
      <c r="J646" s="148" t="s">
        <v>409</v>
      </c>
    </row>
    <row r="649" spans="1:11" x14ac:dyDescent="0.25">
      <c r="C649" s="221"/>
    </row>
    <row r="653" spans="1:11" x14ac:dyDescent="0.25">
      <c r="B653" s="32" t="s">
        <v>411</v>
      </c>
      <c r="C653" s="212">
        <f>C629+C643</f>
        <v>8.8950070721581618</v>
      </c>
      <c r="J653" s="32" t="s">
        <v>411</v>
      </c>
      <c r="K653" s="212">
        <f>K629+K643</f>
        <v>8.176152506654299</v>
      </c>
    </row>
    <row r="656" spans="1:11" x14ac:dyDescent="0.25">
      <c r="A656">
        <v>5</v>
      </c>
      <c r="B656" s="148" t="s">
        <v>412</v>
      </c>
      <c r="I656">
        <v>5</v>
      </c>
      <c r="J656" s="148" t="s">
        <v>412</v>
      </c>
    </row>
    <row r="670" spans="2:11" x14ac:dyDescent="0.25">
      <c r="B670" s="32" t="s">
        <v>413</v>
      </c>
      <c r="C670" s="215">
        <f>(3.61416*(D595-D597))/((1/(2*D598))*(LN(C614/D601))+(1+(C653*C614)))</f>
        <v>247.72232341467804</v>
      </c>
      <c r="J670" s="32" t="s">
        <v>413</v>
      </c>
      <c r="K670" s="215">
        <f>(3.61416*(L595-L597))/((1/(2*L598))*(LN(K614/L601))+(1+(K653*K614)))</f>
        <v>49.340409942376269</v>
      </c>
    </row>
    <row r="673" spans="1:11" x14ac:dyDescent="0.25">
      <c r="A673">
        <v>6</v>
      </c>
      <c r="B673" s="148" t="s">
        <v>414</v>
      </c>
      <c r="I673">
        <v>6</v>
      </c>
      <c r="J673" s="148" t="s">
        <v>414</v>
      </c>
    </row>
    <row r="678" spans="1:11" x14ac:dyDescent="0.25">
      <c r="B678" s="32" t="s">
        <v>413</v>
      </c>
      <c r="C678" s="222">
        <f>C670*0.2388*(3600/1000)</f>
        <v>212.96192699313042</v>
      </c>
      <c r="J678" s="32" t="s">
        <v>413</v>
      </c>
      <c r="K678" s="222">
        <f>K670*0.2388*(3600/1000)</f>
        <v>42.416963619262035</v>
      </c>
    </row>
    <row r="681" spans="1:11" x14ac:dyDescent="0.25">
      <c r="A681">
        <v>7</v>
      </c>
      <c r="B681" s="148" t="s">
        <v>415</v>
      </c>
      <c r="I681">
        <v>7</v>
      </c>
      <c r="J681" s="148" t="s">
        <v>415</v>
      </c>
    </row>
    <row r="686" spans="1:11" x14ac:dyDescent="0.25">
      <c r="B686" s="32" t="s">
        <v>417</v>
      </c>
      <c r="C686" s="216">
        <f>C678*C590</f>
        <v>2613.04284420571</v>
      </c>
      <c r="J686" s="32" t="s">
        <v>417</v>
      </c>
      <c r="K686" s="216">
        <f>K678*K590</f>
        <v>520.4561436083452</v>
      </c>
    </row>
    <row r="689" spans="1:12" x14ac:dyDescent="0.25">
      <c r="A689">
        <v>8</v>
      </c>
      <c r="B689" s="148" t="s">
        <v>416</v>
      </c>
      <c r="I689">
        <v>8</v>
      </c>
      <c r="J689" s="148" t="s">
        <v>416</v>
      </c>
    </row>
    <row r="695" spans="1:12" x14ac:dyDescent="0.25">
      <c r="B695" s="32" t="s">
        <v>418</v>
      </c>
      <c r="C695" s="228">
        <f>C686*1040</f>
        <v>2717564.5579739385</v>
      </c>
      <c r="D695" s="23"/>
      <c r="J695" s="32" t="s">
        <v>418</v>
      </c>
      <c r="K695" s="228">
        <f>K686*1040</f>
        <v>541274.38935267902</v>
      </c>
      <c r="L695" s="23"/>
    </row>
    <row r="701" spans="1:12" x14ac:dyDescent="0.25">
      <c r="B701" t="s">
        <v>419</v>
      </c>
    </row>
    <row r="703" spans="1:12" x14ac:dyDescent="0.25">
      <c r="B703" s="217" t="s">
        <v>247</v>
      </c>
      <c r="J703" s="218" t="s">
        <v>248</v>
      </c>
    </row>
    <row r="704" spans="1:12" x14ac:dyDescent="0.25">
      <c r="B704" s="17" t="str">
        <f t="shared" ref="B704:D705" si="19">B573</f>
        <v>φ " Tubería</v>
      </c>
      <c r="C704" s="17" t="str">
        <f t="shared" si="19"/>
        <v>Longitud</v>
      </c>
      <c r="D704" s="17" t="str">
        <f t="shared" si="19"/>
        <v>Temperatura superficie</v>
      </c>
      <c r="J704" s="17" t="str">
        <f t="shared" ref="J704:L705" si="20">B573</f>
        <v>φ " Tubería</v>
      </c>
      <c r="K704" s="17" t="str">
        <f t="shared" si="20"/>
        <v>Longitud</v>
      </c>
      <c r="L704" s="17" t="str">
        <f t="shared" si="20"/>
        <v>Temperatura superficie</v>
      </c>
    </row>
    <row r="705" spans="2:12" x14ac:dyDescent="0.25">
      <c r="B705" s="17">
        <f t="shared" si="19"/>
        <v>4</v>
      </c>
      <c r="C705" s="17">
        <f t="shared" si="19"/>
        <v>13.65</v>
      </c>
      <c r="D705" s="298">
        <f>D590</f>
        <v>145</v>
      </c>
      <c r="J705" s="17">
        <f t="shared" si="20"/>
        <v>4</v>
      </c>
      <c r="K705" s="17">
        <f t="shared" si="20"/>
        <v>13.65</v>
      </c>
      <c r="L705" s="298">
        <f>L590</f>
        <v>145</v>
      </c>
    </row>
    <row r="707" spans="2:12" x14ac:dyDescent="0.25">
      <c r="B707" s="17" t="s">
        <v>383</v>
      </c>
      <c r="C707" s="17" t="s">
        <v>384</v>
      </c>
      <c r="D707" s="17" t="s">
        <v>173</v>
      </c>
      <c r="E707" s="1"/>
      <c r="J707" s="17" t="s">
        <v>383</v>
      </c>
      <c r="K707" s="17" t="s">
        <v>384</v>
      </c>
      <c r="L707" s="17" t="s">
        <v>173</v>
      </c>
    </row>
    <row r="708" spans="2:12" x14ac:dyDescent="0.25">
      <c r="B708" s="17" t="s">
        <v>385</v>
      </c>
      <c r="C708" s="17" t="s">
        <v>394</v>
      </c>
      <c r="D708" s="206">
        <v>1.016</v>
      </c>
      <c r="E708" s="1"/>
      <c r="J708" s="17" t="s">
        <v>385</v>
      </c>
      <c r="K708" s="17" t="s">
        <v>394</v>
      </c>
      <c r="L708" s="206">
        <v>1.016</v>
      </c>
    </row>
    <row r="709" spans="2:12" x14ac:dyDescent="0.25">
      <c r="B709" s="17" t="s">
        <v>386</v>
      </c>
      <c r="C709" s="17" t="s">
        <v>395</v>
      </c>
      <c r="D709" s="205">
        <v>0</v>
      </c>
      <c r="E709" s="1"/>
      <c r="J709" s="17" t="s">
        <v>386</v>
      </c>
      <c r="K709" s="17" t="s">
        <v>395</v>
      </c>
      <c r="L709" s="220">
        <v>2.5399999999999999E-2</v>
      </c>
    </row>
    <row r="710" spans="2:12" x14ac:dyDescent="0.25">
      <c r="B710" s="17" t="s">
        <v>387</v>
      </c>
      <c r="C710" s="17" t="s">
        <v>396</v>
      </c>
      <c r="D710" s="213">
        <v>418.15</v>
      </c>
      <c r="E710" s="1"/>
      <c r="J710" s="17" t="s">
        <v>387</v>
      </c>
      <c r="K710" s="17" t="s">
        <v>396</v>
      </c>
      <c r="L710" s="213">
        <v>418.15</v>
      </c>
    </row>
    <row r="711" spans="2:12" ht="30" x14ac:dyDescent="0.25">
      <c r="B711" s="183" t="s">
        <v>388</v>
      </c>
      <c r="C711" s="45" t="s">
        <v>397</v>
      </c>
      <c r="D711" s="214">
        <v>418.15</v>
      </c>
      <c r="E711" s="1"/>
      <c r="J711" s="183" t="s">
        <v>388</v>
      </c>
      <c r="K711" s="45" t="s">
        <v>397</v>
      </c>
      <c r="L711" s="214">
        <v>418.15</v>
      </c>
    </row>
    <row r="712" spans="2:12" x14ac:dyDescent="0.25">
      <c r="B712" s="183" t="s">
        <v>389</v>
      </c>
      <c r="C712" s="204" t="s">
        <v>401</v>
      </c>
      <c r="D712" s="293">
        <v>303.14999999999998</v>
      </c>
      <c r="E712" s="1"/>
      <c r="J712" s="183" t="s">
        <v>389</v>
      </c>
      <c r="K712" s="204" t="s">
        <v>401</v>
      </c>
      <c r="L712" s="293">
        <v>303.14999999999998</v>
      </c>
    </row>
    <row r="713" spans="2:12" ht="30" x14ac:dyDescent="0.25">
      <c r="B713" s="183" t="s">
        <v>390</v>
      </c>
      <c r="C713" s="45" t="s">
        <v>398</v>
      </c>
      <c r="D713" s="207">
        <v>50</v>
      </c>
      <c r="E713" s="1"/>
      <c r="J713" s="183" t="s">
        <v>390</v>
      </c>
      <c r="K713" s="45" t="s">
        <v>398</v>
      </c>
      <c r="L713" s="207">
        <v>0.04</v>
      </c>
    </row>
    <row r="714" spans="2:12" ht="30" x14ac:dyDescent="0.25">
      <c r="B714" s="183" t="s">
        <v>391</v>
      </c>
      <c r="C714" s="45" t="s">
        <v>400</v>
      </c>
      <c r="D714" s="219">
        <v>0</v>
      </c>
      <c r="E714" s="1"/>
      <c r="J714" s="183" t="s">
        <v>391</v>
      </c>
      <c r="K714" s="45" t="s">
        <v>400</v>
      </c>
      <c r="L714" s="219">
        <v>0</v>
      </c>
    </row>
    <row r="715" spans="2:12" ht="30" x14ac:dyDescent="0.25">
      <c r="B715" s="183" t="s">
        <v>392</v>
      </c>
      <c r="C715" s="45" t="s">
        <v>398</v>
      </c>
      <c r="D715" s="208">
        <v>0.79</v>
      </c>
      <c r="E715" s="1"/>
      <c r="J715" s="183" t="s">
        <v>392</v>
      </c>
      <c r="K715" s="45" t="s">
        <v>398</v>
      </c>
      <c r="L715" s="208">
        <v>0.79</v>
      </c>
    </row>
    <row r="716" spans="2:12" ht="30" x14ac:dyDescent="0.25">
      <c r="B716" s="183" t="s">
        <v>393</v>
      </c>
      <c r="C716" s="45" t="s">
        <v>402</v>
      </c>
      <c r="D716" s="209">
        <v>7.6200000000000004E-2</v>
      </c>
      <c r="E716" s="1"/>
      <c r="J716" s="183" t="s">
        <v>393</v>
      </c>
      <c r="K716" s="45" t="s">
        <v>402</v>
      </c>
      <c r="L716" s="209">
        <v>7.6200000000000004E-2</v>
      </c>
    </row>
    <row r="718" spans="2:12" x14ac:dyDescent="0.25">
      <c r="B718" s="781" t="s">
        <v>399</v>
      </c>
      <c r="C718" s="781"/>
      <c r="D718" s="781"/>
    </row>
    <row r="719" spans="2:12" x14ac:dyDescent="0.25">
      <c r="B719" s="781"/>
      <c r="C719" s="781"/>
      <c r="D719" s="781"/>
    </row>
    <row r="721" spans="1:11" x14ac:dyDescent="0.25">
      <c r="A721">
        <v>1</v>
      </c>
      <c r="B721" s="148" t="s">
        <v>404</v>
      </c>
      <c r="I721">
        <v>1</v>
      </c>
      <c r="J721" s="148" t="s">
        <v>404</v>
      </c>
    </row>
    <row r="729" spans="1:11" x14ac:dyDescent="0.25">
      <c r="B729" s="32" t="s">
        <v>403</v>
      </c>
      <c r="C729" s="210">
        <f>D716+2*D709</f>
        <v>7.6200000000000004E-2</v>
      </c>
      <c r="J729" s="32" t="s">
        <v>403</v>
      </c>
      <c r="K729" s="210">
        <f>L716+2*L709</f>
        <v>0.127</v>
      </c>
    </row>
    <row r="732" spans="1:11" x14ac:dyDescent="0.25">
      <c r="A732">
        <v>2</v>
      </c>
      <c r="B732" s="148" t="s">
        <v>405</v>
      </c>
      <c r="I732">
        <v>2</v>
      </c>
      <c r="J732" s="148" t="s">
        <v>405</v>
      </c>
    </row>
    <row r="733" spans="1:11" ht="18.75" x14ac:dyDescent="0.3">
      <c r="B733" s="148" t="s">
        <v>406</v>
      </c>
      <c r="J733" s="148" t="s">
        <v>406</v>
      </c>
    </row>
    <row r="744" spans="1:11" x14ac:dyDescent="0.25">
      <c r="B744" s="32" t="s">
        <v>407</v>
      </c>
      <c r="C744" s="212">
        <f>(2.7241*D708*(C729^-0.2))*(1.11/(D711+D712-510.44))^0.181*(1.8*(D711-D712))^0.266*(1+(7.9366*0.0001)*D714)^0.5</f>
        <v>7.4017494543313553</v>
      </c>
      <c r="J744" s="32" t="s">
        <v>407</v>
      </c>
      <c r="K744" s="212">
        <f>(2.7241*L708*(K729^-0.2))*(1.11/(L711+L712-510.44))^0.181*(1.8*(L711-L712))^0.266*(1+(7.9366*0.0001)*L714)^0.5</f>
        <v>6.6828948888274926</v>
      </c>
    </row>
    <row r="746" spans="1:11" x14ac:dyDescent="0.25">
      <c r="C746" s="211"/>
      <c r="K746" s="211"/>
    </row>
    <row r="747" spans="1:11" x14ac:dyDescent="0.25">
      <c r="A747">
        <v>3</v>
      </c>
      <c r="B747" s="148" t="s">
        <v>410</v>
      </c>
      <c r="I747">
        <v>3</v>
      </c>
      <c r="J747" s="148" t="s">
        <v>410</v>
      </c>
    </row>
    <row r="758" spans="1:11" x14ac:dyDescent="0.25">
      <c r="B758" s="32" t="s">
        <v>408</v>
      </c>
      <c r="C758" s="212">
        <f>(0.9824*0.00000001)*D715*((D712^4-D711^4)/(D712-D711))</f>
        <v>1.4932576178268067</v>
      </c>
      <c r="J758" s="32" t="s">
        <v>408</v>
      </c>
      <c r="K758" s="212">
        <f>(0.9824*0.00000001)*L715*((L712^4-L711^4)/(L712-L711))</f>
        <v>1.4932576178268067</v>
      </c>
    </row>
    <row r="761" spans="1:11" x14ac:dyDescent="0.25">
      <c r="A761">
        <v>4</v>
      </c>
      <c r="B761" s="148" t="s">
        <v>409</v>
      </c>
      <c r="I761">
        <v>4</v>
      </c>
      <c r="J761" s="148" t="s">
        <v>409</v>
      </c>
    </row>
    <row r="768" spans="1:11" x14ac:dyDescent="0.25">
      <c r="B768" s="32" t="s">
        <v>411</v>
      </c>
      <c r="C768" s="212">
        <f>C744+C758</f>
        <v>8.8950070721581618</v>
      </c>
      <c r="J768" s="32" t="s">
        <v>411</v>
      </c>
      <c r="K768" s="212">
        <f>K744+K758</f>
        <v>8.176152506654299</v>
      </c>
    </row>
    <row r="771" spans="1:10" x14ac:dyDescent="0.25">
      <c r="A771">
        <v>5</v>
      </c>
      <c r="B771" s="148" t="s">
        <v>412</v>
      </c>
      <c r="I771">
        <v>5</v>
      </c>
      <c r="J771" s="148" t="s">
        <v>412</v>
      </c>
    </row>
    <row r="785" spans="1:11" x14ac:dyDescent="0.25">
      <c r="B785" s="32" t="s">
        <v>413</v>
      </c>
      <c r="C785" s="215">
        <f>(3.61416*(D710-D712))/((1/(2*D713))*(LN(C729/D716))+(1+(C768*C729)))</f>
        <v>247.72232341467804</v>
      </c>
      <c r="J785" s="32" t="s">
        <v>413</v>
      </c>
      <c r="K785" s="215">
        <f>(3.61416*(L710-L712))/((1/(2*L713))*(LN(K729/L716))+(1+(K768*K729)))</f>
        <v>49.340409942376269</v>
      </c>
    </row>
    <row r="788" spans="1:11" x14ac:dyDescent="0.25">
      <c r="A788">
        <v>6</v>
      </c>
      <c r="B788" s="148" t="s">
        <v>414</v>
      </c>
      <c r="I788">
        <v>6</v>
      </c>
      <c r="J788" s="148" t="s">
        <v>414</v>
      </c>
    </row>
    <row r="793" spans="1:11" x14ac:dyDescent="0.25">
      <c r="B793" s="32" t="s">
        <v>413</v>
      </c>
      <c r="C793" s="222">
        <f>C785*0.2388*(3600/1000)</f>
        <v>212.96192699313042</v>
      </c>
      <c r="J793" s="32" t="s">
        <v>413</v>
      </c>
      <c r="K793" s="222">
        <f>K785*0.2388*(3600/1000)</f>
        <v>42.416963619262035</v>
      </c>
    </row>
    <row r="796" spans="1:11" x14ac:dyDescent="0.25">
      <c r="A796">
        <v>7</v>
      </c>
      <c r="B796" s="148" t="s">
        <v>415</v>
      </c>
      <c r="I796">
        <v>7</v>
      </c>
      <c r="J796" s="148" t="s">
        <v>415</v>
      </c>
    </row>
    <row r="801" spans="1:12" x14ac:dyDescent="0.25">
      <c r="B801" s="32" t="s">
        <v>417</v>
      </c>
      <c r="C801" s="216">
        <f>C793*C705</f>
        <v>2906.9303034562304</v>
      </c>
      <c r="J801" s="32" t="s">
        <v>417</v>
      </c>
      <c r="K801" s="216">
        <f>K793*K705</f>
        <v>578.9915534029268</v>
      </c>
    </row>
    <row r="804" spans="1:12" x14ac:dyDescent="0.25">
      <c r="A804">
        <v>8</v>
      </c>
      <c r="B804" s="148" t="s">
        <v>416</v>
      </c>
      <c r="I804">
        <v>8</v>
      </c>
      <c r="J804" s="148" t="s">
        <v>416</v>
      </c>
    </row>
    <row r="810" spans="1:12" x14ac:dyDescent="0.25">
      <c r="B810" s="32" t="s">
        <v>418</v>
      </c>
      <c r="C810" s="228">
        <f>C801*1040</f>
        <v>3023207.5155944796</v>
      </c>
      <c r="D810" s="23"/>
      <c r="J810" s="32" t="s">
        <v>418</v>
      </c>
      <c r="K810" s="228">
        <f>K801*1040</f>
        <v>602151.21553904389</v>
      </c>
      <c r="L810" s="23"/>
    </row>
    <row r="815" spans="1:12" x14ac:dyDescent="0.25">
      <c r="B815" s="148" t="s">
        <v>421</v>
      </c>
      <c r="E815" s="684" t="s">
        <v>422</v>
      </c>
      <c r="F815" s="684"/>
    </row>
    <row r="816" spans="1:12" x14ac:dyDescent="0.25">
      <c r="E816" s="217" t="s">
        <v>247</v>
      </c>
      <c r="F816" s="218" t="s">
        <v>248</v>
      </c>
    </row>
    <row r="817" spans="1:7" x14ac:dyDescent="0.25">
      <c r="A817">
        <v>1</v>
      </c>
      <c r="B817" s="148" t="s">
        <v>404</v>
      </c>
      <c r="E817" s="223">
        <f>C614+C729</f>
        <v>0.15240000000000001</v>
      </c>
      <c r="F817" s="223">
        <f>K614+K729</f>
        <v>0.254</v>
      </c>
    </row>
    <row r="818" spans="1:7" x14ac:dyDescent="0.25">
      <c r="A818">
        <v>2</v>
      </c>
      <c r="B818" s="148" t="s">
        <v>405</v>
      </c>
      <c r="E818" s="224">
        <f>C629</f>
        <v>7.4017494543313553</v>
      </c>
      <c r="F818" s="224">
        <f>K629</f>
        <v>6.6828948888274926</v>
      </c>
    </row>
    <row r="819" spans="1:7" x14ac:dyDescent="0.25">
      <c r="A819">
        <v>3</v>
      </c>
      <c r="B819" s="148" t="s">
        <v>410</v>
      </c>
      <c r="E819" s="224">
        <f>C643</f>
        <v>1.4932576178268067</v>
      </c>
      <c r="F819" s="224">
        <f>K643</f>
        <v>1.4932576178268067</v>
      </c>
    </row>
    <row r="820" spans="1:7" x14ac:dyDescent="0.25">
      <c r="A820">
        <v>4</v>
      </c>
      <c r="B820" s="148" t="s">
        <v>409</v>
      </c>
      <c r="E820" s="224">
        <f>C653</f>
        <v>8.8950070721581618</v>
      </c>
      <c r="F820" s="224">
        <f>K653</f>
        <v>8.176152506654299</v>
      </c>
    </row>
    <row r="821" spans="1:7" x14ac:dyDescent="0.25">
      <c r="A821">
        <v>5</v>
      </c>
      <c r="B821" s="148" t="s">
        <v>412</v>
      </c>
      <c r="E821" s="225">
        <f>C670</f>
        <v>247.72232341467804</v>
      </c>
      <c r="F821" s="225">
        <f>K670</f>
        <v>49.340409942376269</v>
      </c>
    </row>
    <row r="822" spans="1:7" x14ac:dyDescent="0.25">
      <c r="A822">
        <v>6</v>
      </c>
      <c r="B822" s="148" t="s">
        <v>414</v>
      </c>
      <c r="E822" s="226">
        <f>C678</f>
        <v>212.96192699313042</v>
      </c>
      <c r="F822" s="226">
        <f>K678</f>
        <v>42.416963619262035</v>
      </c>
    </row>
    <row r="823" spans="1:7" x14ac:dyDescent="0.25">
      <c r="A823">
        <v>7</v>
      </c>
      <c r="B823" s="148" t="s">
        <v>415</v>
      </c>
      <c r="E823" s="227">
        <f>C686</f>
        <v>2613.04284420571</v>
      </c>
      <c r="F823" s="227">
        <f>K686</f>
        <v>520.4561436083452</v>
      </c>
    </row>
    <row r="824" spans="1:7" x14ac:dyDescent="0.25">
      <c r="A824">
        <v>8</v>
      </c>
      <c r="B824" s="148" t="s">
        <v>416</v>
      </c>
      <c r="E824" s="229">
        <f>C695</f>
        <v>2717564.5579739385</v>
      </c>
      <c r="F824" s="229">
        <f>K695</f>
        <v>541274.38935267902</v>
      </c>
      <c r="G824" s="23"/>
    </row>
    <row r="826" spans="1:7" x14ac:dyDescent="0.25">
      <c r="C826" s="655" t="s">
        <v>424</v>
      </c>
      <c r="D826" s="655"/>
      <c r="E826" s="230">
        <f>E824-F824</f>
        <v>2176290.1686212597</v>
      </c>
    </row>
    <row r="830" spans="1:7" x14ac:dyDescent="0.25">
      <c r="E830" s="684" t="s">
        <v>423</v>
      </c>
      <c r="F830" s="684"/>
    </row>
    <row r="831" spans="1:7" x14ac:dyDescent="0.25">
      <c r="E831" s="217" t="s">
        <v>247</v>
      </c>
      <c r="F831" s="218" t="s">
        <v>248</v>
      </c>
    </row>
    <row r="832" spans="1:7" x14ac:dyDescent="0.25">
      <c r="A832">
        <v>1</v>
      </c>
      <c r="B832" s="148" t="s">
        <v>404</v>
      </c>
      <c r="E832" s="223">
        <f>E817</f>
        <v>0.15240000000000001</v>
      </c>
      <c r="F832" s="223">
        <f>F817</f>
        <v>0.254</v>
      </c>
    </row>
    <row r="833" spans="1:7" x14ac:dyDescent="0.25">
      <c r="A833">
        <v>2</v>
      </c>
      <c r="B833" s="148" t="s">
        <v>405</v>
      </c>
      <c r="E833" s="224">
        <f>C744</f>
        <v>7.4017494543313553</v>
      </c>
      <c r="F833" s="224">
        <f>K744</f>
        <v>6.6828948888274926</v>
      </c>
    </row>
    <row r="834" spans="1:7" x14ac:dyDescent="0.25">
      <c r="A834">
        <v>3</v>
      </c>
      <c r="B834" s="148" t="s">
        <v>410</v>
      </c>
      <c r="E834" s="224">
        <f>C758</f>
        <v>1.4932576178268067</v>
      </c>
      <c r="F834" s="224">
        <f>K758</f>
        <v>1.4932576178268067</v>
      </c>
    </row>
    <row r="835" spans="1:7" x14ac:dyDescent="0.25">
      <c r="A835">
        <v>4</v>
      </c>
      <c r="B835" s="148" t="s">
        <v>409</v>
      </c>
      <c r="E835" s="224">
        <f>C768</f>
        <v>8.8950070721581618</v>
      </c>
      <c r="F835" s="224">
        <f>K768</f>
        <v>8.176152506654299</v>
      </c>
    </row>
    <row r="836" spans="1:7" x14ac:dyDescent="0.25">
      <c r="A836">
        <v>5</v>
      </c>
      <c r="B836" s="148" t="s">
        <v>412</v>
      </c>
      <c r="E836" s="225">
        <f>C785</f>
        <v>247.72232341467804</v>
      </c>
      <c r="F836" s="225">
        <f>K785</f>
        <v>49.340409942376269</v>
      </c>
    </row>
    <row r="837" spans="1:7" x14ac:dyDescent="0.25">
      <c r="A837">
        <v>6</v>
      </c>
      <c r="B837" s="148" t="s">
        <v>414</v>
      </c>
      <c r="E837" s="226">
        <f>C793</f>
        <v>212.96192699313042</v>
      </c>
      <c r="F837" s="226">
        <f>K793</f>
        <v>42.416963619262035</v>
      </c>
    </row>
    <row r="838" spans="1:7" x14ac:dyDescent="0.25">
      <c r="A838">
        <v>7</v>
      </c>
      <c r="B838" s="148" t="s">
        <v>415</v>
      </c>
      <c r="E838" s="227">
        <f>C801</f>
        <v>2906.9303034562304</v>
      </c>
      <c r="F838" s="227">
        <f>K801</f>
        <v>578.9915534029268</v>
      </c>
    </row>
    <row r="839" spans="1:7" x14ac:dyDescent="0.25">
      <c r="A839">
        <v>8</v>
      </c>
      <c r="B839" s="148" t="s">
        <v>416</v>
      </c>
      <c r="E839" s="229">
        <f>C810</f>
        <v>3023207.5155944796</v>
      </c>
      <c r="F839" s="229">
        <f>K810</f>
        <v>602151.21553904389</v>
      </c>
      <c r="G839" s="23"/>
    </row>
    <row r="841" spans="1:7" x14ac:dyDescent="0.25">
      <c r="C841" s="655" t="s">
        <v>425</v>
      </c>
      <c r="D841" s="655"/>
      <c r="E841" s="230">
        <f>E839-F839</f>
        <v>2421056.3000554359</v>
      </c>
      <c r="F841" s="650">
        <f>E841</f>
        <v>2421056.3000554359</v>
      </c>
    </row>
    <row r="842" spans="1:7" x14ac:dyDescent="0.25">
      <c r="E842" s="23"/>
    </row>
    <row r="843" spans="1:7" x14ac:dyDescent="0.25">
      <c r="B843" s="148" t="s">
        <v>427</v>
      </c>
      <c r="E843" s="23"/>
      <c r="F843" s="23"/>
    </row>
    <row r="844" spans="1:7" x14ac:dyDescent="0.25">
      <c r="E844" s="22"/>
      <c r="F844" s="22"/>
    </row>
    <row r="845" spans="1:7" x14ac:dyDescent="0.25">
      <c r="F845" s="35"/>
    </row>
    <row r="853" spans="2:5" x14ac:dyDescent="0.25">
      <c r="C853" t="s">
        <v>426</v>
      </c>
      <c r="D853" s="228">
        <f>E826+E841</f>
        <v>4597346.4686766956</v>
      </c>
      <c r="E853" s="23">
        <f>D853</f>
        <v>4597346.4686766956</v>
      </c>
    </row>
    <row r="856" spans="2:5" x14ac:dyDescent="0.25">
      <c r="B856" s="148" t="s">
        <v>428</v>
      </c>
    </row>
    <row r="857" spans="2:5" x14ac:dyDescent="0.25">
      <c r="C857" s="1" t="s">
        <v>430</v>
      </c>
      <c r="D857" s="1" t="s">
        <v>429</v>
      </c>
    </row>
    <row r="858" spans="2:5" x14ac:dyDescent="0.25">
      <c r="C858" s="235">
        <v>1</v>
      </c>
      <c r="D858" s="234">
        <f>C858*4.184</f>
        <v>4.1840000000000002</v>
      </c>
    </row>
    <row r="862" spans="2:5" x14ac:dyDescent="0.25">
      <c r="B862" s="23"/>
    </row>
    <row r="863" spans="2:5" x14ac:dyDescent="0.25">
      <c r="B863" s="25"/>
      <c r="C863" s="696" t="s">
        <v>431</v>
      </c>
      <c r="D863" s="366">
        <f>D853*D858</f>
        <v>19235297.624943294</v>
      </c>
      <c r="E863" s="25"/>
    </row>
    <row r="864" spans="2:5" x14ac:dyDescent="0.25">
      <c r="B864" s="25"/>
      <c r="C864" s="696"/>
      <c r="D864" s="238">
        <f>D858*10229</f>
        <v>42798.135999999999</v>
      </c>
    </row>
    <row r="865" spans="1:12" x14ac:dyDescent="0.25">
      <c r="B865" s="231"/>
    </row>
    <row r="866" spans="1:12" x14ac:dyDescent="0.25">
      <c r="B866" s="46"/>
      <c r="D866" s="239">
        <f>D863/D864</f>
        <v>449.44241555153928</v>
      </c>
    </row>
    <row r="867" spans="1:12" x14ac:dyDescent="0.25">
      <c r="D867" s="240">
        <f>'Consumo Térmico de la empresa'!B5</f>
        <v>3.7854100000000002</v>
      </c>
      <c r="K867" s="1"/>
    </row>
    <row r="868" spans="1:12" x14ac:dyDescent="0.25">
      <c r="A868" s="237"/>
      <c r="B868" s="233"/>
      <c r="H868" s="1"/>
      <c r="I868" s="1"/>
      <c r="J868" s="1"/>
      <c r="K868" s="1"/>
      <c r="L868" s="1"/>
    </row>
    <row r="869" spans="1:12" x14ac:dyDescent="0.25">
      <c r="B869" s="232"/>
      <c r="C869" t="s">
        <v>432</v>
      </c>
      <c r="D869" s="241">
        <f>D866/D867</f>
        <v>118.730181288563</v>
      </c>
      <c r="H869" s="297"/>
      <c r="I869" s="297"/>
      <c r="J869" s="297"/>
      <c r="K869" s="297"/>
      <c r="L869" s="297"/>
    </row>
    <row r="870" spans="1:12" x14ac:dyDescent="0.25">
      <c r="H870" s="297"/>
      <c r="I870" s="297"/>
      <c r="J870" s="297"/>
      <c r="K870" s="297"/>
      <c r="L870" s="297"/>
    </row>
    <row r="871" spans="1:12" x14ac:dyDescent="0.25">
      <c r="B871" s="236"/>
      <c r="H871" s="297"/>
      <c r="I871" s="297"/>
      <c r="J871" s="297"/>
      <c r="K871" s="297"/>
      <c r="L871" s="297"/>
    </row>
    <row r="872" spans="1:12" x14ac:dyDescent="0.25">
      <c r="A872" s="199" t="s">
        <v>363</v>
      </c>
      <c r="B872" s="101" t="str">
        <f>B11</f>
        <v>Viabilidad económica</v>
      </c>
    </row>
    <row r="874" spans="1:12" x14ac:dyDescent="0.25">
      <c r="B874" t="s">
        <v>433</v>
      </c>
      <c r="C874" s="3"/>
    </row>
    <row r="878" spans="1:12" x14ac:dyDescent="0.25">
      <c r="B878" s="64">
        <f>B869/3</f>
        <v>0</v>
      </c>
      <c r="C878" t="s">
        <v>434</v>
      </c>
      <c r="D878" s="242">
        <f>D869*'Consumo Térmico de la empresa'!D7</f>
        <v>507.50025912784167</v>
      </c>
    </row>
    <row r="879" spans="1:12" x14ac:dyDescent="0.25">
      <c r="F879" s="276"/>
    </row>
    <row r="880" spans="1:12" x14ac:dyDescent="0.25">
      <c r="B880" s="671" t="s">
        <v>435</v>
      </c>
      <c r="C880" s="671"/>
      <c r="D880" s="243">
        <v>20</v>
      </c>
    </row>
    <row r="882" spans="1:5" x14ac:dyDescent="0.25">
      <c r="C882" t="s">
        <v>436</v>
      </c>
      <c r="D882" s="244">
        <f>D880*(C574+C575)</f>
        <v>518.40000000000009</v>
      </c>
    </row>
    <row r="884" spans="1:5" ht="17.25" x14ac:dyDescent="0.4">
      <c r="B884" s="696" t="s">
        <v>315</v>
      </c>
      <c r="C884" s="109" t="str">
        <f>C882</f>
        <v>Inversión anual</v>
      </c>
      <c r="D884" s="245">
        <f>D882</f>
        <v>518.40000000000009</v>
      </c>
      <c r="E884" s="283">
        <f>D884/D885</f>
        <v>1.0214773109493382</v>
      </c>
    </row>
    <row r="885" spans="1:5" x14ac:dyDescent="0.25">
      <c r="B885" s="696"/>
      <c r="C885" s="1" t="str">
        <f>C878</f>
        <v>Beneficio económico</v>
      </c>
      <c r="D885" s="246">
        <f>D878</f>
        <v>507.50025912784167</v>
      </c>
    </row>
    <row r="888" spans="1:5" x14ac:dyDescent="0.25">
      <c r="A888" s="199" t="s">
        <v>363</v>
      </c>
      <c r="B888" s="101" t="str">
        <f>B12</f>
        <v>Viabilidad ambiental</v>
      </c>
    </row>
    <row r="890" spans="1:5" x14ac:dyDescent="0.25">
      <c r="B890" t="s">
        <v>437</v>
      </c>
    </row>
    <row r="895" spans="1:5" x14ac:dyDescent="0.25">
      <c r="B895" s="148" t="s">
        <v>365</v>
      </c>
    </row>
    <row r="897" spans="2:5" x14ac:dyDescent="0.25">
      <c r="B897" s="31" t="s">
        <v>366</v>
      </c>
      <c r="C897" s="248">
        <f>D863/1000000000</f>
        <v>1.9235297624943293E-2</v>
      </c>
    </row>
    <row r="898" spans="2:5" x14ac:dyDescent="0.25">
      <c r="B898" s="31" t="s">
        <v>367</v>
      </c>
      <c r="C898" s="200">
        <v>71.900000000000006</v>
      </c>
      <c r="D898" s="368" t="s">
        <v>513</v>
      </c>
      <c r="E898" s="200">
        <v>57</v>
      </c>
    </row>
    <row r="899" spans="2:5" x14ac:dyDescent="0.25">
      <c r="B899" s="31" t="s">
        <v>368</v>
      </c>
      <c r="C899" s="249">
        <f>C898*C897</f>
        <v>1.383017899233423</v>
      </c>
    </row>
    <row r="902" spans="2:5" x14ac:dyDescent="0.25">
      <c r="B902" s="16" t="s">
        <v>262</v>
      </c>
      <c r="D902" s="103" t="s">
        <v>246</v>
      </c>
    </row>
    <row r="904" spans="2:5" x14ac:dyDescent="0.25">
      <c r="B904" s="33" t="s">
        <v>263</v>
      </c>
      <c r="C904" s="31" t="s">
        <v>438</v>
      </c>
    </row>
    <row r="905" spans="2:5" x14ac:dyDescent="0.25">
      <c r="B905" s="33" t="s">
        <v>305</v>
      </c>
      <c r="C905" s="31" t="s">
        <v>439</v>
      </c>
    </row>
    <row r="906" spans="2:5" x14ac:dyDescent="0.25">
      <c r="B906" s="33" t="s">
        <v>265</v>
      </c>
      <c r="C906" s="186">
        <f>'Consumo Térmico de la empresa'!C38</f>
        <v>3445.1893999999998</v>
      </c>
    </row>
    <row r="907" spans="2:5" x14ac:dyDescent="0.25">
      <c r="B907" s="33" t="s">
        <v>266</v>
      </c>
      <c r="C907" s="186">
        <f>C906-C908</f>
        <v>3326.4592187114367</v>
      </c>
    </row>
    <row r="908" spans="2:5" x14ac:dyDescent="0.25">
      <c r="B908" s="33" t="s">
        <v>273</v>
      </c>
      <c r="C908" s="251">
        <f>D869</f>
        <v>118.730181288563</v>
      </c>
      <c r="D908" s="18"/>
    </row>
    <row r="909" spans="2:5" x14ac:dyDescent="0.25">
      <c r="B909" s="33" t="s">
        <v>440</v>
      </c>
      <c r="C909" s="168">
        <f>C908/C906</f>
        <v>3.4462599150154996E-2</v>
      </c>
    </row>
    <row r="910" spans="2:5" x14ac:dyDescent="0.25">
      <c r="B910" s="33" t="s">
        <v>434</v>
      </c>
      <c r="C910" s="264">
        <f>D878</f>
        <v>507.50025912784167</v>
      </c>
      <c r="D910" s="18">
        <f>C910*'Consumo Térmico de la empresa'!$D$6</f>
        <v>490341.67536672938</v>
      </c>
    </row>
    <row r="911" spans="2:5" x14ac:dyDescent="0.25">
      <c r="B911" s="33" t="s">
        <v>269</v>
      </c>
      <c r="C911" s="250">
        <f>D882</f>
        <v>518.40000000000009</v>
      </c>
      <c r="D911" s="18">
        <f>C911*'Consumo Térmico de la empresa'!$D$6</f>
        <v>500872.89600000012</v>
      </c>
    </row>
    <row r="912" spans="2:5" x14ac:dyDescent="0.25">
      <c r="B912" s="33" t="s">
        <v>270</v>
      </c>
      <c r="C912" s="166">
        <f>E884</f>
        <v>1.0214773109493382</v>
      </c>
    </row>
    <row r="913" spans="2:4" x14ac:dyDescent="0.25">
      <c r="B913" s="33" t="s">
        <v>271</v>
      </c>
      <c r="C913" s="167">
        <v>15</v>
      </c>
    </row>
    <row r="914" spans="2:4" x14ac:dyDescent="0.25">
      <c r="B914" s="33" t="s">
        <v>272</v>
      </c>
      <c r="C914" s="367">
        <f>C899</f>
        <v>1.383017899233423</v>
      </c>
      <c r="D914" t="s">
        <v>512</v>
      </c>
    </row>
    <row r="917" spans="2:4" x14ac:dyDescent="0.25">
      <c r="B917" t="s">
        <v>441</v>
      </c>
    </row>
    <row r="918" spans="2:4" x14ac:dyDescent="0.25">
      <c r="B918" t="s">
        <v>442</v>
      </c>
      <c r="C918" s="252">
        <v>4</v>
      </c>
    </row>
    <row r="919" spans="2:4" x14ac:dyDescent="0.25">
      <c r="B919" t="s">
        <v>443</v>
      </c>
      <c r="C919" s="252">
        <v>8</v>
      </c>
    </row>
  </sheetData>
  <mergeCells count="60">
    <mergeCell ref="E483:E484"/>
    <mergeCell ref="E487:E488"/>
    <mergeCell ref="B520:B521"/>
    <mergeCell ref="G445:G448"/>
    <mergeCell ref="G449:G452"/>
    <mergeCell ref="B451:B452"/>
    <mergeCell ref="B447:B448"/>
    <mergeCell ref="E478:E479"/>
    <mergeCell ref="B449:B450"/>
    <mergeCell ref="A443:A444"/>
    <mergeCell ref="B443:B444"/>
    <mergeCell ref="C443:C444"/>
    <mergeCell ref="D443:D444"/>
    <mergeCell ref="E443:E444"/>
    <mergeCell ref="B194:B195"/>
    <mergeCell ref="A439:A442"/>
    <mergeCell ref="B439:B442"/>
    <mergeCell ref="C439:C442"/>
    <mergeCell ref="D439:D442"/>
    <mergeCell ref="F392:F394"/>
    <mergeCell ref="F439:F442"/>
    <mergeCell ref="F443:F444"/>
    <mergeCell ref="G443:G444"/>
    <mergeCell ref="B401:B402"/>
    <mergeCell ref="E439:E442"/>
    <mergeCell ref="C72:D72"/>
    <mergeCell ref="E81:F81"/>
    <mergeCell ref="E78:F78"/>
    <mergeCell ref="B2:C2"/>
    <mergeCell ref="C4:G4"/>
    <mergeCell ref="A24:A25"/>
    <mergeCell ref="A26:A27"/>
    <mergeCell ref="B90:B91"/>
    <mergeCell ref="A29:A30"/>
    <mergeCell ref="A44:A45"/>
    <mergeCell ref="A46:A47"/>
    <mergeCell ref="A49:A50"/>
    <mergeCell ref="B718:D719"/>
    <mergeCell ref="B603:D604"/>
    <mergeCell ref="H443:J444"/>
    <mergeCell ref="A445:A448"/>
    <mergeCell ref="A449:A452"/>
    <mergeCell ref="H449:J452"/>
    <mergeCell ref="E449:E452"/>
    <mergeCell ref="F449:F452"/>
    <mergeCell ref="C449:C452"/>
    <mergeCell ref="D449:D452"/>
    <mergeCell ref="C445:C448"/>
    <mergeCell ref="D445:D448"/>
    <mergeCell ref="E445:E448"/>
    <mergeCell ref="F445:F448"/>
    <mergeCell ref="H445:J448"/>
    <mergeCell ref="B445:B446"/>
    <mergeCell ref="C863:C864"/>
    <mergeCell ref="B880:C880"/>
    <mergeCell ref="B884:B885"/>
    <mergeCell ref="E815:F815"/>
    <mergeCell ref="E830:F830"/>
    <mergeCell ref="C826:D826"/>
    <mergeCell ref="C841:D841"/>
  </mergeCells>
  <phoneticPr fontId="12" type="noConversion"/>
  <hyperlinks>
    <hyperlink ref="B75" r:id="rId1" xr:uid="{F6D5AAF0-9C40-495A-99F5-C49AEF444B78}"/>
    <hyperlink ref="D86" r:id="rId2" xr:uid="{9261E7AF-CB7A-4AAA-A44E-4D9BDB04DD4A}"/>
    <hyperlink ref="A524" location="'Propuesta de Mejora'!B2" display="Inicio" xr:uid="{C2C1B2A5-412A-4B91-BF59-F4796C733FAE}"/>
    <hyperlink ref="A473" location="'Propuesta de Mejora'!B2" display="Inicio" xr:uid="{CF3D2D88-15AD-4DA3-A491-39839CBDE707}"/>
    <hyperlink ref="A465" location="'Propuesta de Mejora'!B2" display="Inicio" xr:uid="{15C9D3B1-238B-420C-B4F4-69BB300E2AC1}"/>
    <hyperlink ref="A456" location="'Propuesta de Mejora'!B2" display="Inicio" xr:uid="{96F6E2B1-7912-4ADD-84B9-5DEBA4936915}"/>
    <hyperlink ref="A434" location="'Propuesta de Mejora'!B2" display="Inicio" xr:uid="{B0163C34-DB3B-453A-8096-F62F435904CC}"/>
    <hyperlink ref="A406" location="'Propuesta de Mejora'!B2" display="Inicio" xr:uid="{BE8F3647-FBEE-4D96-9E2B-B5D0254A450A}"/>
    <hyperlink ref="A356" location="'Propuesta de Mejora'!B2" display="Inicio" xr:uid="{5C7CE082-A852-472B-A059-27AA7E3B57A4}"/>
    <hyperlink ref="A319" location="'Propuesta de Mejora'!B2" display="Inicio" xr:uid="{0DBA451B-D37C-48AE-9E24-9C7767ED8D2B}"/>
    <hyperlink ref="A266" location="'Propuesta de Mejora'!B2" display="Inicio" xr:uid="{8AD82623-1714-4FD8-83CB-07D902574912}"/>
    <hyperlink ref="A231" location="'Propuesta de Mejora'!B2" display="Inicio" xr:uid="{4F2B8CFA-76B6-40BB-B4AC-FB503DEDDC3E}"/>
    <hyperlink ref="A199" location="'Propuesta de Mejora'!B2" display="Inicio" xr:uid="{7A5724EC-A103-41E6-86D8-1B64D55393FE}"/>
    <hyperlink ref="A176" location="'Propuesta de Mejora'!B2" display="Inicio" xr:uid="{0D1171EA-CCF5-4A66-BA68-887E95807F79}"/>
    <hyperlink ref="A142" location="'Propuesta de Mejora'!B2" display="Inicio" xr:uid="{FF801CAD-CCC1-41C3-96A7-27AC876A3083}"/>
    <hyperlink ref="A124" location="'Propuesta de Mejora'!B2" display="Inicio" xr:uid="{46DA9F41-2290-48D6-8F38-4FBE32E12EE0}"/>
    <hyperlink ref="A94" location="'Propuesta de Mejora'!B2" display="Inicio" xr:uid="{F4D371BD-BC77-4E0F-84CA-9C1919A33789}"/>
    <hyperlink ref="A61" location="'Propuesta de Mejora'!B2" display="Inicio" xr:uid="{33195B1A-094D-4706-A4E3-975D1508FCB3}"/>
    <hyperlink ref="A41" location="'Propuesta de Mejora'!B2" display="Inicio" xr:uid="{31A36F64-A50B-4AF8-A5C4-F16753DE9728}"/>
    <hyperlink ref="A18" location="'Propuesta de Mejora'!B2" display="Inicio" xr:uid="{514D1009-F820-4D58-B3ED-2A326D2FFAD9}"/>
    <hyperlink ref="A152" location="'Propuesta de Mejora'!B2" display="Inicio" xr:uid="{A9E09210-D341-4B47-A821-1FCA716810F6}"/>
    <hyperlink ref="A270" location="'Propuesta de Mejora'!B2" display="Inicio" xr:uid="{30B578F0-4636-4466-B949-E40D2F237960}"/>
    <hyperlink ref="A279" location="'Propuesta de Mejora'!B2" display="Inicio" xr:uid="{55F974DD-FBD0-40AD-B202-DB3452987B19}"/>
    <hyperlink ref="C5" location="'Propuesta de Mejora'!B17" display="Luminarias" xr:uid="{CCB2E7D2-2D00-419A-8778-01E321C78035}"/>
    <hyperlink ref="D5" location="'Propuesta de Mejora'!B123" display="Aires acondicionados" xr:uid="{E213C34C-B67B-429D-BD32-5B56B9088195}"/>
    <hyperlink ref="E5" location="'Propuesta de Mejora'!B230" display="Motores" xr:uid="{CA9C9368-16F3-4023-B67D-99E3D0CA10BF}"/>
    <hyperlink ref="F5" location="'Propuesta de Mejora'!B428" display="Quemadores" xr:uid="{1EEC7C90-C17B-4B95-8534-245B1ED43682}"/>
    <hyperlink ref="A564" location="'Propuesta de Mejora'!B2" display="Inicio" xr:uid="{11DFB311-C89F-4080-AB71-5FEE6B89A31A}"/>
    <hyperlink ref="G5" location="'Propuesta de Mejora'!B558" display="Tuberías" xr:uid="{94F5077C-0C13-4075-B93E-FB9FD75DD5D5}"/>
    <hyperlink ref="A872" location="'Propuesta de Mejora'!B2" display="Inicio" xr:uid="{E60DE501-AE53-4F97-8FE8-4781A46FA8A8}"/>
    <hyperlink ref="A888" location="'Propuesta de Mejora'!B2" display="Inicio" xr:uid="{0E84DE1B-550C-47D2-9C2A-46A7432799C0}"/>
    <hyperlink ref="J275" r:id="rId3" xr:uid="{B68790E4-A6AB-46B2-9530-6CA351E81030}"/>
    <hyperlink ref="H393" r:id="rId4" xr:uid="{552BDA2F-1DF6-4260-9EC0-22F57F9A976C}"/>
    <hyperlink ref="H395" r:id="rId5" xr:uid="{8C10E179-2AB9-4AF6-B08C-003D9F1F9979}"/>
  </hyperlinks>
  <pageMargins left="0.7" right="0.7" top="0.75" bottom="0.75" header="0.3" footer="0.3"/>
  <ignoredErrors>
    <ignoredError sqref="E44:E57" formula="1"/>
  </ignoredErrors>
  <drawing r:id="rId6"/>
  <legacyDrawing r:id="rId7"/>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9DB7C-B607-412F-8911-B58ECD6F557D}">
  <sheetPr>
    <tabColor theme="9" tint="0.59999389629810485"/>
  </sheetPr>
  <dimension ref="B2:AK247"/>
  <sheetViews>
    <sheetView showGridLines="0" zoomScale="80" zoomScaleNormal="80" workbookViewId="0">
      <selection activeCell="J25" sqref="J25"/>
    </sheetView>
  </sheetViews>
  <sheetFormatPr baseColWidth="10" defaultRowHeight="15" x14ac:dyDescent="0.25"/>
  <cols>
    <col min="2" max="2" width="28.140625" customWidth="1"/>
    <col min="3" max="3" width="25" bestFit="1" customWidth="1"/>
    <col min="4" max="4" width="23.5703125" bestFit="1" customWidth="1"/>
    <col min="5" max="5" width="22" bestFit="1" customWidth="1"/>
    <col min="6" max="6" width="16.28515625" customWidth="1"/>
    <col min="7" max="7" width="18.42578125" bestFit="1" customWidth="1"/>
    <col min="8" max="8" width="15.7109375" bestFit="1" customWidth="1"/>
    <col min="9" max="9" width="22" customWidth="1"/>
    <col min="10" max="10" width="14.42578125" bestFit="1" customWidth="1"/>
    <col min="11" max="12" width="12.7109375" bestFit="1" customWidth="1"/>
    <col min="13" max="13" width="42.5703125" bestFit="1" customWidth="1"/>
    <col min="14" max="14" width="23" customWidth="1"/>
    <col min="15" max="15" width="20.85546875" customWidth="1"/>
    <col min="16" max="17" width="12.7109375" bestFit="1" customWidth="1"/>
    <col min="22" max="22" width="22" customWidth="1"/>
    <col min="23" max="23" width="13" bestFit="1" customWidth="1"/>
    <col min="24" max="37" width="12.7109375" bestFit="1" customWidth="1"/>
  </cols>
  <sheetData>
    <row r="2" spans="2:4" x14ac:dyDescent="0.25">
      <c r="B2" s="148" t="s">
        <v>1155</v>
      </c>
    </row>
    <row r="4" spans="2:4" x14ac:dyDescent="0.25">
      <c r="B4" s="784" t="s">
        <v>1145</v>
      </c>
      <c r="C4" s="784"/>
      <c r="D4" s="34" t="s">
        <v>173</v>
      </c>
    </row>
    <row r="5" spans="2:4" x14ac:dyDescent="0.25">
      <c r="B5" s="789" t="s">
        <v>1146</v>
      </c>
      <c r="C5" s="789"/>
      <c r="D5" s="629">
        <v>4.2000000000000003E-2</v>
      </c>
    </row>
    <row r="6" spans="2:4" x14ac:dyDescent="0.25">
      <c r="B6" s="789" t="s">
        <v>1147</v>
      </c>
      <c r="C6" s="789"/>
      <c r="D6" s="629">
        <v>8.2100000000000006E-2</v>
      </c>
    </row>
    <row r="7" spans="2:4" x14ac:dyDescent="0.25">
      <c r="B7" s="789" t="s">
        <v>1148</v>
      </c>
      <c r="C7" s="789"/>
      <c r="D7" s="630">
        <v>0.24</v>
      </c>
    </row>
    <row r="8" spans="2:4" x14ac:dyDescent="0.25">
      <c r="B8" s="789" t="s">
        <v>1150</v>
      </c>
      <c r="C8" s="789"/>
      <c r="D8" s="631" t="s">
        <v>362</v>
      </c>
    </row>
    <row r="9" spans="2:4" x14ac:dyDescent="0.25">
      <c r="B9" s="789" t="s">
        <v>1151</v>
      </c>
      <c r="C9" s="789"/>
      <c r="D9" s="349">
        <v>0.8</v>
      </c>
    </row>
    <row r="10" spans="2:4" x14ac:dyDescent="0.25">
      <c r="B10" s="789" t="s">
        <v>1153</v>
      </c>
      <c r="C10" s="789"/>
      <c r="D10" s="629">
        <v>5.2499999999999998E-2</v>
      </c>
    </row>
    <row r="11" spans="2:4" x14ac:dyDescent="0.25">
      <c r="B11" s="789" t="s">
        <v>1152</v>
      </c>
      <c r="C11" s="789"/>
      <c r="D11" s="349">
        <v>0.2</v>
      </c>
    </row>
    <row r="12" spans="2:4" x14ac:dyDescent="0.25">
      <c r="B12" s="789" t="s">
        <v>1154</v>
      </c>
      <c r="C12" s="789"/>
      <c r="D12" s="629">
        <v>3.5000000000000003E-2</v>
      </c>
    </row>
    <row r="13" spans="2:4" x14ac:dyDescent="0.25">
      <c r="B13" s="789" t="s">
        <v>1149</v>
      </c>
      <c r="C13" s="789"/>
      <c r="D13" s="629">
        <f>D9*(D5+D10)+(D11*D12)</f>
        <v>8.2600000000000007E-2</v>
      </c>
    </row>
    <row r="17" spans="2:5" x14ac:dyDescent="0.25">
      <c r="B17" s="148" t="s">
        <v>461</v>
      </c>
    </row>
    <row r="19" spans="2:5" x14ac:dyDescent="0.25">
      <c r="B19" s="34" t="s">
        <v>90</v>
      </c>
      <c r="C19" s="34" t="s">
        <v>360</v>
      </c>
    </row>
    <row r="20" spans="2:5" x14ac:dyDescent="0.25">
      <c r="B20" s="31" t="s">
        <v>458</v>
      </c>
      <c r="C20" s="299">
        <f>'Propuesta de Mejora'!D78</f>
        <v>394.05</v>
      </c>
    </row>
    <row r="21" spans="2:5" x14ac:dyDescent="0.25">
      <c r="B21" s="31" t="s">
        <v>459</v>
      </c>
      <c r="C21" s="300">
        <f>'Consumo Térmico de la empresa'!D5</f>
        <v>4129.88231</v>
      </c>
    </row>
    <row r="24" spans="2:5" x14ac:dyDescent="0.25">
      <c r="B24" s="148" t="s">
        <v>462</v>
      </c>
    </row>
    <row r="26" spans="2:5" x14ac:dyDescent="0.25">
      <c r="C26" s="784" t="s">
        <v>463</v>
      </c>
      <c r="D26" s="784"/>
      <c r="E26" s="34" t="s">
        <v>464</v>
      </c>
    </row>
    <row r="27" spans="2:5" x14ac:dyDescent="0.25">
      <c r="B27" s="714" t="s">
        <v>458</v>
      </c>
      <c r="C27" s="684" t="str">
        <f>'Propuesta de Mejora'!D5</f>
        <v>Aires acondicionados</v>
      </c>
      <c r="D27" s="684"/>
      <c r="E27" s="114">
        <f>'Propuesta de Mejora'!C219</f>
        <v>10376.294399999999</v>
      </c>
    </row>
    <row r="28" spans="2:5" x14ac:dyDescent="0.25">
      <c r="B28" s="714"/>
      <c r="C28" s="684" t="str">
        <f>'Propuesta de Mejora'!C5</f>
        <v>Luminarias</v>
      </c>
      <c r="D28" s="684"/>
      <c r="E28" s="114">
        <f>'Propuesta de Mejora'!C112</f>
        <v>5309.2312000000002</v>
      </c>
    </row>
    <row r="29" spans="2:5" x14ac:dyDescent="0.25">
      <c r="B29" s="714"/>
      <c r="C29" s="684" t="str">
        <f>'Propuesta de Mejora'!E5</f>
        <v>Motores</v>
      </c>
      <c r="D29" s="684"/>
      <c r="E29" s="114">
        <f>'Propuesta de Mejora'!C422</f>
        <v>1016.0763870967744</v>
      </c>
    </row>
    <row r="31" spans="2:5" x14ac:dyDescent="0.25">
      <c r="C31" s="784" t="s">
        <v>463</v>
      </c>
      <c r="D31" s="784"/>
      <c r="E31" s="34" t="s">
        <v>464</v>
      </c>
    </row>
    <row r="32" spans="2:5" x14ac:dyDescent="0.25">
      <c r="B32" s="714" t="s">
        <v>465</v>
      </c>
      <c r="C32" s="684" t="str">
        <f>'Propuesta de Mejora'!F5</f>
        <v>Quemadores</v>
      </c>
      <c r="D32" s="684"/>
      <c r="E32" s="301" t="s">
        <v>466</v>
      </c>
    </row>
    <row r="33" spans="2:5" x14ac:dyDescent="0.25">
      <c r="B33" s="714"/>
      <c r="C33" s="684" t="str">
        <f>'Propuesta de Mejora'!G5</f>
        <v>Tuberías</v>
      </c>
      <c r="D33" s="684"/>
      <c r="E33" s="251">
        <f>'Propuesta de Mejora'!C908</f>
        <v>118.730181288563</v>
      </c>
    </row>
    <row r="36" spans="2:5" x14ac:dyDescent="0.25">
      <c r="B36" s="148" t="s">
        <v>1156</v>
      </c>
    </row>
    <row r="38" spans="2:5" x14ac:dyDescent="0.25">
      <c r="C38" s="34" t="s">
        <v>468</v>
      </c>
    </row>
    <row r="39" spans="2:5" x14ac:dyDescent="0.25">
      <c r="B39" s="31" t="str">
        <f>C32</f>
        <v>Quemadores</v>
      </c>
      <c r="C39" s="122">
        <f>'Propuesta de Mejora'!C554</f>
        <v>13481662.029939981</v>
      </c>
    </row>
    <row r="40" spans="2:5" x14ac:dyDescent="0.25">
      <c r="B40" s="31" t="str">
        <f>C33</f>
        <v>Tuberías</v>
      </c>
      <c r="C40" s="302">
        <f>'Propuesta de Mejora'!C910*'Consumo Térmico de la empresa'!D6</f>
        <v>490341.67536672938</v>
      </c>
    </row>
    <row r="41" spans="2:5" x14ac:dyDescent="0.25">
      <c r="C41" s="303">
        <f>SUM(C39:C40)</f>
        <v>13972003.705306711</v>
      </c>
    </row>
    <row r="43" spans="2:5" x14ac:dyDescent="0.25">
      <c r="C43" s="34" t="s">
        <v>468</v>
      </c>
    </row>
    <row r="44" spans="2:5" x14ac:dyDescent="0.25">
      <c r="B44" s="31" t="s">
        <v>227</v>
      </c>
      <c r="C44" s="122">
        <f>'Propuesta de Mejora'!C114</f>
        <v>2092102.5543600002</v>
      </c>
    </row>
    <row r="45" spans="2:5" x14ac:dyDescent="0.25">
      <c r="B45" s="31" t="s">
        <v>223</v>
      </c>
      <c r="C45" s="302">
        <f>'Propuesta de Mejora'!C221</f>
        <v>4088778.8083199998</v>
      </c>
    </row>
    <row r="46" spans="2:5" x14ac:dyDescent="0.25">
      <c r="B46" s="31" t="s">
        <v>244</v>
      </c>
      <c r="C46" s="302">
        <f>'Propuesta de Mejora'!C424</f>
        <v>1150384.900335484</v>
      </c>
    </row>
    <row r="47" spans="2:5" x14ac:dyDescent="0.25">
      <c r="C47" s="303">
        <f>SUM(C44:C46)</f>
        <v>7331266.2630154844</v>
      </c>
    </row>
    <row r="50" spans="2:37" x14ac:dyDescent="0.25">
      <c r="B50" s="17" t="s">
        <v>1157</v>
      </c>
      <c r="C50" s="303">
        <f>C41+C47</f>
        <v>21303269.968322195</v>
      </c>
      <c r="D50" s="18">
        <f>C50</f>
        <v>21303269.968322195</v>
      </c>
    </row>
    <row r="54" spans="2:37" x14ac:dyDescent="0.25">
      <c r="B54" s="148" t="s">
        <v>1158</v>
      </c>
      <c r="V54" s="148" t="s">
        <v>1158</v>
      </c>
    </row>
    <row r="56" spans="2:37" x14ac:dyDescent="0.25">
      <c r="B56" s="33" t="s">
        <v>928</v>
      </c>
      <c r="C56" s="17">
        <v>1</v>
      </c>
      <c r="D56" s="17">
        <v>2</v>
      </c>
      <c r="E56" s="17">
        <v>3</v>
      </c>
      <c r="F56" s="17">
        <v>4</v>
      </c>
      <c r="G56" s="17">
        <v>5</v>
      </c>
      <c r="H56" s="17">
        <v>6</v>
      </c>
      <c r="I56" s="17">
        <v>7</v>
      </c>
      <c r="J56" s="17">
        <v>8</v>
      </c>
      <c r="K56" s="17">
        <v>9</v>
      </c>
      <c r="L56" s="17">
        <v>10</v>
      </c>
      <c r="M56" s="17">
        <v>11</v>
      </c>
      <c r="N56" s="17">
        <v>12</v>
      </c>
      <c r="O56" s="17">
        <v>13</v>
      </c>
      <c r="P56" s="17">
        <v>14</v>
      </c>
      <c r="Q56" s="17">
        <v>15</v>
      </c>
      <c r="V56" s="33" t="s">
        <v>928</v>
      </c>
      <c r="W56" s="17">
        <v>1</v>
      </c>
      <c r="X56" s="17">
        <v>2</v>
      </c>
      <c r="Y56" s="17">
        <v>3</v>
      </c>
      <c r="Z56" s="17">
        <v>4</v>
      </c>
      <c r="AA56" s="17">
        <v>5</v>
      </c>
      <c r="AB56" s="17">
        <v>6</v>
      </c>
      <c r="AC56" s="17">
        <v>7</v>
      </c>
      <c r="AD56" s="17">
        <v>8</v>
      </c>
      <c r="AE56" s="17">
        <v>9</v>
      </c>
      <c r="AF56" s="17">
        <v>10</v>
      </c>
      <c r="AG56" s="17">
        <v>11</v>
      </c>
      <c r="AH56" s="17">
        <v>12</v>
      </c>
      <c r="AI56" s="17">
        <v>13</v>
      </c>
      <c r="AJ56" s="17">
        <v>14</v>
      </c>
      <c r="AK56" s="17">
        <v>15</v>
      </c>
    </row>
    <row r="57" spans="2:37" x14ac:dyDescent="0.25">
      <c r="B57" s="31" t="str">
        <f>B45</f>
        <v>Aires acondicionados</v>
      </c>
      <c r="C57" s="142">
        <f>'Propuesta de Mejora'!D221</f>
        <v>4088778.8083199998</v>
      </c>
      <c r="D57" s="142">
        <f>C57*1.025</f>
        <v>4190998.2785279993</v>
      </c>
      <c r="E57" s="142">
        <f>D57*1.025</f>
        <v>4295773.2354911985</v>
      </c>
      <c r="F57" s="142">
        <f t="shared" ref="F57:Q57" si="0">E57*1.025</f>
        <v>4403167.566378478</v>
      </c>
      <c r="G57" s="142">
        <f t="shared" si="0"/>
        <v>4513246.7555379393</v>
      </c>
      <c r="H57" s="142">
        <f t="shared" si="0"/>
        <v>4626077.9244263871</v>
      </c>
      <c r="I57" s="142">
        <f t="shared" si="0"/>
        <v>4741729.8725370467</v>
      </c>
      <c r="J57" s="142">
        <f t="shared" si="0"/>
        <v>4860273.1193504725</v>
      </c>
      <c r="K57" s="142">
        <f t="shared" si="0"/>
        <v>4981779.9473342337</v>
      </c>
      <c r="L57" s="142">
        <f t="shared" si="0"/>
        <v>5106324.4460175894</v>
      </c>
      <c r="M57" s="142">
        <f t="shared" si="0"/>
        <v>5233982.5571680283</v>
      </c>
      <c r="N57" s="142">
        <f t="shared" si="0"/>
        <v>5364832.1210972285</v>
      </c>
      <c r="O57" s="142">
        <f t="shared" si="0"/>
        <v>5498952.924124659</v>
      </c>
      <c r="P57" s="142">
        <f t="shared" si="0"/>
        <v>5636426.7472277749</v>
      </c>
      <c r="Q57" s="142">
        <f t="shared" si="0"/>
        <v>5777337.4159084689</v>
      </c>
      <c r="V57" s="31" t="str">
        <f t="shared" ref="V57:W61" si="1">B57</f>
        <v>Aires acondicionados</v>
      </c>
      <c r="W57" s="187">
        <f t="shared" si="1"/>
        <v>4088778.8083199998</v>
      </c>
      <c r="X57" s="142">
        <f t="shared" ref="X57:AK57" si="2">W57*1.025</f>
        <v>4190998.2785279993</v>
      </c>
      <c r="Y57" s="142">
        <f t="shared" si="2"/>
        <v>4295773.2354911985</v>
      </c>
      <c r="Z57" s="142">
        <f t="shared" si="2"/>
        <v>4403167.566378478</v>
      </c>
      <c r="AA57" s="142">
        <f t="shared" si="2"/>
        <v>4513246.7555379393</v>
      </c>
      <c r="AB57" s="142">
        <f t="shared" si="2"/>
        <v>4626077.9244263871</v>
      </c>
      <c r="AC57" s="142">
        <f t="shared" si="2"/>
        <v>4741729.8725370467</v>
      </c>
      <c r="AD57" s="142">
        <f t="shared" si="2"/>
        <v>4860273.1193504725</v>
      </c>
      <c r="AE57" s="142">
        <f t="shared" si="2"/>
        <v>4981779.9473342337</v>
      </c>
      <c r="AF57" s="142">
        <f t="shared" si="2"/>
        <v>5106324.4460175894</v>
      </c>
      <c r="AG57" s="142">
        <f t="shared" si="2"/>
        <v>5233982.5571680283</v>
      </c>
      <c r="AH57" s="142">
        <f t="shared" si="2"/>
        <v>5364832.1210972285</v>
      </c>
      <c r="AI57" s="142">
        <f t="shared" si="2"/>
        <v>5498952.924124659</v>
      </c>
      <c r="AJ57" s="142">
        <f t="shared" si="2"/>
        <v>5636426.7472277749</v>
      </c>
      <c r="AK57" s="142">
        <f t="shared" si="2"/>
        <v>5777337.4159084689</v>
      </c>
    </row>
    <row r="58" spans="2:37" x14ac:dyDescent="0.25">
      <c r="B58" s="31" t="str">
        <f>B40</f>
        <v>Tuberías</v>
      </c>
      <c r="C58" s="142">
        <f>'Propuesta de Mejora'!D910</f>
        <v>490341.67536672938</v>
      </c>
      <c r="D58" s="142">
        <f t="shared" ref="D58:E61" si="3">C58*1.025</f>
        <v>502600.21725089755</v>
      </c>
      <c r="E58" s="142">
        <f t="shared" si="3"/>
        <v>515165.22268216993</v>
      </c>
      <c r="F58" s="142">
        <f t="shared" ref="F58:Q58" si="4">E58*1.025</f>
        <v>528044.35324922414</v>
      </c>
      <c r="G58" s="142">
        <f t="shared" si="4"/>
        <v>541245.46208045469</v>
      </c>
      <c r="H58" s="142">
        <f t="shared" si="4"/>
        <v>554776.59863246605</v>
      </c>
      <c r="I58" s="142">
        <f t="shared" si="4"/>
        <v>568646.0135982777</v>
      </c>
      <c r="J58" s="142">
        <f t="shared" si="4"/>
        <v>582862.16393823456</v>
      </c>
      <c r="K58" s="142">
        <f t="shared" si="4"/>
        <v>597433.71803669038</v>
      </c>
      <c r="L58" s="142">
        <f t="shared" si="4"/>
        <v>612369.56098760758</v>
      </c>
      <c r="M58" s="142">
        <f t="shared" si="4"/>
        <v>627678.8000122977</v>
      </c>
      <c r="N58" s="142">
        <f t="shared" si="4"/>
        <v>643370.77001260512</v>
      </c>
      <c r="O58" s="142">
        <f t="shared" si="4"/>
        <v>659455.03926292015</v>
      </c>
      <c r="P58" s="142">
        <f t="shared" si="4"/>
        <v>675941.41524449305</v>
      </c>
      <c r="Q58" s="142">
        <f t="shared" si="4"/>
        <v>692839.9506256053</v>
      </c>
      <c r="V58" s="31" t="str">
        <f t="shared" si="1"/>
        <v>Tuberías</v>
      </c>
      <c r="W58" s="187">
        <f t="shared" si="1"/>
        <v>490341.67536672938</v>
      </c>
      <c r="X58" s="142">
        <f t="shared" ref="X58:AK58" si="5">W58*1.025</f>
        <v>502600.21725089755</v>
      </c>
      <c r="Y58" s="142">
        <f t="shared" si="5"/>
        <v>515165.22268216993</v>
      </c>
      <c r="Z58" s="142">
        <f t="shared" si="5"/>
        <v>528044.35324922414</v>
      </c>
      <c r="AA58" s="142">
        <f t="shared" si="5"/>
        <v>541245.46208045469</v>
      </c>
      <c r="AB58" s="142">
        <f t="shared" si="5"/>
        <v>554776.59863246605</v>
      </c>
      <c r="AC58" s="142">
        <f t="shared" si="5"/>
        <v>568646.0135982777</v>
      </c>
      <c r="AD58" s="142">
        <f t="shared" si="5"/>
        <v>582862.16393823456</v>
      </c>
      <c r="AE58" s="142">
        <f t="shared" si="5"/>
        <v>597433.71803669038</v>
      </c>
      <c r="AF58" s="142">
        <f t="shared" si="5"/>
        <v>612369.56098760758</v>
      </c>
      <c r="AG58" s="142">
        <f t="shared" si="5"/>
        <v>627678.8000122977</v>
      </c>
      <c r="AH58" s="142">
        <f t="shared" si="5"/>
        <v>643370.77001260512</v>
      </c>
      <c r="AI58" s="142">
        <f t="shared" si="5"/>
        <v>659455.03926292015</v>
      </c>
      <c r="AJ58" s="142">
        <f t="shared" si="5"/>
        <v>675941.41524449305</v>
      </c>
      <c r="AK58" s="142">
        <f t="shared" si="5"/>
        <v>692839.9506256053</v>
      </c>
    </row>
    <row r="59" spans="2:37" x14ac:dyDescent="0.25">
      <c r="B59" s="31" t="str">
        <f>B46</f>
        <v>Motores</v>
      </c>
      <c r="C59" s="142">
        <f>'Propuesta de Mejora'!D424</f>
        <v>1150384.900335484</v>
      </c>
      <c r="D59" s="142">
        <f t="shared" si="3"/>
        <v>1179144.522843871</v>
      </c>
      <c r="E59" s="142">
        <f t="shared" si="3"/>
        <v>1208623.1359149676</v>
      </c>
      <c r="F59" s="142">
        <f t="shared" ref="F59:Q59" si="6">E59*1.025</f>
        <v>1238838.7143128417</v>
      </c>
      <c r="G59" s="142">
        <f t="shared" si="6"/>
        <v>1269809.6821706626</v>
      </c>
      <c r="H59" s="142">
        <f t="shared" si="6"/>
        <v>1301554.924224929</v>
      </c>
      <c r="I59" s="142">
        <f t="shared" si="6"/>
        <v>1334093.797330552</v>
      </c>
      <c r="J59" s="142">
        <f t="shared" si="6"/>
        <v>1367446.1422638157</v>
      </c>
      <c r="K59" s="142">
        <f t="shared" si="6"/>
        <v>1401632.2958204111</v>
      </c>
      <c r="L59" s="142">
        <f t="shared" si="6"/>
        <v>1436673.1032159212</v>
      </c>
      <c r="M59" s="142">
        <f t="shared" si="6"/>
        <v>1472589.9307963192</v>
      </c>
      <c r="N59" s="142">
        <f t="shared" si="6"/>
        <v>1509404.6790662271</v>
      </c>
      <c r="O59" s="142">
        <f t="shared" si="6"/>
        <v>1547139.7960428826</v>
      </c>
      <c r="P59" s="142">
        <f t="shared" si="6"/>
        <v>1585818.2909439546</v>
      </c>
      <c r="Q59" s="142">
        <f t="shared" si="6"/>
        <v>1625463.7482175534</v>
      </c>
      <c r="V59" s="31" t="str">
        <f t="shared" si="1"/>
        <v>Motores</v>
      </c>
      <c r="W59" s="187">
        <f t="shared" si="1"/>
        <v>1150384.900335484</v>
      </c>
      <c r="X59" s="142">
        <f t="shared" ref="X59:AK59" si="7">W59*1.025</f>
        <v>1179144.522843871</v>
      </c>
      <c r="Y59" s="142">
        <f t="shared" si="7"/>
        <v>1208623.1359149676</v>
      </c>
      <c r="Z59" s="142">
        <f t="shared" si="7"/>
        <v>1238838.7143128417</v>
      </c>
      <c r="AA59" s="142">
        <f t="shared" si="7"/>
        <v>1269809.6821706626</v>
      </c>
      <c r="AB59" s="142">
        <f t="shared" si="7"/>
        <v>1301554.924224929</v>
      </c>
      <c r="AC59" s="142">
        <f t="shared" si="7"/>
        <v>1334093.797330552</v>
      </c>
      <c r="AD59" s="142">
        <f t="shared" si="7"/>
        <v>1367446.1422638157</v>
      </c>
      <c r="AE59" s="142">
        <f t="shared" si="7"/>
        <v>1401632.2958204111</v>
      </c>
      <c r="AF59" s="142">
        <f t="shared" si="7"/>
        <v>1436673.1032159212</v>
      </c>
      <c r="AG59" s="142">
        <f t="shared" si="7"/>
        <v>1472589.9307963192</v>
      </c>
      <c r="AH59" s="142">
        <f t="shared" si="7"/>
        <v>1509404.6790662271</v>
      </c>
      <c r="AI59" s="142">
        <f t="shared" si="7"/>
        <v>1547139.7960428826</v>
      </c>
      <c r="AJ59" s="142">
        <f t="shared" si="7"/>
        <v>1585818.2909439546</v>
      </c>
      <c r="AK59" s="142">
        <f t="shared" si="7"/>
        <v>1625463.7482175534</v>
      </c>
    </row>
    <row r="60" spans="2:37" x14ac:dyDescent="0.25">
      <c r="B60" s="31" t="str">
        <f>B39</f>
        <v>Quemadores</v>
      </c>
      <c r="C60" s="142">
        <f>'Propuesta de Mejora'!D554</f>
        <v>13481662.029939981</v>
      </c>
      <c r="D60" s="142">
        <f t="shared" si="3"/>
        <v>13818703.58068848</v>
      </c>
      <c r="E60" s="142">
        <f t="shared" si="3"/>
        <v>14164171.170205692</v>
      </c>
      <c r="F60" s="142">
        <f t="shared" ref="F60:Q60" si="8">E60*1.025</f>
        <v>14518275.449460832</v>
      </c>
      <c r="G60" s="142">
        <f t="shared" si="8"/>
        <v>14881232.335697351</v>
      </c>
      <c r="H60" s="142">
        <f t="shared" si="8"/>
        <v>15253263.144089783</v>
      </c>
      <c r="I60" s="142">
        <f t="shared" si="8"/>
        <v>15634594.722692026</v>
      </c>
      <c r="J60" s="142">
        <f t="shared" si="8"/>
        <v>16025459.590759326</v>
      </c>
      <c r="K60" s="142">
        <f t="shared" si="8"/>
        <v>16426096.080528308</v>
      </c>
      <c r="L60" s="142">
        <f t="shared" si="8"/>
        <v>16836748.482541513</v>
      </c>
      <c r="M60" s="142">
        <f t="shared" si="8"/>
        <v>17257667.194605049</v>
      </c>
      <c r="N60" s="142">
        <f t="shared" si="8"/>
        <v>17689108.874470174</v>
      </c>
      <c r="O60" s="142">
        <f t="shared" si="8"/>
        <v>18131336.596331928</v>
      </c>
      <c r="P60" s="142">
        <f t="shared" si="8"/>
        <v>18584620.011240225</v>
      </c>
      <c r="Q60" s="142">
        <f t="shared" si="8"/>
        <v>19049235.511521228</v>
      </c>
      <c r="V60" s="31" t="str">
        <f t="shared" si="1"/>
        <v>Quemadores</v>
      </c>
      <c r="W60" s="187">
        <f t="shared" si="1"/>
        <v>13481662.029939981</v>
      </c>
      <c r="X60" s="142">
        <f t="shared" ref="X60:AK60" si="9">W60*1.025</f>
        <v>13818703.58068848</v>
      </c>
      <c r="Y60" s="142">
        <f t="shared" si="9"/>
        <v>14164171.170205692</v>
      </c>
      <c r="Z60" s="142">
        <f t="shared" si="9"/>
        <v>14518275.449460832</v>
      </c>
      <c r="AA60" s="142">
        <f t="shared" si="9"/>
        <v>14881232.335697351</v>
      </c>
      <c r="AB60" s="142">
        <f t="shared" si="9"/>
        <v>15253263.144089783</v>
      </c>
      <c r="AC60" s="142">
        <f t="shared" si="9"/>
        <v>15634594.722692026</v>
      </c>
      <c r="AD60" s="142">
        <f t="shared" si="9"/>
        <v>16025459.590759326</v>
      </c>
      <c r="AE60" s="142">
        <f t="shared" si="9"/>
        <v>16426096.080528308</v>
      </c>
      <c r="AF60" s="142">
        <f t="shared" si="9"/>
        <v>16836748.482541513</v>
      </c>
      <c r="AG60" s="142">
        <f t="shared" si="9"/>
        <v>17257667.194605049</v>
      </c>
      <c r="AH60" s="142">
        <f t="shared" si="9"/>
        <v>17689108.874470174</v>
      </c>
      <c r="AI60" s="142">
        <f t="shared" si="9"/>
        <v>18131336.596331928</v>
      </c>
      <c r="AJ60" s="142">
        <f t="shared" si="9"/>
        <v>18584620.011240225</v>
      </c>
      <c r="AK60" s="142">
        <f t="shared" si="9"/>
        <v>19049235.511521228</v>
      </c>
    </row>
    <row r="61" spans="2:37" x14ac:dyDescent="0.25">
      <c r="B61" s="31" t="str">
        <f>B44</f>
        <v>Luminarias</v>
      </c>
      <c r="C61" s="142">
        <f>'Propuesta de Mejora'!D114</f>
        <v>2092102.5543600002</v>
      </c>
      <c r="D61" s="142">
        <f t="shared" si="3"/>
        <v>2144405.1182189998</v>
      </c>
      <c r="E61" s="142">
        <f t="shared" si="3"/>
        <v>2198015.2461744747</v>
      </c>
      <c r="F61" s="142">
        <f t="shared" ref="F61:Q61" si="10">E61*1.025</f>
        <v>2252965.6273288364</v>
      </c>
      <c r="G61" s="142">
        <f t="shared" si="10"/>
        <v>2309289.7680120571</v>
      </c>
      <c r="H61" s="142">
        <f t="shared" si="10"/>
        <v>2367022.0122123584</v>
      </c>
      <c r="I61" s="142">
        <f t="shared" si="10"/>
        <v>2426197.5625176672</v>
      </c>
      <c r="J61" s="142">
        <f t="shared" si="10"/>
        <v>2486852.5015806085</v>
      </c>
      <c r="K61" s="142">
        <f t="shared" si="10"/>
        <v>2549023.8141201236</v>
      </c>
      <c r="L61" s="142">
        <f t="shared" si="10"/>
        <v>2612749.4094731263</v>
      </c>
      <c r="M61" s="142">
        <f t="shared" si="10"/>
        <v>2678068.144709954</v>
      </c>
      <c r="N61" s="142">
        <f t="shared" si="10"/>
        <v>2745019.8483277028</v>
      </c>
      <c r="O61" s="142">
        <f t="shared" si="10"/>
        <v>2813645.3445358952</v>
      </c>
      <c r="P61" s="142">
        <f t="shared" si="10"/>
        <v>2883986.4781492921</v>
      </c>
      <c r="Q61" s="142">
        <f t="shared" si="10"/>
        <v>2956086.140103024</v>
      </c>
      <c r="V61" s="31" t="str">
        <f t="shared" si="1"/>
        <v>Luminarias</v>
      </c>
      <c r="W61" s="187">
        <f t="shared" si="1"/>
        <v>2092102.5543600002</v>
      </c>
      <c r="X61" s="142">
        <f t="shared" ref="X61:AK61" si="11">W61*1.025</f>
        <v>2144405.1182189998</v>
      </c>
      <c r="Y61" s="142">
        <f t="shared" si="11"/>
        <v>2198015.2461744747</v>
      </c>
      <c r="Z61" s="142">
        <f t="shared" si="11"/>
        <v>2252965.6273288364</v>
      </c>
      <c r="AA61" s="142">
        <f t="shared" si="11"/>
        <v>2309289.7680120571</v>
      </c>
      <c r="AB61" s="142">
        <f t="shared" si="11"/>
        <v>2367022.0122123584</v>
      </c>
      <c r="AC61" s="142">
        <f t="shared" si="11"/>
        <v>2426197.5625176672</v>
      </c>
      <c r="AD61" s="142">
        <f t="shared" si="11"/>
        <v>2486852.5015806085</v>
      </c>
      <c r="AE61" s="142">
        <f t="shared" si="11"/>
        <v>2549023.8141201236</v>
      </c>
      <c r="AF61" s="142">
        <f t="shared" si="11"/>
        <v>2612749.4094731263</v>
      </c>
      <c r="AG61" s="142">
        <f t="shared" si="11"/>
        <v>2678068.144709954</v>
      </c>
      <c r="AH61" s="142">
        <f t="shared" si="11"/>
        <v>2745019.8483277028</v>
      </c>
      <c r="AI61" s="142">
        <f t="shared" si="11"/>
        <v>2813645.3445358952</v>
      </c>
      <c r="AJ61" s="142">
        <f t="shared" si="11"/>
        <v>2883986.4781492921</v>
      </c>
      <c r="AK61" s="142">
        <f t="shared" si="11"/>
        <v>2956086.140103024</v>
      </c>
    </row>
    <row r="62" spans="2:37" x14ac:dyDescent="0.25">
      <c r="B62" s="33" t="s">
        <v>1157</v>
      </c>
      <c r="C62" s="142">
        <f>SUM(C57:C61)</f>
        <v>21303269.968322191</v>
      </c>
      <c r="D62" s="142">
        <f t="shared" ref="D62:Q62" si="12">SUM(D57:D61)</f>
        <v>21835851.717530247</v>
      </c>
      <c r="E62" s="142">
        <f t="shared" si="12"/>
        <v>22381748.010468502</v>
      </c>
      <c r="F62" s="142">
        <f t="shared" si="12"/>
        <v>22941291.71073021</v>
      </c>
      <c r="G62" s="142">
        <f t="shared" si="12"/>
        <v>23514824.003498465</v>
      </c>
      <c r="H62" s="142">
        <f t="shared" si="12"/>
        <v>24102694.603585921</v>
      </c>
      <c r="I62" s="142">
        <f t="shared" si="12"/>
        <v>24705261.968675569</v>
      </c>
      <c r="J62" s="142">
        <f t="shared" si="12"/>
        <v>25322893.517892454</v>
      </c>
      <c r="K62" s="142">
        <f t="shared" si="12"/>
        <v>25955965.85583977</v>
      </c>
      <c r="L62" s="142">
        <f t="shared" si="12"/>
        <v>26604865.002235755</v>
      </c>
      <c r="M62" s="142">
        <f t="shared" si="12"/>
        <v>27269986.62729165</v>
      </c>
      <c r="N62" s="142">
        <f t="shared" si="12"/>
        <v>27951736.292973939</v>
      </c>
      <c r="O62" s="142">
        <f t="shared" si="12"/>
        <v>28650529.700298283</v>
      </c>
      <c r="P62" s="142">
        <f t="shared" si="12"/>
        <v>29366792.942805741</v>
      </c>
      <c r="Q62" s="142">
        <f t="shared" si="12"/>
        <v>30100962.766375881</v>
      </c>
      <c r="V62" s="33" t="s">
        <v>1157</v>
      </c>
      <c r="W62" s="142">
        <f>SUM(W57:W61)</f>
        <v>21303269.968322191</v>
      </c>
      <c r="X62" s="142">
        <f t="shared" ref="X62:AK62" si="13">SUM(X57:X61)</f>
        <v>21835851.717530247</v>
      </c>
      <c r="Y62" s="142">
        <f t="shared" si="13"/>
        <v>22381748.010468502</v>
      </c>
      <c r="Z62" s="142">
        <f t="shared" si="13"/>
        <v>22941291.71073021</v>
      </c>
      <c r="AA62" s="142">
        <f t="shared" si="13"/>
        <v>23514824.003498465</v>
      </c>
      <c r="AB62" s="142">
        <f t="shared" si="13"/>
        <v>24102694.603585921</v>
      </c>
      <c r="AC62" s="142">
        <f t="shared" si="13"/>
        <v>24705261.968675569</v>
      </c>
      <c r="AD62" s="142">
        <f t="shared" si="13"/>
        <v>25322893.517892454</v>
      </c>
      <c r="AE62" s="142">
        <f t="shared" si="13"/>
        <v>25955965.85583977</v>
      </c>
      <c r="AF62" s="142">
        <f t="shared" si="13"/>
        <v>26604865.002235755</v>
      </c>
      <c r="AG62" s="142">
        <f t="shared" si="13"/>
        <v>27269986.62729165</v>
      </c>
      <c r="AH62" s="142">
        <f t="shared" si="13"/>
        <v>27951736.292973939</v>
      </c>
      <c r="AI62" s="142">
        <f t="shared" si="13"/>
        <v>28650529.700298283</v>
      </c>
      <c r="AJ62" s="142">
        <f t="shared" si="13"/>
        <v>29366792.942805741</v>
      </c>
      <c r="AK62" s="142">
        <f t="shared" si="13"/>
        <v>30100962.766375881</v>
      </c>
    </row>
    <row r="66" spans="2:11" x14ac:dyDescent="0.25">
      <c r="B66" s="148" t="s">
        <v>469</v>
      </c>
    </row>
    <row r="68" spans="2:11" x14ac:dyDescent="0.25">
      <c r="B68" s="33" t="s">
        <v>470</v>
      </c>
      <c r="C68" s="34" t="s">
        <v>269</v>
      </c>
    </row>
    <row r="69" spans="2:11" x14ac:dyDescent="0.25">
      <c r="B69" s="31" t="str">
        <f>C28</f>
        <v>Luminarias</v>
      </c>
      <c r="C69" s="142">
        <f>'Propuesta de Mejora'!C115</f>
        <v>219700</v>
      </c>
      <c r="E69" s="307"/>
      <c r="F69" s="289"/>
    </row>
    <row r="70" spans="2:11" x14ac:dyDescent="0.25">
      <c r="B70" s="31" t="str">
        <f>C27</f>
        <v>Aires acondicionados</v>
      </c>
      <c r="C70" s="142">
        <f>'Propuesta de Mejora'!C222</f>
        <v>10778876.199999999</v>
      </c>
      <c r="E70" s="307"/>
      <c r="F70" s="289"/>
      <c r="H70" s="236"/>
      <c r="I70" s="236"/>
      <c r="J70" s="236"/>
      <c r="K70" s="236"/>
    </row>
    <row r="71" spans="2:11" x14ac:dyDescent="0.25">
      <c r="B71" s="31" t="str">
        <f>C29</f>
        <v>Motores</v>
      </c>
      <c r="C71" s="142">
        <f>'Propuesta de Mejora'!C425</f>
        <v>3294000</v>
      </c>
      <c r="E71" s="307"/>
      <c r="J71" s="236"/>
      <c r="K71" s="236"/>
    </row>
    <row r="72" spans="2:11" x14ac:dyDescent="0.25">
      <c r="B72" s="31" t="str">
        <f>C32</f>
        <v>Quemadores</v>
      </c>
      <c r="C72" s="142">
        <f>'Propuesta de Mejora'!C555</f>
        <v>7552500</v>
      </c>
      <c r="E72" s="307"/>
    </row>
    <row r="73" spans="2:11" x14ac:dyDescent="0.25">
      <c r="B73" s="31" t="str">
        <f>C33</f>
        <v>Tuberías</v>
      </c>
      <c r="C73" s="142">
        <f>'Propuesta de Mejora'!C911*'Consumo Térmico de la empresa'!D6</f>
        <v>500872.89600000012</v>
      </c>
      <c r="D73" s="304"/>
      <c r="E73" s="307"/>
      <c r="F73" s="35"/>
    </row>
    <row r="74" spans="2:11" x14ac:dyDescent="0.25">
      <c r="B74" s="305" t="s">
        <v>64</v>
      </c>
      <c r="C74" s="306">
        <f>SUM(C69:C73)</f>
        <v>22345949.096000001</v>
      </c>
    </row>
    <row r="77" spans="2:11" x14ac:dyDescent="0.25">
      <c r="B77" s="148" t="s">
        <v>471</v>
      </c>
    </row>
    <row r="84" spans="2:5" x14ac:dyDescent="0.25">
      <c r="B84" s="148" t="s">
        <v>472</v>
      </c>
    </row>
    <row r="89" spans="2:5" x14ac:dyDescent="0.25">
      <c r="B89" s="784" t="s">
        <v>478</v>
      </c>
      <c r="C89" s="784"/>
      <c r="D89" s="784"/>
    </row>
    <row r="90" spans="2:5" x14ac:dyDescent="0.25">
      <c r="B90" s="33" t="s">
        <v>360</v>
      </c>
      <c r="C90" s="633">
        <f>C70</f>
        <v>10778876.199999999</v>
      </c>
      <c r="D90" s="34" t="s">
        <v>271</v>
      </c>
      <c r="E90" s="308">
        <v>10</v>
      </c>
    </row>
    <row r="91" spans="2:5" x14ac:dyDescent="0.25">
      <c r="B91" s="784" t="s">
        <v>473</v>
      </c>
      <c r="C91" s="784"/>
      <c r="D91" s="784"/>
      <c r="E91" s="632">
        <f>C90/10</f>
        <v>1077887.6199999999</v>
      </c>
    </row>
    <row r="92" spans="2:5" x14ac:dyDescent="0.25">
      <c r="B92" s="34" t="s">
        <v>474</v>
      </c>
      <c r="C92" s="33" t="s">
        <v>475</v>
      </c>
      <c r="D92" s="33" t="s">
        <v>476</v>
      </c>
      <c r="E92" s="34" t="s">
        <v>477</v>
      </c>
    </row>
    <row r="93" spans="2:5" x14ac:dyDescent="0.25">
      <c r="B93" s="17">
        <v>1</v>
      </c>
      <c r="C93" s="187">
        <f>$E$91</f>
        <v>1077887.6199999999</v>
      </c>
      <c r="D93" s="187">
        <f>C93</f>
        <v>1077887.6199999999</v>
      </c>
      <c r="E93" s="187">
        <f>$C$90-D93</f>
        <v>9700988.5800000001</v>
      </c>
    </row>
    <row r="94" spans="2:5" x14ac:dyDescent="0.25">
      <c r="B94" s="17">
        <v>2</v>
      </c>
      <c r="C94" s="187">
        <f t="shared" ref="C94:C102" si="14">$E$91</f>
        <v>1077887.6199999999</v>
      </c>
      <c r="D94" s="187">
        <f>D93+C94</f>
        <v>2155775.2399999998</v>
      </c>
      <c r="E94" s="187">
        <f t="shared" ref="E94:E102" si="15">$C$90-D94</f>
        <v>8623100.959999999</v>
      </c>
    </row>
    <row r="95" spans="2:5" x14ac:dyDescent="0.25">
      <c r="B95" s="17">
        <v>3</v>
      </c>
      <c r="C95" s="187">
        <f t="shared" si="14"/>
        <v>1077887.6199999999</v>
      </c>
      <c r="D95" s="187">
        <f t="shared" ref="D95:D102" si="16">D94+C95</f>
        <v>3233662.8599999994</v>
      </c>
      <c r="E95" s="187">
        <f t="shared" si="15"/>
        <v>7545213.3399999999</v>
      </c>
    </row>
    <row r="96" spans="2:5" x14ac:dyDescent="0.25">
      <c r="B96" s="17">
        <v>4</v>
      </c>
      <c r="C96" s="187">
        <f t="shared" si="14"/>
        <v>1077887.6199999999</v>
      </c>
      <c r="D96" s="187">
        <f t="shared" si="16"/>
        <v>4311550.4799999995</v>
      </c>
      <c r="E96" s="187">
        <f t="shared" si="15"/>
        <v>6467325.7199999997</v>
      </c>
    </row>
    <row r="97" spans="2:5" x14ac:dyDescent="0.25">
      <c r="B97" s="17">
        <v>5</v>
      </c>
      <c r="C97" s="187">
        <f t="shared" si="14"/>
        <v>1077887.6199999999</v>
      </c>
      <c r="D97" s="187">
        <f t="shared" si="16"/>
        <v>5389438.0999999996</v>
      </c>
      <c r="E97" s="187">
        <f t="shared" si="15"/>
        <v>5389438.0999999996</v>
      </c>
    </row>
    <row r="98" spans="2:5" x14ac:dyDescent="0.25">
      <c r="B98" s="17">
        <v>6</v>
      </c>
      <c r="C98" s="187">
        <f t="shared" si="14"/>
        <v>1077887.6199999999</v>
      </c>
      <c r="D98" s="187">
        <f t="shared" si="16"/>
        <v>6467325.7199999997</v>
      </c>
      <c r="E98" s="187">
        <f t="shared" si="15"/>
        <v>4311550.4799999995</v>
      </c>
    </row>
    <row r="99" spans="2:5" x14ac:dyDescent="0.25">
      <c r="B99" s="17">
        <v>7</v>
      </c>
      <c r="C99" s="187">
        <f t="shared" si="14"/>
        <v>1077887.6199999999</v>
      </c>
      <c r="D99" s="187">
        <f t="shared" si="16"/>
        <v>7545213.3399999999</v>
      </c>
      <c r="E99" s="187">
        <f t="shared" si="15"/>
        <v>3233662.8599999994</v>
      </c>
    </row>
    <row r="100" spans="2:5" x14ac:dyDescent="0.25">
      <c r="B100" s="17">
        <v>8</v>
      </c>
      <c r="C100" s="187">
        <f t="shared" si="14"/>
        <v>1077887.6199999999</v>
      </c>
      <c r="D100" s="187">
        <f t="shared" si="16"/>
        <v>8623100.959999999</v>
      </c>
      <c r="E100" s="187">
        <f t="shared" si="15"/>
        <v>2155775.2400000002</v>
      </c>
    </row>
    <row r="101" spans="2:5" x14ac:dyDescent="0.25">
      <c r="B101" s="17">
        <v>9</v>
      </c>
      <c r="C101" s="187">
        <f t="shared" si="14"/>
        <v>1077887.6199999999</v>
      </c>
      <c r="D101" s="187">
        <f t="shared" si="16"/>
        <v>9700988.5799999982</v>
      </c>
      <c r="E101" s="187">
        <f t="shared" si="15"/>
        <v>1077887.620000001</v>
      </c>
    </row>
    <row r="102" spans="2:5" x14ac:dyDescent="0.25">
      <c r="B102" s="17">
        <v>10</v>
      </c>
      <c r="C102" s="187">
        <f t="shared" si="14"/>
        <v>1077887.6199999999</v>
      </c>
      <c r="D102" s="187">
        <f t="shared" si="16"/>
        <v>10778876.199999997</v>
      </c>
      <c r="E102" s="187">
        <f t="shared" si="15"/>
        <v>0</v>
      </c>
    </row>
    <row r="105" spans="2:5" x14ac:dyDescent="0.25">
      <c r="B105" s="784" t="s">
        <v>479</v>
      </c>
      <c r="C105" s="784"/>
      <c r="D105" s="784"/>
    </row>
    <row r="106" spans="2:5" x14ac:dyDescent="0.25">
      <c r="B106" s="33" t="s">
        <v>360</v>
      </c>
      <c r="C106" s="633">
        <f>C71</f>
        <v>3294000</v>
      </c>
      <c r="D106" s="34" t="s">
        <v>271</v>
      </c>
      <c r="E106" s="308">
        <v>15</v>
      </c>
    </row>
    <row r="107" spans="2:5" x14ac:dyDescent="0.25">
      <c r="B107" s="784" t="s">
        <v>473</v>
      </c>
      <c r="C107" s="784"/>
      <c r="D107" s="784"/>
      <c r="E107" s="632">
        <f>C106/15</f>
        <v>219600</v>
      </c>
    </row>
    <row r="108" spans="2:5" x14ac:dyDescent="0.25">
      <c r="B108" s="34" t="s">
        <v>474</v>
      </c>
      <c r="C108" s="33" t="s">
        <v>475</v>
      </c>
      <c r="D108" s="33" t="s">
        <v>476</v>
      </c>
      <c r="E108" s="34" t="s">
        <v>477</v>
      </c>
    </row>
    <row r="109" spans="2:5" x14ac:dyDescent="0.25">
      <c r="B109" s="17">
        <v>1</v>
      </c>
      <c r="C109" s="187">
        <f>$E$107</f>
        <v>219600</v>
      </c>
      <c r="D109" s="187">
        <f>C109</f>
        <v>219600</v>
      </c>
      <c r="E109" s="187">
        <f>$C$106-D109</f>
        <v>3074400</v>
      </c>
    </row>
    <row r="110" spans="2:5" x14ac:dyDescent="0.25">
      <c r="B110" s="17">
        <v>2</v>
      </c>
      <c r="C110" s="187">
        <f t="shared" ref="C110:C123" si="17">$E$107</f>
        <v>219600</v>
      </c>
      <c r="D110" s="187">
        <f>D109+C110</f>
        <v>439200</v>
      </c>
      <c r="E110" s="187">
        <f t="shared" ref="E110:E123" si="18">$C$106-D110</f>
        <v>2854800</v>
      </c>
    </row>
    <row r="111" spans="2:5" x14ac:dyDescent="0.25">
      <c r="B111" s="17">
        <v>3</v>
      </c>
      <c r="C111" s="187">
        <f t="shared" si="17"/>
        <v>219600</v>
      </c>
      <c r="D111" s="187">
        <f t="shared" ref="D111:D118" si="19">D110+C111</f>
        <v>658800</v>
      </c>
      <c r="E111" s="187">
        <f t="shared" si="18"/>
        <v>2635200</v>
      </c>
    </row>
    <row r="112" spans="2:5" x14ac:dyDescent="0.25">
      <c r="B112" s="17">
        <v>4</v>
      </c>
      <c r="C112" s="187">
        <f t="shared" si="17"/>
        <v>219600</v>
      </c>
      <c r="D112" s="187">
        <f t="shared" si="19"/>
        <v>878400</v>
      </c>
      <c r="E112" s="187">
        <f t="shared" si="18"/>
        <v>2415600</v>
      </c>
    </row>
    <row r="113" spans="2:5" x14ac:dyDescent="0.25">
      <c r="B113" s="17">
        <v>5</v>
      </c>
      <c r="C113" s="187">
        <f t="shared" si="17"/>
        <v>219600</v>
      </c>
      <c r="D113" s="187">
        <f t="shared" si="19"/>
        <v>1098000</v>
      </c>
      <c r="E113" s="187">
        <f t="shared" si="18"/>
        <v>2196000</v>
      </c>
    </row>
    <row r="114" spans="2:5" x14ac:dyDescent="0.25">
      <c r="B114" s="17">
        <v>6</v>
      </c>
      <c r="C114" s="187">
        <f t="shared" si="17"/>
        <v>219600</v>
      </c>
      <c r="D114" s="187">
        <f t="shared" si="19"/>
        <v>1317600</v>
      </c>
      <c r="E114" s="187">
        <f t="shared" si="18"/>
        <v>1976400</v>
      </c>
    </row>
    <row r="115" spans="2:5" x14ac:dyDescent="0.25">
      <c r="B115" s="17">
        <v>7</v>
      </c>
      <c r="C115" s="187">
        <f t="shared" si="17"/>
        <v>219600</v>
      </c>
      <c r="D115" s="187">
        <f t="shared" si="19"/>
        <v>1537200</v>
      </c>
      <c r="E115" s="187">
        <f t="shared" si="18"/>
        <v>1756800</v>
      </c>
    </row>
    <row r="116" spans="2:5" x14ac:dyDescent="0.25">
      <c r="B116" s="17">
        <v>8</v>
      </c>
      <c r="C116" s="187">
        <f t="shared" si="17"/>
        <v>219600</v>
      </c>
      <c r="D116" s="187">
        <f t="shared" si="19"/>
        <v>1756800</v>
      </c>
      <c r="E116" s="187">
        <f t="shared" si="18"/>
        <v>1537200</v>
      </c>
    </row>
    <row r="117" spans="2:5" x14ac:dyDescent="0.25">
      <c r="B117" s="17">
        <v>9</v>
      </c>
      <c r="C117" s="187">
        <f t="shared" si="17"/>
        <v>219600</v>
      </c>
      <c r="D117" s="187">
        <f t="shared" si="19"/>
        <v>1976400</v>
      </c>
      <c r="E117" s="187">
        <f t="shared" si="18"/>
        <v>1317600</v>
      </c>
    </row>
    <row r="118" spans="2:5" x14ac:dyDescent="0.25">
      <c r="B118" s="17">
        <v>10</v>
      </c>
      <c r="C118" s="187">
        <f t="shared" si="17"/>
        <v>219600</v>
      </c>
      <c r="D118" s="187">
        <f t="shared" si="19"/>
        <v>2196000</v>
      </c>
      <c r="E118" s="187">
        <f t="shared" si="18"/>
        <v>1098000</v>
      </c>
    </row>
    <row r="119" spans="2:5" x14ac:dyDescent="0.25">
      <c r="B119" s="17">
        <v>11</v>
      </c>
      <c r="C119" s="187">
        <f t="shared" si="17"/>
        <v>219600</v>
      </c>
      <c r="D119" s="187">
        <f>D118+C119</f>
        <v>2415600</v>
      </c>
      <c r="E119" s="187">
        <f t="shared" si="18"/>
        <v>878400</v>
      </c>
    </row>
    <row r="120" spans="2:5" x14ac:dyDescent="0.25">
      <c r="B120" s="17">
        <v>12</v>
      </c>
      <c r="C120" s="187">
        <f t="shared" si="17"/>
        <v>219600</v>
      </c>
      <c r="D120" s="187">
        <f>D119+C120</f>
        <v>2635200</v>
      </c>
      <c r="E120" s="187">
        <f t="shared" si="18"/>
        <v>658800</v>
      </c>
    </row>
    <row r="121" spans="2:5" x14ac:dyDescent="0.25">
      <c r="B121" s="17">
        <v>13</v>
      </c>
      <c r="C121" s="187">
        <f t="shared" si="17"/>
        <v>219600</v>
      </c>
      <c r="D121" s="187">
        <f>D120+C121</f>
        <v>2854800</v>
      </c>
      <c r="E121" s="187">
        <f t="shared" si="18"/>
        <v>439200</v>
      </c>
    </row>
    <row r="122" spans="2:5" x14ac:dyDescent="0.25">
      <c r="B122" s="17">
        <v>14</v>
      </c>
      <c r="C122" s="187">
        <f t="shared" si="17"/>
        <v>219600</v>
      </c>
      <c r="D122" s="187">
        <f>D121+C122</f>
        <v>3074400</v>
      </c>
      <c r="E122" s="187">
        <f t="shared" si="18"/>
        <v>219600</v>
      </c>
    </row>
    <row r="123" spans="2:5" x14ac:dyDescent="0.25">
      <c r="B123" s="17">
        <v>15</v>
      </c>
      <c r="C123" s="187">
        <f t="shared" si="17"/>
        <v>219600</v>
      </c>
      <c r="D123" s="187">
        <f>D122+C123</f>
        <v>3294000</v>
      </c>
      <c r="E123" s="187">
        <f t="shared" si="18"/>
        <v>0</v>
      </c>
    </row>
    <row r="126" spans="2:5" x14ac:dyDescent="0.25">
      <c r="B126" s="784" t="s">
        <v>480</v>
      </c>
      <c r="C126" s="784"/>
      <c r="D126" s="784"/>
    </row>
    <row r="127" spans="2:5" x14ac:dyDescent="0.25">
      <c r="B127" s="33" t="s">
        <v>360</v>
      </c>
      <c r="C127" s="633">
        <f>C72</f>
        <v>7552500</v>
      </c>
      <c r="D127" s="34" t="s">
        <v>271</v>
      </c>
      <c r="E127" s="308">
        <v>15</v>
      </c>
    </row>
    <row r="128" spans="2:5" x14ac:dyDescent="0.25">
      <c r="B128" s="784" t="s">
        <v>473</v>
      </c>
      <c r="C128" s="784"/>
      <c r="D128" s="784"/>
      <c r="E128" s="632">
        <f>C127/15</f>
        <v>503500</v>
      </c>
    </row>
    <row r="129" spans="2:5" x14ac:dyDescent="0.25">
      <c r="B129" s="34" t="s">
        <v>474</v>
      </c>
      <c r="C129" s="33" t="s">
        <v>475</v>
      </c>
      <c r="D129" s="33" t="s">
        <v>476</v>
      </c>
      <c r="E129" s="34" t="s">
        <v>477</v>
      </c>
    </row>
    <row r="130" spans="2:5" ht="12" customHeight="1" x14ac:dyDescent="0.25">
      <c r="B130" s="17">
        <v>1</v>
      </c>
      <c r="C130" s="187">
        <f>$E$107</f>
        <v>219600</v>
      </c>
      <c r="D130" s="187">
        <f>C130</f>
        <v>219600</v>
      </c>
      <c r="E130" s="187">
        <f>$C$106-D130</f>
        <v>3074400</v>
      </c>
    </row>
    <row r="131" spans="2:5" x14ac:dyDescent="0.25">
      <c r="B131" s="17">
        <v>2</v>
      </c>
      <c r="C131" s="187">
        <f t="shared" ref="C131:C144" si="20">$E$107</f>
        <v>219600</v>
      </c>
      <c r="D131" s="187">
        <f>D130+C131</f>
        <v>439200</v>
      </c>
      <c r="E131" s="187">
        <f t="shared" ref="E131:E144" si="21">$C$106-D131</f>
        <v>2854800</v>
      </c>
    </row>
    <row r="132" spans="2:5" x14ac:dyDescent="0.25">
      <c r="B132" s="17">
        <v>3</v>
      </c>
      <c r="C132" s="187">
        <f t="shared" si="20"/>
        <v>219600</v>
      </c>
      <c r="D132" s="187">
        <f t="shared" ref="D132:D144" si="22">D131+C132</f>
        <v>658800</v>
      </c>
      <c r="E132" s="187">
        <f t="shared" si="21"/>
        <v>2635200</v>
      </c>
    </row>
    <row r="133" spans="2:5" x14ac:dyDescent="0.25">
      <c r="B133" s="17">
        <v>4</v>
      </c>
      <c r="C133" s="187">
        <f t="shared" si="20"/>
        <v>219600</v>
      </c>
      <c r="D133" s="187">
        <f t="shared" si="22"/>
        <v>878400</v>
      </c>
      <c r="E133" s="187">
        <f t="shared" si="21"/>
        <v>2415600</v>
      </c>
    </row>
    <row r="134" spans="2:5" x14ac:dyDescent="0.25">
      <c r="B134" s="17">
        <v>5</v>
      </c>
      <c r="C134" s="187">
        <f t="shared" si="20"/>
        <v>219600</v>
      </c>
      <c r="D134" s="187">
        <f t="shared" si="22"/>
        <v>1098000</v>
      </c>
      <c r="E134" s="187">
        <f t="shared" si="21"/>
        <v>2196000</v>
      </c>
    </row>
    <row r="135" spans="2:5" x14ac:dyDescent="0.25">
      <c r="B135" s="17">
        <v>6</v>
      </c>
      <c r="C135" s="187">
        <f t="shared" si="20"/>
        <v>219600</v>
      </c>
      <c r="D135" s="187">
        <f t="shared" si="22"/>
        <v>1317600</v>
      </c>
      <c r="E135" s="187">
        <f t="shared" si="21"/>
        <v>1976400</v>
      </c>
    </row>
    <row r="136" spans="2:5" x14ac:dyDescent="0.25">
      <c r="B136" s="17">
        <v>7</v>
      </c>
      <c r="C136" s="187">
        <f t="shared" si="20"/>
        <v>219600</v>
      </c>
      <c r="D136" s="187">
        <f t="shared" si="22"/>
        <v>1537200</v>
      </c>
      <c r="E136" s="187">
        <f t="shared" si="21"/>
        <v>1756800</v>
      </c>
    </row>
    <row r="137" spans="2:5" x14ac:dyDescent="0.25">
      <c r="B137" s="17">
        <v>8</v>
      </c>
      <c r="C137" s="187">
        <f t="shared" si="20"/>
        <v>219600</v>
      </c>
      <c r="D137" s="187">
        <f t="shared" si="22"/>
        <v>1756800</v>
      </c>
      <c r="E137" s="187">
        <f t="shared" si="21"/>
        <v>1537200</v>
      </c>
    </row>
    <row r="138" spans="2:5" x14ac:dyDescent="0.25">
      <c r="B138" s="17">
        <v>9</v>
      </c>
      <c r="C138" s="187">
        <f t="shared" si="20"/>
        <v>219600</v>
      </c>
      <c r="D138" s="187">
        <f t="shared" si="22"/>
        <v>1976400</v>
      </c>
      <c r="E138" s="187">
        <f t="shared" si="21"/>
        <v>1317600</v>
      </c>
    </row>
    <row r="139" spans="2:5" x14ac:dyDescent="0.25">
      <c r="B139" s="17">
        <v>10</v>
      </c>
      <c r="C139" s="187">
        <f t="shared" si="20"/>
        <v>219600</v>
      </c>
      <c r="D139" s="187">
        <f t="shared" si="22"/>
        <v>2196000</v>
      </c>
      <c r="E139" s="187">
        <f t="shared" si="21"/>
        <v>1098000</v>
      </c>
    </row>
    <row r="140" spans="2:5" x14ac:dyDescent="0.25">
      <c r="B140" s="17">
        <v>11</v>
      </c>
      <c r="C140" s="187">
        <f t="shared" si="20"/>
        <v>219600</v>
      </c>
      <c r="D140" s="187">
        <f t="shared" si="22"/>
        <v>2415600</v>
      </c>
      <c r="E140" s="187">
        <f t="shared" si="21"/>
        <v>878400</v>
      </c>
    </row>
    <row r="141" spans="2:5" x14ac:dyDescent="0.25">
      <c r="B141" s="17">
        <v>12</v>
      </c>
      <c r="C141" s="187">
        <f t="shared" si="20"/>
        <v>219600</v>
      </c>
      <c r="D141" s="187">
        <f t="shared" si="22"/>
        <v>2635200</v>
      </c>
      <c r="E141" s="187">
        <f t="shared" si="21"/>
        <v>658800</v>
      </c>
    </row>
    <row r="142" spans="2:5" x14ac:dyDescent="0.25">
      <c r="B142" s="17">
        <v>13</v>
      </c>
      <c r="C142" s="187">
        <f t="shared" si="20"/>
        <v>219600</v>
      </c>
      <c r="D142" s="187">
        <f t="shared" si="22"/>
        <v>2854800</v>
      </c>
      <c r="E142" s="187">
        <f t="shared" si="21"/>
        <v>439200</v>
      </c>
    </row>
    <row r="143" spans="2:5" x14ac:dyDescent="0.25">
      <c r="B143" s="17">
        <v>14</v>
      </c>
      <c r="C143" s="187">
        <f t="shared" si="20"/>
        <v>219600</v>
      </c>
      <c r="D143" s="187">
        <f t="shared" si="22"/>
        <v>3074400</v>
      </c>
      <c r="E143" s="187">
        <f t="shared" si="21"/>
        <v>219600</v>
      </c>
    </row>
    <row r="144" spans="2:5" x14ac:dyDescent="0.25">
      <c r="B144" s="17">
        <v>15</v>
      </c>
      <c r="C144" s="187">
        <f t="shared" si="20"/>
        <v>219600</v>
      </c>
      <c r="D144" s="187">
        <f t="shared" si="22"/>
        <v>3294000</v>
      </c>
      <c r="E144" s="187">
        <f t="shared" si="21"/>
        <v>0</v>
      </c>
    </row>
    <row r="146" spans="2:17" ht="30" x14ac:dyDescent="0.25">
      <c r="M146" s="45" t="s">
        <v>560</v>
      </c>
      <c r="N146" s="45" t="s">
        <v>561</v>
      </c>
      <c r="O146" s="444" t="s">
        <v>562</v>
      </c>
      <c r="P146" s="45" t="s">
        <v>563</v>
      </c>
    </row>
    <row r="147" spans="2:17" x14ac:dyDescent="0.25">
      <c r="B147" s="148" t="s">
        <v>481</v>
      </c>
      <c r="M147" s="31" t="s">
        <v>519</v>
      </c>
      <c r="N147" s="462">
        <f>C151</f>
        <v>114268.13</v>
      </c>
      <c r="O147" s="462">
        <v>119587</v>
      </c>
      <c r="P147" s="168">
        <f>(N147-O147)/N147</f>
        <v>-4.654727438000425E-2</v>
      </c>
      <c r="Q147" s="288"/>
    </row>
    <row r="148" spans="2:17" x14ac:dyDescent="0.25">
      <c r="M148" s="31" t="s">
        <v>319</v>
      </c>
      <c r="N148" s="462">
        <f>C157</f>
        <v>134455.54793778263</v>
      </c>
      <c r="O148" s="462">
        <v>136425</v>
      </c>
      <c r="P148" s="168">
        <f>(N148-O148)/N148</f>
        <v>-1.4647607275593484E-2</v>
      </c>
      <c r="Q148" s="288"/>
    </row>
    <row r="149" spans="2:17" x14ac:dyDescent="0.25">
      <c r="B149" s="311" t="s">
        <v>458</v>
      </c>
      <c r="M149" s="31" t="s">
        <v>64</v>
      </c>
      <c r="N149" s="60">
        <f>SUM(N147:N148)</f>
        <v>248723.67793778263</v>
      </c>
      <c r="O149" s="60">
        <f>SUM(O147:O148)</f>
        <v>256012</v>
      </c>
      <c r="P149" s="349" t="s">
        <v>466</v>
      </c>
      <c r="Q149" s="477"/>
    </row>
    <row r="150" spans="2:17" x14ac:dyDescent="0.25">
      <c r="B150" s="34" t="s">
        <v>367</v>
      </c>
      <c r="C150" s="34" t="s">
        <v>482</v>
      </c>
      <c r="D150" s="34" t="s">
        <v>483</v>
      </c>
      <c r="E150" s="34" t="s">
        <v>484</v>
      </c>
      <c r="I150" s="1" t="s">
        <v>468</v>
      </c>
      <c r="J150" s="1" t="s">
        <v>546</v>
      </c>
    </row>
    <row r="151" spans="2:17" x14ac:dyDescent="0.25">
      <c r="B151" s="309">
        <f>'Indicadores Energéticos'!H25</f>
        <v>0.2384</v>
      </c>
      <c r="C151" s="301">
        <f>'Indicadores Energéticos'!B21</f>
        <v>114268.13</v>
      </c>
      <c r="D151" s="310">
        <f>'Propuesta de Mejora'!D78</f>
        <v>394.05</v>
      </c>
      <c r="E151" s="362">
        <f>'Emisiones de GEI'!D48</f>
        <v>27.241522191999998</v>
      </c>
      <c r="I151" s="18">
        <f>C151*'Propuesta de Mejora'!D78</f>
        <v>45027356.626500003</v>
      </c>
      <c r="J151" s="18">
        <f>I151/12</f>
        <v>3752279.7188750003</v>
      </c>
    </row>
    <row r="152" spans="2:17" ht="30" x14ac:dyDescent="0.25">
      <c r="G152" s="389" t="s">
        <v>518</v>
      </c>
    </row>
    <row r="153" spans="2:17" x14ac:dyDescent="0.25">
      <c r="G153" s="301">
        <f>C151+C157</f>
        <v>248723.67793778263</v>
      </c>
      <c r="H153" s="362">
        <f>E151+E156</f>
        <v>62.04465325160843</v>
      </c>
    </row>
    <row r="154" spans="2:17" x14ac:dyDescent="0.25">
      <c r="B154" s="311" t="s">
        <v>465</v>
      </c>
      <c r="H154" s="388" t="s">
        <v>511</v>
      </c>
      <c r="I154" s="388"/>
      <c r="M154" s="17" t="s">
        <v>568</v>
      </c>
      <c r="N154" s="17" t="s">
        <v>173</v>
      </c>
      <c r="O154" s="17" t="s">
        <v>569</v>
      </c>
    </row>
    <row r="155" spans="2:17" x14ac:dyDescent="0.25">
      <c r="B155" s="34" t="s">
        <v>319</v>
      </c>
      <c r="C155" s="34" t="s">
        <v>482</v>
      </c>
      <c r="D155" s="34" t="s">
        <v>483</v>
      </c>
      <c r="E155" s="34" t="s">
        <v>484</v>
      </c>
      <c r="M155" s="31" t="s">
        <v>570</v>
      </c>
      <c r="N155" s="472">
        <f>C151+C157</f>
        <v>248723.67793778263</v>
      </c>
      <c r="O155" s="17" t="s">
        <v>583</v>
      </c>
    </row>
    <row r="156" spans="2:17" x14ac:dyDescent="0.25">
      <c r="B156" s="309" t="s">
        <v>320</v>
      </c>
      <c r="C156" s="315">
        <f>'Balance Térmico'!C77</f>
        <v>3445.1420746224753</v>
      </c>
      <c r="D156" s="314">
        <f>'Consumo Térmico de la empresa'!D18*'Consumo Térmico de la empresa'!D6</f>
        <v>14228226.757659514</v>
      </c>
      <c r="E156" s="362">
        <f>'Emisiones de GEI'!G48</f>
        <v>34.803131059608432</v>
      </c>
      <c r="I156" s="1" t="s">
        <v>468</v>
      </c>
      <c r="J156" s="1" t="s">
        <v>546</v>
      </c>
      <c r="M156" s="31" t="s">
        <v>588</v>
      </c>
      <c r="N156" s="38">
        <f>'Indicadores Energéticos'!Z8</f>
        <v>975.30606598129066</v>
      </c>
      <c r="O156" s="17" t="s">
        <v>72</v>
      </c>
    </row>
    <row r="157" spans="2:17" x14ac:dyDescent="0.25">
      <c r="C157" s="301">
        <f>C156*'Consumo Térmico de la empresa'!B5*10.31</f>
        <v>134455.54793778263</v>
      </c>
      <c r="E157" s="383">
        <f>C157*'Emisiones de GEI'!$G$53/1000</f>
        <v>34.802474028215656</v>
      </c>
      <c r="I157" s="18">
        <f>D156</f>
        <v>14228226.757659514</v>
      </c>
      <c r="J157" s="18">
        <f>I157/12</f>
        <v>1185685.5631382929</v>
      </c>
      <c r="M157" s="31" t="s">
        <v>587</v>
      </c>
      <c r="N157" s="470">
        <f>'Indicadores Energéticos'!AB15</f>
        <v>0.28874648945602222</v>
      </c>
      <c r="O157" s="17" t="s">
        <v>586</v>
      </c>
    </row>
    <row r="158" spans="2:17" x14ac:dyDescent="0.25">
      <c r="M158" s="31" t="s">
        <v>571</v>
      </c>
      <c r="N158" s="262">
        <f>D151</f>
        <v>394.05</v>
      </c>
      <c r="O158" s="17" t="s">
        <v>581</v>
      </c>
    </row>
    <row r="159" spans="2:17" x14ac:dyDescent="0.25">
      <c r="M159" s="31" t="s">
        <v>572</v>
      </c>
      <c r="N159" s="262">
        <f>'Consumo Térmico de la empresa'!G12</f>
        <v>4119.7640983404999</v>
      </c>
      <c r="O159" s="17" t="s">
        <v>582</v>
      </c>
    </row>
    <row r="160" spans="2:17" x14ac:dyDescent="0.25">
      <c r="B160" s="148" t="s">
        <v>485</v>
      </c>
      <c r="M160" s="31" t="s">
        <v>584</v>
      </c>
      <c r="N160" s="60">
        <f>I151+I157</f>
        <v>59255583.38415952</v>
      </c>
      <c r="O160" s="17" t="s">
        <v>498</v>
      </c>
    </row>
    <row r="161" spans="2:15" x14ac:dyDescent="0.25">
      <c r="M161" s="31" t="s">
        <v>573</v>
      </c>
      <c r="N161" s="262">
        <f>O147</f>
        <v>119587</v>
      </c>
      <c r="O161" s="17" t="s">
        <v>583</v>
      </c>
    </row>
    <row r="162" spans="2:15" x14ac:dyDescent="0.25">
      <c r="C162" s="784" t="s">
        <v>458</v>
      </c>
      <c r="D162" s="784"/>
      <c r="E162" s="784"/>
      <c r="F162" s="784" t="s">
        <v>465</v>
      </c>
      <c r="G162" s="784"/>
      <c r="H162" s="784"/>
      <c r="I162" s="784"/>
      <c r="M162" s="31" t="s">
        <v>574</v>
      </c>
      <c r="N162" s="262">
        <f>O148</f>
        <v>136425</v>
      </c>
      <c r="O162" s="17" t="s">
        <v>583</v>
      </c>
    </row>
    <row r="163" spans="2:15" x14ac:dyDescent="0.25">
      <c r="C163" s="34" t="s">
        <v>273</v>
      </c>
      <c r="D163" s="34" t="s">
        <v>273</v>
      </c>
      <c r="E163" s="34" t="s">
        <v>490</v>
      </c>
      <c r="F163" s="34"/>
      <c r="G163" s="34" t="s">
        <v>273</v>
      </c>
      <c r="H163" s="34" t="s">
        <v>273</v>
      </c>
      <c r="I163" s="34" t="s">
        <v>490</v>
      </c>
      <c r="M163" s="31" t="s">
        <v>575</v>
      </c>
      <c r="N163" s="262">
        <f>P147*100</f>
        <v>-4.6547274380004247</v>
      </c>
      <c r="O163" s="17" t="s">
        <v>221</v>
      </c>
    </row>
    <row r="164" spans="2:15" x14ac:dyDescent="0.25">
      <c r="B164" s="34" t="s">
        <v>486</v>
      </c>
      <c r="C164" s="321" t="s">
        <v>487</v>
      </c>
      <c r="D164" s="321" t="s">
        <v>488</v>
      </c>
      <c r="E164" s="321" t="s">
        <v>497</v>
      </c>
      <c r="F164" s="331" t="s">
        <v>501</v>
      </c>
      <c r="G164" s="331" t="s">
        <v>489</v>
      </c>
      <c r="H164" s="331" t="s">
        <v>488</v>
      </c>
      <c r="I164" s="331" t="s">
        <v>497</v>
      </c>
      <c r="M164" s="31" t="s">
        <v>576</v>
      </c>
      <c r="N164" s="262">
        <f>P148*100</f>
        <v>-1.4647607275593484</v>
      </c>
      <c r="O164" s="17" t="s">
        <v>221</v>
      </c>
    </row>
    <row r="165" spans="2:15" ht="30" x14ac:dyDescent="0.25">
      <c r="B165" s="45" t="s">
        <v>491</v>
      </c>
      <c r="C165" s="316">
        <f>E28</f>
        <v>5309.2312000000002</v>
      </c>
      <c r="D165" s="319">
        <f>C44</f>
        <v>2092102.5543600002</v>
      </c>
      <c r="E165" s="341">
        <f>'Propuesta de Mejora'!C118</f>
        <v>1.2657207180800001</v>
      </c>
      <c r="F165" s="336"/>
      <c r="G165" s="337"/>
      <c r="H165" s="337"/>
      <c r="I165" s="338"/>
    </row>
    <row r="166" spans="2:15" ht="45" x14ac:dyDescent="0.25">
      <c r="B166" s="45" t="s">
        <v>492</v>
      </c>
      <c r="C166" s="318">
        <f>E27</f>
        <v>10376.294399999999</v>
      </c>
      <c r="D166" s="319">
        <f>C45</f>
        <v>4088778.8083199998</v>
      </c>
      <c r="E166" s="341">
        <f>'Propuesta de Mejora'!C225</f>
        <v>2.4737085849599998</v>
      </c>
      <c r="F166" s="339"/>
      <c r="G166" s="335"/>
      <c r="H166" s="335"/>
      <c r="I166" s="340"/>
    </row>
    <row r="167" spans="2:15" ht="30" x14ac:dyDescent="0.25">
      <c r="B167" s="45" t="s">
        <v>493</v>
      </c>
      <c r="C167" s="324">
        <f>E29</f>
        <v>1016.0763870967744</v>
      </c>
      <c r="D167" s="319">
        <f>C46</f>
        <v>1150384.900335484</v>
      </c>
      <c r="E167" s="342">
        <f>'Propuesta de Mejora'!C428</f>
        <v>0.24223261068387103</v>
      </c>
      <c r="F167" s="279"/>
      <c r="G167" s="280"/>
      <c r="H167" s="280"/>
      <c r="I167" s="281"/>
      <c r="O167" s="1"/>
    </row>
    <row r="168" spans="2:15" x14ac:dyDescent="0.25">
      <c r="B168" s="322" t="s">
        <v>494</v>
      </c>
      <c r="C168" s="327"/>
      <c r="D168" s="328"/>
      <c r="E168" s="329"/>
      <c r="F168" s="343" t="s">
        <v>372</v>
      </c>
      <c r="G168" s="332" t="str">
        <f>E32</f>
        <v>-</v>
      </c>
      <c r="H168" s="333">
        <f>C39</f>
        <v>13481662.029939981</v>
      </c>
      <c r="I168" s="334">
        <f>'Propuesta de Mejora'!C558</f>
        <v>5.4397696371480038</v>
      </c>
      <c r="O168" s="1"/>
    </row>
    <row r="169" spans="2:15" ht="30" x14ac:dyDescent="0.25">
      <c r="B169" s="322" t="s">
        <v>495</v>
      </c>
      <c r="C169" s="279"/>
      <c r="D169" s="330"/>
      <c r="E169" s="281"/>
      <c r="F169" s="323" t="s">
        <v>320</v>
      </c>
      <c r="G169" s="317">
        <f>E33</f>
        <v>118.730181288563</v>
      </c>
      <c r="H169" s="317">
        <f>C40</f>
        <v>490341.67536672938</v>
      </c>
      <c r="I169" s="318">
        <f>'Propuesta de Mejora'!C914</f>
        <v>1.383017899233423</v>
      </c>
      <c r="O169" s="1"/>
    </row>
    <row r="170" spans="2:15" x14ac:dyDescent="0.25">
      <c r="B170" s="34" t="s">
        <v>64</v>
      </c>
      <c r="C170" s="325">
        <f>SUM(C165:C169)</f>
        <v>16701.601987096772</v>
      </c>
      <c r="D170" s="326">
        <f>SUM(D165:D169)</f>
        <v>7331266.2630154844</v>
      </c>
      <c r="E170" s="325">
        <f>SUM(E165:E169)</f>
        <v>3.9816619137238707</v>
      </c>
      <c r="F170" s="1"/>
      <c r="G170" s="320">
        <f>G169</f>
        <v>118.730181288563</v>
      </c>
      <c r="H170" s="37">
        <f>SUM(H168:H169)</f>
        <v>13972003.705306711</v>
      </c>
      <c r="I170" s="312">
        <f>SUM(I168:I169)</f>
        <v>6.8227875363814263</v>
      </c>
      <c r="K170" s="22">
        <f>E170+I170</f>
        <v>10.804449450105297</v>
      </c>
      <c r="O170" s="1"/>
    </row>
    <row r="171" spans="2:15" x14ac:dyDescent="0.25">
      <c r="B171" s="1"/>
      <c r="C171" s="1"/>
      <c r="D171" s="1"/>
      <c r="E171" s="1"/>
      <c r="F171" s="1"/>
      <c r="G171" s="1"/>
      <c r="H171" s="1"/>
      <c r="I171" s="1"/>
      <c r="O171" s="1"/>
    </row>
    <row r="172" spans="2:15" x14ac:dyDescent="0.25">
      <c r="B172" s="1"/>
      <c r="C172" s="1"/>
      <c r="D172" s="1"/>
      <c r="E172" s="384">
        <f>E151-E170</f>
        <v>23.259860278276129</v>
      </c>
      <c r="F172" s="1"/>
      <c r="G172" s="1"/>
      <c r="H172" s="1"/>
      <c r="I172" s="384">
        <f>E156-I170</f>
        <v>27.980343523227006</v>
      </c>
      <c r="O172" s="1"/>
    </row>
    <row r="173" spans="2:15" x14ac:dyDescent="0.25">
      <c r="B173" s="1"/>
      <c r="C173" s="1"/>
      <c r="D173" s="1"/>
      <c r="E173" s="1"/>
      <c r="F173" s="1"/>
      <c r="G173" s="1"/>
      <c r="H173" s="1"/>
      <c r="I173" s="1"/>
      <c r="O173" s="1"/>
    </row>
    <row r="174" spans="2:15" x14ac:dyDescent="0.25">
      <c r="B174" s="148" t="s">
        <v>496</v>
      </c>
      <c r="C174" s="1"/>
      <c r="D174" s="1"/>
      <c r="E174" s="1"/>
      <c r="F174" s="1"/>
      <c r="G174" s="1"/>
      <c r="H174" s="1"/>
      <c r="I174" s="1"/>
      <c r="O174" s="1"/>
    </row>
    <row r="175" spans="2:15" x14ac:dyDescent="0.25">
      <c r="B175" s="1"/>
      <c r="C175" s="1"/>
      <c r="D175" s="1"/>
      <c r="E175" s="1"/>
      <c r="F175" s="1"/>
      <c r="G175" s="1"/>
      <c r="H175" s="1"/>
      <c r="I175" s="1"/>
      <c r="O175" s="1"/>
    </row>
    <row r="176" spans="2:15" x14ac:dyDescent="0.25">
      <c r="C176" s="34" t="s">
        <v>269</v>
      </c>
      <c r="D176" s="34" t="s">
        <v>474</v>
      </c>
      <c r="E176" s="34" t="s">
        <v>474</v>
      </c>
      <c r="O176" s="1"/>
    </row>
    <row r="177" spans="2:15" x14ac:dyDescent="0.25">
      <c r="B177" s="33" t="s">
        <v>500</v>
      </c>
      <c r="C177" s="34" t="s">
        <v>498</v>
      </c>
      <c r="D177" s="34" t="s">
        <v>271</v>
      </c>
      <c r="E177" s="34" t="s">
        <v>499</v>
      </c>
      <c r="O177" s="1"/>
    </row>
    <row r="178" spans="2:15" ht="30" x14ac:dyDescent="0.25">
      <c r="B178" s="45" t="str">
        <f>B165</f>
        <v>Sustitución de luminarias - tecnología LED</v>
      </c>
      <c r="C178" s="344">
        <f>C69</f>
        <v>219700</v>
      </c>
      <c r="D178" s="345">
        <f>'Propuesta de Mejora'!C117</f>
        <v>40000</v>
      </c>
      <c r="E178" s="316">
        <f>'Propuesta de Mejora'!E90</f>
        <v>0.10501397244706721</v>
      </c>
      <c r="F178">
        <v>2.2000000000000002</v>
      </c>
      <c r="O178" s="1"/>
    </row>
    <row r="179" spans="2:15" ht="45" x14ac:dyDescent="0.25">
      <c r="B179" s="45" t="str">
        <f>B166</f>
        <v>Sustitución aires acondicionados - tecnología Inverter</v>
      </c>
      <c r="C179" s="344">
        <f>C70</f>
        <v>10778876.199999999</v>
      </c>
      <c r="D179" s="346">
        <f>'Propuesta de Mejora'!C224</f>
        <v>10</v>
      </c>
      <c r="E179" s="316">
        <f>'Propuesta de Mejora'!E194</f>
        <v>2.6362091727893766</v>
      </c>
      <c r="F179">
        <v>7.7</v>
      </c>
    </row>
    <row r="180" spans="2:15" ht="30" x14ac:dyDescent="0.25">
      <c r="B180" s="45" t="str">
        <f>B167</f>
        <v>Sustitución motores - alta eficiencia</v>
      </c>
      <c r="C180" s="344">
        <f>C71</f>
        <v>3294000</v>
      </c>
      <c r="D180" s="183">
        <f>'Propuesta de Mejora'!C427</f>
        <v>15</v>
      </c>
      <c r="E180" s="316">
        <f>'Propuesta de Mejora'!E401</f>
        <v>2.8633894612484734</v>
      </c>
      <c r="F180">
        <v>3.3</v>
      </c>
    </row>
    <row r="181" spans="2:15" x14ac:dyDescent="0.25">
      <c r="B181" s="45" t="str">
        <f>B168</f>
        <v>Sustitución quemadores - GNL</v>
      </c>
      <c r="C181" s="344">
        <f>C72</f>
        <v>7552500</v>
      </c>
      <c r="D181" s="183">
        <f>'Propuesta de Mejora'!C557</f>
        <v>15</v>
      </c>
      <c r="E181" s="316">
        <f>'Propuesta de Mejora'!E520</f>
        <v>0.5602054096317991</v>
      </c>
      <c r="F181">
        <v>3.9</v>
      </c>
    </row>
    <row r="182" spans="2:15" ht="30" x14ac:dyDescent="0.25">
      <c r="B182" s="45" t="str">
        <f>B169</f>
        <v>Aislamiento de tuberías -piping asfalto</v>
      </c>
      <c r="C182" s="344">
        <f>C73</f>
        <v>500872.89600000012</v>
      </c>
      <c r="D182" s="45">
        <f>'Propuesta de Mejora'!C913</f>
        <v>15</v>
      </c>
      <c r="E182" s="316">
        <f>'Propuesta de Mejora'!E884</f>
        <v>1.0214773109493382</v>
      </c>
      <c r="F182">
        <v>3.1</v>
      </c>
    </row>
    <row r="183" spans="2:15" x14ac:dyDescent="0.25">
      <c r="B183" s="34" t="s">
        <v>64</v>
      </c>
      <c r="C183" s="31">
        <f>SUM(C178:C182)</f>
        <v>22345949.096000001</v>
      </c>
      <c r="E183" s="312">
        <f>AVERAGE(E178:E182)</f>
        <v>1.4372590654132109</v>
      </c>
      <c r="F183">
        <f>AVERAGE(F178:F182)</f>
        <v>4.04</v>
      </c>
    </row>
    <row r="184" spans="2:15" x14ac:dyDescent="0.25">
      <c r="C184" s="634">
        <f>C183</f>
        <v>22345949.096000001</v>
      </c>
    </row>
    <row r="186" spans="2:15" x14ac:dyDescent="0.25">
      <c r="B186" s="148" t="s">
        <v>506</v>
      </c>
    </row>
    <row r="188" spans="2:15" ht="30" x14ac:dyDescent="0.25">
      <c r="B188" s="353" t="s">
        <v>503</v>
      </c>
      <c r="C188" s="353" t="s">
        <v>504</v>
      </c>
      <c r="D188" s="353" t="s">
        <v>221</v>
      </c>
      <c r="E188" s="353" t="s">
        <v>502</v>
      </c>
    </row>
    <row r="189" spans="2:15" x14ac:dyDescent="0.25">
      <c r="B189" s="17" t="str">
        <f>C27</f>
        <v>Aires acondicionados</v>
      </c>
      <c r="C189" s="301">
        <f>'Propuesta de Mejora'!C217</f>
        <v>40049.510400000006</v>
      </c>
      <c r="D189" s="349">
        <f>C189/$C$193</f>
        <v>0.64518514430237528</v>
      </c>
      <c r="E189" s="350">
        <f>D189</f>
        <v>0.64518514430237528</v>
      </c>
    </row>
    <row r="190" spans="2:15" x14ac:dyDescent="0.25">
      <c r="B190" s="17" t="str">
        <f>C28</f>
        <v>Luminarias</v>
      </c>
      <c r="C190" s="301">
        <f>'Propuesta de Mejora'!C110</f>
        <v>12996.135600000001</v>
      </c>
      <c r="D190" s="349">
        <f>C190/$C$193</f>
        <v>0.2093636985499637</v>
      </c>
      <c r="E190" s="350">
        <f>E189+D190</f>
        <v>0.85454884285233901</v>
      </c>
    </row>
    <row r="191" spans="2:15" x14ac:dyDescent="0.25">
      <c r="B191" s="301" t="str">
        <f>C29</f>
        <v>Motores</v>
      </c>
      <c r="C191" s="301">
        <f>'Propuesta de Mejora'!C420</f>
        <v>9028.7999999999993</v>
      </c>
      <c r="D191" s="349">
        <f>C191/$C$193</f>
        <v>0.14545115714766102</v>
      </c>
      <c r="E191" s="350">
        <f>E190+D191</f>
        <v>1</v>
      </c>
    </row>
    <row r="192" spans="2:15" x14ac:dyDescent="0.25">
      <c r="B192" s="1"/>
    </row>
    <row r="193" spans="2:5" x14ac:dyDescent="0.25">
      <c r="B193" s="34" t="s">
        <v>64</v>
      </c>
      <c r="C193" s="301">
        <f>SUM(C189:C192)</f>
        <v>62074.446000000011</v>
      </c>
      <c r="D193" s="349">
        <f>SUM(D189:D192)</f>
        <v>1</v>
      </c>
      <c r="E193" s="352">
        <f>E191</f>
        <v>1</v>
      </c>
    </row>
    <row r="194" spans="2:5" x14ac:dyDescent="0.25">
      <c r="C194" s="1"/>
      <c r="D194" s="351"/>
    </row>
    <row r="202" spans="2:5" x14ac:dyDescent="0.25">
      <c r="C202" s="1" t="s">
        <v>340</v>
      </c>
    </row>
    <row r="203" spans="2:5" x14ac:dyDescent="0.25">
      <c r="C203" s="486">
        <f>1-(C218/C193)</f>
        <v>0.26905760845770221</v>
      </c>
    </row>
    <row r="204" spans="2:5" x14ac:dyDescent="0.25">
      <c r="C204" s="301">
        <f>C193-C218</f>
        <v>16701.601987096779</v>
      </c>
    </row>
    <row r="213" spans="2:5" ht="30" x14ac:dyDescent="0.25">
      <c r="B213" s="353" t="s">
        <v>503</v>
      </c>
      <c r="C213" s="353" t="s">
        <v>505</v>
      </c>
      <c r="D213" s="353" t="s">
        <v>1142</v>
      </c>
      <c r="E213" s="353" t="s">
        <v>1143</v>
      </c>
    </row>
    <row r="214" spans="2:5" x14ac:dyDescent="0.25">
      <c r="B214" s="17" t="str">
        <f>B189</f>
        <v>Aires acondicionados</v>
      </c>
      <c r="C214" s="301">
        <f>'Propuesta de Mejora'!C218</f>
        <v>29673.216000000008</v>
      </c>
      <c r="D214" s="349">
        <f>C214/$C$218</f>
        <v>0.65398624762339064</v>
      </c>
      <c r="E214" s="350">
        <f>D214</f>
        <v>0.65398624762339064</v>
      </c>
    </row>
    <row r="215" spans="2:5" x14ac:dyDescent="0.25">
      <c r="B215" s="17" t="str">
        <f>B190</f>
        <v>Luminarias</v>
      </c>
      <c r="C215" s="301">
        <f>'Propuesta de Mejora'!C111</f>
        <v>7686.9044000000004</v>
      </c>
      <c r="D215" s="349">
        <f>C215/$C$218</f>
        <v>0.16941641123077894</v>
      </c>
      <c r="E215" s="350">
        <f>E214+D215</f>
        <v>0.82340265885416963</v>
      </c>
    </row>
    <row r="216" spans="2:5" x14ac:dyDescent="0.25">
      <c r="B216" s="17" t="str">
        <f>B191</f>
        <v>Motores</v>
      </c>
      <c r="C216" s="301">
        <f>'Propuesta de Mejora'!C421</f>
        <v>8012.7236129032244</v>
      </c>
      <c r="D216" s="349">
        <f>C216/$C$218</f>
        <v>0.17659734114583048</v>
      </c>
      <c r="E216" s="350">
        <f>E215+D216</f>
        <v>1</v>
      </c>
    </row>
    <row r="217" spans="2:5" x14ac:dyDescent="0.25">
      <c r="B217" s="1"/>
    </row>
    <row r="218" spans="2:5" x14ac:dyDescent="0.25">
      <c r="B218" s="34" t="s">
        <v>64</v>
      </c>
      <c r="C218" s="301">
        <f>SUM(C214:C217)</f>
        <v>45372.844012903231</v>
      </c>
      <c r="D218" s="349">
        <f>SUM(D214:D217)</f>
        <v>1</v>
      </c>
      <c r="E218" s="352">
        <f>E216</f>
        <v>1</v>
      </c>
    </row>
    <row r="219" spans="2:5" x14ac:dyDescent="0.25">
      <c r="C219" s="1"/>
      <c r="D219" s="351"/>
    </row>
    <row r="237" spans="2:5" x14ac:dyDescent="0.25">
      <c r="B237" s="655" t="s">
        <v>516</v>
      </c>
      <c r="C237" s="655"/>
      <c r="D237" s="655"/>
      <c r="E237" s="655"/>
    </row>
    <row r="239" spans="2:5" x14ac:dyDescent="0.25">
      <c r="B239" s="353" t="s">
        <v>503</v>
      </c>
      <c r="C239" s="353" t="s">
        <v>490</v>
      </c>
      <c r="D239" s="353" t="s">
        <v>221</v>
      </c>
      <c r="E239" s="353" t="s">
        <v>502</v>
      </c>
    </row>
    <row r="240" spans="2:5" x14ac:dyDescent="0.25">
      <c r="B240" s="45" t="str">
        <f>B168</f>
        <v>Sustitución quemadores - GNL</v>
      </c>
      <c r="C240" s="356">
        <f>I168</f>
        <v>5.4397696371480038</v>
      </c>
      <c r="D240" s="354">
        <f>C240/$C$246</f>
        <v>0.50347494911876223</v>
      </c>
      <c r="E240" s="355">
        <f>D240</f>
        <v>0.50347494911876223</v>
      </c>
    </row>
    <row r="241" spans="2:5" ht="45" x14ac:dyDescent="0.25">
      <c r="B241" s="45" t="str">
        <f>B166</f>
        <v>Sustitución aires acondicionados - tecnología Inverter</v>
      </c>
      <c r="C241" s="356">
        <f>E166</f>
        <v>2.4737085849599998</v>
      </c>
      <c r="D241" s="354">
        <f>C241/$C$246</f>
        <v>0.22895276583814192</v>
      </c>
      <c r="E241" s="355">
        <f>E240+D241</f>
        <v>0.73242771495690417</v>
      </c>
    </row>
    <row r="242" spans="2:5" ht="30" x14ac:dyDescent="0.25">
      <c r="B242" s="45" t="str">
        <f>B169</f>
        <v>Aislamiento de tuberías -piping asfalto</v>
      </c>
      <c r="C242" s="356">
        <f>I169</f>
        <v>1.383017899233423</v>
      </c>
      <c r="D242" s="354">
        <f>C242/$C$246</f>
        <v>0.128004476824124</v>
      </c>
      <c r="E242" s="355">
        <f>E241+D242</f>
        <v>0.86043219178102814</v>
      </c>
    </row>
    <row r="243" spans="2:5" ht="30" x14ac:dyDescent="0.25">
      <c r="B243" s="45" t="str">
        <f>B165</f>
        <v>Sustitución de luminarias - tecnología LED</v>
      </c>
      <c r="C243" s="356">
        <f>E165</f>
        <v>1.2657207180800001</v>
      </c>
      <c r="D243" s="354">
        <f>C243/$C$246</f>
        <v>0.11714809939414955</v>
      </c>
      <c r="E243" s="355">
        <f>E242+D243</f>
        <v>0.97758029117517764</v>
      </c>
    </row>
    <row r="244" spans="2:5" ht="30" x14ac:dyDescent="0.25">
      <c r="B244" s="45" t="str">
        <f>B167</f>
        <v>Sustitución motores - alta eficiencia</v>
      </c>
      <c r="C244" s="356">
        <f>E167</f>
        <v>0.24223261068387103</v>
      </c>
      <c r="D244" s="354">
        <f>C244/$C$246</f>
        <v>2.241970882482219E-2</v>
      </c>
      <c r="E244" s="355">
        <f>E243+D244</f>
        <v>0.99999999999999978</v>
      </c>
    </row>
    <row r="245" spans="2:5" x14ac:dyDescent="0.25">
      <c r="B245" s="1"/>
    </row>
    <row r="246" spans="2:5" x14ac:dyDescent="0.25">
      <c r="B246" s="34" t="s">
        <v>64</v>
      </c>
      <c r="C246" s="356">
        <f>SUM(C240:C245)</f>
        <v>10.804449450105299</v>
      </c>
      <c r="D246" s="349">
        <f>SUM(D240:D245)</f>
        <v>0.99999999999999978</v>
      </c>
      <c r="E246" s="352">
        <f>E244</f>
        <v>0.99999999999999978</v>
      </c>
    </row>
    <row r="247" spans="2:5" x14ac:dyDescent="0.25">
      <c r="C247" s="1"/>
      <c r="D247" s="351"/>
    </row>
  </sheetData>
  <mergeCells count="28">
    <mergeCell ref="B237:E237"/>
    <mergeCell ref="C26:D26"/>
    <mergeCell ref="C28:D28"/>
    <mergeCell ref="C27:D27"/>
    <mergeCell ref="C29:D29"/>
    <mergeCell ref="B27:B29"/>
    <mergeCell ref="B107:D107"/>
    <mergeCell ref="B128:D128"/>
    <mergeCell ref="C162:E162"/>
    <mergeCell ref="F162:I162"/>
    <mergeCell ref="C31:D31"/>
    <mergeCell ref="B32:B33"/>
    <mergeCell ref="C32:D32"/>
    <mergeCell ref="C33:D33"/>
    <mergeCell ref="B91:D91"/>
    <mergeCell ref="B89:D89"/>
    <mergeCell ref="B105:D105"/>
    <mergeCell ref="B126:D126"/>
    <mergeCell ref="B4:C4"/>
    <mergeCell ref="B5:C5"/>
    <mergeCell ref="B6:C6"/>
    <mergeCell ref="B7:C7"/>
    <mergeCell ref="B8:C8"/>
    <mergeCell ref="B12:C12"/>
    <mergeCell ref="B11:C11"/>
    <mergeCell ref="B10:C10"/>
    <mergeCell ref="B9:C9"/>
    <mergeCell ref="B13:C13"/>
  </mergeCells>
  <phoneticPr fontId="12" type="noConversion"/>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96863868814224C98ECC7DECB027CDF" ma:contentTypeVersion="18" ma:contentTypeDescription="Crear nuevo documento." ma:contentTypeScope="" ma:versionID="f6d75f54edb9d75c82d79572ecd84889">
  <xsd:schema xmlns:xsd="http://www.w3.org/2001/XMLSchema" xmlns:xs="http://www.w3.org/2001/XMLSchema" xmlns:p="http://schemas.microsoft.com/office/2006/metadata/properties" xmlns:ns3="db9a9589-8e72-4b23-8e0b-06e9a3c33bac" xmlns:ns4="7cdded7d-2133-4aa1-93bd-fef4bbf89135" targetNamespace="http://schemas.microsoft.com/office/2006/metadata/properties" ma:root="true" ma:fieldsID="37ffce165b5e4f8f4de577663030867f" ns3:_="" ns4:_="">
    <xsd:import namespace="db9a9589-8e72-4b23-8e0b-06e9a3c33bac"/>
    <xsd:import namespace="7cdded7d-2133-4aa1-93bd-fef4bbf8913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GenerationTime" minOccurs="0"/>
                <xsd:element ref="ns4:MediaServiceEventHashCode" minOccurs="0"/>
                <xsd:element ref="ns4:MediaServiceOCR" minOccurs="0"/>
                <xsd:element ref="ns4:MediaServiceLocation" minOccurs="0"/>
                <xsd:element ref="ns4:MediaServiceAutoKeyPoints" minOccurs="0"/>
                <xsd:element ref="ns4:MediaServiceKeyPoints"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9a9589-8e72-4b23-8e0b-06e9a3c33bac"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element name="SharingHintHash" ma:index="10" nillable="true" ma:displayName="Hash de la sugerencia para compartir"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dded7d-2133-4aa1-93bd-fef4bbf8913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cdded7d-2133-4aa1-93bd-fef4bbf89135" xsi:nil="true"/>
  </documentManagement>
</p:properties>
</file>

<file path=customXml/itemProps1.xml><?xml version="1.0" encoding="utf-8"?>
<ds:datastoreItem xmlns:ds="http://schemas.openxmlformats.org/officeDocument/2006/customXml" ds:itemID="{C31707F1-C22D-4F5D-96F6-B772562EA92B}">
  <ds:schemaRefs>
    <ds:schemaRef ds:uri="http://schemas.microsoft.com/sharepoint/v3/contenttype/forms"/>
  </ds:schemaRefs>
</ds:datastoreItem>
</file>

<file path=customXml/itemProps2.xml><?xml version="1.0" encoding="utf-8"?>
<ds:datastoreItem xmlns:ds="http://schemas.openxmlformats.org/officeDocument/2006/customXml" ds:itemID="{9F42FB5B-E4FD-4181-AE70-BC333A2463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9a9589-8e72-4b23-8e0b-06e9a3c33bac"/>
    <ds:schemaRef ds:uri="7cdded7d-2133-4aa1-93bd-fef4bbf891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9C71AD-6E34-4C17-8338-F919B4341C2E}">
  <ds:schemaRefs>
    <ds:schemaRef ds:uri="http://purl.org/dc/elements/1.1/"/>
    <ds:schemaRef ds:uri="http://schemas.microsoft.com/office/2006/metadata/properties"/>
    <ds:schemaRef ds:uri="http://purl.org/dc/terms/"/>
    <ds:schemaRef ds:uri="7cdded7d-2133-4aa1-93bd-fef4bbf89135"/>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db9a9589-8e72-4b23-8e0b-06e9a3c33b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6</vt:i4>
      </vt:variant>
    </vt:vector>
  </HeadingPairs>
  <TitlesOfParts>
    <vt:vector size="19" baseType="lpstr">
      <vt:lpstr>Consumo Eléctrico</vt:lpstr>
      <vt:lpstr>Consumo Térmico de la empresa</vt:lpstr>
      <vt:lpstr>Indicadores Energéticos</vt:lpstr>
      <vt:lpstr>Emisiones de GEI</vt:lpstr>
      <vt:lpstr>Cuantificador</vt:lpstr>
      <vt:lpstr>Inventario</vt:lpstr>
      <vt:lpstr>Pareto</vt:lpstr>
      <vt:lpstr>Balance Energético</vt:lpstr>
      <vt:lpstr>Balance Térmico</vt:lpstr>
      <vt:lpstr>Balance Eléctrico</vt:lpstr>
      <vt:lpstr>Balance de Materia</vt:lpstr>
      <vt:lpstr>Propuesta de Mejora</vt:lpstr>
      <vt:lpstr>Análisis costos</vt:lpstr>
      <vt:lpstr>'Consumo Eléctrico'!_Ref166757325</vt:lpstr>
      <vt:lpstr>'Consumo Eléctrico'!_Ref166765020</vt:lpstr>
      <vt:lpstr>POWER_USER_EXCEL_CHART_0C3E92C7_7122_4BCD_BE41_CA79122D9A12</vt:lpstr>
      <vt:lpstr>POWER_USER_EXCEL_CHART_32786930_8C68_4D96_B573_65ADC75C9CB6</vt:lpstr>
      <vt:lpstr>POWER_USER_EXCEL_CHART_8CFC428E_CDBF_457F_A59C_577F12BD97F4</vt:lpstr>
      <vt:lpstr>POWER_USER_EXCEL_CHART_F369CD19_B1EC_48BB_85C9_292C8ACCD36A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Galvez</dc:creator>
  <cp:keywords/>
  <dc:description/>
  <cp:lastModifiedBy>Paul Galvez</cp:lastModifiedBy>
  <cp:revision/>
  <dcterms:created xsi:type="dcterms:W3CDTF">2024-04-18T00:46:59Z</dcterms:created>
  <dcterms:modified xsi:type="dcterms:W3CDTF">2024-08-28T20:54:44Z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0x010100896863868814224C98ECC7DECB027CDF</vt:lpwstr>
  </property>
</Properties>
</file>