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smcl-my.sharepoint.com/personal/paul_galvez_usm_cl/Documents/PGF_PGF/2026_05_25_Ian/"/>
    </mc:Choice>
  </mc:AlternateContent>
  <xr:revisionPtr revIDLastSave="0" documentId="13_ncr:1_{B9C206F6-BB80-D440-A0AE-88C681640139}" xr6:coauthVersionLast="47" xr6:coauthVersionMax="47" xr10:uidLastSave="{00000000-0000-0000-0000-000000000000}"/>
  <bookViews>
    <workbookView xWindow="5805" yWindow="3885" windowWidth="21600" windowHeight="11385" activeTab="4" xr2:uid="{B81E5166-B345-A243-8845-57C3380E1302}"/>
  </bookViews>
  <sheets>
    <sheet name="Ambas EDAR" sheetId="5" r:id="rId1"/>
    <sheet name="Cerceda tabla" sheetId="1" r:id="rId2"/>
    <sheet name="Cerceda Balance" sheetId="2" r:id="rId3"/>
    <sheet name="Vedra tabla" sheetId="3" r:id="rId4"/>
    <sheet name="Vedra Balance" sheetId="4" r:id="rId5"/>
    <sheet name="Entradas y salidas globales" sheetId="6" r:id="rId6"/>
  </sheets>
  <definedNames>
    <definedName name="solver_cvg" localSheetId="2" hidden="1">0.0001</definedName>
    <definedName name="solver_drv" localSheetId="2" hidden="1">1</definedName>
    <definedName name="solver_eng" localSheetId="2" hidden="1">1</definedName>
    <definedName name="solver_itr" localSheetId="2" hidden="1">2147483647</definedName>
    <definedName name="solver_lhs1" localSheetId="2" hidden="1">'Cerceda Balance'!$Q$306</definedName>
    <definedName name="solver_lhs2" localSheetId="2" hidden="1">'Cerceda Balance'!$Q$306</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opt" localSheetId="2" hidden="1">'Cerceda Balance'!$O$397</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hs1" localSheetId="2" hidden="1">1</definedName>
    <definedName name="solver_rhs2"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1</definedName>
    <definedName name="solver_val" localSheetId="2" hidden="1">0</definedName>
    <definedName name="solver_ver" localSheetId="2" hidden="1">2</definedName>
  </definedNames>
  <calcPr calcId="191029" iterate="1" iterateCount="1000"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8" i="2" l="1"/>
  <c r="L401" i="2"/>
  <c r="L400" i="2"/>
  <c r="J398" i="2"/>
  <c r="J399" i="2"/>
  <c r="J400" i="2"/>
  <c r="J401" i="2"/>
  <c r="Z242" i="2"/>
  <c r="Z240" i="2"/>
  <c r="Z239" i="2"/>
  <c r="Z238" i="2"/>
  <c r="AG9" i="4"/>
  <c r="AE9" i="4"/>
  <c r="M92" i="4" l="1"/>
  <c r="M93" i="4" s="1"/>
  <c r="F89" i="4"/>
  <c r="K79" i="4"/>
  <c r="J102" i="4" s="1"/>
  <c r="K102" i="4" s="1"/>
  <c r="J125" i="4" s="1"/>
  <c r="AC149" i="4"/>
  <c r="AD137" i="4"/>
  <c r="AD142" i="4"/>
  <c r="AB149" i="4" s="1"/>
  <c r="Z149" i="4"/>
  <c r="Z155" i="4"/>
  <c r="Z154" i="4"/>
  <c r="Z153" i="4"/>
  <c r="Z152" i="4"/>
  <c r="Z151" i="4"/>
  <c r="Z150" i="4"/>
  <c r="AB37" i="4"/>
  <c r="F72" i="4" s="1"/>
  <c r="D63" i="4"/>
  <c r="C63" i="4"/>
  <c r="D64" i="4"/>
  <c r="C66" i="4"/>
  <c r="C67" i="4"/>
  <c r="Q24" i="4"/>
  <c r="E71" i="4" s="1"/>
  <c r="D13" i="6"/>
  <c r="W140" i="4"/>
  <c r="W139" i="4"/>
  <c r="W138" i="4"/>
  <c r="W137" i="4"/>
  <c r="W136" i="4"/>
  <c r="W135" i="4"/>
  <c r="J218" i="4"/>
  <c r="K218" i="4" s="1"/>
  <c r="J219" i="4"/>
  <c r="K219" i="4" s="1"/>
  <c r="J220" i="4"/>
  <c r="K220" i="4" s="1"/>
  <c r="J221" i="4"/>
  <c r="K221" i="4" s="1"/>
  <c r="J222" i="4"/>
  <c r="K222" i="4" s="1"/>
  <c r="J217" i="4"/>
  <c r="K217" i="4"/>
  <c r="J195" i="4"/>
  <c r="J196" i="4"/>
  <c r="J197" i="4"/>
  <c r="J198" i="4"/>
  <c r="J199" i="4"/>
  <c r="J194" i="4"/>
  <c r="J172" i="4"/>
  <c r="J173" i="4"/>
  <c r="J174" i="4"/>
  <c r="J175" i="4"/>
  <c r="J176" i="4"/>
  <c r="J171" i="4"/>
  <c r="J149" i="4"/>
  <c r="J150" i="4"/>
  <c r="J151" i="4"/>
  <c r="J152" i="4"/>
  <c r="J153" i="4"/>
  <c r="J148" i="4"/>
  <c r="J103" i="4"/>
  <c r="K103" i="4" s="1"/>
  <c r="J126" i="4" s="1"/>
  <c r="J104" i="4"/>
  <c r="K104" i="4" s="1"/>
  <c r="J127" i="4" s="1"/>
  <c r="J105" i="4"/>
  <c r="K105" i="4" s="1"/>
  <c r="J128" i="4" s="1"/>
  <c r="J106" i="4"/>
  <c r="K106" i="4" s="1"/>
  <c r="J129" i="4" s="1"/>
  <c r="J107" i="4"/>
  <c r="K107" i="4" s="1"/>
  <c r="J130" i="4" s="1"/>
  <c r="I23" i="4"/>
  <c r="J23" i="4"/>
  <c r="K23" i="4"/>
  <c r="J80" i="4" s="1"/>
  <c r="L23" i="4"/>
  <c r="M23" i="4"/>
  <c r="N23" i="4"/>
  <c r="I24" i="4"/>
  <c r="J24" i="4"/>
  <c r="K24" i="4"/>
  <c r="J81" i="4" s="1"/>
  <c r="L24" i="4"/>
  <c r="D65" i="4" s="1"/>
  <c r="M24" i="4"/>
  <c r="N24" i="4"/>
  <c r="I25" i="4"/>
  <c r="J25" i="4"/>
  <c r="K25" i="4"/>
  <c r="J82" i="4" s="1"/>
  <c r="L25" i="4"/>
  <c r="D66" i="4" s="1"/>
  <c r="M25" i="4"/>
  <c r="N25" i="4"/>
  <c r="I26" i="4"/>
  <c r="J26" i="4"/>
  <c r="K26" i="4"/>
  <c r="J83" i="4" s="1"/>
  <c r="L26" i="4"/>
  <c r="D67" i="4" s="1"/>
  <c r="M26" i="4"/>
  <c r="N26" i="4"/>
  <c r="I27" i="4"/>
  <c r="J27" i="4"/>
  <c r="K27" i="4"/>
  <c r="J84" i="4" s="1"/>
  <c r="L27" i="4"/>
  <c r="D68" i="4" s="1"/>
  <c r="M27" i="4"/>
  <c r="N27" i="4"/>
  <c r="I28" i="4"/>
  <c r="J28" i="4"/>
  <c r="K28" i="4"/>
  <c r="C69" i="4" s="1"/>
  <c r="L28" i="4"/>
  <c r="D69" i="4" s="1"/>
  <c r="M28" i="4"/>
  <c r="N28" i="4"/>
  <c r="I29" i="4"/>
  <c r="J29" i="4"/>
  <c r="K29" i="4"/>
  <c r="C70" i="4" s="1"/>
  <c r="L29" i="4"/>
  <c r="D70" i="4" s="1"/>
  <c r="M29" i="4"/>
  <c r="N29" i="4"/>
  <c r="I30" i="4"/>
  <c r="J30" i="4"/>
  <c r="K30" i="4"/>
  <c r="J79" i="4" s="1"/>
  <c r="L30" i="4"/>
  <c r="M30" i="4"/>
  <c r="N30" i="4"/>
  <c r="J22" i="4"/>
  <c r="K22" i="4"/>
  <c r="L22" i="4"/>
  <c r="M22" i="4"/>
  <c r="N22" i="4"/>
  <c r="I22" i="4"/>
  <c r="I21" i="4"/>
  <c r="B30" i="4"/>
  <c r="C30" i="4"/>
  <c r="D30" i="4"/>
  <c r="E30" i="4"/>
  <c r="F30" i="4"/>
  <c r="G30" i="4"/>
  <c r="T64" i="3"/>
  <c r="S64" i="3"/>
  <c r="V115" i="3"/>
  <c r="U115" i="3"/>
  <c r="BC38" i="2"/>
  <c r="BC36" i="2"/>
  <c r="BC33" i="2"/>
  <c r="BC32" i="2"/>
  <c r="BC31" i="2"/>
  <c r="BC30" i="2"/>
  <c r="BC29" i="2"/>
  <c r="BC34" i="2"/>
  <c r="BC35" i="2"/>
  <c r="BC37" i="2"/>
  <c r="BC39" i="2"/>
  <c r="BC28" i="2"/>
  <c r="R3" i="4"/>
  <c r="S3" i="4"/>
  <c r="T3" i="4"/>
  <c r="R4" i="4"/>
  <c r="S4" i="4"/>
  <c r="T4" i="4"/>
  <c r="R5" i="4"/>
  <c r="S5" i="4"/>
  <c r="T5" i="4"/>
  <c r="R6" i="4"/>
  <c r="S6" i="4"/>
  <c r="T6" i="4"/>
  <c r="R7" i="4"/>
  <c r="S7" i="4"/>
  <c r="T7" i="4"/>
  <c r="R8" i="4"/>
  <c r="S8" i="4"/>
  <c r="T8" i="4"/>
  <c r="R9" i="4"/>
  <c r="S9" i="4"/>
  <c r="T9" i="4"/>
  <c r="R10" i="4"/>
  <c r="S10" i="4"/>
  <c r="T10" i="4"/>
  <c r="R11" i="4"/>
  <c r="S11" i="4"/>
  <c r="T11" i="4"/>
  <c r="R12" i="4"/>
  <c r="S12" i="4"/>
  <c r="T12" i="4"/>
  <c r="R13" i="4"/>
  <c r="S13" i="4"/>
  <c r="T13" i="4"/>
  <c r="R14" i="4"/>
  <c r="S14" i="4"/>
  <c r="T14" i="4"/>
  <c r="R15" i="4"/>
  <c r="S15" i="4"/>
  <c r="T15" i="4"/>
  <c r="R16" i="4"/>
  <c r="S16" i="4"/>
  <c r="T16" i="4"/>
  <c r="S2" i="4"/>
  <c r="T2" i="4"/>
  <c r="R2" i="4"/>
  <c r="C21" i="4"/>
  <c r="D21" i="4"/>
  <c r="E21" i="4"/>
  <c r="F21" i="4"/>
  <c r="G21" i="4"/>
  <c r="C22" i="4"/>
  <c r="D22" i="4"/>
  <c r="E22" i="4"/>
  <c r="F22" i="4"/>
  <c r="G22" i="4"/>
  <c r="C23" i="4"/>
  <c r="D23" i="4"/>
  <c r="E23" i="4"/>
  <c r="F23" i="4"/>
  <c r="G23" i="4"/>
  <c r="C24" i="4"/>
  <c r="D24" i="4"/>
  <c r="E24" i="4"/>
  <c r="F24" i="4"/>
  <c r="G24" i="4"/>
  <c r="C25" i="4"/>
  <c r="D25" i="4"/>
  <c r="E25" i="4"/>
  <c r="F25" i="4"/>
  <c r="G25" i="4"/>
  <c r="C26" i="4"/>
  <c r="D26" i="4"/>
  <c r="E26" i="4"/>
  <c r="F26" i="4"/>
  <c r="G26" i="4"/>
  <c r="C27" i="4"/>
  <c r="D27" i="4"/>
  <c r="E27" i="4"/>
  <c r="F27" i="4"/>
  <c r="G27" i="4"/>
  <c r="C28" i="4"/>
  <c r="D28" i="4"/>
  <c r="E28" i="4"/>
  <c r="F28" i="4"/>
  <c r="G28" i="4"/>
  <c r="C29" i="4"/>
  <c r="D29" i="4"/>
  <c r="E29" i="4"/>
  <c r="F29" i="4"/>
  <c r="G29" i="4"/>
  <c r="B22" i="4"/>
  <c r="B23" i="4"/>
  <c r="B24" i="4"/>
  <c r="B25" i="4"/>
  <c r="B26" i="4"/>
  <c r="B27" i="4"/>
  <c r="B28" i="4"/>
  <c r="B29" i="4"/>
  <c r="B21" i="4"/>
  <c r="BA5" i="2"/>
  <c r="BB5" i="2" s="1"/>
  <c r="AK24" i="2"/>
  <c r="AI39" i="2"/>
  <c r="AK39" i="2" s="1"/>
  <c r="AI23" i="2"/>
  <c r="AK23" i="2" s="1"/>
  <c r="AK8" i="2"/>
  <c r="AU20" i="4"/>
  <c r="AU21" i="4"/>
  <c r="AU22" i="4"/>
  <c r="AU23" i="4"/>
  <c r="AU24" i="4"/>
  <c r="AU25" i="4"/>
  <c r="AU26" i="4"/>
  <c r="AU27" i="4"/>
  <c r="AU28" i="4"/>
  <c r="AU29" i="4"/>
  <c r="AU30" i="4"/>
  <c r="AT19" i="4"/>
  <c r="AU19" i="4" s="1"/>
  <c r="AT20" i="4"/>
  <c r="AT21" i="4"/>
  <c r="AT22" i="4"/>
  <c r="AT23" i="4"/>
  <c r="AT24" i="4"/>
  <c r="AT25" i="4"/>
  <c r="AT26" i="4"/>
  <c r="AT27" i="4"/>
  <c r="AT28" i="4"/>
  <c r="AT29" i="4"/>
  <c r="AT30" i="4"/>
  <c r="AO19" i="4"/>
  <c r="AO20" i="4"/>
  <c r="AO21" i="4"/>
  <c r="AO22" i="4"/>
  <c r="AO23" i="4"/>
  <c r="AO24" i="4"/>
  <c r="AO25" i="4"/>
  <c r="AO26" i="4"/>
  <c r="AO27" i="4"/>
  <c r="AO28" i="4"/>
  <c r="AO29" i="4"/>
  <c r="AO30" i="4"/>
  <c r="AN19" i="4"/>
  <c r="AN20" i="4"/>
  <c r="AN21" i="4"/>
  <c r="AN22" i="4"/>
  <c r="AN23" i="4"/>
  <c r="AN24" i="4"/>
  <c r="AN25" i="4"/>
  <c r="AN26" i="4"/>
  <c r="AN27" i="4"/>
  <c r="AN28" i="4"/>
  <c r="AN29" i="4"/>
  <c r="AN30" i="4"/>
  <c r="AM19" i="4"/>
  <c r="AM20" i="4"/>
  <c r="AM21" i="4"/>
  <c r="AM22" i="4"/>
  <c r="AM23" i="4"/>
  <c r="AM24" i="4"/>
  <c r="AM25" i="4"/>
  <c r="AM26" i="4"/>
  <c r="AM27" i="4"/>
  <c r="AM28" i="4"/>
  <c r="AM29" i="4"/>
  <c r="AM30" i="4"/>
  <c r="AL19" i="4"/>
  <c r="AL20" i="4"/>
  <c r="AL21" i="4"/>
  <c r="AL22" i="4"/>
  <c r="AL23" i="4"/>
  <c r="AL24" i="4"/>
  <c r="AL25" i="4"/>
  <c r="AL26" i="4"/>
  <c r="AL27" i="4"/>
  <c r="AL28" i="4"/>
  <c r="AL29" i="4"/>
  <c r="AL30" i="4"/>
  <c r="AK20" i="4"/>
  <c r="AK21" i="4"/>
  <c r="AK22" i="4"/>
  <c r="AK23" i="4"/>
  <c r="AK24" i="4"/>
  <c r="AK25" i="4"/>
  <c r="AK26" i="4"/>
  <c r="AK27" i="4"/>
  <c r="AK28" i="4"/>
  <c r="AK29" i="4"/>
  <c r="AK30" i="4"/>
  <c r="AK19" i="4"/>
  <c r="AO31" i="4"/>
  <c r="AN31" i="4"/>
  <c r="AM31" i="4"/>
  <c r="AL31" i="4"/>
  <c r="AK31" i="4"/>
  <c r="AO5" i="2"/>
  <c r="BI5" i="2"/>
  <c r="BB29" i="2"/>
  <c r="BB30" i="2"/>
  <c r="BB31" i="2"/>
  <c r="BB32" i="2"/>
  <c r="BB33" i="2"/>
  <c r="BB34" i="2"/>
  <c r="BB35" i="2"/>
  <c r="BB36" i="2"/>
  <c r="BB37" i="2"/>
  <c r="BB38" i="2"/>
  <c r="BB39" i="2"/>
  <c r="BB28" i="2"/>
  <c r="BA31" i="2"/>
  <c r="AZ31" i="2"/>
  <c r="BA29" i="2"/>
  <c r="BA30" i="2"/>
  <c r="BA32" i="2"/>
  <c r="BA33" i="2"/>
  <c r="BA34" i="2"/>
  <c r="BA35" i="2"/>
  <c r="BA36" i="2"/>
  <c r="BA37" i="2"/>
  <c r="BA38" i="2"/>
  <c r="BA39" i="2"/>
  <c r="BA28" i="2"/>
  <c r="AZ29" i="2"/>
  <c r="AZ30" i="2"/>
  <c r="AZ32" i="2"/>
  <c r="AZ33" i="2"/>
  <c r="AZ34" i="2"/>
  <c r="AZ35" i="2"/>
  <c r="AZ36" i="2"/>
  <c r="AZ37" i="2"/>
  <c r="AZ38" i="2"/>
  <c r="AZ39" i="2"/>
  <c r="AZ28" i="2"/>
  <c r="AY29" i="2"/>
  <c r="AY30" i="2"/>
  <c r="AY31" i="2"/>
  <c r="AY32" i="2"/>
  <c r="AY33" i="2"/>
  <c r="AY34" i="2"/>
  <c r="AY35" i="2"/>
  <c r="AY36" i="2"/>
  <c r="AY37" i="2"/>
  <c r="AY38" i="2"/>
  <c r="AY39" i="2"/>
  <c r="AY28" i="2"/>
  <c r="AX29" i="2"/>
  <c r="AX30" i="2"/>
  <c r="AX31" i="2"/>
  <c r="AX32" i="2"/>
  <c r="AX33" i="2"/>
  <c r="AX34" i="2"/>
  <c r="AX35" i="2"/>
  <c r="AX36" i="2"/>
  <c r="AX37" i="2"/>
  <c r="AX38" i="2"/>
  <c r="AX39" i="2"/>
  <c r="AX28" i="2"/>
  <c r="AW29" i="2"/>
  <c r="AW30" i="2"/>
  <c r="AW31" i="2"/>
  <c r="AW32" i="2"/>
  <c r="AW33" i="2"/>
  <c r="AW34" i="2"/>
  <c r="AW35" i="2"/>
  <c r="AW36" i="2"/>
  <c r="AW37" i="2"/>
  <c r="AW38" i="2"/>
  <c r="AW39" i="2"/>
  <c r="AW28" i="2"/>
  <c r="AV29" i="2"/>
  <c r="AV30" i="2"/>
  <c r="AV31" i="2"/>
  <c r="AV32" i="2"/>
  <c r="AV33" i="2"/>
  <c r="AV34" i="2"/>
  <c r="AV35" i="2"/>
  <c r="AV36" i="2"/>
  <c r="AV37" i="2"/>
  <c r="AV38" i="2"/>
  <c r="AV39" i="2"/>
  <c r="AV28" i="2"/>
  <c r="AU35" i="2"/>
  <c r="AT35" i="2"/>
  <c r="AU29" i="2"/>
  <c r="AU30" i="2"/>
  <c r="AU31" i="2"/>
  <c r="AU32" i="2"/>
  <c r="AU33" i="2"/>
  <c r="AU34" i="2"/>
  <c r="AU36" i="2"/>
  <c r="AU37" i="2"/>
  <c r="AU38" i="2"/>
  <c r="AU39" i="2"/>
  <c r="AU28" i="2"/>
  <c r="AT29" i="2"/>
  <c r="AT30" i="2"/>
  <c r="AT31" i="2"/>
  <c r="AT32" i="2"/>
  <c r="AT33" i="2"/>
  <c r="AT34" i="2"/>
  <c r="AT36" i="2"/>
  <c r="AT37" i="2"/>
  <c r="AT38" i="2"/>
  <c r="AT39" i="2"/>
  <c r="AT28" i="2"/>
  <c r="AS29" i="2"/>
  <c r="AS30" i="2"/>
  <c r="AS31" i="2"/>
  <c r="AS32" i="2"/>
  <c r="AS33" i="2"/>
  <c r="AS34" i="2"/>
  <c r="AS35" i="2"/>
  <c r="AS36" i="2"/>
  <c r="AS37" i="2"/>
  <c r="AS38" i="2"/>
  <c r="AS39" i="2"/>
  <c r="AR29" i="2"/>
  <c r="AR30" i="2"/>
  <c r="AR31" i="2"/>
  <c r="AR32" i="2"/>
  <c r="AR33" i="2"/>
  <c r="AR34" i="2"/>
  <c r="AR35" i="2"/>
  <c r="AR36" i="2"/>
  <c r="AR37" i="2"/>
  <c r="AR38" i="2"/>
  <c r="AR39" i="2"/>
  <c r="AR28" i="2"/>
  <c r="AS28" i="2"/>
  <c r="BB27" i="2"/>
  <c r="BA27" i="2"/>
  <c r="AZ27" i="2"/>
  <c r="AY27" i="2"/>
  <c r="AX27" i="2"/>
  <c r="AW27" i="2"/>
  <c r="AV27" i="2"/>
  <c r="AU27" i="2"/>
  <c r="AT27" i="2"/>
  <c r="AS27" i="2"/>
  <c r="AR27" i="2"/>
  <c r="AI35" i="2"/>
  <c r="AK35" i="2" s="1"/>
  <c r="BR22" i="2"/>
  <c r="AE12" i="4"/>
  <c r="AG12" i="4" s="1"/>
  <c r="AH31" i="4"/>
  <c r="AE10" i="4"/>
  <c r="AG10" i="4" s="1"/>
  <c r="AE7" i="4"/>
  <c r="AG7" i="4" s="1"/>
  <c r="AE6" i="4"/>
  <c r="AG6" i="4" s="1"/>
  <c r="AE5" i="4"/>
  <c r="AG5" i="4" s="1"/>
  <c r="AG31" i="4"/>
  <c r="AF31" i="4"/>
  <c r="AE31" i="4"/>
  <c r="AD31" i="4"/>
  <c r="AC31" i="4"/>
  <c r="AB31" i="4"/>
  <c r="AI10" i="2"/>
  <c r="AK10" i="2" s="1"/>
  <c r="AI9" i="2"/>
  <c r="AK9" i="2" s="1"/>
  <c r="AI34" i="2"/>
  <c r="AK34" i="2" s="1"/>
  <c r="AI32" i="2"/>
  <c r="AK32" i="2" s="1"/>
  <c r="AI31" i="2"/>
  <c r="AK31" i="2" s="1"/>
  <c r="AI25" i="2"/>
  <c r="AK25" i="2" s="1"/>
  <c r="AI21" i="2"/>
  <c r="AK21" i="2" s="1"/>
  <c r="AI20" i="2"/>
  <c r="AK20" i="2" s="1"/>
  <c r="AI18" i="2"/>
  <c r="AK18" i="2" s="1"/>
  <c r="AI15" i="2"/>
  <c r="AK15" i="2" s="1"/>
  <c r="BP22" i="2"/>
  <c r="BO22" i="2"/>
  <c r="BQ22" i="2"/>
  <c r="BM22" i="2"/>
  <c r="AR22" i="2"/>
  <c r="AT22" i="2"/>
  <c r="BI22" i="2"/>
  <c r="AY22" i="2"/>
  <c r="BA22" i="2"/>
  <c r="AW22" i="2"/>
  <c r="M314" i="2"/>
  <c r="L314" i="2"/>
  <c r="Z266" i="2"/>
  <c r="O262" i="2"/>
  <c r="O263" i="2" s="1"/>
  <c r="Z265" i="2"/>
  <c r="Z264" i="2"/>
  <c r="Z263" i="2"/>
  <c r="Z262" i="2"/>
  <c r="Z261" i="2"/>
  <c r="Z260" i="2"/>
  <c r="BE28" i="2" l="1"/>
  <c r="BE39" i="2"/>
  <c r="BG39" i="2" s="1"/>
  <c r="BH39" i="2" s="1"/>
  <c r="M94" i="4"/>
  <c r="C68" i="4"/>
  <c r="C65" i="4"/>
  <c r="C64" i="4"/>
  <c r="AR25" i="4"/>
  <c r="AR23" i="4"/>
  <c r="AR21" i="4"/>
  <c r="AR24" i="4"/>
  <c r="AR22" i="4"/>
  <c r="AR20" i="4"/>
  <c r="AR26" i="4"/>
  <c r="AR28" i="4"/>
  <c r="AR19" i="4"/>
  <c r="AR27" i="4"/>
  <c r="AR30" i="4"/>
  <c r="AR29" i="4"/>
  <c r="AG14" i="4"/>
  <c r="BE30" i="2"/>
  <c r="BG30" i="2" s="1"/>
  <c r="BH30" i="2" s="1"/>
  <c r="BE29" i="2"/>
  <c r="BG29" i="2" s="1"/>
  <c r="BH29" i="2" s="1"/>
  <c r="AS41" i="2"/>
  <c r="AT41" i="2"/>
  <c r="AV41" i="2"/>
  <c r="AX41" i="2"/>
  <c r="AZ41" i="2"/>
  <c r="BB41" i="2"/>
  <c r="BE31" i="2"/>
  <c r="BG31" i="2" s="1"/>
  <c r="BH31" i="2" s="1"/>
  <c r="AU41" i="2"/>
  <c r="AR41" i="2"/>
  <c r="BE37" i="2"/>
  <c r="BG37" i="2" s="1"/>
  <c r="BH37" i="2" s="1"/>
  <c r="AW41" i="2"/>
  <c r="AY41" i="2"/>
  <c r="BA41" i="2"/>
  <c r="BE38" i="2"/>
  <c r="BG38" i="2" s="1"/>
  <c r="BH38" i="2" s="1"/>
  <c r="BG28" i="2"/>
  <c r="BH28" i="2" s="1"/>
  <c r="BE36" i="2"/>
  <c r="BG36" i="2" s="1"/>
  <c r="BH36" i="2" s="1"/>
  <c r="BE32" i="2"/>
  <c r="BG32" i="2" s="1"/>
  <c r="BH32" i="2" s="1"/>
  <c r="BE35" i="2"/>
  <c r="BG35" i="2" s="1"/>
  <c r="BH35" i="2" s="1"/>
  <c r="BE34" i="2"/>
  <c r="BG34" i="2" s="1"/>
  <c r="BH34" i="2" s="1"/>
  <c r="BE33" i="2"/>
  <c r="BG33" i="2" s="1"/>
  <c r="BH33" i="2" s="1"/>
  <c r="AK41" i="2"/>
  <c r="AL41" i="2" s="1"/>
  <c r="O274" i="2"/>
  <c r="J325" i="2"/>
  <c r="K345" i="2" s="1"/>
  <c r="J326" i="2"/>
  <c r="K346" i="2" s="1"/>
  <c r="J328" i="2"/>
  <c r="J330" i="2"/>
  <c r="J331" i="2"/>
  <c r="M332" i="2"/>
  <c r="J332" i="2"/>
  <c r="J307" i="2"/>
  <c r="J308" i="2"/>
  <c r="J310" i="2"/>
  <c r="J312" i="2"/>
  <c r="J313" i="2"/>
  <c r="J314" i="2"/>
  <c r="J345" i="2"/>
  <c r="J346" i="2"/>
  <c r="J347" i="2"/>
  <c r="J348" i="2"/>
  <c r="J349" i="2"/>
  <c r="J350" i="2"/>
  <c r="J351" i="2"/>
  <c r="J344" i="2"/>
  <c r="W172" i="2"/>
  <c r="W171" i="2"/>
  <c r="AB368" i="2"/>
  <c r="AB372" i="2"/>
  <c r="AB370" i="2"/>
  <c r="W381" i="2"/>
  <c r="P185" i="2"/>
  <c r="P186" i="2"/>
  <c r="P187" i="2"/>
  <c r="P190" i="2"/>
  <c r="W199" i="2"/>
  <c r="W161" i="2"/>
  <c r="W371" i="2"/>
  <c r="X371" i="2"/>
  <c r="W373" i="2"/>
  <c r="X373" i="2"/>
  <c r="W374" i="2"/>
  <c r="X374" i="2"/>
  <c r="R368" i="2"/>
  <c r="R375" i="2"/>
  <c r="R369" i="2"/>
  <c r="W158" i="2"/>
  <c r="Y157" i="2"/>
  <c r="AA157" i="2" s="1"/>
  <c r="AC157" i="2" s="1"/>
  <c r="W160" i="2"/>
  <c r="W159" i="2"/>
  <c r="Q159" i="2"/>
  <c r="S159" i="2"/>
  <c r="Q160" i="2"/>
  <c r="S160" i="2"/>
  <c r="Q161" i="2"/>
  <c r="S161" i="2"/>
  <c r="Q164" i="2"/>
  <c r="S164" i="2"/>
  <c r="J371" i="2"/>
  <c r="J372" i="2"/>
  <c r="J373" i="2"/>
  <c r="J374" i="2"/>
  <c r="AQ57" i="2"/>
  <c r="AI58" i="2"/>
  <c r="AP52" i="2"/>
  <c r="AQ52" i="2"/>
  <c r="AR52" i="2"/>
  <c r="AS52" i="2"/>
  <c r="AT52" i="2"/>
  <c r="AP53" i="2"/>
  <c r="AQ53" i="2"/>
  <c r="AR53" i="2"/>
  <c r="AS53" i="2"/>
  <c r="AT53" i="2"/>
  <c r="AP54" i="2"/>
  <c r="AQ54" i="2"/>
  <c r="AR54" i="2"/>
  <c r="AS54" i="2"/>
  <c r="AT54" i="2"/>
  <c r="AP55" i="2"/>
  <c r="AQ55" i="2"/>
  <c r="AR55" i="2"/>
  <c r="AS55" i="2"/>
  <c r="AT55" i="2"/>
  <c r="AP56" i="2"/>
  <c r="AQ56" i="2"/>
  <c r="AR56" i="2"/>
  <c r="AS56" i="2"/>
  <c r="AT56" i="2"/>
  <c r="AP57" i="2"/>
  <c r="AR57" i="2"/>
  <c r="AS57" i="2"/>
  <c r="AT57" i="2"/>
  <c r="AP58" i="2"/>
  <c r="AQ58" i="2"/>
  <c r="AR58" i="2"/>
  <c r="AS58" i="2"/>
  <c r="AT58" i="2"/>
  <c r="AP59" i="2"/>
  <c r="AQ59" i="2"/>
  <c r="C13" i="6" s="1"/>
  <c r="AR59" i="2"/>
  <c r="AS59" i="2"/>
  <c r="AT59" i="2"/>
  <c r="AQ51" i="2"/>
  <c r="AR51" i="2"/>
  <c r="AS51" i="2"/>
  <c r="AT51" i="2"/>
  <c r="AP51" i="2"/>
  <c r="AA172" i="2"/>
  <c r="W383" i="2" s="1"/>
  <c r="AA171" i="2"/>
  <c r="W382" i="2" s="1"/>
  <c r="W129" i="2"/>
  <c r="L173" i="2"/>
  <c r="AI51" i="2"/>
  <c r="V178" i="1"/>
  <c r="U178" i="1"/>
  <c r="U150" i="1"/>
  <c r="U149" i="1"/>
  <c r="V150" i="1"/>
  <c r="V149" i="1"/>
  <c r="V148" i="1"/>
  <c r="V144" i="1"/>
  <c r="V145" i="1"/>
  <c r="V146" i="1"/>
  <c r="V147" i="1"/>
  <c r="V143" i="1"/>
  <c r="U151" i="1"/>
  <c r="U147" i="1"/>
  <c r="U146" i="1"/>
  <c r="U145" i="1"/>
  <c r="U144" i="1"/>
  <c r="U143" i="1"/>
  <c r="V177" i="1"/>
  <c r="V176" i="1"/>
  <c r="V175" i="1"/>
  <c r="V170" i="1"/>
  <c r="AP50" i="2" a="1"/>
  <c r="AN50" i="2"/>
  <c r="AN49" i="2"/>
  <c r="AJ52" i="2"/>
  <c r="AJ53" i="2"/>
  <c r="AJ54" i="2"/>
  <c r="AJ55" i="2"/>
  <c r="AJ56" i="2"/>
  <c r="AJ57" i="2"/>
  <c r="AJ58" i="2"/>
  <c r="AJ59" i="2"/>
  <c r="AJ51" i="2"/>
  <c r="AI59" i="2"/>
  <c r="AI52" i="2"/>
  <c r="X117" i="2" s="1"/>
  <c r="AI53" i="2"/>
  <c r="X128" i="2" s="1"/>
  <c r="AI54" i="2"/>
  <c r="AI55" i="2"/>
  <c r="AI56" i="2"/>
  <c r="W121" i="2"/>
  <c r="W120" i="2"/>
  <c r="W119" i="2"/>
  <c r="W118" i="2"/>
  <c r="R284" i="1"/>
  <c r="R285" i="1"/>
  <c r="R286" i="1"/>
  <c r="R287" i="1"/>
  <c r="R288" i="1"/>
  <c r="R289" i="1"/>
  <c r="R283" i="1"/>
  <c r="R254" i="1"/>
  <c r="R272" i="1"/>
  <c r="F174" i="2"/>
  <c r="P290" i="1"/>
  <c r="V171" i="1"/>
  <c r="V172" i="1"/>
  <c r="V173" i="1"/>
  <c r="V174" i="1"/>
  <c r="U171" i="1"/>
  <c r="U172" i="1"/>
  <c r="U173" i="1"/>
  <c r="U174" i="1"/>
  <c r="U176" i="1"/>
  <c r="U177" i="1"/>
  <c r="U170" i="1"/>
  <c r="W170" i="1" s="1"/>
  <c r="X170" i="1" s="1"/>
  <c r="W171" i="1"/>
  <c r="X171" i="1" s="1"/>
  <c r="W172" i="1"/>
  <c r="X172" i="1" s="1"/>
  <c r="W173" i="1"/>
  <c r="X173" i="1" s="1"/>
  <c r="W174" i="1"/>
  <c r="X174" i="1" s="1"/>
  <c r="W176" i="1"/>
  <c r="X176" i="1" s="1"/>
  <c r="W177" i="1"/>
  <c r="X177" i="1" s="1"/>
  <c r="P335" i="1"/>
  <c r="P336" i="1"/>
  <c r="P337" i="1"/>
  <c r="P338" i="1"/>
  <c r="P339" i="1"/>
  <c r="P340" i="1"/>
  <c r="P341" i="1"/>
  <c r="P342" i="1"/>
  <c r="P343" i="1"/>
  <c r="E340" i="1"/>
  <c r="F340" i="1"/>
  <c r="G340" i="1"/>
  <c r="H340" i="1"/>
  <c r="I340" i="1"/>
  <c r="J340" i="1"/>
  <c r="K340" i="1"/>
  <c r="L340" i="1"/>
  <c r="M340" i="1"/>
  <c r="N340" i="1"/>
  <c r="O340" i="1"/>
  <c r="D340" i="1"/>
  <c r="D336" i="1"/>
  <c r="E336" i="1"/>
  <c r="F336" i="1"/>
  <c r="G336" i="1"/>
  <c r="H336" i="1"/>
  <c r="I336" i="1"/>
  <c r="J336" i="1"/>
  <c r="K336" i="1"/>
  <c r="L336" i="1"/>
  <c r="N336" i="1"/>
  <c r="O336" i="1"/>
  <c r="D337" i="1"/>
  <c r="E337" i="1"/>
  <c r="F337" i="1"/>
  <c r="G337" i="1"/>
  <c r="H337" i="1"/>
  <c r="I337" i="1"/>
  <c r="J337" i="1"/>
  <c r="L337" i="1"/>
  <c r="M337" i="1"/>
  <c r="N337" i="1"/>
  <c r="O337" i="1"/>
  <c r="D338" i="1"/>
  <c r="E338" i="1"/>
  <c r="F338" i="1"/>
  <c r="G338" i="1"/>
  <c r="H338" i="1"/>
  <c r="I338" i="1"/>
  <c r="J338" i="1"/>
  <c r="K338" i="1"/>
  <c r="L338" i="1"/>
  <c r="M338" i="1"/>
  <c r="N338" i="1"/>
  <c r="O338" i="1"/>
  <c r="D339" i="1"/>
  <c r="E339" i="1"/>
  <c r="F339" i="1"/>
  <c r="G339" i="1"/>
  <c r="H339" i="1"/>
  <c r="I339" i="1"/>
  <c r="J339" i="1"/>
  <c r="K339" i="1"/>
  <c r="L339" i="1"/>
  <c r="M339" i="1"/>
  <c r="N339" i="1"/>
  <c r="O339" i="1"/>
  <c r="D341" i="1"/>
  <c r="E341" i="1"/>
  <c r="G341" i="1"/>
  <c r="H341" i="1"/>
  <c r="I341" i="1"/>
  <c r="J341" i="1"/>
  <c r="K341" i="1"/>
  <c r="L341" i="1"/>
  <c r="M341" i="1"/>
  <c r="O341" i="1"/>
  <c r="D342" i="1"/>
  <c r="E342" i="1"/>
  <c r="F342" i="1"/>
  <c r="G342" i="1"/>
  <c r="H342" i="1"/>
  <c r="I342" i="1"/>
  <c r="J342" i="1"/>
  <c r="K342" i="1"/>
  <c r="L342" i="1"/>
  <c r="M342" i="1"/>
  <c r="N342" i="1"/>
  <c r="O342" i="1"/>
  <c r="D343" i="1"/>
  <c r="E343" i="1"/>
  <c r="F343" i="1"/>
  <c r="G343" i="1"/>
  <c r="H343" i="1"/>
  <c r="I343" i="1"/>
  <c r="J343" i="1"/>
  <c r="K343" i="1"/>
  <c r="L343" i="1"/>
  <c r="M343" i="1"/>
  <c r="N343" i="1"/>
  <c r="O343" i="1"/>
  <c r="E335" i="1"/>
  <c r="F335" i="1"/>
  <c r="G335" i="1"/>
  <c r="H335" i="1"/>
  <c r="I335" i="1"/>
  <c r="J335" i="1"/>
  <c r="K335" i="1"/>
  <c r="L335" i="1"/>
  <c r="M335" i="1"/>
  <c r="N335" i="1"/>
  <c r="O335" i="1"/>
  <c r="D335" i="1"/>
  <c r="D321" i="1"/>
  <c r="P334" i="1"/>
  <c r="P321" i="1"/>
  <c r="P322" i="1"/>
  <c r="P323" i="1"/>
  <c r="P324" i="1"/>
  <c r="P325" i="1"/>
  <c r="P326" i="1"/>
  <c r="P327" i="1"/>
  <c r="P328" i="1"/>
  <c r="P320" i="1"/>
  <c r="O333" i="1"/>
  <c r="N333" i="1"/>
  <c r="M333" i="1"/>
  <c r="L333" i="1"/>
  <c r="K333" i="1"/>
  <c r="J333" i="1"/>
  <c r="I333" i="1"/>
  <c r="H333" i="1"/>
  <c r="G333" i="1"/>
  <c r="F333" i="1"/>
  <c r="E333" i="1"/>
  <c r="D333" i="1"/>
  <c r="O319" i="1"/>
  <c r="N319" i="1"/>
  <c r="M319" i="1"/>
  <c r="L319" i="1"/>
  <c r="K319" i="1"/>
  <c r="J319" i="1"/>
  <c r="I319" i="1"/>
  <c r="H319" i="1"/>
  <c r="G319" i="1"/>
  <c r="F319" i="1"/>
  <c r="E319" i="1"/>
  <c r="D319" i="1"/>
  <c r="O298" i="1"/>
  <c r="N298" i="1"/>
  <c r="M298" i="1"/>
  <c r="L298" i="1"/>
  <c r="K298" i="1"/>
  <c r="J298" i="1"/>
  <c r="I298" i="1"/>
  <c r="H298" i="1"/>
  <c r="G298" i="1"/>
  <c r="F298" i="1"/>
  <c r="E298" i="1"/>
  <c r="D298" i="1"/>
  <c r="O280" i="1"/>
  <c r="N280" i="1"/>
  <c r="M280" i="1"/>
  <c r="L280" i="1"/>
  <c r="K280" i="1"/>
  <c r="J280" i="1"/>
  <c r="I280" i="1"/>
  <c r="H280" i="1"/>
  <c r="G280" i="1"/>
  <c r="F280" i="1"/>
  <c r="E280" i="1"/>
  <c r="D280" i="1"/>
  <c r="O259" i="1"/>
  <c r="N259" i="1"/>
  <c r="M259" i="1"/>
  <c r="L259" i="1"/>
  <c r="K259" i="1"/>
  <c r="J259" i="1"/>
  <c r="I259" i="1"/>
  <c r="H259" i="1"/>
  <c r="G259" i="1"/>
  <c r="F259" i="1"/>
  <c r="E259" i="1"/>
  <c r="D259" i="1"/>
  <c r="O241" i="1"/>
  <c r="N241" i="1"/>
  <c r="M241" i="1"/>
  <c r="L241" i="1"/>
  <c r="K241" i="1"/>
  <c r="J241" i="1"/>
  <c r="I241" i="1"/>
  <c r="H241" i="1"/>
  <c r="G241" i="1"/>
  <c r="F241" i="1"/>
  <c r="E241" i="1"/>
  <c r="D241" i="1"/>
  <c r="BN42" i="2" l="1"/>
  <c r="BN41" i="2"/>
  <c r="K348" i="2"/>
  <c r="K350" i="2"/>
  <c r="K351" i="2"/>
  <c r="W186" i="2"/>
  <c r="W368" i="2"/>
  <c r="X130" i="2"/>
  <c r="X129" i="2"/>
  <c r="X124" i="2"/>
  <c r="X125" i="2"/>
  <c r="X118" i="2"/>
  <c r="X119" i="2"/>
  <c r="X120" i="2"/>
  <c r="X121" i="2"/>
  <c r="X122" i="2"/>
  <c r="X123" i="2"/>
  <c r="AL72" i="2"/>
  <c r="N38" i="1"/>
  <c r="J38" i="1"/>
  <c r="K38" i="1"/>
  <c r="L38" i="1"/>
  <c r="M38" i="1"/>
  <c r="O38" i="1"/>
  <c r="D38" i="1"/>
  <c r="P38" i="1" s="1"/>
  <c r="E38" i="1"/>
  <c r="F38" i="1"/>
  <c r="G38" i="1"/>
  <c r="H38" i="1"/>
  <c r="I38" i="1"/>
  <c r="BN34" i="2" l="1"/>
  <c r="BN37" i="2"/>
  <c r="BN38" i="2"/>
  <c r="BN39" i="2"/>
  <c r="BN35" i="2"/>
  <c r="BN36" i="2"/>
  <c r="BN29" i="2"/>
  <c r="BN30" i="2"/>
  <c r="BN33" i="2"/>
  <c r="BN31" i="2"/>
  <c r="BN32" i="2"/>
  <c r="BN28" i="2"/>
  <c r="K395" i="2"/>
  <c r="K396" i="2"/>
  <c r="K398" i="2"/>
  <c r="K400" i="2"/>
  <c r="K401" i="2"/>
  <c r="Q368" i="2"/>
  <c r="Q369" i="2"/>
  <c r="Q375" i="2"/>
  <c r="AA8" i="2"/>
  <c r="AB8" i="2"/>
  <c r="AA9" i="2"/>
  <c r="AB9" i="2"/>
  <c r="AA10" i="2"/>
  <c r="AB10" i="2"/>
  <c r="AA11" i="2"/>
  <c r="AB11" i="2"/>
  <c r="AA12" i="2"/>
  <c r="AB12" i="2"/>
  <c r="AA13" i="2"/>
  <c r="AB13" i="2"/>
  <c r="AA14" i="2"/>
  <c r="AB14" i="2"/>
  <c r="AA15" i="2"/>
  <c r="AB15" i="2"/>
  <c r="AA16" i="2"/>
  <c r="AB16" i="2"/>
  <c r="AA17" i="2"/>
  <c r="AB17" i="2"/>
  <c r="AA18" i="2"/>
  <c r="AB18" i="2"/>
  <c r="AA7" i="2"/>
  <c r="AB7" i="2"/>
  <c r="AL70" i="2"/>
  <c r="AL80" i="2" s="1"/>
  <c r="AH68" i="2"/>
  <c r="I100" i="2" s="1"/>
  <c r="AL67" i="2"/>
  <c r="AL77" i="2" s="1"/>
  <c r="AN77" i="2" s="1"/>
  <c r="AL68" i="2"/>
  <c r="AL78" i="2" s="1"/>
  <c r="AN78" i="2" s="1"/>
  <c r="AN51" i="2"/>
  <c r="AN52" i="2"/>
  <c r="AN53" i="2"/>
  <c r="AN54" i="2"/>
  <c r="AN55" i="2"/>
  <c r="AN56" i="2"/>
  <c r="AN58" i="2"/>
  <c r="AB38" i="4"/>
  <c r="G73" i="4" s="1"/>
  <c r="G65" i="4" s="1"/>
  <c r="AL69" i="2"/>
  <c r="AL74" i="2" s="1"/>
  <c r="Z70" i="1"/>
  <c r="AA70" i="1"/>
  <c r="AB70" i="1"/>
  <c r="AC70" i="1"/>
  <c r="AD70" i="1"/>
  <c r="AE70" i="1"/>
  <c r="AF70" i="1"/>
  <c r="AG70" i="1"/>
  <c r="AH70" i="1"/>
  <c r="AI70" i="1"/>
  <c r="AJ70" i="1"/>
  <c r="AK70" i="1"/>
  <c r="Z91" i="1"/>
  <c r="AA91" i="1"/>
  <c r="AB91" i="1"/>
  <c r="AC91" i="1"/>
  <c r="AD91" i="1"/>
  <c r="AE91" i="1"/>
  <c r="AF91" i="1"/>
  <c r="AG91" i="1"/>
  <c r="AH91" i="1"/>
  <c r="AI91" i="1"/>
  <c r="AJ91" i="1"/>
  <c r="AK91" i="1"/>
  <c r="F39" i="5"/>
  <c r="F40" i="5"/>
  <c r="F41" i="5"/>
  <c r="F42" i="5"/>
  <c r="F38" i="5"/>
  <c r="P22" i="1"/>
  <c r="P42" i="1"/>
  <c r="K5" i="1"/>
  <c r="K6" i="1"/>
  <c r="K7" i="1"/>
  <c r="K8" i="1"/>
  <c r="K9" i="1"/>
  <c r="K10" i="1"/>
  <c r="K11" i="1"/>
  <c r="K12" i="1"/>
  <c r="K13" i="1"/>
  <c r="K14" i="1"/>
  <c r="K15" i="1"/>
  <c r="K16" i="1"/>
  <c r="D80" i="1"/>
  <c r="H80" i="1"/>
  <c r="H249" i="1" s="1"/>
  <c r="I80" i="1"/>
  <c r="I249" i="1" s="1"/>
  <c r="J80" i="1"/>
  <c r="K80" i="1"/>
  <c r="N80" i="1"/>
  <c r="N249" i="1" s="1"/>
  <c r="O80" i="1"/>
  <c r="O249" i="1" s="1"/>
  <c r="N99" i="1"/>
  <c r="N268" i="1" s="1"/>
  <c r="N187" i="1"/>
  <c r="E187" i="1" s="1"/>
  <c r="D98" i="1"/>
  <c r="E98" i="1"/>
  <c r="E267" i="1" s="1"/>
  <c r="F98" i="1"/>
  <c r="F267" i="1" s="1"/>
  <c r="G98" i="1"/>
  <c r="G267" i="1" s="1"/>
  <c r="H98" i="1"/>
  <c r="I98" i="1"/>
  <c r="I267" i="1" s="1"/>
  <c r="J98" i="1"/>
  <c r="J267" i="1" s="1"/>
  <c r="K98" i="1"/>
  <c r="L98" i="1"/>
  <c r="M98" i="1"/>
  <c r="M267" i="1" s="1"/>
  <c r="O98" i="1"/>
  <c r="O267" i="1" s="1"/>
  <c r="F186" i="1"/>
  <c r="N98" i="1"/>
  <c r="N267" i="1" s="1"/>
  <c r="O186" i="1"/>
  <c r="D81" i="1"/>
  <c r="E81" i="1"/>
  <c r="E169" i="1" s="1"/>
  <c r="F81" i="1"/>
  <c r="G81" i="1"/>
  <c r="G250" i="1" s="1"/>
  <c r="G169" i="1"/>
  <c r="H81" i="1"/>
  <c r="I81" i="1"/>
  <c r="I250" i="1" s="1"/>
  <c r="J81" i="1"/>
  <c r="J250" i="1" s="1"/>
  <c r="J169" i="1"/>
  <c r="K81" i="1"/>
  <c r="K169" i="1"/>
  <c r="L81" i="1"/>
  <c r="M81" i="1"/>
  <c r="M250" i="1" s="1"/>
  <c r="H100" i="1"/>
  <c r="H269" i="1" s="1"/>
  <c r="H188" i="1"/>
  <c r="I100" i="1"/>
  <c r="I188" i="1" s="1"/>
  <c r="J100" i="1"/>
  <c r="K100" i="1"/>
  <c r="L100" i="1"/>
  <c r="L269" i="1" s="1"/>
  <c r="M100" i="1"/>
  <c r="M188" i="1" s="1"/>
  <c r="D76" i="1"/>
  <c r="D245" i="1" s="1"/>
  <c r="D164" i="1"/>
  <c r="D171" i="1" s="1"/>
  <c r="E76" i="1"/>
  <c r="E245" i="1" s="1"/>
  <c r="E164" i="1"/>
  <c r="F76" i="1"/>
  <c r="F164" i="1" s="1"/>
  <c r="H76" i="1"/>
  <c r="I76" i="1"/>
  <c r="I245" i="1" s="1"/>
  <c r="J76" i="1"/>
  <c r="J245" i="1" s="1"/>
  <c r="J164" i="1"/>
  <c r="J171" i="1" s="1"/>
  <c r="K76" i="1"/>
  <c r="K245" i="1" s="1"/>
  <c r="K164" i="1"/>
  <c r="L76" i="1"/>
  <c r="L84" i="1" s="1"/>
  <c r="L253" i="1" s="1"/>
  <c r="M76" i="1"/>
  <c r="M245" i="1" s="1"/>
  <c r="N76" i="1"/>
  <c r="N245" i="1" s="1"/>
  <c r="N164" i="1"/>
  <c r="N171" i="1" s="1"/>
  <c r="O76" i="1"/>
  <c r="O245" i="1" s="1"/>
  <c r="D97" i="1"/>
  <c r="D185" i="1" s="1"/>
  <c r="E97" i="1"/>
  <c r="E266" i="1" s="1"/>
  <c r="E185" i="1"/>
  <c r="E224" i="1" s="1"/>
  <c r="F97" i="1"/>
  <c r="F266" i="1" s="1"/>
  <c r="F185" i="1"/>
  <c r="F224" i="1" s="1"/>
  <c r="G97" i="1"/>
  <c r="G266" i="1" s="1"/>
  <c r="H97" i="1"/>
  <c r="H266" i="1" s="1"/>
  <c r="H185" i="1"/>
  <c r="H224" i="1" s="1"/>
  <c r="I97" i="1"/>
  <c r="J97" i="1"/>
  <c r="J136" i="1" s="1"/>
  <c r="K97" i="1"/>
  <c r="K185" i="1"/>
  <c r="K224" i="1" s="1"/>
  <c r="L97" i="1"/>
  <c r="L185" i="1" s="1"/>
  <c r="L224" i="1" s="1"/>
  <c r="M97" i="1"/>
  <c r="M266" i="1" s="1"/>
  <c r="M185" i="1"/>
  <c r="M224" i="1"/>
  <c r="N97" i="1"/>
  <c r="N185" i="1" s="1"/>
  <c r="N224" i="1" s="1"/>
  <c r="O97" i="1"/>
  <c r="E96" i="1"/>
  <c r="E265" i="1" s="1"/>
  <c r="E184" i="1"/>
  <c r="F96" i="1"/>
  <c r="F265" i="1" s="1"/>
  <c r="F184" i="1"/>
  <c r="G96" i="1"/>
  <c r="G265" i="1" s="1"/>
  <c r="G184" i="1"/>
  <c r="H96" i="1"/>
  <c r="H184" i="1" s="1"/>
  <c r="I96" i="1"/>
  <c r="I184" i="1"/>
  <c r="J96" i="1"/>
  <c r="J265" i="1" s="1"/>
  <c r="K96" i="1"/>
  <c r="K265" i="1" s="1"/>
  <c r="K184" i="1"/>
  <c r="L96" i="1"/>
  <c r="M96" i="1"/>
  <c r="M265" i="1" s="1"/>
  <c r="N96" i="1"/>
  <c r="N265" i="1" s="1"/>
  <c r="N184" i="1"/>
  <c r="O96" i="1"/>
  <c r="O265" i="1" s="1"/>
  <c r="D79" i="1"/>
  <c r="D248" i="1" s="1"/>
  <c r="D167" i="1"/>
  <c r="D206" i="1"/>
  <c r="E79" i="1"/>
  <c r="E167" i="1" s="1"/>
  <c r="E206" i="1" s="1"/>
  <c r="F79" i="1"/>
  <c r="F167" i="1"/>
  <c r="F206" i="1" s="1"/>
  <c r="G79" i="1"/>
  <c r="G248" i="1" s="1"/>
  <c r="G167" i="1"/>
  <c r="G206" i="1"/>
  <c r="H79" i="1"/>
  <c r="H118" i="1" s="1"/>
  <c r="I79" i="1"/>
  <c r="I248" i="1" s="1"/>
  <c r="J79" i="1"/>
  <c r="J167" i="1"/>
  <c r="J206" i="1"/>
  <c r="K79" i="1"/>
  <c r="K248" i="1" s="1"/>
  <c r="K167" i="1"/>
  <c r="K206" i="1"/>
  <c r="L79" i="1"/>
  <c r="M79" i="1"/>
  <c r="M248" i="1" s="1"/>
  <c r="N79" i="1"/>
  <c r="N167" i="1"/>
  <c r="N206" i="1" s="1"/>
  <c r="O79" i="1"/>
  <c r="E78" i="1"/>
  <c r="E247" i="1" s="1"/>
  <c r="E166" i="1"/>
  <c r="F78" i="1"/>
  <c r="F166" i="1" s="1"/>
  <c r="G78" i="1"/>
  <c r="G247" i="1" s="1"/>
  <c r="H78" i="1"/>
  <c r="H247" i="1" s="1"/>
  <c r="H166" i="1"/>
  <c r="I78" i="1"/>
  <c r="I247" i="1" s="1"/>
  <c r="I166" i="1"/>
  <c r="J78" i="1"/>
  <c r="K78" i="1"/>
  <c r="L78" i="1"/>
  <c r="L166" i="1" s="1"/>
  <c r="M78" i="1"/>
  <c r="M247" i="1" s="1"/>
  <c r="M166" i="1"/>
  <c r="N78" i="1"/>
  <c r="O78" i="1"/>
  <c r="D96" i="1"/>
  <c r="D184" i="1" s="1"/>
  <c r="D78" i="1"/>
  <c r="D247" i="1" s="1"/>
  <c r="N81" i="1"/>
  <c r="O81" i="1"/>
  <c r="O250" i="1" s="1"/>
  <c r="D100" i="1"/>
  <c r="D269" i="1" s="1"/>
  <c r="E100" i="1"/>
  <c r="F100" i="1"/>
  <c r="G100" i="1"/>
  <c r="N100" i="1"/>
  <c r="O100" i="1"/>
  <c r="E80" i="1"/>
  <c r="F80" i="1"/>
  <c r="G80" i="1"/>
  <c r="G249" i="1" s="1"/>
  <c r="L80" i="1"/>
  <c r="M80" i="1"/>
  <c r="D99" i="1"/>
  <c r="D268" i="1" s="1"/>
  <c r="E99" i="1"/>
  <c r="E268" i="1" s="1"/>
  <c r="F99" i="1"/>
  <c r="F268" i="1" s="1"/>
  <c r="G99" i="1"/>
  <c r="G268" i="1" s="1"/>
  <c r="H99" i="1"/>
  <c r="H268" i="1" s="1"/>
  <c r="I99" i="1"/>
  <c r="I268" i="1" s="1"/>
  <c r="J99" i="1"/>
  <c r="J268" i="1" s="1"/>
  <c r="K99" i="1"/>
  <c r="K268" i="1" s="1"/>
  <c r="L99" i="1"/>
  <c r="L268" i="1" s="1"/>
  <c r="M99" i="1"/>
  <c r="M268" i="1" s="1"/>
  <c r="O99" i="1"/>
  <c r="E136" i="1"/>
  <c r="F136" i="1"/>
  <c r="H136" i="1"/>
  <c r="M136" i="1"/>
  <c r="O136" i="1"/>
  <c r="D118" i="1"/>
  <c r="G118" i="1"/>
  <c r="K118" i="1"/>
  <c r="M118" i="1"/>
  <c r="E94" i="1"/>
  <c r="E182" i="1"/>
  <c r="E190" i="1" s="1"/>
  <c r="K94" i="1"/>
  <c r="K102" i="1" s="1"/>
  <c r="K271" i="1" s="1"/>
  <c r="L94" i="1"/>
  <c r="M94" i="1"/>
  <c r="M263" i="1" s="1"/>
  <c r="M182" i="1"/>
  <c r="N94" i="1"/>
  <c r="N182" i="1" s="1"/>
  <c r="N190" i="1" s="1"/>
  <c r="O94" i="1"/>
  <c r="O182" i="1"/>
  <c r="H92" i="1"/>
  <c r="H261" i="1" s="1"/>
  <c r="I92" i="1"/>
  <c r="I180" i="1"/>
  <c r="J92" i="1"/>
  <c r="J180" i="1" s="1"/>
  <c r="K92" i="1"/>
  <c r="L92" i="1"/>
  <c r="L261" i="1" s="1"/>
  <c r="M92" i="1"/>
  <c r="M261" i="1" s="1"/>
  <c r="H93" i="1"/>
  <c r="H262" i="1" s="1"/>
  <c r="H181" i="1"/>
  <c r="I93" i="1"/>
  <c r="I262" i="1" s="1"/>
  <c r="J93" i="1"/>
  <c r="J262" i="1" s="1"/>
  <c r="K93" i="1"/>
  <c r="L93" i="1"/>
  <c r="L262" i="1" s="1"/>
  <c r="M93" i="1"/>
  <c r="M262" i="1" s="1"/>
  <c r="M181" i="1"/>
  <c r="N93" i="1"/>
  <c r="N262" i="1" s="1"/>
  <c r="O93" i="1"/>
  <c r="D74" i="1"/>
  <c r="D243" i="1" s="1"/>
  <c r="D75" i="1"/>
  <c r="O190" i="1"/>
  <c r="D92" i="1"/>
  <c r="D261" i="1" s="1"/>
  <c r="D93" i="1"/>
  <c r="F75" i="1"/>
  <c r="O74" i="1"/>
  <c r="O243" i="1" s="1"/>
  <c r="O162" i="1"/>
  <c r="N74" i="1"/>
  <c r="N162" i="1" s="1"/>
  <c r="N173" i="1" s="1"/>
  <c r="M74" i="1"/>
  <c r="M243" i="1" s="1"/>
  <c r="L74" i="1"/>
  <c r="K74" i="1"/>
  <c r="K243" i="1" s="1"/>
  <c r="K162" i="1"/>
  <c r="J74" i="1"/>
  <c r="J243" i="1" s="1"/>
  <c r="I74" i="1"/>
  <c r="H74" i="1"/>
  <c r="P74" i="1" s="1"/>
  <c r="P243" i="1" s="1"/>
  <c r="G74" i="1"/>
  <c r="G243" i="1" s="1"/>
  <c r="G162" i="1"/>
  <c r="F74" i="1"/>
  <c r="F243" i="1" s="1"/>
  <c r="F162" i="1"/>
  <c r="E74" i="1"/>
  <c r="E243" i="1" s="1"/>
  <c r="O75" i="1"/>
  <c r="O244" i="1" s="1"/>
  <c r="O163" i="1"/>
  <c r="N75" i="1"/>
  <c r="M75" i="1"/>
  <c r="M244" i="1" s="1"/>
  <c r="M163" i="1"/>
  <c r="L75" i="1"/>
  <c r="L244" i="1" s="1"/>
  <c r="K75" i="1"/>
  <c r="K244" i="1" s="1"/>
  <c r="J75" i="1"/>
  <c r="J163" i="1" s="1"/>
  <c r="J172" i="1" s="1"/>
  <c r="I75" i="1"/>
  <c r="H75" i="1"/>
  <c r="H244" i="1" s="1"/>
  <c r="H163" i="1"/>
  <c r="G75" i="1"/>
  <c r="G163" i="1" s="1"/>
  <c r="G170" i="1" s="1"/>
  <c r="E75" i="1"/>
  <c r="K171" i="1"/>
  <c r="F171" i="1"/>
  <c r="E171" i="1"/>
  <c r="G94" i="1"/>
  <c r="G263" i="1" s="1"/>
  <c r="G92" i="1"/>
  <c r="G261" i="1" s="1"/>
  <c r="G104" i="1"/>
  <c r="G273" i="1" s="1"/>
  <c r="G93" i="1"/>
  <c r="G262" i="1" s="1"/>
  <c r="G102" i="1"/>
  <c r="G271" i="1" s="1"/>
  <c r="O92" i="1"/>
  <c r="O261" i="1" s="1"/>
  <c r="N92" i="1"/>
  <c r="N261" i="1" s="1"/>
  <c r="L104" i="1"/>
  <c r="L273" i="1" s="1"/>
  <c r="K104" i="1"/>
  <c r="K273" i="1" s="1"/>
  <c r="J94" i="1"/>
  <c r="I94" i="1"/>
  <c r="I263" i="1" s="1"/>
  <c r="H94" i="1"/>
  <c r="H104" i="1" s="1"/>
  <c r="H273" i="1" s="1"/>
  <c r="F94" i="1"/>
  <c r="F92" i="1"/>
  <c r="E92" i="1"/>
  <c r="E261" i="1" s="1"/>
  <c r="D94" i="1"/>
  <c r="D263" i="1" s="1"/>
  <c r="M103" i="1"/>
  <c r="M272" i="1" s="1"/>
  <c r="L103" i="1"/>
  <c r="L272" i="1" s="1"/>
  <c r="I103" i="1"/>
  <c r="I272" i="1" s="1"/>
  <c r="F93" i="1"/>
  <c r="F262" i="1" s="1"/>
  <c r="F103" i="1"/>
  <c r="F272" i="1" s="1"/>
  <c r="E93" i="1"/>
  <c r="M102" i="1"/>
  <c r="M271" i="1" s="1"/>
  <c r="L102" i="1"/>
  <c r="L271" i="1" s="1"/>
  <c r="J102" i="1"/>
  <c r="J271" i="1" s="1"/>
  <c r="I102" i="1"/>
  <c r="I271" i="1" s="1"/>
  <c r="L101" i="1"/>
  <c r="L270" i="1" s="1"/>
  <c r="H101" i="1"/>
  <c r="H270" i="1" s="1"/>
  <c r="F82" i="1"/>
  <c r="F251" i="1" s="1"/>
  <c r="J82" i="1"/>
  <c r="J251" i="1" s="1"/>
  <c r="O82" i="1"/>
  <c r="O251" i="1" s="1"/>
  <c r="E83" i="1"/>
  <c r="E252" i="1" s="1"/>
  <c r="G76" i="1"/>
  <c r="H83" i="1"/>
  <c r="H252" i="1" s="1"/>
  <c r="K83" i="1"/>
  <c r="K252" i="1" s="1"/>
  <c r="M83" i="1"/>
  <c r="M252" i="1" s="1"/>
  <c r="N83" i="1"/>
  <c r="N252" i="1" s="1"/>
  <c r="N291" i="1" s="1"/>
  <c r="F84" i="1"/>
  <c r="F253" i="1" s="1"/>
  <c r="K84" i="1"/>
  <c r="K253" i="1" s="1"/>
  <c r="E85" i="1"/>
  <c r="E254" i="1" s="1"/>
  <c r="J85" i="1"/>
  <c r="J254" i="1" s="1"/>
  <c r="K85" i="1"/>
  <c r="K254" i="1" s="1"/>
  <c r="O85" i="1"/>
  <c r="O254" i="1" s="1"/>
  <c r="D82" i="1"/>
  <c r="D251" i="1" s="1"/>
  <c r="H95" i="1"/>
  <c r="I95" i="1"/>
  <c r="I264" i="1" s="1"/>
  <c r="J95" i="1"/>
  <c r="J264" i="1" s="1"/>
  <c r="K95" i="1"/>
  <c r="L95" i="1"/>
  <c r="M95" i="1"/>
  <c r="M264" i="1" s="1"/>
  <c r="M183" i="1"/>
  <c r="N95" i="1"/>
  <c r="N264" i="1" s="1"/>
  <c r="O95" i="1"/>
  <c r="O264" i="1" s="1"/>
  <c r="D77" i="1"/>
  <c r="D246" i="1" s="1"/>
  <c r="D165" i="1"/>
  <c r="E77" i="1"/>
  <c r="F77" i="1"/>
  <c r="F246" i="1" s="1"/>
  <c r="G77" i="1"/>
  <c r="G246" i="1" s="1"/>
  <c r="G165" i="1"/>
  <c r="H77" i="1"/>
  <c r="H246" i="1" s="1"/>
  <c r="I77" i="1"/>
  <c r="I246" i="1" s="1"/>
  <c r="J77" i="1"/>
  <c r="K77" i="1"/>
  <c r="K246" i="1" s="1"/>
  <c r="L77" i="1"/>
  <c r="L246" i="1" s="1"/>
  <c r="L165" i="1"/>
  <c r="M77" i="1"/>
  <c r="N77" i="1"/>
  <c r="N246" i="1" s="1"/>
  <c r="O77" i="1"/>
  <c r="O246" i="1" s="1"/>
  <c r="O165" i="1"/>
  <c r="O217" i="1"/>
  <c r="N217" i="1"/>
  <c r="M217" i="1"/>
  <c r="L217" i="1"/>
  <c r="K217" i="1"/>
  <c r="J217" i="1"/>
  <c r="I217" i="1"/>
  <c r="H217" i="1"/>
  <c r="G217" i="1"/>
  <c r="F217" i="1"/>
  <c r="E217" i="1"/>
  <c r="D217" i="1"/>
  <c r="O199" i="1"/>
  <c r="N199" i="1"/>
  <c r="M199" i="1"/>
  <c r="L199" i="1"/>
  <c r="K199" i="1"/>
  <c r="J199" i="1"/>
  <c r="I199" i="1"/>
  <c r="H199" i="1"/>
  <c r="G199" i="1"/>
  <c r="F199" i="1"/>
  <c r="E199" i="1"/>
  <c r="D199" i="1"/>
  <c r="O178" i="1"/>
  <c r="N178" i="1"/>
  <c r="M178" i="1"/>
  <c r="L178" i="1"/>
  <c r="K178" i="1"/>
  <c r="J178" i="1"/>
  <c r="I178" i="1"/>
  <c r="H178" i="1"/>
  <c r="G178" i="1"/>
  <c r="F178" i="1"/>
  <c r="E178" i="1"/>
  <c r="D178" i="1"/>
  <c r="O160" i="1"/>
  <c r="N160" i="1"/>
  <c r="M160" i="1"/>
  <c r="L160" i="1"/>
  <c r="K160" i="1"/>
  <c r="J160" i="1"/>
  <c r="I160" i="1"/>
  <c r="H160" i="1"/>
  <c r="G160" i="1"/>
  <c r="F160" i="1"/>
  <c r="E160" i="1"/>
  <c r="D160" i="1"/>
  <c r="D95" i="1"/>
  <c r="E95" i="1"/>
  <c r="F95" i="1"/>
  <c r="F264" i="1" s="1"/>
  <c r="G95" i="1"/>
  <c r="G264" i="1" s="1"/>
  <c r="P76" i="1"/>
  <c r="P245" i="1" s="1"/>
  <c r="O129" i="1"/>
  <c r="N129" i="1"/>
  <c r="M129" i="1"/>
  <c r="L129" i="1"/>
  <c r="K129" i="1"/>
  <c r="J129" i="1"/>
  <c r="I129" i="1"/>
  <c r="H129" i="1"/>
  <c r="G129" i="1"/>
  <c r="F129" i="1"/>
  <c r="E129" i="1"/>
  <c r="D129" i="1"/>
  <c r="N90" i="1"/>
  <c r="O90" i="1"/>
  <c r="D90" i="1"/>
  <c r="E90" i="1"/>
  <c r="F90" i="1"/>
  <c r="G90" i="1"/>
  <c r="O111" i="1"/>
  <c r="N111" i="1"/>
  <c r="M111" i="1"/>
  <c r="L111" i="1"/>
  <c r="K111" i="1"/>
  <c r="J111" i="1"/>
  <c r="I111" i="1"/>
  <c r="H111" i="1"/>
  <c r="G111" i="1"/>
  <c r="F111" i="1"/>
  <c r="E111" i="1"/>
  <c r="D111" i="1"/>
  <c r="H90" i="1"/>
  <c r="I90" i="1"/>
  <c r="J90" i="1"/>
  <c r="K90" i="1"/>
  <c r="L90" i="1"/>
  <c r="M90" i="1"/>
  <c r="E72" i="1"/>
  <c r="F72" i="1"/>
  <c r="G72" i="1"/>
  <c r="H72" i="1"/>
  <c r="I72" i="1"/>
  <c r="J72" i="1"/>
  <c r="K72" i="1"/>
  <c r="L72" i="1"/>
  <c r="M72" i="1"/>
  <c r="N72" i="1"/>
  <c r="O72" i="1"/>
  <c r="D72" i="1"/>
  <c r="P27" i="1"/>
  <c r="D76" i="3" a="1"/>
  <c r="K105" i="3"/>
  <c r="K109" i="3"/>
  <c r="L73" i="3"/>
  <c r="L105" i="3"/>
  <c r="L106" i="3"/>
  <c r="L74" i="3"/>
  <c r="L107" i="3"/>
  <c r="L113" i="3"/>
  <c r="D74" i="3" a="1"/>
  <c r="D105" i="3"/>
  <c r="D107" i="3"/>
  <c r="E105" i="3"/>
  <c r="E107" i="3"/>
  <c r="F105" i="3"/>
  <c r="F107" i="3"/>
  <c r="G105" i="3"/>
  <c r="G107" i="3"/>
  <c r="H105" i="3"/>
  <c r="H107" i="3"/>
  <c r="I105" i="3"/>
  <c r="I107" i="3"/>
  <c r="J105" i="3"/>
  <c r="J107" i="3"/>
  <c r="K107" i="3"/>
  <c r="D75" i="3" a="1"/>
  <c r="D108" i="3"/>
  <c r="E108" i="3"/>
  <c r="F108" i="3"/>
  <c r="G108" i="3"/>
  <c r="H108" i="3"/>
  <c r="I108" i="3"/>
  <c r="J108" i="3"/>
  <c r="K108" i="3"/>
  <c r="L75" i="3"/>
  <c r="L108" i="3"/>
  <c r="D109" i="3"/>
  <c r="E109" i="3"/>
  <c r="F109" i="3"/>
  <c r="G109" i="3"/>
  <c r="H109" i="3"/>
  <c r="I109" i="3"/>
  <c r="J109" i="3"/>
  <c r="L76" i="3"/>
  <c r="L109" i="3"/>
  <c r="D77" i="3" a="1"/>
  <c r="D110" i="3"/>
  <c r="E110" i="3"/>
  <c r="F110" i="3"/>
  <c r="G110" i="3"/>
  <c r="H110" i="3"/>
  <c r="I110" i="3"/>
  <c r="J110" i="3"/>
  <c r="K110" i="3"/>
  <c r="L77" i="3"/>
  <c r="L110" i="3"/>
  <c r="D78" i="3" a="1"/>
  <c r="D111" i="3"/>
  <c r="E111" i="3"/>
  <c r="F111" i="3"/>
  <c r="G111" i="3"/>
  <c r="H111" i="3"/>
  <c r="J111" i="3"/>
  <c r="K111" i="3"/>
  <c r="L78" i="3"/>
  <c r="L111" i="3"/>
  <c r="D79" i="3" a="1"/>
  <c r="D112" i="3"/>
  <c r="E112" i="3"/>
  <c r="F112" i="3"/>
  <c r="G112" i="3"/>
  <c r="H112" i="3"/>
  <c r="J112" i="3"/>
  <c r="K112" i="3"/>
  <c r="L79" i="3"/>
  <c r="L112" i="3"/>
  <c r="D73" i="3" a="1"/>
  <c r="E106" i="3"/>
  <c r="F106" i="3"/>
  <c r="G106" i="3"/>
  <c r="H106" i="3"/>
  <c r="I106" i="3"/>
  <c r="J106" i="3"/>
  <c r="K106" i="3"/>
  <c r="D106" i="3"/>
  <c r="R73" i="3"/>
  <c r="R74" i="3"/>
  <c r="R75" i="3"/>
  <c r="R76" i="3"/>
  <c r="R77" i="3"/>
  <c r="R78" i="3"/>
  <c r="R79" i="3"/>
  <c r="R80" i="3"/>
  <c r="D57" i="3" a="1"/>
  <c r="D90" i="3"/>
  <c r="R84" i="3"/>
  <c r="L57" i="3"/>
  <c r="L90" i="3"/>
  <c r="L62" i="3"/>
  <c r="L95" i="3"/>
  <c r="K90" i="3"/>
  <c r="D62" i="3" a="1"/>
  <c r="K95" i="3"/>
  <c r="J90" i="3"/>
  <c r="J95" i="3"/>
  <c r="I90" i="3"/>
  <c r="I95" i="3"/>
  <c r="H90" i="3"/>
  <c r="H95" i="3"/>
  <c r="G90" i="3"/>
  <c r="G95" i="3"/>
  <c r="F90" i="3"/>
  <c r="F95" i="3"/>
  <c r="E90" i="3"/>
  <c r="E95" i="3"/>
  <c r="D95" i="3"/>
  <c r="L61" i="3"/>
  <c r="L94" i="3"/>
  <c r="D61" i="3" a="1"/>
  <c r="K94" i="3"/>
  <c r="J94" i="3"/>
  <c r="I94" i="3"/>
  <c r="H94" i="3"/>
  <c r="G94" i="3"/>
  <c r="F94" i="3"/>
  <c r="E94" i="3"/>
  <c r="D94" i="3"/>
  <c r="L60" i="3"/>
  <c r="L93" i="3"/>
  <c r="D60" i="3" a="1"/>
  <c r="K93" i="3"/>
  <c r="J93" i="3"/>
  <c r="I93" i="3"/>
  <c r="H93" i="3"/>
  <c r="G93" i="3"/>
  <c r="F93" i="3"/>
  <c r="E93" i="3"/>
  <c r="D93" i="3"/>
  <c r="L59" i="3"/>
  <c r="L92" i="3"/>
  <c r="D59" i="3" a="1"/>
  <c r="K92" i="3"/>
  <c r="J92" i="3"/>
  <c r="I92" i="3"/>
  <c r="H92" i="3"/>
  <c r="G92" i="3"/>
  <c r="F92" i="3"/>
  <c r="E92" i="3"/>
  <c r="D92" i="3"/>
  <c r="L58" i="3"/>
  <c r="L91" i="3"/>
  <c r="D58" i="3" a="1"/>
  <c r="K91" i="3"/>
  <c r="J91" i="3"/>
  <c r="I91" i="3"/>
  <c r="H91" i="3"/>
  <c r="G91" i="3"/>
  <c r="F91" i="3"/>
  <c r="E91" i="3"/>
  <c r="D91" i="3"/>
  <c r="D46" i="3"/>
  <c r="E46" i="3"/>
  <c r="F46" i="3"/>
  <c r="G46" i="3"/>
  <c r="H46" i="3"/>
  <c r="I46" i="3"/>
  <c r="J46" i="3"/>
  <c r="K46" i="3"/>
  <c r="L46" i="3"/>
  <c r="N46" i="3"/>
  <c r="O46" i="3"/>
  <c r="P46" i="3"/>
  <c r="N6" i="5"/>
  <c r="N7" i="5"/>
  <c r="N8" i="5"/>
  <c r="N9" i="5"/>
  <c r="N10" i="5"/>
  <c r="N11" i="5"/>
  <c r="N12" i="5"/>
  <c r="N13" i="5"/>
  <c r="N14" i="5"/>
  <c r="N15" i="5"/>
  <c r="N16" i="5"/>
  <c r="N17" i="5"/>
  <c r="O16" i="5"/>
  <c r="O17" i="5"/>
  <c r="O7" i="5"/>
  <c r="O13" i="5"/>
  <c r="O8" i="5"/>
  <c r="O9" i="5"/>
  <c r="O10" i="5"/>
  <c r="O11" i="5"/>
  <c r="O12" i="5"/>
  <c r="O6" i="5"/>
  <c r="I51" i="5"/>
  <c r="M39" i="5"/>
  <c r="M36" i="5"/>
  <c r="O39" i="5"/>
  <c r="M41" i="5"/>
  <c r="O41" i="5"/>
  <c r="M42" i="5"/>
  <c r="O42" i="5"/>
  <c r="I52" i="5"/>
  <c r="I53" i="5"/>
  <c r="I60" i="5"/>
  <c r="K70" i="5"/>
  <c r="L70" i="5"/>
  <c r="M91" i="3"/>
  <c r="U108" i="3"/>
  <c r="M70" i="5"/>
  <c r="M106" i="3"/>
  <c r="V108" i="3"/>
  <c r="N70" i="5"/>
  <c r="W108" i="3"/>
  <c r="O70" i="5"/>
  <c r="X108" i="3"/>
  <c r="P70" i="5"/>
  <c r="K71" i="5"/>
  <c r="L71" i="5"/>
  <c r="M92" i="3"/>
  <c r="U109" i="3"/>
  <c r="M71" i="5"/>
  <c r="M107" i="3"/>
  <c r="V109" i="3"/>
  <c r="N71" i="5"/>
  <c r="W109" i="3"/>
  <c r="O71" i="5"/>
  <c r="X109" i="3"/>
  <c r="P71" i="5"/>
  <c r="K72" i="5"/>
  <c r="L72" i="5"/>
  <c r="M93" i="3"/>
  <c r="U110" i="3"/>
  <c r="M72" i="5"/>
  <c r="M108" i="3"/>
  <c r="V110" i="3"/>
  <c r="N72" i="5"/>
  <c r="W110" i="3"/>
  <c r="O72" i="5"/>
  <c r="X110" i="3"/>
  <c r="P72" i="5"/>
  <c r="K73" i="5"/>
  <c r="L73" i="5"/>
  <c r="M94" i="3"/>
  <c r="U111" i="3"/>
  <c r="M73" i="5"/>
  <c r="M109" i="3"/>
  <c r="V111" i="3"/>
  <c r="N73" i="5"/>
  <c r="W111" i="3"/>
  <c r="O73" i="5"/>
  <c r="X111" i="3"/>
  <c r="P73" i="5"/>
  <c r="K74" i="5"/>
  <c r="L74" i="5"/>
  <c r="M95" i="3"/>
  <c r="U112" i="3"/>
  <c r="M74" i="5"/>
  <c r="M110" i="3"/>
  <c r="V112" i="3"/>
  <c r="N74" i="5"/>
  <c r="W112" i="3"/>
  <c r="O74" i="5"/>
  <c r="X112" i="3"/>
  <c r="P74" i="5"/>
  <c r="K75" i="5"/>
  <c r="L75" i="5"/>
  <c r="M75" i="5"/>
  <c r="M111" i="3"/>
  <c r="V113" i="3"/>
  <c r="N75" i="5"/>
  <c r="O75" i="5"/>
  <c r="P75" i="5"/>
  <c r="K76" i="5"/>
  <c r="L76" i="5"/>
  <c r="M76" i="5"/>
  <c r="M112" i="3"/>
  <c r="V114" i="3"/>
  <c r="N76" i="5"/>
  <c r="O76" i="5"/>
  <c r="P76" i="5"/>
  <c r="L69" i="5"/>
  <c r="M69" i="5"/>
  <c r="N69" i="5"/>
  <c r="O69" i="5"/>
  <c r="P69" i="5"/>
  <c r="K69" i="5"/>
  <c r="C70" i="5"/>
  <c r="D70" i="5"/>
  <c r="C71" i="5"/>
  <c r="D71" i="5"/>
  <c r="C72" i="5"/>
  <c r="D72" i="5"/>
  <c r="C73" i="5"/>
  <c r="D73" i="5"/>
  <c r="C74" i="5"/>
  <c r="D74" i="5"/>
  <c r="C75" i="5"/>
  <c r="D75" i="5"/>
  <c r="C76" i="5"/>
  <c r="D76" i="5"/>
  <c r="E69" i="5"/>
  <c r="F69" i="5"/>
  <c r="G69" i="5"/>
  <c r="H69" i="5"/>
  <c r="D69" i="5"/>
  <c r="C69" i="5"/>
  <c r="E98" i="3"/>
  <c r="P44" i="1"/>
  <c r="O33" i="1"/>
  <c r="D33" i="1"/>
  <c r="E33" i="1"/>
  <c r="F33" i="1"/>
  <c r="G33" i="1"/>
  <c r="H33" i="1"/>
  <c r="I33" i="1"/>
  <c r="J33" i="1"/>
  <c r="K33" i="1"/>
  <c r="I54" i="5"/>
  <c r="I59" i="5"/>
  <c r="H59" i="5"/>
  <c r="M40" i="5"/>
  <c r="O40" i="5"/>
  <c r="M43" i="5"/>
  <c r="O43" i="5"/>
  <c r="M44" i="5"/>
  <c r="O44" i="5"/>
  <c r="M38" i="5"/>
  <c r="O38" i="5"/>
  <c r="M37" i="5"/>
  <c r="M59" i="3"/>
  <c r="S58" i="3"/>
  <c r="M74" i="3"/>
  <c r="T58" i="3"/>
  <c r="U58" i="3"/>
  <c r="V58" i="3"/>
  <c r="M60" i="3"/>
  <c r="S59" i="3"/>
  <c r="M75" i="3"/>
  <c r="T59" i="3"/>
  <c r="U59" i="3"/>
  <c r="V59" i="3"/>
  <c r="M61" i="3"/>
  <c r="S60" i="3"/>
  <c r="M76" i="3"/>
  <c r="T60" i="3"/>
  <c r="U60" i="3"/>
  <c r="V60" i="3"/>
  <c r="M62" i="3"/>
  <c r="S61" i="3"/>
  <c r="M77" i="3"/>
  <c r="T61" i="3"/>
  <c r="U61" i="3"/>
  <c r="V61" i="3"/>
  <c r="M73" i="3"/>
  <c r="T57" i="3"/>
  <c r="M58" i="3"/>
  <c r="S57" i="3"/>
  <c r="U57" i="3"/>
  <c r="V57" i="3"/>
  <c r="M78" i="3"/>
  <c r="T62" i="3"/>
  <c r="M79" i="3"/>
  <c r="T63" i="3"/>
  <c r="D113" i="3"/>
  <c r="E113" i="3"/>
  <c r="F113" i="3"/>
  <c r="G113" i="3"/>
  <c r="H113" i="3"/>
  <c r="I113" i="3"/>
  <c r="J113" i="3"/>
  <c r="K113" i="3"/>
  <c r="M113" i="3"/>
  <c r="D114" i="3"/>
  <c r="E114" i="3"/>
  <c r="F114" i="3"/>
  <c r="G114" i="3"/>
  <c r="H114" i="3"/>
  <c r="I114" i="3"/>
  <c r="J114" i="3"/>
  <c r="K114" i="3"/>
  <c r="L114" i="3"/>
  <c r="M114" i="3"/>
  <c r="D115" i="3"/>
  <c r="E115" i="3"/>
  <c r="F115" i="3"/>
  <c r="G115" i="3"/>
  <c r="H115" i="3"/>
  <c r="I115" i="3"/>
  <c r="J115" i="3"/>
  <c r="K115" i="3"/>
  <c r="L115" i="3"/>
  <c r="M115" i="3"/>
  <c r="D116" i="3"/>
  <c r="E116" i="3"/>
  <c r="F116" i="3"/>
  <c r="G116" i="3"/>
  <c r="H116" i="3"/>
  <c r="I116" i="3"/>
  <c r="J116" i="3"/>
  <c r="K116" i="3"/>
  <c r="L116" i="3"/>
  <c r="M116" i="3"/>
  <c r="M105" i="3"/>
  <c r="D96" i="3"/>
  <c r="E96" i="3"/>
  <c r="F96" i="3"/>
  <c r="G96" i="3"/>
  <c r="H96" i="3"/>
  <c r="I96" i="3"/>
  <c r="J96" i="3"/>
  <c r="K96" i="3"/>
  <c r="L96" i="3"/>
  <c r="M96" i="3"/>
  <c r="D97" i="3"/>
  <c r="E97" i="3"/>
  <c r="F97" i="3"/>
  <c r="G97" i="3"/>
  <c r="H97" i="3"/>
  <c r="I97" i="3"/>
  <c r="J97" i="3"/>
  <c r="K97" i="3"/>
  <c r="L97" i="3"/>
  <c r="M97" i="3"/>
  <c r="D98" i="3"/>
  <c r="F98" i="3"/>
  <c r="G98" i="3"/>
  <c r="H98" i="3"/>
  <c r="I98" i="3"/>
  <c r="J98" i="3"/>
  <c r="K98" i="3"/>
  <c r="L98" i="3"/>
  <c r="M98" i="3"/>
  <c r="D99" i="3"/>
  <c r="E99" i="3"/>
  <c r="F99" i="3"/>
  <c r="G99" i="3"/>
  <c r="H99" i="3"/>
  <c r="I99" i="3"/>
  <c r="J99" i="3"/>
  <c r="K99" i="3"/>
  <c r="L99" i="3"/>
  <c r="M99" i="3"/>
  <c r="M90" i="3"/>
  <c r="D80" i="3"/>
  <c r="E80" i="3"/>
  <c r="F80" i="3"/>
  <c r="G80" i="3"/>
  <c r="H80" i="3"/>
  <c r="I80" i="3"/>
  <c r="J80" i="3"/>
  <c r="K80" i="3"/>
  <c r="L80" i="3"/>
  <c r="M80" i="3"/>
  <c r="D81" i="3"/>
  <c r="E81" i="3"/>
  <c r="F81" i="3"/>
  <c r="G81" i="3"/>
  <c r="H81" i="3"/>
  <c r="I81" i="3"/>
  <c r="J81" i="3"/>
  <c r="K81" i="3"/>
  <c r="L81" i="3"/>
  <c r="M81" i="3"/>
  <c r="D82" i="3"/>
  <c r="E82" i="3"/>
  <c r="F82" i="3"/>
  <c r="G82" i="3"/>
  <c r="H82" i="3"/>
  <c r="I82" i="3"/>
  <c r="J82" i="3"/>
  <c r="K82" i="3"/>
  <c r="L82" i="3"/>
  <c r="M82" i="3"/>
  <c r="D83" i="3"/>
  <c r="L83" i="3"/>
  <c r="E83" i="3"/>
  <c r="F83" i="3"/>
  <c r="G83" i="3"/>
  <c r="H83" i="3"/>
  <c r="I83" i="3"/>
  <c r="J83" i="3"/>
  <c r="K83" i="3"/>
  <c r="M83" i="3"/>
  <c r="M72" i="3"/>
  <c r="D63" i="3"/>
  <c r="E63" i="3"/>
  <c r="F63" i="3"/>
  <c r="G63" i="3"/>
  <c r="H63" i="3"/>
  <c r="I63" i="3"/>
  <c r="J63" i="3"/>
  <c r="K63" i="3"/>
  <c r="L63" i="3"/>
  <c r="M63" i="3"/>
  <c r="D64" i="3"/>
  <c r="E64" i="3"/>
  <c r="F64" i="3"/>
  <c r="G64" i="3"/>
  <c r="H64" i="3"/>
  <c r="I64" i="3"/>
  <c r="J64" i="3"/>
  <c r="K64" i="3"/>
  <c r="L64" i="3"/>
  <c r="M64" i="3"/>
  <c r="D65" i="3"/>
  <c r="E65" i="3"/>
  <c r="F65" i="3"/>
  <c r="G65" i="3"/>
  <c r="H65" i="3"/>
  <c r="I65" i="3"/>
  <c r="J65" i="3"/>
  <c r="K65" i="3"/>
  <c r="L65" i="3"/>
  <c r="M65" i="3"/>
  <c r="D66" i="3"/>
  <c r="E66" i="3"/>
  <c r="F66" i="3"/>
  <c r="G66" i="3"/>
  <c r="H66" i="3"/>
  <c r="I66" i="3"/>
  <c r="J66" i="3"/>
  <c r="K66" i="3"/>
  <c r="L66" i="3"/>
  <c r="M66" i="3"/>
  <c r="M57" i="3"/>
  <c r="P40" i="3"/>
  <c r="P41" i="3"/>
  <c r="P42" i="3"/>
  <c r="P43" i="3"/>
  <c r="P44" i="3"/>
  <c r="P45" i="3"/>
  <c r="D47" i="3"/>
  <c r="E47" i="3"/>
  <c r="F47" i="3"/>
  <c r="G47" i="3"/>
  <c r="H47" i="3"/>
  <c r="I47" i="3"/>
  <c r="J47" i="3"/>
  <c r="K47" i="3"/>
  <c r="L47" i="3"/>
  <c r="N47" i="3"/>
  <c r="O47" i="3"/>
  <c r="P47" i="3"/>
  <c r="D48" i="3"/>
  <c r="E48" i="3"/>
  <c r="F48" i="3"/>
  <c r="G48" i="3"/>
  <c r="H48" i="3"/>
  <c r="I48" i="3"/>
  <c r="J48" i="3"/>
  <c r="K48" i="3"/>
  <c r="L48" i="3"/>
  <c r="N48" i="3"/>
  <c r="O48" i="3"/>
  <c r="P48" i="3"/>
  <c r="D49" i="3"/>
  <c r="E49" i="3"/>
  <c r="F49" i="3"/>
  <c r="G49" i="3"/>
  <c r="H49" i="3"/>
  <c r="I49" i="3"/>
  <c r="J49" i="3"/>
  <c r="K49" i="3"/>
  <c r="L49" i="3"/>
  <c r="N49" i="3"/>
  <c r="O49" i="3"/>
  <c r="P49" i="3"/>
  <c r="P39" i="3"/>
  <c r="P25" i="3"/>
  <c r="P26" i="3"/>
  <c r="P27" i="3"/>
  <c r="P28" i="3"/>
  <c r="D29" i="3"/>
  <c r="E29" i="3"/>
  <c r="F29" i="3"/>
  <c r="G29" i="3"/>
  <c r="H29" i="3"/>
  <c r="I29" i="3"/>
  <c r="J29" i="3"/>
  <c r="K29" i="3"/>
  <c r="L29" i="3"/>
  <c r="M29" i="3"/>
  <c r="N29" i="3"/>
  <c r="O29" i="3"/>
  <c r="P29" i="3"/>
  <c r="D30" i="3"/>
  <c r="E30" i="3"/>
  <c r="F30" i="3"/>
  <c r="G30" i="3"/>
  <c r="H30" i="3"/>
  <c r="I30" i="3"/>
  <c r="J30" i="3"/>
  <c r="K30" i="3"/>
  <c r="L30" i="3"/>
  <c r="M30" i="3"/>
  <c r="N30" i="3"/>
  <c r="O30" i="3"/>
  <c r="P30" i="3"/>
  <c r="D31" i="3"/>
  <c r="E31" i="3"/>
  <c r="F31" i="3"/>
  <c r="G31" i="3"/>
  <c r="H31" i="3"/>
  <c r="I31" i="3"/>
  <c r="J31" i="3"/>
  <c r="K31" i="3"/>
  <c r="L31" i="3"/>
  <c r="M31" i="3"/>
  <c r="N31" i="3"/>
  <c r="O31" i="3"/>
  <c r="P31" i="3"/>
  <c r="D32" i="3"/>
  <c r="E32" i="3"/>
  <c r="F32" i="3"/>
  <c r="G32" i="3"/>
  <c r="H32" i="3"/>
  <c r="I32" i="3"/>
  <c r="J32" i="3"/>
  <c r="K32" i="3"/>
  <c r="L32" i="3"/>
  <c r="M32" i="3"/>
  <c r="N32" i="3"/>
  <c r="O32" i="3"/>
  <c r="P32" i="3"/>
  <c r="P24" i="3"/>
  <c r="R83" i="3"/>
  <c r="D54" i="1"/>
  <c r="J53" i="1"/>
  <c r="D53" i="1"/>
  <c r="P53" i="1" s="1"/>
  <c r="K52" i="1"/>
  <c r="E53" i="1"/>
  <c r="F53" i="1"/>
  <c r="G53" i="1"/>
  <c r="H53" i="1"/>
  <c r="I53" i="1"/>
  <c r="K53" i="1"/>
  <c r="L53" i="1"/>
  <c r="M53" i="1"/>
  <c r="N53" i="1"/>
  <c r="O53" i="1"/>
  <c r="E54" i="1"/>
  <c r="F54" i="1"/>
  <c r="G54" i="1"/>
  <c r="H54" i="1"/>
  <c r="I54" i="1"/>
  <c r="J54" i="1"/>
  <c r="K54" i="1"/>
  <c r="L54" i="1"/>
  <c r="M54" i="1"/>
  <c r="N54" i="1"/>
  <c r="O54" i="1"/>
  <c r="AK94" i="1"/>
  <c r="AJ94" i="1"/>
  <c r="AI94" i="1"/>
  <c r="AH94" i="1"/>
  <c r="AG94" i="1"/>
  <c r="AF94" i="1"/>
  <c r="AE94" i="1"/>
  <c r="AD94" i="1"/>
  <c r="AC94" i="1"/>
  <c r="AB94" i="1"/>
  <c r="AA94" i="1"/>
  <c r="Z94" i="1"/>
  <c r="AK93" i="1"/>
  <c r="AJ93" i="1"/>
  <c r="AI93" i="1"/>
  <c r="AH93" i="1"/>
  <c r="AG93" i="1"/>
  <c r="AF93" i="1"/>
  <c r="AE93" i="1"/>
  <c r="AD93" i="1"/>
  <c r="AC93" i="1"/>
  <c r="AB93" i="1"/>
  <c r="AA93" i="1"/>
  <c r="Z93" i="1"/>
  <c r="AK92" i="1"/>
  <c r="AJ92" i="1"/>
  <c r="AI92" i="1"/>
  <c r="AH92" i="1"/>
  <c r="AG92" i="1"/>
  <c r="AF92" i="1"/>
  <c r="AE92" i="1"/>
  <c r="AD92" i="1"/>
  <c r="AC92" i="1"/>
  <c r="AB92" i="1"/>
  <c r="AA92" i="1"/>
  <c r="Z92" i="1"/>
  <c r="AL90" i="1"/>
  <c r="AL89" i="1"/>
  <c r="AL88" i="1"/>
  <c r="AL87" i="1"/>
  <c r="AL86" i="1"/>
  <c r="AL85" i="1"/>
  <c r="AL84" i="1"/>
  <c r="AL83" i="1"/>
  <c r="AL82" i="1"/>
  <c r="AK73" i="1"/>
  <c r="AJ73" i="1"/>
  <c r="AI73" i="1"/>
  <c r="AH73" i="1"/>
  <c r="AG73" i="1"/>
  <c r="AF73" i="1"/>
  <c r="AE73" i="1"/>
  <c r="AD73" i="1"/>
  <c r="AC73" i="1"/>
  <c r="AB73" i="1"/>
  <c r="AA73" i="1"/>
  <c r="Z73" i="1"/>
  <c r="AK72" i="1"/>
  <c r="AJ72" i="1"/>
  <c r="AI72" i="1"/>
  <c r="AH72" i="1"/>
  <c r="AG72" i="1"/>
  <c r="AF72" i="1"/>
  <c r="AE72" i="1"/>
  <c r="AD72" i="1"/>
  <c r="AC72" i="1"/>
  <c r="AB72" i="1"/>
  <c r="AA72" i="1"/>
  <c r="Z72" i="1"/>
  <c r="AK71" i="1"/>
  <c r="AJ71" i="1"/>
  <c r="AI71" i="1"/>
  <c r="AH71" i="1"/>
  <c r="AG71" i="1"/>
  <c r="AF71" i="1"/>
  <c r="AE71" i="1"/>
  <c r="AD71" i="1"/>
  <c r="AC71" i="1"/>
  <c r="AB71" i="1"/>
  <c r="AA71" i="1"/>
  <c r="Z71" i="1"/>
  <c r="AL69" i="1"/>
  <c r="AL68" i="1"/>
  <c r="AL67" i="1"/>
  <c r="AL66" i="1"/>
  <c r="AL65" i="1"/>
  <c r="AL64" i="1"/>
  <c r="AL63" i="1"/>
  <c r="AL62" i="1"/>
  <c r="D51" i="1"/>
  <c r="E51" i="1"/>
  <c r="F51" i="1"/>
  <c r="G51" i="1"/>
  <c r="H51" i="1"/>
  <c r="I51" i="1"/>
  <c r="J51" i="1"/>
  <c r="K51" i="1"/>
  <c r="L51" i="1"/>
  <c r="M51" i="1"/>
  <c r="N51" i="1"/>
  <c r="O51" i="1"/>
  <c r="D52" i="1"/>
  <c r="E52" i="1"/>
  <c r="F52" i="1"/>
  <c r="G52" i="1"/>
  <c r="H52" i="1"/>
  <c r="I52" i="1"/>
  <c r="J52" i="1"/>
  <c r="L52" i="1"/>
  <c r="M52" i="1"/>
  <c r="N52" i="1"/>
  <c r="O52" i="1"/>
  <c r="G31" i="1"/>
  <c r="D30" i="1"/>
  <c r="E30" i="1"/>
  <c r="F30" i="1"/>
  <c r="G30" i="1"/>
  <c r="H30" i="1"/>
  <c r="I30" i="1"/>
  <c r="J30" i="1"/>
  <c r="K30" i="1"/>
  <c r="L30" i="1"/>
  <c r="M30" i="1"/>
  <c r="N30" i="1"/>
  <c r="O30" i="1"/>
  <c r="D31" i="1"/>
  <c r="P31" i="1" s="1"/>
  <c r="E31" i="1"/>
  <c r="F31" i="1"/>
  <c r="H31" i="1"/>
  <c r="I31" i="1"/>
  <c r="J31" i="1"/>
  <c r="K31" i="1"/>
  <c r="L31" i="1"/>
  <c r="M31" i="1"/>
  <c r="N31" i="1"/>
  <c r="O31" i="1"/>
  <c r="D32" i="1"/>
  <c r="E32" i="1"/>
  <c r="F32" i="1"/>
  <c r="G32" i="1"/>
  <c r="H32" i="1"/>
  <c r="I32" i="1"/>
  <c r="J32" i="1"/>
  <c r="K32" i="1"/>
  <c r="L32" i="1"/>
  <c r="M32" i="1"/>
  <c r="N32" i="1"/>
  <c r="O32" i="1"/>
  <c r="L33" i="1"/>
  <c r="M33" i="1"/>
  <c r="N33" i="1"/>
  <c r="P23" i="1"/>
  <c r="P48" i="1"/>
  <c r="P43" i="1"/>
  <c r="AK52" i="2"/>
  <c r="AL52" i="2" s="1"/>
  <c r="P50" i="1"/>
  <c r="P49" i="1"/>
  <c r="P47" i="1"/>
  <c r="P46" i="1"/>
  <c r="P45" i="1"/>
  <c r="P24" i="1"/>
  <c r="P25" i="1"/>
  <c r="P26" i="1"/>
  <c r="AK55" i="2" s="1"/>
  <c r="AL55" i="2" s="1"/>
  <c r="P28" i="1"/>
  <c r="AK58" i="2" s="1"/>
  <c r="AL58" i="2" s="1"/>
  <c r="P29" i="1"/>
  <c r="AK59" i="2"/>
  <c r="AL59" i="2" s="1"/>
  <c r="AD14" i="4"/>
  <c r="AH40" i="2"/>
  <c r="AK53" i="2"/>
  <c r="AL53" i="2" s="1"/>
  <c r="L140" i="2" l="1"/>
  <c r="L138" i="2"/>
  <c r="L141" i="2"/>
  <c r="BM45" i="2"/>
  <c r="J111" i="2"/>
  <c r="AL75" i="2"/>
  <c r="F100" i="2"/>
  <c r="H100" i="2"/>
  <c r="M85" i="1"/>
  <c r="M254" i="1" s="1"/>
  <c r="G101" i="1"/>
  <c r="G270" i="1" s="1"/>
  <c r="G136" i="1"/>
  <c r="P79" i="1"/>
  <c r="P248" i="1" s="1"/>
  <c r="AL71" i="1"/>
  <c r="AL72" i="1"/>
  <c r="P77" i="1"/>
  <c r="P246" i="1" s="1"/>
  <c r="H165" i="1"/>
  <c r="O183" i="1"/>
  <c r="I183" i="1"/>
  <c r="O83" i="1"/>
  <c r="O252" i="1" s="1"/>
  <c r="F83" i="1"/>
  <c r="F252" i="1" s="1"/>
  <c r="E82" i="1"/>
  <c r="E251" i="1" s="1"/>
  <c r="L163" i="1"/>
  <c r="G166" i="1"/>
  <c r="M167" i="1"/>
  <c r="M206" i="1" s="1"/>
  <c r="I164" i="1"/>
  <c r="I171" i="1" s="1"/>
  <c r="N186" i="1"/>
  <c r="M187" i="1"/>
  <c r="D104" i="1"/>
  <c r="D273" i="1" s="1"/>
  <c r="G103" i="1"/>
  <c r="G272" i="1" s="1"/>
  <c r="J162" i="1"/>
  <c r="J173" i="1" s="1"/>
  <c r="L181" i="1"/>
  <c r="M180" i="1"/>
  <c r="H180" i="1"/>
  <c r="H189" i="1" s="1"/>
  <c r="M164" i="1"/>
  <c r="L188" i="1"/>
  <c r="M169" i="1"/>
  <c r="K187" i="1"/>
  <c r="N168" i="1"/>
  <c r="P94" i="1"/>
  <c r="P263" i="1" s="1"/>
  <c r="M186" i="1"/>
  <c r="I187" i="1"/>
  <c r="AL91" i="1"/>
  <c r="AK54" i="2"/>
  <c r="AL54" i="2" s="1"/>
  <c r="P51" i="1"/>
  <c r="I186" i="1"/>
  <c r="H187" i="1"/>
  <c r="P52" i="1"/>
  <c r="M101" i="1"/>
  <c r="M270" i="1" s="1"/>
  <c r="M104" i="1"/>
  <c r="M273" i="1" s="1"/>
  <c r="D83" i="1"/>
  <c r="M84" i="1"/>
  <c r="M253" i="1" s="1"/>
  <c r="J83" i="1"/>
  <c r="J252" i="1" s="1"/>
  <c r="L82" i="1"/>
  <c r="L251" i="1" s="1"/>
  <c r="O101" i="1"/>
  <c r="O270" i="1" s="1"/>
  <c r="N104" i="1"/>
  <c r="N273" i="1" s="1"/>
  <c r="F187" i="1"/>
  <c r="O84" i="1"/>
  <c r="O253" i="1" s="1"/>
  <c r="M82" i="1"/>
  <c r="M251" i="1" s="1"/>
  <c r="P32" i="1"/>
  <c r="D85" i="1"/>
  <c r="D254" i="1" s="1"/>
  <c r="I83" i="1"/>
  <c r="I252" i="1" s="1"/>
  <c r="K82" i="1"/>
  <c r="K251" i="1" s="1"/>
  <c r="D102" i="1"/>
  <c r="D271" i="1" s="1"/>
  <c r="I181" i="1"/>
  <c r="P97" i="1"/>
  <c r="P266" i="1" s="1"/>
  <c r="O184" i="1"/>
  <c r="G185" i="1"/>
  <c r="G224" i="1" s="1"/>
  <c r="O164" i="1"/>
  <c r="I168" i="1"/>
  <c r="K264" i="1"/>
  <c r="K183" i="1"/>
  <c r="D262" i="1"/>
  <c r="D103" i="1"/>
  <c r="D101" i="1"/>
  <c r="P93" i="1"/>
  <c r="P262" i="1" s="1"/>
  <c r="D264" i="1"/>
  <c r="P95" i="1"/>
  <c r="P264" i="1" s="1"/>
  <c r="I243" i="1"/>
  <c r="I82" i="1"/>
  <c r="I251" i="1" s="1"/>
  <c r="I162" i="1"/>
  <c r="I85" i="1"/>
  <c r="I254" i="1" s="1"/>
  <c r="AL92" i="1"/>
  <c r="AL93" i="1"/>
  <c r="P54" i="1"/>
  <c r="E262" i="1"/>
  <c r="E101" i="1"/>
  <c r="E270" i="1" s="1"/>
  <c r="E103" i="1"/>
  <c r="E272" i="1" s="1"/>
  <c r="I189" i="1"/>
  <c r="M190" i="1"/>
  <c r="M192" i="1"/>
  <c r="M191" i="1"/>
  <c r="P30" i="1"/>
  <c r="P33" i="1"/>
  <c r="K262" i="1"/>
  <c r="K181" i="1"/>
  <c r="I261" i="1"/>
  <c r="I104" i="1"/>
  <c r="I273" i="1" s="1"/>
  <c r="I101" i="1"/>
  <c r="I270" i="1" s="1"/>
  <c r="F249" i="1"/>
  <c r="J246" i="1"/>
  <c r="J165" i="1"/>
  <c r="G245" i="1"/>
  <c r="G84" i="1"/>
  <c r="G253" i="1" s="1"/>
  <c r="G85" i="1"/>
  <c r="G254" i="1" s="1"/>
  <c r="G83" i="1"/>
  <c r="G252" i="1" s="1"/>
  <c r="J170" i="1"/>
  <c r="O262" i="1"/>
  <c r="O181" i="1"/>
  <c r="J181" i="1"/>
  <c r="N250" i="1"/>
  <c r="I165" i="1"/>
  <c r="F165" i="1"/>
  <c r="F261" i="1"/>
  <c r="Q261" i="1" s="1"/>
  <c r="R261" i="1" s="1"/>
  <c r="F101" i="1"/>
  <c r="F270" i="1" s="1"/>
  <c r="P92" i="1"/>
  <c r="P261" i="1" s="1"/>
  <c r="I244" i="1"/>
  <c r="I84" i="1"/>
  <c r="I253" i="1" s="1"/>
  <c r="I163" i="1"/>
  <c r="N181" i="1"/>
  <c r="H264" i="1"/>
  <c r="H183" i="1"/>
  <c r="N244" i="1"/>
  <c r="N163" i="1"/>
  <c r="N82" i="1"/>
  <c r="N251" i="1" s="1"/>
  <c r="N290" i="1" s="1"/>
  <c r="N84" i="1"/>
  <c r="N253" i="1" s="1"/>
  <c r="N292" i="1" s="1"/>
  <c r="O170" i="1"/>
  <c r="N269" i="1"/>
  <c r="K247" i="1"/>
  <c r="K166" i="1"/>
  <c r="L265" i="1"/>
  <c r="L184" i="1"/>
  <c r="I266" i="1"/>
  <c r="I185" i="1"/>
  <c r="I224" i="1" s="1"/>
  <c r="I136" i="1"/>
  <c r="AL73" i="1"/>
  <c r="P75" i="1"/>
  <c r="P244" i="1" s="1"/>
  <c r="M246" i="1"/>
  <c r="M165" i="1"/>
  <c r="E244" i="1"/>
  <c r="E163" i="1"/>
  <c r="E84" i="1"/>
  <c r="E253" i="1" s="1"/>
  <c r="J244" i="1"/>
  <c r="J84" i="1"/>
  <c r="J253" i="1" s="1"/>
  <c r="G269" i="1"/>
  <c r="F173" i="1"/>
  <c r="H250" i="1"/>
  <c r="H169" i="1"/>
  <c r="AL94" i="1"/>
  <c r="L264" i="1"/>
  <c r="L183" i="1"/>
  <c r="D252" i="1"/>
  <c r="N103" i="1"/>
  <c r="N272" i="1" s="1"/>
  <c r="H263" i="1"/>
  <c r="H102" i="1"/>
  <c r="H271" i="1" s="1"/>
  <c r="H103" i="1"/>
  <c r="H272" i="1" s="1"/>
  <c r="F244" i="1"/>
  <c r="F163" i="1"/>
  <c r="F172" i="1" s="1"/>
  <c r="M189" i="1"/>
  <c r="D244" i="1"/>
  <c r="D163" i="1"/>
  <c r="D84" i="1"/>
  <c r="P78" i="1"/>
  <c r="P247" i="1" s="1"/>
  <c r="O268" i="1"/>
  <c r="M249" i="1"/>
  <c r="D267" i="1"/>
  <c r="P98" i="1"/>
  <c r="P267" i="1" s="1"/>
  <c r="E264" i="1"/>
  <c r="N101" i="1"/>
  <c r="N270" i="1" s="1"/>
  <c r="O103" i="1"/>
  <c r="O272" i="1" s="1"/>
  <c r="G244" i="1"/>
  <c r="G82" i="1"/>
  <c r="G251" i="1" s="1"/>
  <c r="L243" i="1"/>
  <c r="L162" i="1"/>
  <c r="L85" i="1"/>
  <c r="L254" i="1" s="1"/>
  <c r="P99" i="1"/>
  <c r="P268" i="1" s="1"/>
  <c r="L249" i="1"/>
  <c r="N247" i="1"/>
  <c r="N166" i="1"/>
  <c r="F263" i="1"/>
  <c r="F102" i="1"/>
  <c r="F271" i="1" s="1"/>
  <c r="J261" i="1"/>
  <c r="J101" i="1"/>
  <c r="J270" i="1" s="1"/>
  <c r="N263" i="1"/>
  <c r="N102" i="1"/>
  <c r="N271" i="1" s="1"/>
  <c r="E249" i="1"/>
  <c r="F269" i="1"/>
  <c r="N248" i="1"/>
  <c r="N118" i="1"/>
  <c r="H265" i="1"/>
  <c r="K250" i="1"/>
  <c r="O269" i="1"/>
  <c r="F247" i="1"/>
  <c r="O266" i="1"/>
  <c r="O185" i="1"/>
  <c r="O224" i="1" s="1"/>
  <c r="L266" i="1"/>
  <c r="L136" i="1"/>
  <c r="H245" i="1"/>
  <c r="H164" i="1"/>
  <c r="K269" i="1"/>
  <c r="K188" i="1"/>
  <c r="D188" i="1" s="1"/>
  <c r="H267" i="1"/>
  <c r="E269" i="1"/>
  <c r="P100" i="1"/>
  <c r="P269" i="1" s="1"/>
  <c r="I167" i="1"/>
  <c r="I206" i="1" s="1"/>
  <c r="F248" i="1"/>
  <c r="F118" i="1"/>
  <c r="P185" i="1"/>
  <c r="D224" i="1"/>
  <c r="P224" i="1" s="1"/>
  <c r="L245" i="1"/>
  <c r="L164" i="1"/>
  <c r="L83" i="1"/>
  <c r="L252" i="1" s="1"/>
  <c r="J269" i="1"/>
  <c r="J188" i="1"/>
  <c r="F188" i="1" s="1"/>
  <c r="D265" i="1"/>
  <c r="P96" i="1"/>
  <c r="P265" i="1" s="1"/>
  <c r="L248" i="1"/>
  <c r="L167" i="1"/>
  <c r="L206" i="1" s="1"/>
  <c r="K173" i="1"/>
  <c r="F245" i="1"/>
  <c r="F85" i="1"/>
  <c r="F250" i="1"/>
  <c r="F169" i="1"/>
  <c r="L267" i="1"/>
  <c r="L186" i="1"/>
  <c r="AL70" i="1"/>
  <c r="N165" i="1"/>
  <c r="K165" i="1"/>
  <c r="N183" i="1"/>
  <c r="J183" i="1"/>
  <c r="H85" i="1"/>
  <c r="H254" i="1" s="1"/>
  <c r="J263" i="1"/>
  <c r="J104" i="1"/>
  <c r="J273" i="1" s="1"/>
  <c r="J103" i="1"/>
  <c r="J272" i="1" s="1"/>
  <c r="D162" i="1"/>
  <c r="K263" i="1"/>
  <c r="K182" i="1"/>
  <c r="J182" i="1" s="1"/>
  <c r="K103" i="1"/>
  <c r="K272" i="1" s="1"/>
  <c r="L118" i="1"/>
  <c r="O247" i="1"/>
  <c r="O166" i="1"/>
  <c r="L247" i="1"/>
  <c r="E248" i="1"/>
  <c r="E118" i="1"/>
  <c r="N266" i="1"/>
  <c r="N136" i="1"/>
  <c r="K266" i="1"/>
  <c r="K136" i="1"/>
  <c r="I269" i="1"/>
  <c r="AK51" i="2"/>
  <c r="AL51" i="2" s="1"/>
  <c r="E246" i="1"/>
  <c r="E165" i="1"/>
  <c r="H84" i="1"/>
  <c r="H253" i="1" s="1"/>
  <c r="N243" i="1"/>
  <c r="N85" i="1"/>
  <c r="N254" i="1" s="1"/>
  <c r="N293" i="1" s="1"/>
  <c r="O191" i="1"/>
  <c r="O248" i="1"/>
  <c r="O167" i="1"/>
  <c r="O206" i="1" s="1"/>
  <c r="O118" i="1"/>
  <c r="H248" i="1"/>
  <c r="H167" i="1"/>
  <c r="H206" i="1" s="1"/>
  <c r="I265" i="1"/>
  <c r="H186" i="1"/>
  <c r="K267" i="1"/>
  <c r="K186" i="1"/>
  <c r="K249" i="1"/>
  <c r="K168" i="1"/>
  <c r="V151" i="1"/>
  <c r="D100" i="2" s="1"/>
  <c r="C100" i="2"/>
  <c r="J119" i="2" s="1"/>
  <c r="I247" i="2" s="1"/>
  <c r="F104" i="1"/>
  <c r="F273" i="1" s="1"/>
  <c r="H243" i="1"/>
  <c r="H162" i="1"/>
  <c r="H82" i="1"/>
  <c r="H251" i="1" s="1"/>
  <c r="K261" i="1"/>
  <c r="K180" i="1"/>
  <c r="K101" i="1"/>
  <c r="K270" i="1" s="1"/>
  <c r="O263" i="1"/>
  <c r="O104" i="1"/>
  <c r="O273" i="1" s="1"/>
  <c r="O102" i="1"/>
  <c r="O271" i="1" s="1"/>
  <c r="E263" i="1"/>
  <c r="E104" i="1"/>
  <c r="E273" i="1" s="1"/>
  <c r="E102" i="1"/>
  <c r="I118" i="1"/>
  <c r="N172" i="1"/>
  <c r="M269" i="1"/>
  <c r="E250" i="1"/>
  <c r="P81" i="1"/>
  <c r="P250" i="1" s="1"/>
  <c r="J249" i="1"/>
  <c r="J168" i="1"/>
  <c r="D73" i="1" a="1"/>
  <c r="D91" i="1" a="1"/>
  <c r="D249" i="1"/>
  <c r="D168" i="1"/>
  <c r="P80" i="1"/>
  <c r="P249" i="1" s="1"/>
  <c r="D250" i="1"/>
  <c r="D169" i="1"/>
  <c r="D187" i="1"/>
  <c r="L187" i="1"/>
  <c r="O187" i="1"/>
  <c r="J187" i="1"/>
  <c r="K163" i="1"/>
  <c r="K172" i="1" s="1"/>
  <c r="E162" i="1"/>
  <c r="M162" i="1"/>
  <c r="L180" i="1"/>
  <c r="L263" i="1"/>
  <c r="L182" i="1"/>
  <c r="D166" i="1"/>
  <c r="J247" i="1"/>
  <c r="J166" i="1"/>
  <c r="J248" i="1"/>
  <c r="J118" i="1"/>
  <c r="M184" i="1"/>
  <c r="J184" i="1"/>
  <c r="P184" i="1" s="1"/>
  <c r="J266" i="1"/>
  <c r="J185" i="1"/>
  <c r="J224" i="1" s="1"/>
  <c r="I169" i="1"/>
  <c r="G187" i="1"/>
  <c r="O168" i="1"/>
  <c r="H168" i="1"/>
  <c r="D266" i="1"/>
  <c r="D136" i="1"/>
  <c r="L250" i="1"/>
  <c r="L169" i="1"/>
  <c r="J186" i="1"/>
  <c r="K119" i="2" l="1"/>
  <c r="J134" i="2" s="1"/>
  <c r="Q247" i="1"/>
  <c r="R247" i="1" s="1"/>
  <c r="O180" i="1"/>
  <c r="O188" i="1"/>
  <c r="P82" i="1"/>
  <c r="P83" i="1"/>
  <c r="P252" i="1" s="1"/>
  <c r="O172" i="1"/>
  <c r="O171" i="1"/>
  <c r="P165" i="1"/>
  <c r="N188" i="1"/>
  <c r="D182" i="1"/>
  <c r="O173" i="1"/>
  <c r="G180" i="1"/>
  <c r="Q263" i="1"/>
  <c r="R263" i="1" s="1"/>
  <c r="M171" i="1"/>
  <c r="M172" i="1"/>
  <c r="P206" i="1"/>
  <c r="M286" i="1"/>
  <c r="G286" i="1"/>
  <c r="E286" i="1"/>
  <c r="O189" i="1"/>
  <c r="O192" i="1"/>
  <c r="J225" i="1"/>
  <c r="H170" i="1"/>
  <c r="Q265" i="1"/>
  <c r="S265" i="1" s="1"/>
  <c r="L189" i="1"/>
  <c r="L190" i="1"/>
  <c r="L192" i="1"/>
  <c r="L191" i="1"/>
  <c r="L221" i="1"/>
  <c r="E170" i="1"/>
  <c r="L168" i="1"/>
  <c r="F168" i="1"/>
  <c r="M168" i="1"/>
  <c r="E168" i="1"/>
  <c r="G168" i="1"/>
  <c r="P168" i="1"/>
  <c r="G186" i="1"/>
  <c r="G182" i="1"/>
  <c r="F254" i="1"/>
  <c r="P85" i="1"/>
  <c r="P254" i="1" s="1"/>
  <c r="R265" i="1"/>
  <c r="I304" i="1" s="1"/>
  <c r="L172" i="1"/>
  <c r="L173" i="1"/>
  <c r="L171" i="1"/>
  <c r="H173" i="1"/>
  <c r="H171" i="1"/>
  <c r="H203" i="1"/>
  <c r="H172" i="1"/>
  <c r="L170" i="1"/>
  <c r="D253" i="1"/>
  <c r="P84" i="1"/>
  <c r="P253" i="1" s="1"/>
  <c r="E202" i="1"/>
  <c r="S261" i="1"/>
  <c r="I300" i="1" s="1"/>
  <c r="F180" i="1"/>
  <c r="P251" i="1"/>
  <c r="H51" i="5"/>
  <c r="G189" i="1"/>
  <c r="D270" i="1"/>
  <c r="P101" i="1"/>
  <c r="P270" i="1" s="1"/>
  <c r="J286" i="1"/>
  <c r="S269" i="1"/>
  <c r="G308" i="1" s="1"/>
  <c r="P167" i="1"/>
  <c r="Q244" i="1"/>
  <c r="R244" i="1" s="1"/>
  <c r="L223" i="1"/>
  <c r="G183" i="1"/>
  <c r="F183" i="1"/>
  <c r="D183" i="1"/>
  <c r="E183" i="1"/>
  <c r="D180" i="1"/>
  <c r="R264" i="1"/>
  <c r="H303" i="1" s="1"/>
  <c r="D172" i="1"/>
  <c r="P163" i="1"/>
  <c r="L304" i="1"/>
  <c r="G181" i="1"/>
  <c r="E181" i="1"/>
  <c r="J220" i="1"/>
  <c r="P104" i="1"/>
  <c r="P273" i="1" s="1"/>
  <c r="D272" i="1"/>
  <c r="P103" i="1"/>
  <c r="P272" i="1" s="1"/>
  <c r="K220" i="1"/>
  <c r="Q264" i="1"/>
  <c r="S264" i="1" s="1"/>
  <c r="Q262" i="1"/>
  <c r="R262" i="1" s="1"/>
  <c r="F227" i="1"/>
  <c r="D170" i="1"/>
  <c r="D173" i="1"/>
  <c r="P162" i="1"/>
  <c r="O226" i="1"/>
  <c r="Q248" i="1"/>
  <c r="K189" i="1"/>
  <c r="O286" i="1"/>
  <c r="L300" i="1"/>
  <c r="S247" i="1"/>
  <c r="L286" i="1" s="1"/>
  <c r="G164" i="1"/>
  <c r="Q266" i="1"/>
  <c r="D181" i="1"/>
  <c r="N169" i="1"/>
  <c r="O169" i="1"/>
  <c r="F181" i="1"/>
  <c r="E173" i="1"/>
  <c r="N170" i="1"/>
  <c r="E188" i="1"/>
  <c r="Q246" i="1"/>
  <c r="K205" i="1"/>
  <c r="I172" i="1"/>
  <c r="K222" i="1"/>
  <c r="K170" i="1"/>
  <c r="Q249" i="1"/>
  <c r="R249" i="1" s="1"/>
  <c r="D192" i="1"/>
  <c r="D190" i="1"/>
  <c r="P166" i="1"/>
  <c r="P136" i="1"/>
  <c r="Q269" i="1"/>
  <c r="R269" i="1" s="1"/>
  <c r="P187" i="1"/>
  <c r="N300" i="1"/>
  <c r="E186" i="1"/>
  <c r="H225" i="1"/>
  <c r="D186" i="1"/>
  <c r="E172" i="1"/>
  <c r="Q267" i="1"/>
  <c r="S267" i="1" s="1"/>
  <c r="N191" i="1"/>
  <c r="L222" i="1"/>
  <c r="E180" i="1"/>
  <c r="I173" i="1"/>
  <c r="I170" i="1"/>
  <c r="K207" i="1"/>
  <c r="Q245" i="1"/>
  <c r="J190" i="1"/>
  <c r="J191" i="1"/>
  <c r="J192" i="1"/>
  <c r="G260" i="1"/>
  <c r="O260" i="1"/>
  <c r="H260" i="1"/>
  <c r="J260" i="1"/>
  <c r="I260" i="1"/>
  <c r="K260" i="1"/>
  <c r="L260" i="1"/>
  <c r="M260" i="1"/>
  <c r="N260" i="1"/>
  <c r="F260" i="1"/>
  <c r="E260" i="1"/>
  <c r="G130" i="1"/>
  <c r="G226" i="1" s="1"/>
  <c r="E130" i="1"/>
  <c r="M130" i="1"/>
  <c r="N130" i="1"/>
  <c r="N222" i="1" s="1"/>
  <c r="K130" i="1"/>
  <c r="K219" i="1" s="1"/>
  <c r="H130" i="1"/>
  <c r="H222" i="1" s="1"/>
  <c r="O130" i="1"/>
  <c r="O220" i="1" s="1"/>
  <c r="F179" i="1"/>
  <c r="F218" i="1" s="1"/>
  <c r="N179" i="1"/>
  <c r="N218" i="1" s="1"/>
  <c r="G179" i="1"/>
  <c r="G218" i="1" s="1"/>
  <c r="O179" i="1"/>
  <c r="O218" i="1" s="1"/>
  <c r="I130" i="1"/>
  <c r="H179" i="1"/>
  <c r="H218" i="1" s="1"/>
  <c r="J130" i="1"/>
  <c r="J223" i="1" s="1"/>
  <c r="F130" i="1"/>
  <c r="L179" i="1"/>
  <c r="L218" i="1" s="1"/>
  <c r="I179" i="1"/>
  <c r="I218" i="1" s="1"/>
  <c r="J179" i="1"/>
  <c r="J218" i="1" s="1"/>
  <c r="P91" i="1"/>
  <c r="P260" i="1" s="1"/>
  <c r="K179" i="1"/>
  <c r="K218" i="1" s="1"/>
  <c r="M179" i="1"/>
  <c r="M218" i="1" s="1"/>
  <c r="L130" i="1"/>
  <c r="L219" i="1" s="1"/>
  <c r="E179" i="1"/>
  <c r="E218" i="1" s="1"/>
  <c r="N286" i="1"/>
  <c r="I242" i="1"/>
  <c r="L242" i="1"/>
  <c r="F242" i="1"/>
  <c r="J242" i="1"/>
  <c r="M242" i="1"/>
  <c r="K242" i="1"/>
  <c r="E242" i="1"/>
  <c r="N242" i="1"/>
  <c r="H242" i="1"/>
  <c r="G242" i="1"/>
  <c r="O242" i="1"/>
  <c r="E112" i="1"/>
  <c r="E201" i="1" s="1"/>
  <c r="E209" i="1" s="1"/>
  <c r="M112" i="1"/>
  <c r="M201" i="1" s="1"/>
  <c r="H112" i="1"/>
  <c r="H201" i="1" s="1"/>
  <c r="I112" i="1"/>
  <c r="I208" i="1" s="1"/>
  <c r="J112" i="1"/>
  <c r="J205" i="1" s="1"/>
  <c r="N112" i="1"/>
  <c r="N205" i="1" s="1"/>
  <c r="L112" i="1"/>
  <c r="J161" i="1"/>
  <c r="J200" i="1" s="1"/>
  <c r="K161" i="1"/>
  <c r="K200" i="1" s="1"/>
  <c r="K112" i="1"/>
  <c r="K204" i="1" s="1"/>
  <c r="L161" i="1"/>
  <c r="L200" i="1" s="1"/>
  <c r="F112" i="1"/>
  <c r="F204" i="1" s="1"/>
  <c r="O112" i="1"/>
  <c r="O205" i="1" s="1"/>
  <c r="H161" i="1"/>
  <c r="H200" i="1" s="1"/>
  <c r="M161" i="1"/>
  <c r="M200" i="1" s="1"/>
  <c r="P73" i="1"/>
  <c r="P242" i="1" s="1"/>
  <c r="N161" i="1"/>
  <c r="N200" i="1" s="1"/>
  <c r="O161" i="1"/>
  <c r="O200" i="1" s="1"/>
  <c r="E161" i="1"/>
  <c r="E200" i="1" s="1"/>
  <c r="F161" i="1"/>
  <c r="F200" i="1" s="1"/>
  <c r="G112" i="1"/>
  <c r="G161" i="1"/>
  <c r="G200" i="1" s="1"/>
  <c r="I161" i="1"/>
  <c r="I200" i="1" s="1"/>
  <c r="E271" i="1"/>
  <c r="P102" i="1"/>
  <c r="P271" i="1" s="1"/>
  <c r="K225" i="1"/>
  <c r="Q243" i="1"/>
  <c r="R267" i="1"/>
  <c r="L306" i="1" s="1"/>
  <c r="M170" i="1"/>
  <c r="M173" i="1"/>
  <c r="Q250" i="1"/>
  <c r="R250" i="1" s="1"/>
  <c r="P118" i="1"/>
  <c r="Q268" i="1"/>
  <c r="S268" i="1" s="1"/>
  <c r="G188" i="1"/>
  <c r="K190" i="1"/>
  <c r="K192" i="1"/>
  <c r="H182" i="1"/>
  <c r="K191" i="1"/>
  <c r="I182" i="1"/>
  <c r="K221" i="1"/>
  <c r="F182" i="1"/>
  <c r="P182" i="1" s="1"/>
  <c r="F286" i="1"/>
  <c r="J189" i="1"/>
  <c r="H208" i="1"/>
  <c r="K286" i="1"/>
  <c r="F170" i="1"/>
  <c r="N180" i="1"/>
  <c r="E302" i="1" l="1"/>
  <c r="E312" i="1" s="1"/>
  <c r="L302" i="1"/>
  <c r="K302" i="1"/>
  <c r="J302" i="1"/>
  <c r="F302" i="1"/>
  <c r="F312" i="1" s="1"/>
  <c r="S249" i="1"/>
  <c r="E288" i="1" s="1"/>
  <c r="L226" i="1"/>
  <c r="F220" i="1"/>
  <c r="J226" i="1"/>
  <c r="E225" i="1"/>
  <c r="H304" i="1"/>
  <c r="S244" i="1"/>
  <c r="J283" i="1" s="1"/>
  <c r="S263" i="1"/>
  <c r="N302" i="1" s="1"/>
  <c r="J207" i="1"/>
  <c r="J227" i="1"/>
  <c r="G227" i="1"/>
  <c r="K228" i="1"/>
  <c r="J221" i="1"/>
  <c r="J229" i="1" s="1"/>
  <c r="K227" i="1"/>
  <c r="N308" i="1"/>
  <c r="P170" i="1"/>
  <c r="G225" i="1"/>
  <c r="L120" i="1"/>
  <c r="L202" i="1"/>
  <c r="L116" i="1"/>
  <c r="L113" i="1"/>
  <c r="L114" i="1"/>
  <c r="L115" i="1"/>
  <c r="L205" i="1"/>
  <c r="L119" i="1"/>
  <c r="L204" i="1"/>
  <c r="L117" i="1"/>
  <c r="N131" i="1"/>
  <c r="N140" i="1" s="1"/>
  <c r="N138" i="1"/>
  <c r="N134" i="1"/>
  <c r="N135" i="1"/>
  <c r="N133" i="1"/>
  <c r="N221" i="1"/>
  <c r="N226" i="1"/>
  <c r="N223" i="1"/>
  <c r="N139" i="1"/>
  <c r="N132" i="1"/>
  <c r="I308" i="1"/>
  <c r="H306" i="1"/>
  <c r="P181" i="1"/>
  <c r="R248" i="1"/>
  <c r="S248" i="1"/>
  <c r="D303" i="1"/>
  <c r="P172" i="1"/>
  <c r="G222" i="1"/>
  <c r="O308" i="1"/>
  <c r="G300" i="1"/>
  <c r="O300" i="1"/>
  <c r="D300" i="1"/>
  <c r="H300" i="1"/>
  <c r="E300" i="1"/>
  <c r="L203" i="1"/>
  <c r="N227" i="1"/>
  <c r="L207" i="1"/>
  <c r="D286" i="1"/>
  <c r="G119" i="1"/>
  <c r="G120" i="1"/>
  <c r="G117" i="1"/>
  <c r="G113" i="1"/>
  <c r="G115" i="1"/>
  <c r="G116" i="1"/>
  <c r="G201" i="1"/>
  <c r="G204" i="1"/>
  <c r="G208" i="1"/>
  <c r="G202" i="1"/>
  <c r="G205" i="1"/>
  <c r="G114" i="1"/>
  <c r="E219" i="1"/>
  <c r="E189" i="1"/>
  <c r="E192" i="1"/>
  <c r="P192" i="1" s="1"/>
  <c r="M304" i="1"/>
  <c r="J304" i="1"/>
  <c r="K304" i="1"/>
  <c r="N304" i="1"/>
  <c r="F304" i="1"/>
  <c r="O304" i="1"/>
  <c r="G304" i="1"/>
  <c r="E304" i="1"/>
  <c r="K230" i="1"/>
  <c r="K229" i="1"/>
  <c r="K231" i="1"/>
  <c r="F202" i="1"/>
  <c r="E227" i="1"/>
  <c r="S266" i="1"/>
  <c r="R266" i="1"/>
  <c r="E308" i="1"/>
  <c r="G303" i="1"/>
  <c r="M303" i="1"/>
  <c r="N303" i="1"/>
  <c r="I303" i="1"/>
  <c r="F303" i="1"/>
  <c r="J303" i="1"/>
  <c r="O303" i="1"/>
  <c r="H212" i="1"/>
  <c r="H210" i="1"/>
  <c r="L228" i="1"/>
  <c r="J230" i="1"/>
  <c r="G207" i="1"/>
  <c r="H286" i="1"/>
  <c r="F191" i="1"/>
  <c r="F221" i="1"/>
  <c r="F192" i="1"/>
  <c r="F190" i="1"/>
  <c r="O119" i="1"/>
  <c r="O202" i="1"/>
  <c r="O120" i="1"/>
  <c r="O117" i="1"/>
  <c r="O114" i="1"/>
  <c r="O203" i="1"/>
  <c r="O115" i="1"/>
  <c r="O113" i="1"/>
  <c r="O116" i="1"/>
  <c r="O201" i="1"/>
  <c r="O209" i="1" s="1"/>
  <c r="O204" i="1"/>
  <c r="M137" i="1"/>
  <c r="M222" i="1"/>
  <c r="M138" i="1"/>
  <c r="M220" i="1"/>
  <c r="M226" i="1"/>
  <c r="M135" i="1"/>
  <c r="M225" i="1"/>
  <c r="M134" i="1"/>
  <c r="M133" i="1"/>
  <c r="M131" i="1"/>
  <c r="M132" i="1"/>
  <c r="M227" i="1"/>
  <c r="M221" i="1"/>
  <c r="M139" i="1"/>
  <c r="M219" i="1"/>
  <c r="M228" i="1" s="1"/>
  <c r="K306" i="1"/>
  <c r="N202" i="1"/>
  <c r="J120" i="1"/>
  <c r="J117" i="1"/>
  <c r="J201" i="1"/>
  <c r="J203" i="1"/>
  <c r="J115" i="1"/>
  <c r="J208" i="1"/>
  <c r="J202" i="1"/>
  <c r="J114" i="1"/>
  <c r="J113" i="1"/>
  <c r="J116" i="1"/>
  <c r="J119" i="1"/>
  <c r="R243" i="1"/>
  <c r="S243" i="1"/>
  <c r="I119" i="1"/>
  <c r="I203" i="1"/>
  <c r="I120" i="1"/>
  <c r="I115" i="1"/>
  <c r="I116" i="1"/>
  <c r="I113" i="1"/>
  <c r="I117" i="1"/>
  <c r="I114" i="1"/>
  <c r="I207" i="1"/>
  <c r="I205" i="1"/>
  <c r="J308" i="1"/>
  <c r="F310" i="1"/>
  <c r="F208" i="1"/>
  <c r="L283" i="1"/>
  <c r="M283" i="1"/>
  <c r="H283" i="1"/>
  <c r="O283" i="1"/>
  <c r="K283" i="1"/>
  <c r="D189" i="1"/>
  <c r="P180" i="1"/>
  <c r="L303" i="1"/>
  <c r="H119" i="1"/>
  <c r="H205" i="1"/>
  <c r="H202" i="1"/>
  <c r="H209" i="1" s="1"/>
  <c r="H113" i="1"/>
  <c r="H121" i="1" s="1"/>
  <c r="H114" i="1"/>
  <c r="H204" i="1"/>
  <c r="H117" i="1"/>
  <c r="H116" i="1"/>
  <c r="H115" i="1"/>
  <c r="H120" i="1"/>
  <c r="D260" i="1"/>
  <c r="D130" i="1"/>
  <c r="D219" i="1" s="1"/>
  <c r="D179" i="1"/>
  <c r="O207" i="1"/>
  <c r="J204" i="1"/>
  <c r="N220" i="1"/>
  <c r="E222" i="1"/>
  <c r="D283" i="1"/>
  <c r="E283" i="1"/>
  <c r="J310" i="1"/>
  <c r="K303" i="1"/>
  <c r="M114" i="1"/>
  <c r="M117" i="1"/>
  <c r="M205" i="1"/>
  <c r="M120" i="1"/>
  <c r="M203" i="1"/>
  <c r="M202" i="1"/>
  <c r="M209" i="1" s="1"/>
  <c r="M113" i="1"/>
  <c r="M115" i="1"/>
  <c r="M116" i="1"/>
  <c r="M208" i="1"/>
  <c r="M119" i="1"/>
  <c r="L220" i="1"/>
  <c r="L230" i="1" s="1"/>
  <c r="L227" i="1"/>
  <c r="L139" i="1"/>
  <c r="L131" i="1"/>
  <c r="L140" i="1" s="1"/>
  <c r="L133" i="1"/>
  <c r="L132" i="1"/>
  <c r="L134" i="1"/>
  <c r="L138" i="1"/>
  <c r="L137" i="1"/>
  <c r="L135" i="1"/>
  <c r="J135" i="1"/>
  <c r="J137" i="1"/>
  <c r="J219" i="1"/>
  <c r="J228" i="1" s="1"/>
  <c r="J133" i="1"/>
  <c r="J131" i="1"/>
  <c r="J134" i="1"/>
  <c r="J132" i="1"/>
  <c r="J139" i="1"/>
  <c r="J138" i="1"/>
  <c r="O135" i="1"/>
  <c r="O221" i="1"/>
  <c r="O133" i="1"/>
  <c r="O225" i="1"/>
  <c r="O137" i="1"/>
  <c r="O131" i="1"/>
  <c r="O223" i="1"/>
  <c r="O139" i="1"/>
  <c r="O132" i="1"/>
  <c r="O138" i="1"/>
  <c r="O222" i="1"/>
  <c r="O134" i="1"/>
  <c r="S245" i="1"/>
  <c r="R245" i="1"/>
  <c r="L312" i="1"/>
  <c r="L310" i="1"/>
  <c r="D306" i="1"/>
  <c r="N204" i="1"/>
  <c r="S250" i="1"/>
  <c r="L289" i="1" s="1"/>
  <c r="G288" i="1"/>
  <c r="L288" i="1"/>
  <c r="O208" i="1"/>
  <c r="G283" i="1"/>
  <c r="G301" i="1"/>
  <c r="H301" i="1"/>
  <c r="M204" i="1"/>
  <c r="E191" i="1"/>
  <c r="E220" i="1"/>
  <c r="L225" i="1"/>
  <c r="E303" i="1"/>
  <c r="E207" i="1"/>
  <c r="D304" i="1"/>
  <c r="O219" i="1"/>
  <c r="O228" i="1" s="1"/>
  <c r="I286" i="1"/>
  <c r="I306" i="1"/>
  <c r="O306" i="1"/>
  <c r="N306" i="1"/>
  <c r="E306" i="1"/>
  <c r="J306" i="1"/>
  <c r="F306" i="1"/>
  <c r="M306" i="1"/>
  <c r="G306" i="1"/>
  <c r="F120" i="1"/>
  <c r="F114" i="1"/>
  <c r="F116" i="1"/>
  <c r="F115" i="1"/>
  <c r="F203" i="1"/>
  <c r="F113" i="1"/>
  <c r="F117" i="1"/>
  <c r="F201" i="1"/>
  <c r="F119" i="1"/>
  <c r="F205" i="1"/>
  <c r="E137" i="1"/>
  <c r="E226" i="1"/>
  <c r="E139" i="1"/>
  <c r="E135" i="1"/>
  <c r="E221" i="1"/>
  <c r="E138" i="1"/>
  <c r="E133" i="1"/>
  <c r="E131" i="1"/>
  <c r="E140" i="1" s="1"/>
  <c r="E134" i="1"/>
  <c r="E132" i="1"/>
  <c r="E223" i="1"/>
  <c r="I221" i="1"/>
  <c r="I190" i="1"/>
  <c r="I191" i="1"/>
  <c r="I192" i="1"/>
  <c r="J289" i="1"/>
  <c r="G289" i="1"/>
  <c r="O289" i="1"/>
  <c r="M289" i="1"/>
  <c r="G135" i="1"/>
  <c r="G223" i="1"/>
  <c r="G133" i="1"/>
  <c r="G131" i="1"/>
  <c r="G140" i="1" s="1"/>
  <c r="G134" i="1"/>
  <c r="G132" i="1"/>
  <c r="G138" i="1"/>
  <c r="G139" i="1"/>
  <c r="G137" i="1"/>
  <c r="L308" i="1"/>
  <c r="D308" i="1"/>
  <c r="H308" i="1"/>
  <c r="M308" i="1"/>
  <c r="G172" i="1"/>
  <c r="G171" i="1"/>
  <c r="P171" i="1" s="1"/>
  <c r="G173" i="1"/>
  <c r="P173" i="1" s="1"/>
  <c r="P164" i="1"/>
  <c r="G203" i="1"/>
  <c r="L229" i="1"/>
  <c r="L231" i="1"/>
  <c r="N283" i="1"/>
  <c r="D289" i="1"/>
  <c r="K116" i="1"/>
  <c r="K201" i="1"/>
  <c r="K113" i="1"/>
  <c r="K203" i="1"/>
  <c r="K114" i="1"/>
  <c r="K115" i="1"/>
  <c r="K117" i="1"/>
  <c r="K119" i="1"/>
  <c r="K120" i="1"/>
  <c r="K208" i="1"/>
  <c r="F137" i="1"/>
  <c r="F223" i="1"/>
  <c r="F135" i="1"/>
  <c r="F132" i="1"/>
  <c r="F138" i="1"/>
  <c r="F133" i="1"/>
  <c r="F134" i="1"/>
  <c r="F226" i="1"/>
  <c r="F139" i="1"/>
  <c r="F225" i="1"/>
  <c r="F131" i="1"/>
  <c r="F283" i="1"/>
  <c r="H192" i="1"/>
  <c r="H191" i="1"/>
  <c r="H221" i="1"/>
  <c r="H190" i="1"/>
  <c r="P190" i="1" s="1"/>
  <c r="N189" i="1"/>
  <c r="N219" i="1"/>
  <c r="N228" i="1" s="1"/>
  <c r="N192" i="1"/>
  <c r="D242" i="1"/>
  <c r="D112" i="1"/>
  <c r="D161" i="1"/>
  <c r="E120" i="1"/>
  <c r="E116" i="1"/>
  <c r="E203" i="1"/>
  <c r="E115" i="1"/>
  <c r="E117" i="1"/>
  <c r="E113" i="1"/>
  <c r="E114" i="1"/>
  <c r="E205" i="1"/>
  <c r="E119" i="1"/>
  <c r="E208" i="1"/>
  <c r="H139" i="1"/>
  <c r="H138" i="1"/>
  <c r="H219" i="1"/>
  <c r="H227" i="1"/>
  <c r="H131" i="1"/>
  <c r="H133" i="1"/>
  <c r="H220" i="1"/>
  <c r="H132" i="1"/>
  <c r="H223" i="1"/>
  <c r="H137" i="1"/>
  <c r="H135" i="1"/>
  <c r="H134" i="1"/>
  <c r="H226" i="1"/>
  <c r="L208" i="1"/>
  <c r="O227" i="1"/>
  <c r="J222" i="1"/>
  <c r="M223" i="1"/>
  <c r="I204" i="1"/>
  <c r="R246" i="1"/>
  <c r="S246" i="1"/>
  <c r="N208" i="1"/>
  <c r="F308" i="1"/>
  <c r="G220" i="1"/>
  <c r="K288" i="1"/>
  <c r="P183" i="1"/>
  <c r="J300" i="1"/>
  <c r="S262" i="1"/>
  <c r="L301" i="1" s="1"/>
  <c r="L201" i="1"/>
  <c r="L209" i="1" s="1"/>
  <c r="G192" i="1"/>
  <c r="G191" i="1"/>
  <c r="G190" i="1"/>
  <c r="G221" i="1"/>
  <c r="M207" i="1"/>
  <c r="N207" i="1"/>
  <c r="N115" i="1"/>
  <c r="N116" i="1"/>
  <c r="N119" i="1"/>
  <c r="N203" i="1"/>
  <c r="N113" i="1"/>
  <c r="N114" i="1"/>
  <c r="N201" i="1"/>
  <c r="N117" i="1"/>
  <c r="N120" i="1"/>
  <c r="K308" i="1"/>
  <c r="F289" i="1"/>
  <c r="I137" i="1"/>
  <c r="I133" i="1"/>
  <c r="I134" i="1"/>
  <c r="F73" i="5" s="1"/>
  <c r="I225" i="1"/>
  <c r="I138" i="1"/>
  <c r="F76" i="5" s="1"/>
  <c r="I220" i="1"/>
  <c r="I132" i="1"/>
  <c r="F71" i="5" s="1"/>
  <c r="I222" i="1"/>
  <c r="I227" i="1"/>
  <c r="I135" i="1"/>
  <c r="F74" i="5" s="1"/>
  <c r="I219" i="1"/>
  <c r="I223" i="1"/>
  <c r="I139" i="1"/>
  <c r="I131" i="1"/>
  <c r="I226" i="1"/>
  <c r="K137" i="1"/>
  <c r="K226" i="1"/>
  <c r="K133" i="1"/>
  <c r="K131" i="1"/>
  <c r="K140" i="1" s="1"/>
  <c r="K138" i="1"/>
  <c r="K134" i="1"/>
  <c r="K223" i="1"/>
  <c r="K132" i="1"/>
  <c r="K139" i="1"/>
  <c r="K135" i="1"/>
  <c r="H207" i="1"/>
  <c r="I201" i="1"/>
  <c r="I209" i="1" s="1"/>
  <c r="R268" i="1"/>
  <c r="D225" i="1"/>
  <c r="P225" i="1" s="1"/>
  <c r="V162" i="1" s="1"/>
  <c r="P186" i="1"/>
  <c r="K300" i="1"/>
  <c r="P188" i="1"/>
  <c r="D191" i="1"/>
  <c r="K202" i="1"/>
  <c r="I202" i="1"/>
  <c r="P169" i="1"/>
  <c r="E204" i="1"/>
  <c r="E289" i="1"/>
  <c r="F300" i="1"/>
  <c r="F222" i="1"/>
  <c r="G219" i="1"/>
  <c r="F189" i="1"/>
  <c r="F219" i="1"/>
  <c r="F228" i="1" s="1"/>
  <c r="F207" i="1"/>
  <c r="M300" i="1"/>
  <c r="D302" i="1"/>
  <c r="M302" i="1"/>
  <c r="I302" i="1"/>
  <c r="G302" i="1"/>
  <c r="N310" i="1" l="1"/>
  <c r="N312" i="1"/>
  <c r="O288" i="1"/>
  <c r="J121" i="1"/>
  <c r="K121" i="1"/>
  <c r="F209" i="1"/>
  <c r="I288" i="1"/>
  <c r="N288" i="1"/>
  <c r="P288" i="1" s="1"/>
  <c r="H289" i="1"/>
  <c r="O302" i="1"/>
  <c r="O310" i="1" s="1"/>
  <c r="D288" i="1"/>
  <c r="F288" i="1"/>
  <c r="J288" i="1"/>
  <c r="H288" i="1"/>
  <c r="J140" i="1"/>
  <c r="M288" i="1"/>
  <c r="E310" i="1"/>
  <c r="H302" i="1"/>
  <c r="H311" i="1" s="1"/>
  <c r="I283" i="1"/>
  <c r="K289" i="1"/>
  <c r="I289" i="1"/>
  <c r="L121" i="1"/>
  <c r="L309" i="1"/>
  <c r="L311" i="1"/>
  <c r="N211" i="1"/>
  <c r="N212" i="1"/>
  <c r="N210" i="1"/>
  <c r="F123" i="1"/>
  <c r="F124" i="1"/>
  <c r="F122" i="1"/>
  <c r="D228" i="1"/>
  <c r="P219" i="1"/>
  <c r="V157" i="1" s="1"/>
  <c r="E75" i="5"/>
  <c r="G121" i="1"/>
  <c r="G287" i="1"/>
  <c r="G326" i="1" s="1"/>
  <c r="I287" i="1"/>
  <c r="I326" i="1" s="1"/>
  <c r="M287" i="1"/>
  <c r="M326" i="1" s="1"/>
  <c r="D287" i="1"/>
  <c r="K287" i="1"/>
  <c r="K326" i="1" s="1"/>
  <c r="H287" i="1"/>
  <c r="H326" i="1" s="1"/>
  <c r="J287" i="1"/>
  <c r="J326" i="1" s="1"/>
  <c r="L287" i="1"/>
  <c r="L326" i="1" s="1"/>
  <c r="N287" i="1"/>
  <c r="N326" i="1" s="1"/>
  <c r="O287" i="1"/>
  <c r="O326" i="1" s="1"/>
  <c r="E287" i="1"/>
  <c r="E326" i="1" s="1"/>
  <c r="F287" i="1"/>
  <c r="F326" i="1" s="1"/>
  <c r="F70" i="5"/>
  <c r="I140" i="1"/>
  <c r="P306" i="1"/>
  <c r="M142" i="1"/>
  <c r="M143" i="1"/>
  <c r="M141" i="1"/>
  <c r="I307" i="1"/>
  <c r="D307" i="1"/>
  <c r="E307" i="1"/>
  <c r="L307" i="1"/>
  <c r="N307" i="1"/>
  <c r="G307" i="1"/>
  <c r="J307" i="1"/>
  <c r="F307" i="1"/>
  <c r="M307" i="1"/>
  <c r="H307" i="1"/>
  <c r="K307" i="1"/>
  <c r="O307" i="1"/>
  <c r="D301" i="1"/>
  <c r="E123" i="1"/>
  <c r="E124" i="1"/>
  <c r="E122" i="1"/>
  <c r="K209" i="1"/>
  <c r="G210" i="1"/>
  <c r="G212" i="1"/>
  <c r="G211" i="1"/>
  <c r="P308" i="1"/>
  <c r="G143" i="1"/>
  <c r="G141" i="1"/>
  <c r="G142" i="1"/>
  <c r="I301" i="1"/>
  <c r="I309" i="1" s="1"/>
  <c r="O143" i="1"/>
  <c r="O142" i="1"/>
  <c r="O141" i="1"/>
  <c r="J142" i="1"/>
  <c r="J143" i="1"/>
  <c r="J141" i="1"/>
  <c r="P283" i="1"/>
  <c r="P179" i="1"/>
  <c r="D218" i="1"/>
  <c r="P218" i="1" s="1"/>
  <c r="W144" i="1"/>
  <c r="E71" i="5"/>
  <c r="L210" i="1"/>
  <c r="L211" i="1"/>
  <c r="L212" i="1"/>
  <c r="G309" i="1"/>
  <c r="O231" i="1"/>
  <c r="O229" i="1"/>
  <c r="O230" i="1"/>
  <c r="L141" i="1"/>
  <c r="L143" i="1"/>
  <c r="L142" i="1"/>
  <c r="D139" i="1"/>
  <c r="P139" i="1" s="1"/>
  <c r="D131" i="1"/>
  <c r="D138" i="1"/>
  <c r="P138" i="1" s="1"/>
  <c r="D133" i="1"/>
  <c r="D135" i="1"/>
  <c r="P135" i="1" s="1"/>
  <c r="P130" i="1"/>
  <c r="D223" i="1"/>
  <c r="P223" i="1" s="1"/>
  <c r="V161" i="1" s="1"/>
  <c r="D137" i="1"/>
  <c r="P137" i="1" s="1"/>
  <c r="D134" i="1"/>
  <c r="P134" i="1" s="1"/>
  <c r="D132" i="1"/>
  <c r="P132" i="1" s="1"/>
  <c r="D226" i="1"/>
  <c r="P226" i="1" s="1"/>
  <c r="V163" i="1" s="1"/>
  <c r="D221" i="1"/>
  <c r="D227" i="1"/>
  <c r="P227" i="1" s="1"/>
  <c r="V164" i="1" s="1"/>
  <c r="P189" i="1"/>
  <c r="E74" i="5"/>
  <c r="W147" i="1"/>
  <c r="K282" i="1"/>
  <c r="J282" i="1"/>
  <c r="E282" i="1"/>
  <c r="G282" i="1"/>
  <c r="F282" i="1"/>
  <c r="M282" i="1"/>
  <c r="D282" i="1"/>
  <c r="O282" i="1"/>
  <c r="L282" i="1"/>
  <c r="I282" i="1"/>
  <c r="H282" i="1"/>
  <c r="N282" i="1"/>
  <c r="J122" i="1"/>
  <c r="J123" i="1"/>
  <c r="J124" i="1"/>
  <c r="L123" i="1"/>
  <c r="L122" i="1"/>
  <c r="L124" i="1"/>
  <c r="M124" i="1"/>
  <c r="M122" i="1"/>
  <c r="M123" i="1"/>
  <c r="I121" i="1"/>
  <c r="J210" i="1"/>
  <c r="J211" i="1"/>
  <c r="J212" i="1"/>
  <c r="F305" i="1"/>
  <c r="M305" i="1"/>
  <c r="G305" i="1"/>
  <c r="E305" i="1"/>
  <c r="H305" i="1"/>
  <c r="J305" i="1"/>
  <c r="O305" i="1"/>
  <c r="N305" i="1"/>
  <c r="L305" i="1"/>
  <c r="I305" i="1"/>
  <c r="K305" i="1"/>
  <c r="D305" i="1"/>
  <c r="D220" i="1"/>
  <c r="P220" i="1" s="1"/>
  <c r="V158" i="1" s="1"/>
  <c r="E211" i="1"/>
  <c r="E212" i="1"/>
  <c r="E210" i="1"/>
  <c r="F141" i="1"/>
  <c r="F142" i="1"/>
  <c r="F143" i="1"/>
  <c r="K284" i="1"/>
  <c r="D284" i="1"/>
  <c r="M284" i="1"/>
  <c r="N284" i="1"/>
  <c r="I284" i="1"/>
  <c r="J284" i="1"/>
  <c r="E284" i="1"/>
  <c r="O284" i="1"/>
  <c r="L284" i="1"/>
  <c r="G284" i="1"/>
  <c r="F284" i="1"/>
  <c r="H284" i="1"/>
  <c r="M301" i="1"/>
  <c r="Q260" i="1"/>
  <c r="P191" i="1"/>
  <c r="K143" i="1"/>
  <c r="K141" i="1"/>
  <c r="K142" i="1"/>
  <c r="F72" i="5"/>
  <c r="I142" i="1"/>
  <c r="I143" i="1"/>
  <c r="I141" i="1"/>
  <c r="E230" i="1"/>
  <c r="E231" i="1"/>
  <c r="E229" i="1"/>
  <c r="M121" i="1"/>
  <c r="E73" i="5"/>
  <c r="W146" i="1"/>
  <c r="M230" i="1"/>
  <c r="M231" i="1"/>
  <c r="M229" i="1"/>
  <c r="I312" i="1"/>
  <c r="I310" i="1"/>
  <c r="W149" i="1"/>
  <c r="F75" i="5"/>
  <c r="N209" i="1"/>
  <c r="O285" i="1"/>
  <c r="L285" i="1"/>
  <c r="G285" i="1"/>
  <c r="N285" i="1"/>
  <c r="H285" i="1"/>
  <c r="D285" i="1"/>
  <c r="K285" i="1"/>
  <c r="I285" i="1"/>
  <c r="F285" i="1"/>
  <c r="E285" i="1"/>
  <c r="M285" i="1"/>
  <c r="J285" i="1"/>
  <c r="H140" i="1"/>
  <c r="D200" i="1"/>
  <c r="P200" i="1" s="1"/>
  <c r="P161" i="1"/>
  <c r="F140" i="1"/>
  <c r="K122" i="1"/>
  <c r="K123" i="1"/>
  <c r="K124" i="1"/>
  <c r="I231" i="1"/>
  <c r="I229" i="1"/>
  <c r="I230" i="1"/>
  <c r="H122" i="1"/>
  <c r="H123" i="1"/>
  <c r="H124" i="1"/>
  <c r="I122" i="1"/>
  <c r="I124" i="1"/>
  <c r="I123" i="1"/>
  <c r="O121" i="1"/>
  <c r="J231" i="1"/>
  <c r="H211" i="1"/>
  <c r="G209" i="1"/>
  <c r="P303" i="1"/>
  <c r="N229" i="1"/>
  <c r="N230" i="1"/>
  <c r="N231" i="1"/>
  <c r="E142" i="1"/>
  <c r="E143" i="1"/>
  <c r="E141" i="1"/>
  <c r="O301" i="1"/>
  <c r="O311" i="1" s="1"/>
  <c r="K301" i="1"/>
  <c r="K309" i="1" s="1"/>
  <c r="E301" i="1"/>
  <c r="E311" i="1" s="1"/>
  <c r="G228" i="1"/>
  <c r="H141" i="1"/>
  <c r="H142" i="1"/>
  <c r="H143" i="1"/>
  <c r="J209" i="1"/>
  <c r="G231" i="1"/>
  <c r="G229" i="1"/>
  <c r="G230" i="1"/>
  <c r="D222" i="1"/>
  <c r="P222" i="1" s="1"/>
  <c r="V160" i="1" s="1"/>
  <c r="D203" i="1"/>
  <c r="D120" i="1"/>
  <c r="P120" i="1" s="1"/>
  <c r="P112" i="1"/>
  <c r="D113" i="1"/>
  <c r="D115" i="1"/>
  <c r="D114" i="1"/>
  <c r="P114" i="1" s="1"/>
  <c r="D116" i="1"/>
  <c r="P116" i="1" s="1"/>
  <c r="D117" i="1"/>
  <c r="P117" i="1" s="1"/>
  <c r="D119" i="1"/>
  <c r="P119" i="1" s="1"/>
  <c r="D204" i="1"/>
  <c r="P204" i="1" s="1"/>
  <c r="U160" i="1" s="1"/>
  <c r="W160" i="1" s="1"/>
  <c r="X160" i="1" s="1"/>
  <c r="D208" i="1"/>
  <c r="P208" i="1" s="1"/>
  <c r="U164" i="1" s="1"/>
  <c r="W164" i="1" s="1"/>
  <c r="X164" i="1" s="1"/>
  <c r="D207" i="1"/>
  <c r="P207" i="1" s="1"/>
  <c r="U163" i="1" s="1"/>
  <c r="W163" i="1" s="1"/>
  <c r="X163" i="1" s="1"/>
  <c r="D205" i="1"/>
  <c r="P205" i="1" s="1"/>
  <c r="U161" i="1" s="1"/>
  <c r="D202" i="1"/>
  <c r="P202" i="1" s="1"/>
  <c r="U158" i="1" s="1"/>
  <c r="W158" i="1" s="1"/>
  <c r="X158" i="1" s="1"/>
  <c r="D201" i="1"/>
  <c r="H231" i="1"/>
  <c r="H229" i="1"/>
  <c r="H230" i="1"/>
  <c r="F121" i="1"/>
  <c r="P304" i="1"/>
  <c r="N301" i="1"/>
  <c r="O140" i="1"/>
  <c r="M211" i="1"/>
  <c r="M210" i="1"/>
  <c r="M212" i="1"/>
  <c r="J312" i="1"/>
  <c r="W150" i="1"/>
  <c r="E76" i="5"/>
  <c r="O124" i="1"/>
  <c r="O123" i="1"/>
  <c r="O122" i="1"/>
  <c r="P286" i="1"/>
  <c r="H309" i="1"/>
  <c r="N141" i="1"/>
  <c r="N142" i="1"/>
  <c r="N143" i="1"/>
  <c r="I228" i="1"/>
  <c r="N123" i="1"/>
  <c r="N124" i="1"/>
  <c r="N122" i="1"/>
  <c r="G311" i="1"/>
  <c r="G312" i="1"/>
  <c r="G310" i="1"/>
  <c r="F301" i="1"/>
  <c r="F311" i="1" s="1"/>
  <c r="M312" i="1"/>
  <c r="M310" i="1"/>
  <c r="D312" i="1"/>
  <c r="D311" i="1"/>
  <c r="D310" i="1"/>
  <c r="P302" i="1"/>
  <c r="N121" i="1"/>
  <c r="H228" i="1"/>
  <c r="E121" i="1"/>
  <c r="Q242" i="1"/>
  <c r="K210" i="1"/>
  <c r="K211" i="1"/>
  <c r="K212" i="1"/>
  <c r="F212" i="1"/>
  <c r="F211" i="1"/>
  <c r="F210" i="1"/>
  <c r="J301" i="1"/>
  <c r="J311" i="1" s="1"/>
  <c r="O312" i="1"/>
  <c r="N289" i="1"/>
  <c r="I212" i="1"/>
  <c r="I210" i="1"/>
  <c r="I211" i="1"/>
  <c r="M140" i="1"/>
  <c r="O212" i="1"/>
  <c r="O211" i="1"/>
  <c r="O210" i="1"/>
  <c r="F230" i="1"/>
  <c r="F231" i="1"/>
  <c r="F229" i="1"/>
  <c r="E228" i="1"/>
  <c r="G124" i="1"/>
  <c r="G122" i="1"/>
  <c r="G123" i="1"/>
  <c r="D309" i="1"/>
  <c r="P300" i="1"/>
  <c r="W161" i="1" l="1"/>
  <c r="X161" i="1" s="1"/>
  <c r="J309" i="1"/>
  <c r="H312" i="1"/>
  <c r="P312" i="1" s="1"/>
  <c r="H310" i="1"/>
  <c r="P310" i="1" s="1"/>
  <c r="P289" i="1"/>
  <c r="E292" i="1"/>
  <c r="E293" i="1"/>
  <c r="E291" i="1"/>
  <c r="F290" i="1"/>
  <c r="P301" i="1"/>
  <c r="I293" i="1"/>
  <c r="I291" i="1"/>
  <c r="I292" i="1"/>
  <c r="D230" i="1"/>
  <c r="P230" i="1" s="1"/>
  <c r="D229" i="1"/>
  <c r="P229" i="1" s="1"/>
  <c r="P221" i="1"/>
  <c r="V159" i="1" s="1"/>
  <c r="D231" i="1"/>
  <c r="P231" i="1" s="1"/>
  <c r="D121" i="1"/>
  <c r="P121" i="1" s="1"/>
  <c r="H52" i="5" s="1"/>
  <c r="H53" i="5" s="1"/>
  <c r="P113" i="1"/>
  <c r="F309" i="1"/>
  <c r="I311" i="1"/>
  <c r="P311" i="1" s="1"/>
  <c r="J293" i="1"/>
  <c r="J291" i="1"/>
  <c r="J292" i="1"/>
  <c r="G290" i="1"/>
  <c r="I290" i="1"/>
  <c r="J290" i="1"/>
  <c r="P307" i="1"/>
  <c r="P287" i="1"/>
  <c r="D326" i="1"/>
  <c r="G292" i="1"/>
  <c r="G291" i="1"/>
  <c r="G293" i="1"/>
  <c r="D292" i="1"/>
  <c r="P284" i="1"/>
  <c r="D291" i="1"/>
  <c r="D293" i="1"/>
  <c r="O290" i="1"/>
  <c r="G74" i="5"/>
  <c r="X147" i="1"/>
  <c r="H290" i="1"/>
  <c r="D211" i="1"/>
  <c r="P211" i="1" s="1"/>
  <c r="D212" i="1"/>
  <c r="P212" i="1" s="1"/>
  <c r="D210" i="1"/>
  <c r="P210" i="1" s="1"/>
  <c r="P203" i="1"/>
  <c r="U159" i="1" s="1"/>
  <c r="W159" i="1" s="1"/>
  <c r="X159" i="1" s="1"/>
  <c r="H292" i="1"/>
  <c r="H291" i="1"/>
  <c r="H293" i="1"/>
  <c r="M292" i="1"/>
  <c r="M293" i="1"/>
  <c r="M291" i="1"/>
  <c r="K290" i="1"/>
  <c r="R242" i="1"/>
  <c r="S242" i="1"/>
  <c r="X150" i="1"/>
  <c r="G76" i="5"/>
  <c r="N309" i="1"/>
  <c r="N311" i="1"/>
  <c r="P285" i="1"/>
  <c r="X149" i="1"/>
  <c r="G75" i="5"/>
  <c r="G73" i="5"/>
  <c r="X146" i="1"/>
  <c r="S260" i="1"/>
  <c r="R260" i="1"/>
  <c r="L293" i="1"/>
  <c r="L291" i="1"/>
  <c r="L292" i="1"/>
  <c r="K293" i="1"/>
  <c r="K291" i="1"/>
  <c r="K292" i="1"/>
  <c r="P305" i="1"/>
  <c r="W143" i="1"/>
  <c r="E70" i="5"/>
  <c r="V137" i="1"/>
  <c r="D290" i="1"/>
  <c r="P282" i="1"/>
  <c r="G71" i="5"/>
  <c r="X144" i="1"/>
  <c r="E290" i="1"/>
  <c r="P133" i="1"/>
  <c r="D142" i="1"/>
  <c r="P142" i="1" s="1"/>
  <c r="D141" i="1"/>
  <c r="P141" i="1" s="1"/>
  <c r="D143" i="1"/>
  <c r="P143" i="1" s="1"/>
  <c r="F292" i="1"/>
  <c r="F293" i="1"/>
  <c r="F291" i="1"/>
  <c r="L290" i="1"/>
  <c r="D140" i="1"/>
  <c r="P140" i="1" s="1"/>
  <c r="P131" i="1"/>
  <c r="P228" i="1"/>
  <c r="D209" i="1"/>
  <c r="P209" i="1" s="1"/>
  <c r="P201" i="1"/>
  <c r="U157" i="1" s="1"/>
  <c r="W157" i="1" s="1"/>
  <c r="X157" i="1" s="1"/>
  <c r="P115" i="1"/>
  <c r="D123" i="1"/>
  <c r="P123" i="1" s="1"/>
  <c r="D124" i="1"/>
  <c r="P124" i="1" s="1"/>
  <c r="D122" i="1"/>
  <c r="P122" i="1" s="1"/>
  <c r="E309" i="1"/>
  <c r="W145" i="1"/>
  <c r="E72" i="5"/>
  <c r="O292" i="1"/>
  <c r="O293" i="1"/>
  <c r="O291" i="1"/>
  <c r="M290" i="1"/>
  <c r="O309" i="1"/>
  <c r="P309" i="1" l="1"/>
  <c r="H71" i="5"/>
  <c r="M281" i="1"/>
  <c r="M320" i="1" s="1"/>
  <c r="O281" i="1"/>
  <c r="O320" i="1" s="1"/>
  <c r="F281" i="1"/>
  <c r="F320" i="1" s="1"/>
  <c r="E281" i="1"/>
  <c r="E320" i="1" s="1"/>
  <c r="G281" i="1"/>
  <c r="G320" i="1" s="1"/>
  <c r="L281" i="1"/>
  <c r="L320" i="1" s="1"/>
  <c r="I281" i="1"/>
  <c r="I320" i="1" s="1"/>
  <c r="J281" i="1"/>
  <c r="J320" i="1" s="1"/>
  <c r="H281" i="1"/>
  <c r="H320" i="1" s="1"/>
  <c r="N281" i="1"/>
  <c r="N320" i="1" s="1"/>
  <c r="K281" i="1"/>
  <c r="K320" i="1" s="1"/>
  <c r="D281" i="1"/>
  <c r="F299" i="1"/>
  <c r="F334" i="1" s="1"/>
  <c r="H299" i="1"/>
  <c r="H334" i="1" s="1"/>
  <c r="G299" i="1"/>
  <c r="G334" i="1" s="1"/>
  <c r="J299" i="1"/>
  <c r="J334" i="1" s="1"/>
  <c r="O299" i="1"/>
  <c r="O334" i="1" s="1"/>
  <c r="M299" i="1"/>
  <c r="M334" i="1" s="1"/>
  <c r="E299" i="1"/>
  <c r="E334" i="1" s="1"/>
  <c r="N299" i="1"/>
  <c r="N334" i="1" s="1"/>
  <c r="K299" i="1"/>
  <c r="K334" i="1" s="1"/>
  <c r="L299" i="1"/>
  <c r="L334" i="1" s="1"/>
  <c r="I299" i="1"/>
  <c r="I334" i="1" s="1"/>
  <c r="D299" i="1"/>
  <c r="P291" i="1"/>
  <c r="P292" i="1"/>
  <c r="H73" i="5"/>
  <c r="H74" i="5"/>
  <c r="P293" i="1"/>
  <c r="H76" i="5"/>
  <c r="X143" i="1"/>
  <c r="H70" i="5" s="1"/>
  <c r="G70" i="5"/>
  <c r="H54" i="5"/>
  <c r="H60" i="5"/>
  <c r="G72" i="5"/>
  <c r="X145" i="1"/>
  <c r="H75" i="5"/>
  <c r="C104" i="2" l="1"/>
  <c r="J123" i="2" s="1"/>
  <c r="K123" i="2" s="1"/>
  <c r="J138" i="2" s="1"/>
  <c r="K138" i="2" s="1"/>
  <c r="J162" i="2" s="1"/>
  <c r="K162" i="2" s="1"/>
  <c r="J188" i="2" s="1"/>
  <c r="K188" i="2" s="1"/>
  <c r="J219" i="2" s="1"/>
  <c r="K219" i="2" s="1"/>
  <c r="D104" i="2"/>
  <c r="G322" i="1"/>
  <c r="G327" i="1"/>
  <c r="G324" i="1"/>
  <c r="G321" i="1"/>
  <c r="G323" i="1"/>
  <c r="L325" i="1"/>
  <c r="L328" i="1"/>
  <c r="L327" i="1"/>
  <c r="L322" i="1"/>
  <c r="L323" i="1"/>
  <c r="L324" i="1"/>
  <c r="L321" i="1"/>
  <c r="D320" i="1"/>
  <c r="P281" i="1"/>
  <c r="D106" i="2"/>
  <c r="C106" i="2"/>
  <c r="J125" i="2" s="1"/>
  <c r="K125" i="2" s="1"/>
  <c r="J140" i="2" s="1"/>
  <c r="K140" i="2" s="1"/>
  <c r="J164" i="2" s="1"/>
  <c r="K325" i="1"/>
  <c r="K322" i="1"/>
  <c r="K328" i="1"/>
  <c r="K321" i="1"/>
  <c r="K324" i="1"/>
  <c r="K323" i="1"/>
  <c r="F325" i="1"/>
  <c r="F327" i="1"/>
  <c r="F322" i="1"/>
  <c r="F328" i="1"/>
  <c r="F323" i="1"/>
  <c r="F321" i="1"/>
  <c r="F324" i="1"/>
  <c r="E327" i="1"/>
  <c r="E325" i="1"/>
  <c r="E322" i="1"/>
  <c r="E328" i="1"/>
  <c r="E324" i="1"/>
  <c r="E321" i="1"/>
  <c r="E323" i="1"/>
  <c r="C107" i="2"/>
  <c r="J126" i="2" s="1"/>
  <c r="K126" i="2" s="1"/>
  <c r="J141" i="2" s="1"/>
  <c r="K141" i="2" s="1"/>
  <c r="J165" i="2" s="1"/>
  <c r="K165" i="2" s="1"/>
  <c r="J191" i="2" s="1"/>
  <c r="K191" i="2" s="1"/>
  <c r="J222" i="2" s="1"/>
  <c r="K222" i="2" s="1"/>
  <c r="D107" i="2"/>
  <c r="N327" i="1"/>
  <c r="N321" i="1"/>
  <c r="N328" i="1"/>
  <c r="O325" i="1"/>
  <c r="O322" i="1"/>
  <c r="O327" i="1"/>
  <c r="O328" i="1"/>
  <c r="O324" i="1"/>
  <c r="O321" i="1"/>
  <c r="O323" i="1"/>
  <c r="H72" i="5"/>
  <c r="H327" i="1"/>
  <c r="H328" i="1"/>
  <c r="H325" i="1"/>
  <c r="H322" i="1"/>
  <c r="H324" i="1"/>
  <c r="H321" i="1"/>
  <c r="H323" i="1"/>
  <c r="M325" i="1"/>
  <c r="M322" i="1"/>
  <c r="M327" i="1"/>
  <c r="M328" i="1"/>
  <c r="M323" i="1"/>
  <c r="M321" i="1"/>
  <c r="M324" i="1"/>
  <c r="J322" i="1"/>
  <c r="J327" i="1"/>
  <c r="J325" i="1"/>
  <c r="J328" i="1"/>
  <c r="J324" i="1"/>
  <c r="J321" i="1"/>
  <c r="J323" i="1"/>
  <c r="D102" i="2"/>
  <c r="C102" i="2"/>
  <c r="J121" i="2" s="1"/>
  <c r="D334" i="1"/>
  <c r="P299" i="1"/>
  <c r="D105" i="2"/>
  <c r="C105" i="2"/>
  <c r="J124" i="2" s="1"/>
  <c r="K124" i="2" s="1"/>
  <c r="J139" i="2" s="1"/>
  <c r="I322" i="1"/>
  <c r="I327" i="1"/>
  <c r="I325" i="1"/>
  <c r="I328" i="1"/>
  <c r="I321" i="1"/>
  <c r="I324" i="1"/>
  <c r="I323" i="1"/>
  <c r="M164" i="2" l="1"/>
  <c r="M158" i="2" s="1"/>
  <c r="C254" i="2"/>
  <c r="F254" i="2" s="1"/>
  <c r="J298" i="2" s="1"/>
  <c r="K298" i="2" s="1"/>
  <c r="C251" i="2"/>
  <c r="K121" i="2"/>
  <c r="J136" i="2" s="1"/>
  <c r="Z117" i="2"/>
  <c r="D327" i="1"/>
  <c r="D325" i="1"/>
  <c r="D322" i="1"/>
  <c r="D328" i="1"/>
  <c r="D323" i="1"/>
  <c r="D324" i="1"/>
  <c r="C103" i="2"/>
  <c r="J122" i="2" s="1"/>
  <c r="D103" i="2"/>
  <c r="D101" i="2"/>
  <c r="C101" i="2"/>
  <c r="J120" i="2" s="1"/>
  <c r="O264" i="2" l="1"/>
  <c r="P258" i="2" s="1"/>
  <c r="K120" i="2"/>
  <c r="J135" i="2" s="1"/>
  <c r="AB263" i="2"/>
  <c r="K122" i="2"/>
  <c r="J137" i="2" s="1"/>
  <c r="O128" i="2"/>
  <c r="AD173" i="2"/>
  <c r="AD170" i="2" s="1"/>
  <c r="K164" i="2"/>
  <c r="J190" i="2" s="1"/>
  <c r="K190" i="2" s="1"/>
  <c r="J221" i="2" s="1"/>
  <c r="K221" i="2" s="1"/>
  <c r="Z119" i="2"/>
  <c r="Z118" i="2"/>
  <c r="Z121" i="2"/>
  <c r="Z123" i="2"/>
  <c r="Z120" i="2"/>
  <c r="Z122" i="2"/>
  <c r="Z124" i="2"/>
  <c r="Z125" i="2"/>
  <c r="O265" i="2" l="1"/>
  <c r="AC263" i="2"/>
  <c r="X274" i="2" s="1"/>
  <c r="T124" i="2"/>
  <c r="S124" i="2"/>
  <c r="S125" i="2"/>
  <c r="T125" i="2"/>
  <c r="S126" i="2" s="1"/>
  <c r="Z272" i="2"/>
  <c r="Z128" i="2"/>
  <c r="Z129" i="2" s="1"/>
  <c r="C253" i="2"/>
  <c r="AD172" i="2"/>
  <c r="AD171" i="2"/>
  <c r="M161" i="2"/>
  <c r="F253" i="2" l="1"/>
  <c r="J297" i="2" s="1"/>
  <c r="K297" i="2" s="1"/>
  <c r="Z130" i="2"/>
  <c r="Z273" i="2"/>
  <c r="Z270" i="2"/>
  <c r="AF270" i="2" s="1"/>
  <c r="AE261" i="2" s="1"/>
  <c r="AD261" i="2" s="1"/>
  <c r="Z271" i="2"/>
  <c r="Z269" i="2"/>
  <c r="X273" i="2"/>
  <c r="X275" i="2"/>
  <c r="AF275" i="2" s="1"/>
  <c r="AE266" i="2" s="1"/>
  <c r="AD266" i="2" s="1"/>
  <c r="AB272" i="2"/>
  <c r="AF272" i="2" s="1"/>
  <c r="AE263" i="2" s="1"/>
  <c r="AD263" i="2" s="1"/>
  <c r="X269" i="2"/>
  <c r="X289" i="2" l="1"/>
  <c r="AB289" i="2" s="1"/>
  <c r="F251" i="2" s="1"/>
  <c r="J295" i="2" s="1"/>
  <c r="K295" i="2" s="1"/>
  <c r="P257" i="2"/>
  <c r="X292" i="2"/>
  <c r="AB292" i="2" s="1"/>
  <c r="AB271" i="2"/>
  <c r="AB274" i="2"/>
  <c r="AF274" i="2" s="1"/>
  <c r="AE265" i="2" s="1"/>
  <c r="AD265" i="2" s="1"/>
  <c r="X291" i="2" s="1"/>
  <c r="AB291" i="2" s="1"/>
  <c r="L306" i="2" l="1"/>
  <c r="L137" i="2" l="1"/>
  <c r="K137" i="2" s="1"/>
  <c r="J161" i="2" s="1"/>
  <c r="X170" i="2" s="1"/>
  <c r="L139" i="2"/>
  <c r="K139" i="2" s="1"/>
  <c r="J163" i="2" s="1"/>
  <c r="K163" i="2" s="1"/>
  <c r="J189" i="2" s="1"/>
  <c r="K189" i="2" s="1"/>
  <c r="J220" i="2" s="1"/>
  <c r="K220" i="2" s="1"/>
  <c r="C252" i="2" s="1"/>
  <c r="AB241" i="2" l="1"/>
  <c r="X172" i="2"/>
  <c r="X171" i="2"/>
  <c r="W170" i="2"/>
  <c r="AB171" i="2" l="1"/>
  <c r="Z171" i="2" s="1"/>
  <c r="W178" i="2"/>
  <c r="AC241" i="2"/>
  <c r="X249" i="2" l="1"/>
  <c r="AB170" i="2"/>
  <c r="X382" i="2"/>
  <c r="L166" i="2"/>
  <c r="J375" i="2" s="1"/>
  <c r="X200" i="2"/>
  <c r="L375" i="2" l="1"/>
  <c r="L367" i="2" s="1"/>
  <c r="K375" i="2"/>
  <c r="L161" i="2"/>
  <c r="AB172" i="2"/>
  <c r="X381" i="2"/>
  <c r="X246" i="2"/>
  <c r="X248" i="2"/>
  <c r="AE240" i="2" s="1"/>
  <c r="AD240" i="2" s="1"/>
  <c r="X250" i="2"/>
  <c r="AE242" i="2" s="1"/>
  <c r="AD242" i="2" s="1"/>
  <c r="X247" i="2"/>
  <c r="AE239" i="2" s="1"/>
  <c r="AD239" i="2" s="1"/>
  <c r="X287" i="2" s="1"/>
  <c r="AB287" i="2" s="1"/>
  <c r="G250" i="2" s="1"/>
  <c r="AB200" i="2"/>
  <c r="Z200" i="2"/>
  <c r="Z382" i="2"/>
  <c r="AB382" i="2"/>
  <c r="AE241" i="2"/>
  <c r="AD241" i="2" s="1"/>
  <c r="X293" i="2" s="1"/>
  <c r="AB293" i="2" s="1"/>
  <c r="G252" i="2" l="1"/>
  <c r="F252" i="2"/>
  <c r="J296" i="2" s="1"/>
  <c r="K296" i="2" s="1"/>
  <c r="X383" i="2"/>
  <c r="W177" i="2"/>
  <c r="Z172" i="2"/>
  <c r="L158" i="2"/>
  <c r="J367" i="2" s="1"/>
  <c r="K367" i="2" s="1"/>
  <c r="J394" i="2" s="1"/>
  <c r="J370" i="2"/>
  <c r="J309" i="2"/>
  <c r="G247" i="2"/>
  <c r="J306" i="2" s="1"/>
  <c r="M306" i="2" s="1"/>
  <c r="J324" i="2" s="1"/>
  <c r="I250" i="2" l="1"/>
  <c r="L309" i="2" s="1"/>
  <c r="M309" i="2" s="1"/>
  <c r="J327" i="2" s="1"/>
  <c r="Z383" i="2"/>
  <c r="AB383" i="2"/>
  <c r="X201" i="2"/>
  <c r="Z170" i="2"/>
  <c r="Y172" i="2" s="1"/>
  <c r="W201" i="2" s="1"/>
  <c r="J311" i="2"/>
  <c r="I252" i="2"/>
  <c r="L311" i="2" s="1"/>
  <c r="M324" i="2"/>
  <c r="K324" i="2" s="1"/>
  <c r="K344" i="2" s="1"/>
  <c r="L344" i="2" s="1"/>
  <c r="K394" i="2" s="1"/>
  <c r="L394" i="2" s="1"/>
  <c r="L134" i="2" s="1"/>
  <c r="K134" i="2" s="1"/>
  <c r="J158" i="2" s="1"/>
  <c r="K158" i="2" s="1"/>
  <c r="J184" i="2" s="1"/>
  <c r="L327" i="2" l="1"/>
  <c r="L324" i="2" s="1"/>
  <c r="AB381" i="2"/>
  <c r="AA383" i="2" s="1"/>
  <c r="AB201" i="2"/>
  <c r="Z201" i="2" s="1"/>
  <c r="Z381" i="2"/>
  <c r="Y383" i="2" s="1"/>
  <c r="M311" i="2"/>
  <c r="J329" i="2" s="1"/>
  <c r="K329" i="2" s="1"/>
  <c r="K349" i="2" s="1"/>
  <c r="L349" i="2" s="1"/>
  <c r="K399" i="2" s="1"/>
  <c r="O399" i="2" s="1"/>
  <c r="X199" i="2"/>
  <c r="K161" i="2"/>
  <c r="J187" i="2" s="1"/>
  <c r="Y171" i="2"/>
  <c r="W200" i="2" s="1"/>
  <c r="M327" i="2" l="1"/>
  <c r="K327" i="2" s="1"/>
  <c r="K347" i="2" s="1"/>
  <c r="L347" i="2" s="1"/>
  <c r="K397" i="2" s="1"/>
  <c r="K370" i="2"/>
  <c r="J397" i="2" s="1"/>
  <c r="Y382" i="2"/>
  <c r="L370" i="2"/>
  <c r="AA382" i="2"/>
  <c r="AB199" i="2"/>
  <c r="AA201" i="2" s="1"/>
  <c r="Z199" i="2" l="1"/>
  <c r="Y200" i="2" s="1"/>
  <c r="O397" i="2"/>
  <c r="L187" i="2"/>
  <c r="AA200" i="2"/>
  <c r="Y201" i="2" l="1"/>
  <c r="L184" i="2"/>
  <c r="K184" i="2" s="1"/>
  <c r="J215" i="2" s="1"/>
  <c r="K215" i="2" s="1"/>
  <c r="C247" i="2" s="1"/>
  <c r="F247" i="2" s="1"/>
  <c r="J291" i="2" s="1"/>
  <c r="K291" i="2" s="1"/>
  <c r="K187" i="2"/>
  <c r="J218" i="2" s="1"/>
  <c r="K218" i="2" s="1"/>
  <c r="C250" i="2" s="1"/>
  <c r="F250" i="2" s="1"/>
  <c r="J294" i="2" s="1"/>
  <c r="K294" i="2" s="1"/>
  <c r="K135" i="2" l="1"/>
  <c r="L135" i="2"/>
  <c r="K136" i="2"/>
  <c r="L136" i="2"/>
  <c r="X157" i="2"/>
  <c r="Z157" i="2"/>
  <c r="AB157" i="2"/>
  <c r="AD157" i="2"/>
  <c r="X158" i="2"/>
  <c r="Y158" i="2"/>
  <c r="Z158" i="2"/>
  <c r="AA158" i="2"/>
  <c r="AB158" i="2"/>
  <c r="AC158" i="2"/>
  <c r="AD158" i="2"/>
  <c r="J159" i="2"/>
  <c r="K159" i="2"/>
  <c r="L159" i="2"/>
  <c r="M159" i="2"/>
  <c r="X159" i="2"/>
  <c r="Y159" i="2"/>
  <c r="Z159" i="2"/>
  <c r="AA159" i="2"/>
  <c r="AB159" i="2"/>
  <c r="J160" i="2"/>
  <c r="K160" i="2"/>
  <c r="L160" i="2"/>
  <c r="M160" i="2"/>
  <c r="X160" i="2"/>
  <c r="Y160" i="2"/>
  <c r="Z160" i="2"/>
  <c r="X161" i="2"/>
  <c r="Y161" i="2"/>
  <c r="Z161" i="2"/>
  <c r="AA161" i="2"/>
  <c r="AB161" i="2"/>
  <c r="AC161" i="2"/>
  <c r="AD161" i="2"/>
  <c r="X162" i="2"/>
  <c r="Y162" i="2"/>
  <c r="Z162" i="2"/>
  <c r="X163" i="2"/>
  <c r="Y163" i="2"/>
  <c r="Z163" i="2"/>
  <c r="X164" i="2"/>
  <c r="Y164" i="2"/>
  <c r="Z164" i="2"/>
  <c r="AA164" i="2"/>
  <c r="AB164" i="2"/>
  <c r="X165" i="2"/>
  <c r="Y165" i="2"/>
  <c r="Z165" i="2"/>
  <c r="AA165" i="2"/>
  <c r="AB165" i="2"/>
  <c r="AC165" i="2"/>
  <c r="AD165" i="2"/>
  <c r="Q174" i="2"/>
  <c r="R174" i="2"/>
  <c r="S174" i="2"/>
  <c r="Q175" i="2"/>
  <c r="R175" i="2"/>
  <c r="S175" i="2"/>
  <c r="Q176" i="2"/>
  <c r="R176" i="2"/>
  <c r="S176" i="2"/>
  <c r="AA177" i="2"/>
  <c r="AB177" i="2"/>
  <c r="AC177" i="2"/>
  <c r="AD177" i="2"/>
  <c r="AA178" i="2"/>
  <c r="AB178" i="2"/>
  <c r="AC178" i="2"/>
  <c r="AD178" i="2"/>
  <c r="AA179" i="2"/>
  <c r="AB179" i="2"/>
  <c r="AC179" i="2"/>
  <c r="AD179" i="2"/>
  <c r="J185" i="2"/>
  <c r="K185" i="2"/>
  <c r="L185" i="2"/>
  <c r="J186" i="2"/>
  <c r="K186" i="2"/>
  <c r="L186" i="2"/>
  <c r="X186" i="2"/>
  <c r="Y186" i="2"/>
  <c r="Z186" i="2"/>
  <c r="AA186" i="2"/>
  <c r="AB186" i="2"/>
  <c r="W187" i="2"/>
  <c r="X187" i="2"/>
  <c r="Y187" i="2"/>
  <c r="Z187" i="2"/>
  <c r="AA187" i="2"/>
  <c r="AB187" i="2"/>
  <c r="W188" i="2"/>
  <c r="X188" i="2"/>
  <c r="Y188" i="2"/>
  <c r="Z188" i="2"/>
  <c r="W189" i="2"/>
  <c r="X189" i="2"/>
  <c r="Y189" i="2"/>
  <c r="Z189" i="2"/>
  <c r="W190" i="2"/>
  <c r="X190" i="2"/>
  <c r="Y190" i="2"/>
  <c r="Z190" i="2"/>
  <c r="AA190" i="2"/>
  <c r="AB190" i="2"/>
  <c r="W191" i="2"/>
  <c r="X191" i="2"/>
  <c r="Y191" i="2"/>
  <c r="Z191" i="2"/>
  <c r="W192" i="2"/>
  <c r="X192" i="2"/>
  <c r="Y192" i="2"/>
  <c r="Z192" i="2"/>
  <c r="W193" i="2"/>
  <c r="X193" i="2"/>
  <c r="Y193" i="2"/>
  <c r="Z193" i="2"/>
  <c r="AA193" i="2"/>
  <c r="AB193" i="2"/>
  <c r="W194" i="2"/>
  <c r="X194" i="2"/>
  <c r="Y194" i="2"/>
  <c r="Z194" i="2"/>
  <c r="AA194" i="2"/>
  <c r="AB194" i="2"/>
  <c r="X206" i="2"/>
  <c r="Y206" i="2"/>
  <c r="Z206" i="2"/>
  <c r="X207" i="2"/>
  <c r="Y207" i="2"/>
  <c r="Z207" i="2"/>
  <c r="X208" i="2"/>
  <c r="Y208" i="2"/>
  <c r="Z208" i="2"/>
  <c r="J216" i="2"/>
  <c r="K216" i="2"/>
  <c r="J217" i="2"/>
  <c r="K217" i="2"/>
  <c r="AB238" i="2"/>
  <c r="AC238" i="2"/>
  <c r="AD238" i="2"/>
  <c r="AE238" i="2"/>
  <c r="C248" i="2"/>
  <c r="F248" i="2"/>
  <c r="C249" i="2"/>
  <c r="F249" i="2"/>
  <c r="P259" i="2"/>
  <c r="AB260" i="2"/>
  <c r="AC260" i="2"/>
  <c r="AD260" i="2"/>
  <c r="AE260" i="2"/>
  <c r="AD262" i="2"/>
  <c r="AE262" i="2"/>
  <c r="AD264" i="2"/>
  <c r="AE264" i="2"/>
  <c r="AD269" i="2"/>
  <c r="AF269" i="2"/>
  <c r="AD271" i="2"/>
  <c r="AF271" i="2"/>
  <c r="AD273" i="2"/>
  <c r="AF273" i="2"/>
  <c r="X286" i="2"/>
  <c r="AB286" i="2"/>
  <c r="X288" i="2"/>
  <c r="AB288" i="2"/>
  <c r="X290" i="2"/>
  <c r="AB290" i="2"/>
  <c r="J292" i="2"/>
  <c r="K292" i="2"/>
  <c r="J293" i="2"/>
  <c r="K293" i="2"/>
  <c r="J368" i="2"/>
  <c r="K368" i="2"/>
  <c r="L368" i="2"/>
  <c r="X368" i="2"/>
  <c r="Y368" i="2"/>
  <c r="Z368" i="2"/>
  <c r="J369" i="2"/>
  <c r="K369" i="2"/>
  <c r="L369" i="2"/>
  <c r="W369" i="2"/>
  <c r="X369" i="2"/>
  <c r="Y369" i="2"/>
  <c r="Z369" i="2"/>
  <c r="W370" i="2"/>
  <c r="X370" i="2"/>
  <c r="Y370" i="2"/>
  <c r="Z370" i="2"/>
  <c r="W372" i="2"/>
  <c r="X372" i="2"/>
  <c r="Y372" i="2"/>
  <c r="Z372" i="2"/>
  <c r="W375" i="2"/>
  <c r="X375" i="2"/>
  <c r="Y375" i="2"/>
  <c r="Z375" i="2"/>
  <c r="W376" i="2"/>
  <c r="X376" i="2"/>
  <c r="Y376" i="2"/>
  <c r="Z376" i="2"/>
  <c r="J395" i="2"/>
  <c r="L395" i="2"/>
  <c r="J396" i="2"/>
  <c r="L39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G24" authorId="0" shapeId="0" xr:uid="{C13FDE21-9EE8-7B4E-96C2-329956DC3136}">
      <text>
        <r>
          <rPr>
            <sz val="10"/>
            <color rgb="FF000000"/>
            <rFont val="Tahoma"/>
            <family val="2"/>
          </rPr>
          <t xml:space="preserve">&gt; 500
</t>
        </r>
        <r>
          <rPr>
            <sz val="10"/>
            <color rgb="FF000000"/>
            <rFont val="Tahoma"/>
            <family val="2"/>
          </rPr>
          <t>Pero uso 500 como valor representativo</t>
        </r>
      </text>
    </comment>
    <comment ref="E28" authorId="0" shapeId="0" xr:uid="{71548EEC-2E03-084A-9E8B-CB8CA110A3DA}">
      <text>
        <r>
          <rPr>
            <sz val="10"/>
            <color rgb="FF000000"/>
            <rFont val="Tahoma"/>
            <family val="2"/>
          </rPr>
          <t xml:space="preserve">&lt;14
</t>
        </r>
        <r>
          <rPr>
            <sz val="10"/>
            <color rgb="FF000000"/>
            <rFont val="Tahoma"/>
            <family val="2"/>
          </rPr>
          <t xml:space="preserve">
</t>
        </r>
        <r>
          <rPr>
            <sz val="10"/>
            <color rgb="FF000000"/>
            <rFont val="Tahoma"/>
            <family val="2"/>
          </rPr>
          <t>Valor representativo</t>
        </r>
      </text>
    </comment>
    <comment ref="F28" authorId="0" shapeId="0" xr:uid="{1FBEE680-7800-C446-B80E-504D92CA2094}">
      <text>
        <r>
          <rPr>
            <sz val="10"/>
            <color rgb="FF000000"/>
            <rFont val="Tahoma"/>
            <family val="2"/>
          </rPr>
          <t xml:space="preserve">&lt;14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G28" authorId="0" shapeId="0" xr:uid="{B5723BD7-C173-9B4E-A08E-3EE041591E4A}">
      <text>
        <r>
          <rPr>
            <sz val="10"/>
            <color rgb="FF000000"/>
            <rFont val="Tahoma"/>
            <family val="2"/>
          </rPr>
          <t xml:space="preserve">&lt;14
</t>
        </r>
        <r>
          <rPr>
            <sz val="10"/>
            <color rgb="FF000000"/>
            <rFont val="Tahoma"/>
            <family val="2"/>
          </rPr>
          <t xml:space="preserve">
</t>
        </r>
        <r>
          <rPr>
            <sz val="10"/>
            <color rgb="FF000000"/>
            <rFont val="Aptos Narrow"/>
            <family val="2"/>
          </rPr>
          <t xml:space="preserve">Valor representativo
</t>
        </r>
      </text>
    </comment>
    <comment ref="L28" authorId="0" shapeId="0" xr:uid="{250B7501-894C-364A-9C44-D629B531823D}">
      <text>
        <r>
          <rPr>
            <sz val="10"/>
            <color rgb="FF000000"/>
            <rFont val="Tahoma"/>
            <family val="2"/>
          </rPr>
          <t xml:space="preserve">&lt;5
</t>
        </r>
        <r>
          <rPr>
            <sz val="10"/>
            <color rgb="FF000000"/>
            <rFont val="Tahoma"/>
            <family val="2"/>
          </rPr>
          <t xml:space="preserve">
</t>
        </r>
        <r>
          <rPr>
            <sz val="10"/>
            <color rgb="FF000000"/>
            <rFont val="Aptos Narrow"/>
            <family val="2"/>
          </rPr>
          <t xml:space="preserve">Valor representativo
</t>
        </r>
      </text>
    </comment>
    <comment ref="M28" authorId="0" shapeId="0" xr:uid="{96303A21-D1CD-2647-A517-F3B3905AEC16}">
      <text>
        <r>
          <rPr>
            <sz val="10"/>
            <color rgb="FF000000"/>
            <rFont val="Tahoma"/>
            <family val="2"/>
          </rPr>
          <t xml:space="preserve">&lt;5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N29" authorId="0" shapeId="0" xr:uid="{624257C1-4ED3-D949-8E7F-2505A76390C1}">
      <text>
        <r>
          <rPr>
            <sz val="10"/>
            <color rgb="FF000000"/>
            <rFont val="Tahoma"/>
            <family val="2"/>
          </rPr>
          <t xml:space="preserve">&lt;0.2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O29" authorId="0" shapeId="0" xr:uid="{7ED8FB69-21E7-FC47-B857-A5B07951032D}">
      <text>
        <r>
          <rPr>
            <sz val="10"/>
            <color rgb="FF000000"/>
            <rFont val="Tahoma"/>
            <family val="2"/>
          </rPr>
          <t xml:space="preserve">&lt;0.2
</t>
        </r>
        <r>
          <rPr>
            <sz val="10"/>
            <color rgb="FF000000"/>
            <rFont val="Tahoma"/>
            <family val="2"/>
          </rPr>
          <t xml:space="preserve">
</t>
        </r>
        <r>
          <rPr>
            <sz val="10"/>
            <color rgb="FF000000"/>
            <rFont val="Aptos Narrow"/>
            <family val="2"/>
          </rPr>
          <t xml:space="preserve">Valor representativo
</t>
        </r>
      </text>
    </comment>
    <comment ref="B30" authorId="0" shapeId="0" xr:uid="{8BEC2F82-9B43-254C-A1B1-0C9689BFA5A8}">
      <text>
        <r>
          <rPr>
            <sz val="10"/>
            <color rgb="FF000000"/>
            <rFont val="Tahoma"/>
            <family val="2"/>
          </rPr>
          <t xml:space="preserve">Indica que tan biodegradable es la materia orgánica presente.
</t>
        </r>
        <r>
          <rPr>
            <sz val="10"/>
            <color rgb="FF000000"/>
            <rFont val="Tahoma"/>
            <family val="2"/>
          </rPr>
          <t xml:space="preserve">&gt; 0.5 indica que es altamente biodegradable.
</t>
        </r>
        <r>
          <rPr>
            <sz val="10"/>
            <color rgb="FF000000"/>
            <rFont val="Tahoma"/>
            <family val="2"/>
          </rPr>
          <t xml:space="preserve">https://pollution.sustainability-directory.com/learn/how-can-the-bod-cod-ratio-be-used-to-assess-the-treatability-of-industrial-wastewater/
</t>
        </r>
        <r>
          <rPr>
            <sz val="10"/>
            <color rgb="FF000000"/>
            <rFont val="Tahoma"/>
            <family val="2"/>
          </rPr>
          <t xml:space="preserve">
</t>
        </r>
        <r>
          <rPr>
            <sz val="10"/>
            <color rgb="FF000000"/>
            <rFont val="Tahoma"/>
            <family val="2"/>
          </rPr>
          <t xml:space="preserve">
</t>
        </r>
      </text>
    </comment>
    <comment ref="B31" authorId="0" shapeId="0" xr:uid="{B2E3FDB2-97BB-A542-88BF-6C4AE55CFBD5}">
      <text>
        <r>
          <rPr>
            <sz val="10"/>
            <color rgb="FF000000"/>
            <rFont val="Tahoma"/>
            <family val="2"/>
          </rPr>
          <t>Posiblemente indique un estimado de los sólidos totales</t>
        </r>
      </text>
    </comment>
    <comment ref="B32" authorId="0" shapeId="0" xr:uid="{A31709AC-47D0-4E46-9E89-B946F9FFF6F2}">
      <text>
        <r>
          <rPr>
            <sz val="10"/>
            <color rgb="FF000000"/>
            <rFont val="Tahoma"/>
            <family val="2"/>
          </rPr>
          <t>Indica que porción de los sólidos suspendidos presentes son materia orgánica</t>
        </r>
      </text>
    </comment>
    <comment ref="B33" authorId="0" shapeId="0" xr:uid="{6B445773-365B-2C41-AAC5-ADB0B29FED7E}">
      <text>
        <r>
          <rPr>
            <sz val="10"/>
            <color rgb="FF000000"/>
            <rFont val="Tahoma"/>
            <family val="2"/>
          </rPr>
          <t>Indica qué porción de los sólidos en suspensión presentes son biodegradables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AH67" authorId="0" shapeId="0" xr:uid="{5B465A31-B501-4140-8742-E192A62A731B}">
      <text>
        <r>
          <rPr>
            <sz val="10"/>
            <color rgb="FF000000"/>
            <rFont val="Tahoma"/>
            <family val="2"/>
          </rPr>
          <t>Hay un tanque de 20 m3. Debo ver cada cuanto se rellena.</t>
        </r>
      </text>
    </comment>
    <comment ref="S124" authorId="0" shapeId="0" xr:uid="{10BEC91F-375B-994E-A739-D53135AF6B78}">
      <text>
        <r>
          <rPr>
            <b/>
            <sz val="10"/>
            <color rgb="FF000000"/>
            <rFont val="Tahoma"/>
            <family val="2"/>
          </rPr>
          <t>Ian Gálvez:</t>
        </r>
        <r>
          <rPr>
            <sz val="10"/>
            <color rgb="FF000000"/>
            <rFont val="Tahoma"/>
            <family val="2"/>
          </rPr>
          <t xml:space="preserve">
</t>
        </r>
        <r>
          <rPr>
            <sz val="10"/>
            <color rgb="FF000000"/>
            <rFont val="Tahoma"/>
            <family val="2"/>
          </rPr>
          <t>Toda la DQOrb aporta a la DBO, y forma el 49% de la DBO</t>
        </r>
      </text>
    </comment>
    <comment ref="S125" authorId="0" shapeId="0" xr:uid="{D1C1B68B-40E2-0F45-AAE0-0A5CDAFE2967}">
      <text>
        <r>
          <rPr>
            <b/>
            <sz val="10"/>
            <color rgb="FF000000"/>
            <rFont val="Tahoma"/>
            <family val="2"/>
          </rPr>
          <t>Ian Gálvez:</t>
        </r>
        <r>
          <rPr>
            <sz val="10"/>
            <color rgb="FF000000"/>
            <rFont val="Tahoma"/>
            <family val="2"/>
          </rPr>
          <t xml:space="preserve">
</t>
        </r>
        <r>
          <rPr>
            <sz val="10"/>
            <color rgb="FF000000"/>
            <rFont val="Tahoma"/>
            <family val="2"/>
          </rPr>
          <t>El 51% de la DBO5 es DQOlb</t>
        </r>
      </text>
    </comment>
    <comment ref="S126" authorId="0" shapeId="0" xr:uid="{6C706AAE-C8FF-BF49-8803-E71F3C3A6F3A}">
      <text>
        <r>
          <rPr>
            <b/>
            <sz val="10"/>
            <color rgb="FF000000"/>
            <rFont val="Tahoma"/>
            <family val="2"/>
          </rPr>
          <t>Ian Gálvez:</t>
        </r>
        <r>
          <rPr>
            <sz val="10"/>
            <color rgb="FF000000"/>
            <rFont val="Tahoma"/>
            <family val="2"/>
          </rPr>
          <t xml:space="preserve">
</t>
        </r>
        <r>
          <rPr>
            <sz val="10"/>
            <color rgb="FF000000"/>
            <rFont val="Tahoma"/>
            <family val="2"/>
          </rPr>
          <t xml:space="preserve">El 39% de la DQOlb aporta a la DBO. Asumo que es la fracción más pequeña
</t>
        </r>
      </text>
    </comment>
    <comment ref="F171" authorId="0" shapeId="0" xr:uid="{AAF8CEB3-ECF6-AC4A-9D5C-4818BE69AE0E}">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F172" authorId="0" shapeId="0" xr:uid="{426C68E9-EC42-E144-A267-35397E99B940}">
      <text>
        <r>
          <rPr>
            <b/>
            <sz val="10"/>
            <color rgb="FF000000"/>
            <rFont val="Tahoma"/>
            <family val="2"/>
          </rPr>
          <t>Ian Gálvez:</t>
        </r>
        <r>
          <rPr>
            <sz val="10"/>
            <color rgb="FF000000"/>
            <rFont val="Tahoma"/>
            <family val="2"/>
          </rPr>
          <t xml:space="preserve">
</t>
        </r>
        <r>
          <rPr>
            <sz val="10"/>
            <color rgb="FF000000"/>
            <rFont val="Tahoma"/>
            <family val="2"/>
          </rPr>
          <t xml:space="preserve">Metcalf &amp; Eddy;
</t>
        </r>
        <r>
          <rPr>
            <sz val="10"/>
            <color rgb="FF000000"/>
            <rFont val="Tahoma"/>
            <family val="2"/>
          </rPr>
          <t xml:space="preserve">Ecuaciones y cálculos para el tratamiento de aguas – Mario Díaz;
</t>
        </r>
        <r>
          <rPr>
            <sz val="10"/>
            <color rgb="FF000000"/>
            <rFont val="Tahoma"/>
            <family val="2"/>
          </rPr>
          <t>K.G.Matzen</t>
        </r>
      </text>
    </comment>
    <comment ref="L172" authorId="0" shapeId="0" xr:uid="{E7A5A332-4B2B-B349-8567-E2C8979D5FF2}">
      <text>
        <r>
          <rPr>
            <b/>
            <sz val="10"/>
            <color rgb="FF000000"/>
            <rFont val="Tahoma"/>
            <family val="2"/>
          </rPr>
          <t>Ian Gálvez:</t>
        </r>
        <r>
          <rPr>
            <sz val="10"/>
            <color rgb="FF000000"/>
            <rFont val="Tahoma"/>
            <family val="2"/>
          </rPr>
          <t xml:space="preserve">
</t>
        </r>
        <r>
          <rPr>
            <sz val="10"/>
            <color rgb="FF000000"/>
            <rFont val="Tahoma"/>
            <family val="2"/>
          </rPr>
          <t xml:space="preserve">Ecuaciones y cálculos para el tratamiento de aguas – Mario Díaz;
</t>
        </r>
        <r>
          <rPr>
            <sz val="10"/>
            <color rgb="FF000000"/>
            <rFont val="Tahoma"/>
            <family val="2"/>
          </rPr>
          <t>K.G.Matzen</t>
        </r>
      </text>
    </comment>
    <comment ref="F173" authorId="0" shapeId="0" xr:uid="{40393B55-7541-034C-9BE5-C32451C718E3}">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3" authorId="0" shapeId="0" xr:uid="{122D2B5B-4D07-C34C-98A0-6F30A57164AE}">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 1454</t>
        </r>
      </text>
    </comment>
    <comment ref="F174" authorId="0" shapeId="0" xr:uid="{6E34B9B7-F5E2-9249-8B4B-CB3908044CE1}">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4" authorId="0" shapeId="0" xr:uid="{30D261CC-D8AE-8F49-A555-E9AFE9735B68}">
      <text>
        <r>
          <rPr>
            <b/>
            <sz val="10"/>
            <color rgb="FF000000"/>
            <rFont val="Tahoma"/>
            <family val="2"/>
          </rPr>
          <t>Ian Gálvez:</t>
        </r>
        <r>
          <rPr>
            <sz val="10"/>
            <color rgb="FF000000"/>
            <rFont val="Tahoma"/>
            <family val="2"/>
          </rPr>
          <t xml:space="preserve">
</t>
        </r>
        <r>
          <rPr>
            <sz val="10"/>
            <color rgb="FF000000"/>
            <rFont val="Tahoma"/>
            <family val="2"/>
          </rPr>
          <t>Lichtmannegger, Kinzel, Ebner, Bockreis (2024)</t>
        </r>
      </text>
    </comment>
    <comment ref="F175" authorId="0" shapeId="0" xr:uid="{05D4F8C7-BE82-D84E-8A02-06BF93CD34CC}">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p.380</t>
        </r>
      </text>
    </comment>
    <comment ref="L175" authorId="0" shapeId="0" xr:uid="{648BF629-643B-974E-85E3-3E9EA4AB1F9F}">
      <text>
        <r>
          <rPr>
            <b/>
            <sz val="10"/>
            <color rgb="FF000000"/>
            <rFont val="Tahoma"/>
            <family val="2"/>
          </rPr>
          <t>Ian Gálvez:</t>
        </r>
        <r>
          <rPr>
            <sz val="10"/>
            <color rgb="FF000000"/>
            <rFont val="Tahoma"/>
            <family val="2"/>
          </rPr>
          <t xml:space="preserve">
</t>
        </r>
        <r>
          <rPr>
            <sz val="10"/>
            <color rgb="FF000000"/>
            <rFont val="Tahoma"/>
            <family val="2"/>
          </rPr>
          <t>Alqaralleh, Kennedy, Delatolla (2018)</t>
        </r>
      </text>
    </comment>
    <comment ref="L176" authorId="0" shapeId="0" xr:uid="{3E7F9C3B-B959-4242-A114-D7BC836BDE90}">
      <text>
        <r>
          <rPr>
            <b/>
            <sz val="10"/>
            <color rgb="FF000000"/>
            <rFont val="Tahoma"/>
            <family val="2"/>
          </rPr>
          <t>Ian Gálvez:</t>
        </r>
        <r>
          <rPr>
            <sz val="10"/>
            <color rgb="FF000000"/>
            <rFont val="Tahoma"/>
            <family val="2"/>
          </rPr>
          <t xml:space="preserve">
</t>
        </r>
        <r>
          <rPr>
            <sz val="10"/>
            <color rgb="FF000000"/>
            <rFont val="Tahoma"/>
            <family val="2"/>
          </rPr>
          <t>Shea, Johnson, Gabel, Forbes (2011)</t>
        </r>
      </text>
    </comment>
    <comment ref="C196" authorId="0" shapeId="0" xr:uid="{4F378977-5551-E549-B4E5-802FDC3EC5DE}">
      <text>
        <r>
          <rPr>
            <b/>
            <sz val="10"/>
            <color rgb="FF000000"/>
            <rFont val="Tahoma"/>
            <family val="2"/>
          </rPr>
          <t>Ian Gálvez:</t>
        </r>
        <r>
          <rPr>
            <sz val="10"/>
            <color rgb="FF000000"/>
            <rFont val="Tahoma"/>
            <family val="2"/>
          </rPr>
          <t xml:space="preserve">
</t>
        </r>
        <r>
          <rPr>
            <sz val="10"/>
            <color rgb="FF000000"/>
            <rFont val="Aptos Narrow"/>
            <family val="2"/>
          </rPr>
          <t xml:space="preserve">(Wastewater Technology Fact Sheet Screening and Grit Removal – EPA 2003)
</t>
        </r>
      </text>
    </comment>
    <comment ref="F197" authorId="0" shapeId="0" xr:uid="{CB6F1562-53A8-1E40-A4A1-2C3970A3EFD5}">
      <text>
        <r>
          <rPr>
            <b/>
            <sz val="10"/>
            <color rgb="FF000000"/>
            <rFont val="Tahoma"/>
            <family val="2"/>
          </rPr>
          <t>Ian Gálvez:</t>
        </r>
        <r>
          <rPr>
            <sz val="10"/>
            <color rgb="FF000000"/>
            <rFont val="Tahoma"/>
            <family val="2"/>
          </rPr>
          <t xml:space="preserve">
</t>
        </r>
        <r>
          <rPr>
            <sz val="10"/>
            <color rgb="FF000000"/>
            <rFont val="Aptos Narrow"/>
            <family val="2"/>
          </rPr>
          <t xml:space="preserve">Metcalf &amp; Eddy
</t>
        </r>
        <r>
          <rPr>
            <sz val="10"/>
            <color rgb="FF000000"/>
            <rFont val="Aptos Narrow"/>
            <family val="2"/>
          </rPr>
          <t xml:space="preserve">5th, p.382
</t>
        </r>
      </text>
    </comment>
    <comment ref="AK235" authorId="0" shapeId="0" xr:uid="{6C35B9B1-E196-D142-9B76-F0063669E2DF}">
      <text>
        <r>
          <rPr>
            <b/>
            <sz val="10"/>
            <color rgb="FF000000"/>
            <rFont val="Tahoma"/>
            <family val="2"/>
          </rPr>
          <t>Ian Gálvez:</t>
        </r>
        <r>
          <rPr>
            <sz val="10"/>
            <color rgb="FF000000"/>
            <rFont val="Tahoma"/>
            <family val="2"/>
          </rPr>
          <t xml:space="preserve">
</t>
        </r>
        <r>
          <rPr>
            <sz val="10"/>
            <color rgb="FF000000"/>
            <rFont val="Tahoma"/>
            <family val="2"/>
          </rPr>
          <t xml:space="preserve">Depuración de aguas residuales: Modelización de procesos de lodos activos. 2da edición ampliada.
</t>
        </r>
        <r>
          <rPr>
            <sz val="10"/>
            <color rgb="FF000000"/>
            <rFont val="Tahoma"/>
            <family val="2"/>
          </rPr>
          <t xml:space="preserve">
</t>
        </r>
        <r>
          <rPr>
            <sz val="10"/>
            <color rgb="FF000000"/>
            <rFont val="Tahoma"/>
            <family val="2"/>
          </rPr>
          <t>Manuel Gil Rodríguez</t>
        </r>
      </text>
    </comment>
    <comment ref="I246" authorId="0" shapeId="0" xr:uid="{4142D96A-DC81-1C47-8147-940247407A05}">
      <text>
        <r>
          <rPr>
            <b/>
            <sz val="10"/>
            <color rgb="FF000000"/>
            <rFont val="Tahoma"/>
            <family val="2"/>
          </rPr>
          <t>Ian Gálvez:</t>
        </r>
        <r>
          <rPr>
            <sz val="10"/>
            <color rgb="FF000000"/>
            <rFont val="Tahoma"/>
            <family val="2"/>
          </rPr>
          <t xml:space="preserve">
</t>
        </r>
        <r>
          <rPr>
            <sz val="10"/>
            <color rgb="FF000000"/>
            <rFont val="Tahoma"/>
            <family val="2"/>
          </rPr>
          <t>Los lodos recirculados tienen las mismas concentraciones de cada componente que los lodos sacados recién retirados (pues sólo pasan por una bomba de lodos para volver). Como estoy trabajando con cargas en vez de concentraciones, calculé las cargas en los lodos recirculados manteniendo la misma concentración.</t>
        </r>
      </text>
    </comment>
    <comment ref="C260" authorId="0" shapeId="0" xr:uid="{B5159ACE-664A-8A4A-8958-66D4AFF3BB49}">
      <text>
        <r>
          <rPr>
            <b/>
            <sz val="10"/>
            <color rgb="FF000000"/>
            <rFont val="Tahoma"/>
            <family val="2"/>
          </rPr>
          <t>Ian Gálvez:</t>
        </r>
        <r>
          <rPr>
            <sz val="10"/>
            <color rgb="FF000000"/>
            <rFont val="Tahoma"/>
            <family val="2"/>
          </rPr>
          <t xml:space="preserve">
</t>
        </r>
        <r>
          <rPr>
            <sz val="10"/>
            <color rgb="FF000000"/>
            <rFont val="Tahoma"/>
            <family val="2"/>
          </rPr>
          <t xml:space="preserve">Design of Municipal Wastewater Treatment Plants, Water Environment Federation - 4th Ed, Vol 2, Chap. 11.
</t>
        </r>
        <r>
          <rPr>
            <sz val="10"/>
            <color rgb="FF000000"/>
            <rFont val="Tahoma"/>
            <family val="2"/>
          </rPr>
          <t xml:space="preserve">
</t>
        </r>
        <r>
          <rPr>
            <sz val="10"/>
            <color rgb="FF000000"/>
            <rFont val="Tahoma"/>
            <family val="2"/>
          </rPr>
          <t>Shundar Lin (p.622)</t>
        </r>
      </text>
    </comment>
    <comment ref="AD260" authorId="0" shapeId="0" xr:uid="{4A1070C0-8910-D543-B62A-4D51CFC4A46C}">
      <text>
        <r>
          <rPr>
            <b/>
            <sz val="10"/>
            <color rgb="FF000000"/>
            <rFont val="Tahoma"/>
            <family val="2"/>
          </rPr>
          <t>Ian Gálvez:</t>
        </r>
        <r>
          <rPr>
            <sz val="10"/>
            <color rgb="FF000000"/>
            <rFont val="Tahoma"/>
            <family val="2"/>
          </rPr>
          <t xml:space="preserve">
</t>
        </r>
        <r>
          <rPr>
            <sz val="10"/>
            <color rgb="FF000000"/>
            <rFont val="Tahoma"/>
            <family val="2"/>
          </rPr>
          <t>Al multiplicarlo por la DQO del ácido acético da la DQO que sale</t>
        </r>
      </text>
    </comment>
    <comment ref="C261" authorId="0" shapeId="0" xr:uid="{8CE06DD4-90E9-8F4B-8652-0DBDE5EE9223}">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18"/>
            <color rgb="FF000000"/>
            <rFont val="Aptos Narrow"/>
            <family val="2"/>
          </rPr>
          <t xml:space="preserve">
</t>
        </r>
        <r>
          <rPr>
            <sz val="10"/>
            <color rgb="FF000000"/>
            <rFont val="Aptos Narrow"/>
            <family val="2"/>
          </rPr>
          <t>Yuanshuang Luo, Junqin Yao, Xiyuan Wang, Meiying Zheng, Deyong Guo, Yinguang Chen</t>
        </r>
      </text>
    </comment>
    <comment ref="C262" authorId="0" shapeId="0" xr:uid="{FBD8931D-3974-674D-85E3-79B80DC692E9}">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C263" authorId="0" shapeId="0" xr:uid="{57F58A52-6F76-D846-8714-78D5BEDA145F}">
      <text>
        <r>
          <rPr>
            <b/>
            <sz val="10"/>
            <color rgb="FF000000"/>
            <rFont val="Tahoma"/>
            <family val="2"/>
          </rPr>
          <t xml:space="preserve">Ian Gálvez:
</t>
        </r>
        <r>
          <rPr>
            <sz val="10"/>
            <color rgb="FF000000"/>
            <rFont val="Aptos Narrow"/>
            <family val="2"/>
          </rPr>
          <t xml:space="preserve">Biological wastewater treatment: Principles, modelling and design – Chen, Van Loosdrecht, Ekama, Brdjanovic
</t>
        </r>
        <r>
          <rPr>
            <sz val="10"/>
            <color rgb="FF000000"/>
            <rFont val="Tahoma"/>
            <family val="2"/>
          </rPr>
          <t>p. 188</t>
        </r>
      </text>
    </comment>
    <comment ref="C264" authorId="0" shapeId="0" xr:uid="{4244AB9F-9503-BE4D-8547-12184D745785}">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G269" authorId="0" shapeId="0" xr:uid="{0DD20526-C8CB-D44C-9AD5-0F9BC3E13771}">
      <text>
        <r>
          <rPr>
            <b/>
            <sz val="10"/>
            <color rgb="FF000000"/>
            <rFont val="Tahoma"/>
            <family val="2"/>
          </rPr>
          <t>Ian Gálvez:</t>
        </r>
        <r>
          <rPr>
            <sz val="10"/>
            <color rgb="FF000000"/>
            <rFont val="Tahoma"/>
            <family val="2"/>
          </rPr>
          <t xml:space="preserve">
</t>
        </r>
        <r>
          <rPr>
            <sz val="10"/>
            <color rgb="FF000000"/>
            <rFont val="Tahoma"/>
            <family val="2"/>
          </rPr>
          <t>IPCC 2019</t>
        </r>
      </text>
    </comment>
    <comment ref="G270" authorId="0" shapeId="0" xr:uid="{6F24E509-9703-1140-9632-AB21584E75BA}">
      <text>
        <r>
          <rPr>
            <b/>
            <sz val="10"/>
            <color rgb="FF000000"/>
            <rFont val="Tahoma"/>
            <family val="2"/>
          </rPr>
          <t>Ian Gálvez:</t>
        </r>
        <r>
          <rPr>
            <sz val="10"/>
            <color rgb="FF000000"/>
            <rFont val="Tahoma"/>
            <family val="2"/>
          </rPr>
          <t xml:space="preserve">
</t>
        </r>
        <r>
          <rPr>
            <sz val="10"/>
            <color rgb="FF000000"/>
            <rFont val="Tahoma"/>
            <family val="2"/>
          </rPr>
          <t>Espina &amp; Delfín</t>
        </r>
      </text>
    </comment>
    <comment ref="G271" authorId="0" shapeId="0" xr:uid="{5F8A182A-58B5-1A47-B54F-BCA1D7CA4C78}">
      <text>
        <r>
          <rPr>
            <b/>
            <sz val="10"/>
            <color rgb="FF000000"/>
            <rFont val="Tahoma"/>
            <family val="2"/>
          </rPr>
          <t>Ian Gálvez:</t>
        </r>
        <r>
          <rPr>
            <sz val="10"/>
            <color rgb="FF000000"/>
            <rFont val="Tahoma"/>
            <family val="2"/>
          </rPr>
          <t xml:space="preserve">
</t>
        </r>
        <r>
          <rPr>
            <sz val="10"/>
            <color rgb="FF000000"/>
            <rFont val="Tahoma"/>
            <family val="2"/>
          </rPr>
          <t xml:space="preserve">Biological wastewater treatment: Principles, modelling and design – Chen, Van Loosdrecht, Ekama, Brdjanovic.
</t>
        </r>
        <r>
          <rPr>
            <sz val="10"/>
            <color rgb="FF000000"/>
            <rFont val="Tahoma"/>
            <family val="2"/>
          </rPr>
          <t>p. 188</t>
        </r>
      </text>
    </comment>
    <comment ref="G272" authorId="0" shapeId="0" xr:uid="{45A40C94-2A62-5144-8A4D-2E1700C53ECB}">
      <text>
        <r>
          <rPr>
            <b/>
            <sz val="10"/>
            <color rgb="FF000000"/>
            <rFont val="Tahoma"/>
            <family val="2"/>
          </rPr>
          <t>Ian Gálvez:</t>
        </r>
        <r>
          <rPr>
            <sz val="10"/>
            <color rgb="FF000000"/>
            <rFont val="Tahoma"/>
            <family val="2"/>
          </rPr>
          <t xml:space="preserve">
</t>
        </r>
        <r>
          <rPr>
            <sz val="10"/>
            <color rgb="FF000000"/>
            <rFont val="Aptos Narrow"/>
            <family val="2"/>
          </rPr>
          <t xml:space="preserve">Biological wastewater treatment: Principles, modelling and design – Chen, Van Loosdrecht, Ekama, Brdjanovic
</t>
        </r>
        <r>
          <rPr>
            <sz val="10"/>
            <color rgb="FF000000"/>
            <rFont val="Tahoma"/>
            <family val="2"/>
          </rPr>
          <t>p. 188</t>
        </r>
      </text>
    </comment>
    <comment ref="M324" authorId="0" shapeId="0" xr:uid="{9CC9002C-6C72-C441-B9F1-A920A290B1E9}">
      <text>
        <r>
          <rPr>
            <b/>
            <sz val="10"/>
            <color rgb="FF000000"/>
            <rFont val="Tahoma"/>
            <family val="2"/>
          </rPr>
          <t>Ian Gálvez:</t>
        </r>
        <r>
          <rPr>
            <sz val="10"/>
            <color rgb="FF000000"/>
            <rFont val="Tahoma"/>
            <family val="2"/>
          </rPr>
          <t xml:space="preserve">
</t>
        </r>
        <r>
          <rPr>
            <sz val="10"/>
            <color rgb="FF000000"/>
            <rFont val="Tahoma"/>
            <family val="2"/>
          </rPr>
          <t>C1V1 = C2V2</t>
        </r>
      </text>
    </comment>
    <comment ref="J336" authorId="0" shapeId="0" xr:uid="{55C95DAD-2448-DF4F-A18E-5BE4261B075A}">
      <text>
        <r>
          <rPr>
            <b/>
            <sz val="10"/>
            <color rgb="FF000000"/>
            <rFont val="Tahoma"/>
            <family val="2"/>
          </rPr>
          <t>Ian Gálvez:</t>
        </r>
        <r>
          <rPr>
            <sz val="10"/>
            <color rgb="FF000000"/>
            <rFont val="Tahoma"/>
            <family val="2"/>
          </rPr>
          <t xml:space="preserve">
</t>
        </r>
        <r>
          <rPr>
            <sz val="10"/>
            <color rgb="FF000000"/>
            <rFont val="Tahoma"/>
            <family val="2"/>
          </rPr>
          <t xml:space="preserve">https://www.construnario.com/ebooks/685/documentos%20t%C3%A9cnicos/sifloc%201082d.pdf
</t>
        </r>
        <r>
          <rPr>
            <sz val="10"/>
            <color rgb="FF000000"/>
            <rFont val="Tahoma"/>
            <family val="2"/>
          </rPr>
          <t xml:space="preserve">
</t>
        </r>
        <r>
          <rPr>
            <sz val="10"/>
            <color rgb="FF000000"/>
            <rFont val="Tahoma"/>
            <family val="2"/>
          </rPr>
          <t>Ricardo Isla de Juana (2005)</t>
        </r>
      </text>
    </comment>
    <comment ref="J337" authorId="0" shapeId="0" xr:uid="{4B31AAA4-6B59-E34C-995D-5593F0973090}">
      <text>
        <r>
          <rPr>
            <b/>
            <sz val="10"/>
            <color rgb="FF000000"/>
            <rFont val="Tahoma"/>
            <family val="2"/>
          </rPr>
          <t>Ian Gálvez:</t>
        </r>
        <r>
          <rPr>
            <sz val="10"/>
            <color rgb="FF000000"/>
            <rFont val="Tahoma"/>
            <family val="2"/>
          </rPr>
          <t xml:space="preserve">
</t>
        </r>
        <r>
          <rPr>
            <sz val="10"/>
            <color rgb="FF000000"/>
            <rFont val="Tahoma"/>
            <family val="2"/>
          </rPr>
          <t>https://www.iagua.es/blogs/jorge-chamorro/recepcion-y-pruebas-funcionamiento-centrifugadoras-lodos</t>
        </r>
      </text>
    </comment>
    <comment ref="J338" authorId="0" shapeId="0" xr:uid="{2031A292-6F5C-934A-AF96-7D194B21FD6E}">
      <text>
        <r>
          <rPr>
            <b/>
            <sz val="10"/>
            <color rgb="FF000000"/>
            <rFont val="Tahoma"/>
            <family val="2"/>
          </rPr>
          <t>Ian Gálvez:</t>
        </r>
        <r>
          <rPr>
            <sz val="10"/>
            <color rgb="FF000000"/>
            <rFont val="Tahoma"/>
            <family val="2"/>
          </rPr>
          <t xml:space="preserve">
</t>
        </r>
        <r>
          <rPr>
            <sz val="10"/>
            <color rgb="FF000000"/>
            <rFont val="Tahoma"/>
            <family val="2"/>
          </rPr>
          <t xml:space="preserve">Espina &amp; Delfín
</t>
        </r>
        <r>
          <rPr>
            <sz val="10"/>
            <color rgb="FF000000"/>
            <rFont val="Tahoma"/>
            <family val="2"/>
          </rPr>
          <t>(Entre 18% y 21%)</t>
        </r>
      </text>
    </comment>
    <comment ref="J339" authorId="0" shapeId="0" xr:uid="{33933E7A-BAAA-404C-8FFC-5E99B8B05CD0}">
      <text>
        <r>
          <rPr>
            <b/>
            <sz val="10"/>
            <color rgb="FF000000"/>
            <rFont val="Tahoma"/>
            <family val="2"/>
          </rPr>
          <t>Ian Gálvez:</t>
        </r>
        <r>
          <rPr>
            <sz val="10"/>
            <color rgb="FF000000"/>
            <rFont val="Tahoma"/>
            <family val="2"/>
          </rPr>
          <t xml:space="preserve">
</t>
        </r>
        <r>
          <rPr>
            <sz val="10"/>
            <color rgb="FF000000"/>
            <rFont val="Tahoma"/>
            <family val="2"/>
          </rPr>
          <t xml:space="preserve">Ficha técnica – Distribuidora de Químicos Industriales S.A.
</t>
        </r>
        <r>
          <rPr>
            <sz val="10"/>
            <color rgb="FF000000"/>
            <rFont val="Tahoma"/>
            <family val="2"/>
          </rPr>
          <t xml:space="preserve">
</t>
        </r>
        <r>
          <rPr>
            <sz val="10"/>
            <color rgb="FF000000"/>
            <rFont val="Tahoma"/>
            <family val="2"/>
          </rPr>
          <t>https://www.dqisa.com/wp-content/uploads/2020/12/POLICLORURO-DE-ALUMINIO.pdf</t>
        </r>
      </text>
    </comment>
    <comment ref="L397" authorId="0" shapeId="0" xr:uid="{EE1C784D-B002-804C-86C3-C3579E95CBE6}">
      <text>
        <r>
          <rPr>
            <b/>
            <sz val="10"/>
            <color rgb="FF000000"/>
            <rFont val="Tahoma"/>
            <family val="2"/>
          </rPr>
          <t>Ian Gálvez:</t>
        </r>
        <r>
          <rPr>
            <sz val="10"/>
            <color rgb="FF000000"/>
            <rFont val="Tahoma"/>
            <family val="2"/>
          </rPr>
          <t xml:space="preserve">
</t>
        </r>
        <r>
          <rPr>
            <sz val="10"/>
            <color rgb="FF000000"/>
            <rFont val="Tahoma"/>
            <family val="2"/>
          </rPr>
          <t>Las referencias circulares en SST no convergen, pero si lo hago manualmente por alguna razón sí. Así que fui cambiando el valor manualmente para iterar y el valor cambiaba cada vez menos, hasta que en un momento ya no cambió y me quedé con ese.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F88" authorId="0" shapeId="0" xr:uid="{8934143F-EA92-B04A-B5B1-7D61DCDEB9A8}">
      <text>
        <r>
          <rPr>
            <b/>
            <sz val="10"/>
            <color rgb="FF000000"/>
            <rFont val="Tahoma"/>
            <family val="2"/>
          </rPr>
          <t>Ian Gálvez:</t>
        </r>
        <r>
          <rPr>
            <sz val="10"/>
            <color rgb="FF000000"/>
            <rFont val="Tahoma"/>
            <family val="2"/>
          </rPr>
          <t xml:space="preserve">
</t>
        </r>
        <r>
          <rPr>
            <sz val="10"/>
            <color rgb="FF000000"/>
            <rFont val="Tahoma"/>
            <family val="2"/>
          </rPr>
          <t>Proyectos de plantas de tratamiento de aguas: Aguas de proceso, residuales y de refrigeración. – Ricardo Isla de Juana (2005)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<sst xmlns="http://schemas.openxmlformats.org/spreadsheetml/2006/main" count="3114" uniqueCount="769">
  <si>
    <t>PARÁMETROS DE ENTRADA DE LA EDARI CERCEDA-COBELANS</t>
  </si>
  <si>
    <t>Parámetros</t>
  </si>
  <si>
    <t>Unidades</t>
  </si>
  <si>
    <t>mg/L</t>
  </si>
  <si>
    <t>pH</t>
  </si>
  <si>
    <t>ud. pH</t>
  </si>
  <si>
    <t>(mg/L)</t>
  </si>
  <si>
    <t>(ud.pH)</t>
  </si>
  <si>
    <t>Amoniaco</t>
  </si>
  <si>
    <t>---</t>
  </si>
  <si>
    <t>Aceites y grasas</t>
  </si>
  <si>
    <t>Detergentes aniónicos</t>
  </si>
  <si>
    <t>Coliformes totales</t>
  </si>
  <si>
    <t>(NMP/100ml)</t>
  </si>
  <si>
    <t>Coliformes fecales</t>
  </si>
  <si>
    <t>Escherichia coli</t>
  </si>
  <si>
    <t>5.5 - 9.5</t>
  </si>
  <si>
    <t>EDARI Cerceda - Cobelans</t>
  </si>
  <si>
    <t>EDAR VEDRA</t>
  </si>
  <si>
    <t>Valores límites</t>
  </si>
  <si>
    <t>PARÁMETROS DE SALIDA DE LA EDARI CERCEDA-COBELANS</t>
  </si>
  <si>
    <t>En la entrada de la EDAR de Vedra no te pongo las fechas porque se trata de muestreos durante la puesta en marcha, no se realizan muestreos rutinarios mensuales desde hace 2 años:</t>
  </si>
  <si>
    <t>Entrada</t>
  </si>
  <si>
    <t>Componente</t>
  </si>
  <si>
    <t>DBO5</t>
  </si>
  <si>
    <t>DQO</t>
  </si>
  <si>
    <t>SST</t>
  </si>
  <si>
    <t>NT</t>
  </si>
  <si>
    <t>PT</t>
  </si>
  <si>
    <t>Unidad</t>
  </si>
  <si>
    <t>A y G</t>
  </si>
  <si>
    <t>Qm</t>
  </si>
  <si>
    <t>Qmax</t>
  </si>
  <si>
    <t>m3/h</t>
  </si>
  <si>
    <t>Valor</t>
  </si>
  <si>
    <t>SS</t>
  </si>
  <si>
    <t>kg/d</t>
  </si>
  <si>
    <t>Voy a tener una cantidad de cada componente (y elemento) que entra, y una mucho menor que sale. Asumiré estado estacionario, y calcularé la diferencia entre ambas. Lo que se pierde tiene que salir por alguna parte. Probablemente no tendré la caracterización de los lodos, así que buscaré algún dato por internet (dejar el dato y la fuente anotada), veré cuanto de cada elemento sale en los lodos (y en cualquier otra salida que haya), veré cuantos gases se producen y de qué tipo, y calcularé cantidades de cada gas emitido</t>
  </si>
  <si>
    <t>-</t>
  </si>
  <si>
    <t xml:space="preserve">Valor </t>
  </si>
  <si>
    <t>Equipo</t>
  </si>
  <si>
    <t>Tamiz automático</t>
  </si>
  <si>
    <t>Cantidad</t>
  </si>
  <si>
    <t>Reactivos</t>
  </si>
  <si>
    <t>Producto</t>
  </si>
  <si>
    <t>Cloruro férrico</t>
  </si>
  <si>
    <t>Consumos eléctricos</t>
  </si>
  <si>
    <t>E.T.2</t>
  </si>
  <si>
    <t>Puente desarenador / desengrasador</t>
  </si>
  <si>
    <t>E.T.3</t>
  </si>
  <si>
    <t>E.T.4</t>
  </si>
  <si>
    <t>Vertedero automático</t>
  </si>
  <si>
    <t>E.T.5</t>
  </si>
  <si>
    <t>Extractor de arenas</t>
  </si>
  <si>
    <t>E.T.6</t>
  </si>
  <si>
    <t>Soplantes</t>
  </si>
  <si>
    <t>E.T.1</t>
  </si>
  <si>
    <t>E.T.7</t>
  </si>
  <si>
    <t>Caudalímetro electromagnético</t>
  </si>
  <si>
    <t>E.T.8</t>
  </si>
  <si>
    <t>Caudalímetro ultrasónico</t>
  </si>
  <si>
    <t>E.T.9</t>
  </si>
  <si>
    <t>Bombas sumergibles en agua bruta</t>
  </si>
  <si>
    <t>Bombas de fangos en exceso</t>
  </si>
  <si>
    <t>Bombas de recirculación de fangos</t>
  </si>
  <si>
    <t>Agitador tanque anaerobio</t>
  </si>
  <si>
    <t>E.T.10</t>
  </si>
  <si>
    <t>Distribuidor</t>
  </si>
  <si>
    <t>E.T.11</t>
  </si>
  <si>
    <t>Rotores de aireación</t>
  </si>
  <si>
    <t>E.T.12</t>
  </si>
  <si>
    <t>E.T.13</t>
  </si>
  <si>
    <t>E.T.14</t>
  </si>
  <si>
    <t>E.T.15</t>
  </si>
  <si>
    <t>E.T.16</t>
  </si>
  <si>
    <t>E.T.17</t>
  </si>
  <si>
    <t>E.T.18</t>
  </si>
  <si>
    <t>E.T.19</t>
  </si>
  <si>
    <t>E.T.20</t>
  </si>
  <si>
    <t>E.T.21</t>
  </si>
  <si>
    <t>E.T.22</t>
  </si>
  <si>
    <t>E.T.23</t>
  </si>
  <si>
    <t>E.T.24</t>
  </si>
  <si>
    <t>E.T.25</t>
  </si>
  <si>
    <t>E.T.26</t>
  </si>
  <si>
    <t>E.T.27</t>
  </si>
  <si>
    <t>E.T.28</t>
  </si>
  <si>
    <t>E.T.29</t>
  </si>
  <si>
    <t>E.T.30</t>
  </si>
  <si>
    <t>Acelerador de corriente</t>
  </si>
  <si>
    <t>Puente rascador</t>
  </si>
  <si>
    <t>Preparación de polielectrolito</t>
  </si>
  <si>
    <t>Bomba dosificadora</t>
  </si>
  <si>
    <t>Bomba a predeshidratador</t>
  </si>
  <si>
    <t>Predeshidratador</t>
  </si>
  <si>
    <t>Bomba fangos a centrífuga</t>
  </si>
  <si>
    <t>Centrífuga</t>
  </si>
  <si>
    <t>Bomba fangos a silo</t>
  </si>
  <si>
    <t>Bombas de agua de lavado</t>
  </si>
  <si>
    <t>Filtro autolimpiante</t>
  </si>
  <si>
    <t>Compresor</t>
  </si>
  <si>
    <t>Desinfección UVC</t>
  </si>
  <si>
    <t>Medidor de nivel</t>
  </si>
  <si>
    <t>Aireador</t>
  </si>
  <si>
    <t>Bombeo interno</t>
  </si>
  <si>
    <t>Medidor de O2</t>
  </si>
  <si>
    <t>–––</t>
  </si>
  <si>
    <t>–</t>
  </si>
  <si>
    <t>Total</t>
  </si>
  <si>
    <t>Tornillo</t>
  </si>
  <si>
    <t>Agitador</t>
  </si>
  <si>
    <t>Planta compacta</t>
  </si>
  <si>
    <t>Equipo UV</t>
  </si>
  <si>
    <t>DMR HR1A-013/150/E0.25/A</t>
  </si>
  <si>
    <t>Bombas de PAC y metanol</t>
  </si>
  <si>
    <t>Polielectrolito</t>
  </si>
  <si>
    <t>Diferencia</t>
  </si>
  <si>
    <t>MEDIA</t>
  </si>
  <si>
    <t>Los valores en naranja son representativos, pues en la tabla se aprecia que son menores (o mayores) a X.</t>
  </si>
  <si>
    <t>Det. Anion.</t>
  </si>
  <si>
    <t>Media IN</t>
  </si>
  <si>
    <t>Media OUT</t>
  </si>
  <si>
    <t>Valores de la EDARI Cerceda - Cobelans</t>
  </si>
  <si>
    <t>Metanol</t>
  </si>
  <si>
    <t>Magnasol</t>
  </si>
  <si>
    <t>L/d</t>
  </si>
  <si>
    <t>1 garrafa de 25 L c/u al mes</t>
  </si>
  <si>
    <t>12 garrafas de 25 L c/u al mes</t>
  </si>
  <si>
    <t>% eliminación</t>
  </si>
  <si>
    <t>Potencia [kW]</t>
  </si>
  <si>
    <t>Conversión de unidades</t>
  </si>
  <si>
    <t>Cerceda</t>
  </si>
  <si>
    <t>Vedra</t>
  </si>
  <si>
    <t>UF</t>
  </si>
  <si>
    <t>hab.eq</t>
  </si>
  <si>
    <t>kg PO4 eq.</t>
  </si>
  <si>
    <t>DBO5 / DQO</t>
  </si>
  <si>
    <t>DBO5 / DQO indica que tan biodegradable es la materia orgánica presente</t>
  </si>
  <si>
    <t>[ - ]</t>
  </si>
  <si>
    <t>SST * 1.42</t>
  </si>
  <si>
    <t>SST / DQO</t>
  </si>
  <si>
    <t>SST / DBO5</t>
  </si>
  <si>
    <t>SST * 1.42 da un estimado de los ST</t>
  </si>
  <si>
    <t>kg de PO4 equivalente / kg de sustancia</t>
  </si>
  <si>
    <t xml:space="preserve">Carga de fosfato equivalente </t>
  </si>
  <si>
    <t>IN</t>
  </si>
  <si>
    <t>OUT</t>
  </si>
  <si>
    <t>∆</t>
  </si>
  <si>
    <t>MEDIA*</t>
  </si>
  <si>
    <t>*Para la media solo considero los datos del periodo 1 al 9 y luego el 12, pues los del 11 son demasiado diferentes, y en el 10 no hay datos de la salida.</t>
  </si>
  <si>
    <t>1. -24</t>
  </si>
  <si>
    <t>2. -24</t>
  </si>
  <si>
    <t>3. -24</t>
  </si>
  <si>
    <t>4. -24</t>
  </si>
  <si>
    <t>5. -24</t>
  </si>
  <si>
    <t>6. -24</t>
  </si>
  <si>
    <t>7. -24</t>
  </si>
  <si>
    <t>8. -24</t>
  </si>
  <si>
    <t>9. -24</t>
  </si>
  <si>
    <t>10. -24</t>
  </si>
  <si>
    <t>11. -24</t>
  </si>
  <si>
    <t>12. -24</t>
  </si>
  <si>
    <t>Caudales en m3</t>
  </si>
  <si>
    <t>Mes</t>
  </si>
  <si>
    <t>Caudal</t>
  </si>
  <si>
    <t>No consideraré los periodos 10 ni 11, pues hay menor seguridad de los datos en esos periodos (y en uno ni siquiera hay datos)</t>
  </si>
  <si>
    <t>Tampoco consideraré el periodo 9 porque no tengo caudal para ese</t>
  </si>
  <si>
    <t>Cargas en la EDAR de Vedra</t>
  </si>
  <si>
    <t>Capacidad de tratamiento por día</t>
  </si>
  <si>
    <t>CARGAS DE ENTRADA DE LA EDAR VEDRA CONSIDERADAS</t>
  </si>
  <si>
    <t>CARGAS DE SALIDA DE LA EDAR DE VEDRA CONSIDERADAS</t>
  </si>
  <si>
    <t>CONCENTRACIONES DE SALIDA DE LA EDAR DE VEDRA CONSIDERADAS</t>
  </si>
  <si>
    <t>CONCENTRACIONES DE ENTRADA DE LA EDAR VEDRA CONSIDERADAS</t>
  </si>
  <si>
    <t>Concentraciones de la EDAR de Vedra</t>
  </si>
  <si>
    <t>CONCENTRACIONES DE SALIDA DE LA EDAR DE VEDRA</t>
  </si>
  <si>
    <t>CONCENTRACIONES DE ENTRADA DE LA EDAR VEDRA</t>
  </si>
  <si>
    <t>Caudales mensuales en m3</t>
  </si>
  <si>
    <t>g/d</t>
  </si>
  <si>
    <t>Entrada Cerceda (según diseño)</t>
  </si>
  <si>
    <t>EDAR de Cerceda – Cobelans</t>
  </si>
  <si>
    <t>EDAR de Vedra</t>
  </si>
  <si>
    <t>Entrada Vedra (según diseño)</t>
  </si>
  <si>
    <t>Salida Vedra (según diseño)</t>
  </si>
  <si>
    <t>UNIDADES FUNCIONALES</t>
  </si>
  <si>
    <t>Para Vedra como tengo la DQO, la usé directamente</t>
  </si>
  <si>
    <t>Para calcular los hab-eq se tomó la DBO5 en kg/d, se multiplicó por 1000 para pasar a g/d y se divide por 60 según la definición de 1 hab.eq DBO5 = 60 g DBO5 / dia</t>
  </si>
  <si>
    <t>Los valores calculados coinciden con los indicados por la empresa</t>
  </si>
  <si>
    <t>Para Cerceda calculé la DQO a partir de la DBO y la relación DBO:DQO que obtuve de media para los periodos seleccionados (0.44 en la entrada, 0.46 en la salida)</t>
  </si>
  <si>
    <t>Los datos que están en naranjo son inciertos, pues en las tablas recibidas aparecen como desigualdades en lugar de valores certeros.</t>
  </si>
  <si>
    <t>VALORES MEDIDOS</t>
  </si>
  <si>
    <t>CONCENTRACIONES DE ENTRADA DE LA EDAR DE CERCEDA - COBELANS CONSIDERADAS</t>
  </si>
  <si>
    <t>SST / DQO indica qué tanto de los sólidos es materia orgánica</t>
  </si>
  <si>
    <t>SST / DBO5 indica qué tanto de los sólidos es materia orgánica biodegradable</t>
  </si>
  <si>
    <t>Estas 2 tablas de abajo fueron hechas solo para mirar los datos, no se usan para ningún desarrollo</t>
  </si>
  <si>
    <t>EDAR CERCEDA</t>
  </si>
  <si>
    <t>CONCENTRACIONES DE SALIDA DE LA EDAR DE CERCEDA - COBELANS CONSIDERADAS</t>
  </si>
  <si>
    <t>CARGAS DE ENTRADA DE LA EDAR DE CERCEDA - COBELANS CONSIDERADAS</t>
  </si>
  <si>
    <t>CARGAS DE SALIDA DE LA EDAR DE CERCEDA - COBELANS CONSIDERADAS</t>
  </si>
  <si>
    <t>% elim</t>
  </si>
  <si>
    <t>Parámetros de entrada según diseño</t>
  </si>
  <si>
    <t>Caudales en m3/d</t>
  </si>
  <si>
    <t>Observaciones</t>
  </si>
  <si>
    <t>Agua bruta</t>
  </si>
  <si>
    <t>m3/mes</t>
  </si>
  <si>
    <t>m3/d</t>
  </si>
  <si>
    <t>Prueba Alternativa 1: Usar todos los datos</t>
  </si>
  <si>
    <t>Prueba Alternativa 2: Usar todos los datos exactos + promedios</t>
  </si>
  <si>
    <t>Cargas en la EDAR de Cerceda (Caso 1)</t>
  </si>
  <si>
    <t>Residuos removidos</t>
  </si>
  <si>
    <t>Residuo</t>
  </si>
  <si>
    <t>Arenas</t>
  </si>
  <si>
    <t>Grasas</t>
  </si>
  <si>
    <t>m3/año</t>
  </si>
  <si>
    <t>Desbaste</t>
  </si>
  <si>
    <t>El desbaste son los sólidos de los tamices</t>
  </si>
  <si>
    <t>Lodos</t>
  </si>
  <si>
    <t>EDAR CERCEDA COBELANS - HORAS DE EQUIPOS (horas/mes)</t>
  </si>
  <si>
    <t>SOPLANTE 1</t>
  </si>
  <si>
    <t>SOPLANTE 2</t>
  </si>
  <si>
    <t>AGIT ANAER. 1</t>
  </si>
  <si>
    <t>AGIT ANAER. 2</t>
  </si>
  <si>
    <t>ROTOR 1</t>
  </si>
  <si>
    <t>ROTOR 2</t>
  </si>
  <si>
    <t>ROTOR 3</t>
  </si>
  <si>
    <t>ROTOTR 4</t>
  </si>
  <si>
    <t>ROTOR 5</t>
  </si>
  <si>
    <t>ROTOR 6</t>
  </si>
  <si>
    <t>ROTOR 7</t>
  </si>
  <si>
    <t>ROTOR 8</t>
  </si>
  <si>
    <t>AGIT AEROBIO 1</t>
  </si>
  <si>
    <t>AGIT AEROBIO 2</t>
  </si>
  <si>
    <t>AGIT AEROBIO 3</t>
  </si>
  <si>
    <t>AGIT AEROBIO 4</t>
  </si>
  <si>
    <t>BBA REC FANGOS 1</t>
  </si>
  <si>
    <t>BBA REC FANGOS 2</t>
  </si>
  <si>
    <t>BBA REC FANGOS 3</t>
  </si>
  <si>
    <t>BBA EXCESO 1</t>
  </si>
  <si>
    <t>BBA EXCESO 2</t>
  </si>
  <si>
    <t>BBA INTERNO 1</t>
  </si>
  <si>
    <t>BBA INTERNO 2</t>
  </si>
  <si>
    <t>BBA FANGOS DESH</t>
  </si>
  <si>
    <t>CENTRIFUGA</t>
  </si>
  <si>
    <t>BBA FANGO A PREDESH</t>
  </si>
  <si>
    <t>PREDESHIDRATADOR</t>
  </si>
  <si>
    <t>Salida Cerceda (según diseño)</t>
  </si>
  <si>
    <t>Los lodos llegan a entre 18 y 21% de materia seca normalmente</t>
  </si>
  <si>
    <t>kg/año</t>
  </si>
  <si>
    <t>La diferencia se remueve del agua y va a parar a otros destinos</t>
  </si>
  <si>
    <t>Salidas:</t>
  </si>
  <si>
    <t>Precipitaciones no medidas, consumo por microorganismos</t>
  </si>
  <si>
    <t>CO2, consumo por microorganismos</t>
  </si>
  <si>
    <t>Parte del NT se viene pa acá</t>
  </si>
  <si>
    <t>Emisiones gaseosas (N2, N2O), consumo por microorganismos, amoníaco</t>
  </si>
  <si>
    <t>Balance de masa equipo a equipo</t>
  </si>
  <si>
    <t>F1</t>
  </si>
  <si>
    <t>Arqueta de entrada</t>
  </si>
  <si>
    <t>F2</t>
  </si>
  <si>
    <t>Tamiz 5mm</t>
  </si>
  <si>
    <t>F3</t>
  </si>
  <si>
    <t>F21</t>
  </si>
  <si>
    <t>Desarenador desengrasador</t>
  </si>
  <si>
    <t>F4</t>
  </si>
  <si>
    <t>Tamiz 1mm</t>
  </si>
  <si>
    <t>F5</t>
  </si>
  <si>
    <t>F22</t>
  </si>
  <si>
    <t>F23</t>
  </si>
  <si>
    <t>Tanque homogeneizador</t>
  </si>
  <si>
    <t>F6</t>
  </si>
  <si>
    <t>Tanque anaerobio</t>
  </si>
  <si>
    <t>F7</t>
  </si>
  <si>
    <t>F24</t>
  </si>
  <si>
    <t>Canal de oxidación</t>
  </si>
  <si>
    <t>F8</t>
  </si>
  <si>
    <t>F25</t>
  </si>
  <si>
    <t>Decantador</t>
  </si>
  <si>
    <t>F9</t>
  </si>
  <si>
    <t>Desinfección UV</t>
  </si>
  <si>
    <t>F10</t>
  </si>
  <si>
    <t>Bomba de lodos</t>
  </si>
  <si>
    <t>F13</t>
  </si>
  <si>
    <t>F14</t>
  </si>
  <si>
    <t>F15</t>
  </si>
  <si>
    <t>F16</t>
  </si>
  <si>
    <t>F11</t>
  </si>
  <si>
    <t>F26</t>
  </si>
  <si>
    <t>F12</t>
  </si>
  <si>
    <t>Deshidratación</t>
  </si>
  <si>
    <t>F18</t>
  </si>
  <si>
    <t>F19</t>
  </si>
  <si>
    <t>F28</t>
  </si>
  <si>
    <t>F27</t>
  </si>
  <si>
    <t>F17</t>
  </si>
  <si>
    <t>F20</t>
  </si>
  <si>
    <t>Cosas que ya se de antes</t>
  </si>
  <si>
    <t>F1:</t>
  </si>
  <si>
    <t>F2:</t>
  </si>
  <si>
    <t>F3:</t>
  </si>
  <si>
    <t>F4:</t>
  </si>
  <si>
    <t>F5:</t>
  </si>
  <si>
    <t>F6:</t>
  </si>
  <si>
    <t>F7:</t>
  </si>
  <si>
    <t>F14:</t>
  </si>
  <si>
    <t>F13:</t>
  </si>
  <si>
    <t>F9:</t>
  </si>
  <si>
    <t>F8:</t>
  </si>
  <si>
    <t>F12:</t>
  </si>
  <si>
    <t>F11:</t>
  </si>
  <si>
    <t>F10:</t>
  </si>
  <si>
    <t>F15:</t>
  </si>
  <si>
    <t>F16:</t>
  </si>
  <si>
    <t>F17:</t>
  </si>
  <si>
    <t>F18:</t>
  </si>
  <si>
    <t>F19:</t>
  </si>
  <si>
    <t>F20:</t>
  </si>
  <si>
    <t>F21:</t>
  </si>
  <si>
    <t>F22:</t>
  </si>
  <si>
    <t>F23:</t>
  </si>
  <si>
    <t>F24:</t>
  </si>
  <si>
    <t>F25:</t>
  </si>
  <si>
    <t>F26:</t>
  </si>
  <si>
    <t>F27:</t>
  </si>
  <si>
    <t>F28:</t>
  </si>
  <si>
    <t>Agua depurada</t>
  </si>
  <si>
    <t>Agua de proceso</t>
  </si>
  <si>
    <t>Lodos deshidratados</t>
  </si>
  <si>
    <t>Desbaste (del tamiz de 5mm)</t>
  </si>
  <si>
    <t>Emisiones gaseosas (del tanque anaerobio)</t>
  </si>
  <si>
    <t>Emisiones gaseosas (del canal de oxidación)</t>
  </si>
  <si>
    <t>Desbaste (del tamiz de 1mm)</t>
  </si>
  <si>
    <t>Agua de proceso (recirculación del bombeo interno)</t>
  </si>
  <si>
    <t>Agua de proceso (de los lodos + flotantes y grasas del decantador)</t>
  </si>
  <si>
    <t>Agua de proceso (de los lodos)</t>
  </si>
  <si>
    <t>Flotantes y grasas (del decantador)</t>
  </si>
  <si>
    <t>Flotantes y grasas (quitadas por el desarenador / desengrasador)</t>
  </si>
  <si>
    <t>Lodos recirculados</t>
  </si>
  <si>
    <t>Agua con arenas (del desarenador / desengrasador)</t>
  </si>
  <si>
    <t>Agua de proceso (del extractor de arenas)</t>
  </si>
  <si>
    <t>Lodos (del canal de oxidación)</t>
  </si>
  <si>
    <t>Lodos (del decantador)</t>
  </si>
  <si>
    <t>Agua de proceso (desbastada con tamiz 5mm)</t>
  </si>
  <si>
    <t>Agua de proceso (del desarenado / desengrasado)</t>
  </si>
  <si>
    <t>Agua de proceso (del desbaste con tamiz 1mm)</t>
  </si>
  <si>
    <t>Agua de proceso (del tanque de homogeneización)</t>
  </si>
  <si>
    <t>Agua de proceso (del tanque anaerobio)</t>
  </si>
  <si>
    <t>Agua de proceso (del canal de oxidación)</t>
  </si>
  <si>
    <t>Agua de proceso (del decantador)</t>
  </si>
  <si>
    <t>Lodos a deshidratar (de la bomba de lodos)</t>
  </si>
  <si>
    <t>L/año</t>
  </si>
  <si>
    <t>Multiplicar caudal por densidad</t>
  </si>
  <si>
    <t>Multiplicar caudal por concentración de polielectrolito</t>
  </si>
  <si>
    <t>Flujo total</t>
  </si>
  <si>
    <t>FOG</t>
  </si>
  <si>
    <t>Deter.</t>
  </si>
  <si>
    <t>En la arqueta de entrada no hay ningún cambio en masa, sólo se reciben las aguas e ingresan a la EDAR</t>
  </si>
  <si>
    <t>Consideraciones / suposiciones</t>
  </si>
  <si>
    <t>El polielectrolito no tiene nada más que a si mismo</t>
  </si>
  <si>
    <t>Mat. Org</t>
  </si>
  <si>
    <t>Polielec.</t>
  </si>
  <si>
    <t>La DBO5 Y DQO son parte de la materia orgánica, de la que también son parte (al menos parcialmente) los SST, el NT, el PT, y FOG</t>
  </si>
  <si>
    <t>Por donde salen los detergentes removidos?</t>
  </si>
  <si>
    <t>Asumo que los sólidos desbastados (F21) no influyen en el caudal volumétrico</t>
  </si>
  <si>
    <t>A donde va a parar el polielectrolito?</t>
  </si>
  <si>
    <t>Preguntas</t>
  </si>
  <si>
    <t>Por F21 saldrán los sólidos desbastados que se eliminan de F2.</t>
  </si>
  <si>
    <t>El agua de proceso recirculada de F20 se junta con F2 para dar lugar a F3</t>
  </si>
  <si>
    <t>*Los cuadros pintados en naranjo son cosas que tendré que calcular con el balance</t>
  </si>
  <si>
    <t>*Los cuadros en rosado (abajo) serán suposiciones</t>
  </si>
  <si>
    <t>*Los cuadros en rojo son dudas o cosas que tengo que revisar</t>
  </si>
  <si>
    <t>Desarenador / desengrasador</t>
  </si>
  <si>
    <t>Tamices, desarenador / desengrasador, consumo por microorganismos, lodos</t>
  </si>
  <si>
    <t>F11 se lleva las arenas y F22 se lleva flotantes y grasas</t>
  </si>
  <si>
    <t>F1 = F2</t>
  </si>
  <si>
    <t>F2 + F20 = F3 + F21</t>
  </si>
  <si>
    <t>F3 = F4 + F11 + F22</t>
  </si>
  <si>
    <t>F4 = F5 + F23</t>
  </si>
  <si>
    <t>Por F23 sale el desbaste que saca el tamiz</t>
  </si>
  <si>
    <t>F5 = F6</t>
  </si>
  <si>
    <t>F9 = F10</t>
  </si>
  <si>
    <t>La desinfección UV no produce ningún cambio en los componentes para fines del balance</t>
  </si>
  <si>
    <t>F11 = F12 + F26</t>
  </si>
  <si>
    <t>Eliminación</t>
  </si>
  <si>
    <t>Las arenas tienen solo SST</t>
  </si>
  <si>
    <t>Fracciones que van a</t>
  </si>
  <si>
    <t>Puede haber una pequeña remoción de NT, PT o detergentes por partículas arrastradas, pero se asume que es 0</t>
  </si>
  <si>
    <t>Solamente mezcla y amortigua variaciones en concentraciones, pero no las estoy considerando</t>
  </si>
  <si>
    <t>Tratamiento biológico</t>
  </si>
  <si>
    <t>Gases</t>
  </si>
  <si>
    <t>F13 + F14 (lodos)</t>
  </si>
  <si>
    <t>F24 + F25 (gases)</t>
  </si>
  <si>
    <t>El NT en gases sale como N2O y N2 principalmente</t>
  </si>
  <si>
    <t>Parte de los detergentes son degradados por los microorganismos liberando CO2</t>
  </si>
  <si>
    <t>Parte de las FOG son degradadas por microorganismos liberando CO2</t>
  </si>
  <si>
    <t>F13 + F14 = F15 + F17</t>
  </si>
  <si>
    <t>Sólo se distribuyen flujos, no cambia ninguna concentración</t>
  </si>
  <si>
    <t>%MS</t>
  </si>
  <si>
    <t>F17 + F27 = F18 + F28</t>
  </si>
  <si>
    <t>Tengo sólo algunas entradas y salidas del proceso. Para saber los impactos de manera adecuada, necesito más info de la que tengo, así que usaré la info que me dieron para calcular los demás datos que me faltan, y lo que no pueda calcular, lo veré de bibliografía</t>
  </si>
  <si>
    <t>Asumo que la centrífuga hace que se vayan el 95% de los SST hacia F28</t>
  </si>
  <si>
    <t>El tanque homogeneizador no produce ningún cambio en las masas de los componentes</t>
  </si>
  <si>
    <t>VOY A TENER UNA ∆ ENTRE EL CONSUMO QUE YO CALCULE Y EL TOTAL (PEDIR EL TOTAL). VER QUE TENGA SENTIDO Y ESTIMAR A QUÉ SE DEBE</t>
  </si>
  <si>
    <t>AQUÍ DEBO HACER BALANCE DE C, N, Y P PARA SABER CUANTO VA A GAS, AGUA Y LODO</t>
  </si>
  <si>
    <t>EN LÍNEA DE LODOS ME INTERESA EL FLUJO Y LA MATERIA SECA SOLAMENTE</t>
  </si>
  <si>
    <t>F12 + F19 = F20</t>
  </si>
  <si>
    <t>F12 son las aguas que salen del extractor de arenas. F19 es el agua que sale de la deshidratación de lodos.</t>
  </si>
  <si>
    <t>El bombeo sólo mezcla los flujos de F12 y F19</t>
  </si>
  <si>
    <t>Mezcla de F16 y F18</t>
  </si>
  <si>
    <t>F16 + F18 = F19</t>
  </si>
  <si>
    <t>F16 son los flotantes del decantador. F18 son las aguas de la deshidratación.</t>
  </si>
  <si>
    <t>Sólo se mezclan los flujos de F16 y F18</t>
  </si>
  <si>
    <t>F11 son las arenas húmedas del desarenador. F12 son las aguas extraidas de las arenas. F26 son las arenas secas que van a un contenedor.</t>
  </si>
  <si>
    <t>Son sólo SST (son inertes)</t>
  </si>
  <si>
    <t>EDITADO, PROBANDO USAR SOLO UN MES (6.24)</t>
  </si>
  <si>
    <t xml:space="preserve">El 10.24 tengo una DQO muy alta, pero muy baja DBO. Esto puede deberse a que en el momento en que se tomó la muestra, estaba entrando principalmente agua industrial. El agua de las industrias es del polígono de acevedo, en donde es de destacar la presencia de </t>
  </si>
  <si>
    <t>Según Lirios casi no hay sólidos grandes en el agua, así que asumo que la remoción de contaminantes aquí es despreciable</t>
  </si>
  <si>
    <t>El desbaste se lleva SST con un poquito de materia orgánica</t>
  </si>
  <si>
    <t>Verde</t>
  </si>
  <si>
    <t>Ta listo, no es necesario volver a tocarlo</t>
  </si>
  <si>
    <t>Amarillo</t>
  </si>
  <si>
    <t>Caudal total</t>
  </si>
  <si>
    <t>L/m3</t>
  </si>
  <si>
    <t>Desbaste / caudal total</t>
  </si>
  <si>
    <t>Prueba Alternativa 3: Eliminar outliers (&gt; 2 sigma)</t>
  </si>
  <si>
    <t>St. Dev.</t>
  </si>
  <si>
    <t>x-2stdev</t>
  </si>
  <si>
    <t>x+2stdev</t>
  </si>
  <si>
    <t>√</t>
  </si>
  <si>
    <t>X</t>
  </si>
  <si>
    <t>Eliminando los valores que están a más de 2 sigma de la media</t>
  </si>
  <si>
    <t>Convirtiendo concentraciones a cargas</t>
  </si>
  <si>
    <t>Cargas en la EDAR de Cerceda (Caso 2)</t>
  </si>
  <si>
    <t>Usaré el caso 1. Se justifica la elección porque la mayoría de resultados son similares al caso 2, pero la remoción de aceites y grasas es mucho menor, lo que se puede atribuír a que en la salida del caso 2 hay solo un dato exacto.</t>
  </si>
  <si>
    <t>Cargas en la EDAR de Cerceda (Caso 3)</t>
  </si>
  <si>
    <t>Arenas / caudal total</t>
  </si>
  <si>
    <t>m3/Mm3</t>
  </si>
  <si>
    <t>Densidad de las arenas:</t>
  </si>
  <si>
    <t>kg/m3</t>
  </si>
  <si>
    <t>% de SST que son arenas:</t>
  </si>
  <si>
    <t>% de remoción de arenas:</t>
  </si>
  <si>
    <t>% de remoción de FOG:</t>
  </si>
  <si>
    <t>Humedad de las arenas:</t>
  </si>
  <si>
    <t>Materia orgánica en arenas:</t>
  </si>
  <si>
    <t>Media antes</t>
  </si>
  <si>
    <t>∆ fracción</t>
  </si>
  <si>
    <t>CONCENTRACIONES DE SALIDA</t>
  </si>
  <si>
    <t>Porcentajes</t>
  </si>
  <si>
    <t>Comment</t>
  </si>
  <si>
    <t>DQOb</t>
  </si>
  <si>
    <t>DQOnb</t>
  </si>
  <si>
    <t>DQOs</t>
  </si>
  <si>
    <t>DQOp</t>
  </si>
  <si>
    <t>DQOnbs</t>
  </si>
  <si>
    <t>DQOrb</t>
  </si>
  <si>
    <t>DQOnbp</t>
  </si>
  <si>
    <t>DQOlb</t>
  </si>
  <si>
    <t>Calculada en base a las demás</t>
  </si>
  <si>
    <t>Pasztor, Thury &amp; Pulai (2008)</t>
  </si>
  <si>
    <t>total</t>
  </si>
  <si>
    <t>biodegradable</t>
  </si>
  <si>
    <t>no biodegradable</t>
  </si>
  <si>
    <t>soluble</t>
  </si>
  <si>
    <t>no biodegradable soluble</t>
  </si>
  <si>
    <t>particulada</t>
  </si>
  <si>
    <t>rapidamente biodegradable</t>
  </si>
  <si>
    <t>no biodegradable particulada</t>
  </si>
  <si>
    <t>lentamente biodegradable</t>
  </si>
  <si>
    <t>Concentraciones (mg/L)</t>
  </si>
  <si>
    <t>Cargas (kg/d)</t>
  </si>
  <si>
    <t>trivial</t>
  </si>
  <si>
    <t>Fuente (%)</t>
  </si>
  <si>
    <t>Sólo sacaría ocasionalmente algún sólido grande que pueda llegar para evitar daño a los equipos</t>
  </si>
  <si>
    <t>Asociada a</t>
  </si>
  <si>
    <t>DBO</t>
  </si>
  <si>
    <t>TSS</t>
  </si>
  <si>
    <t>Densidad de FOG:</t>
  </si>
  <si>
    <t>DQO en FOG:</t>
  </si>
  <si>
    <t>Salen TSS por arenas y por FOG (FOG contiene VSS)</t>
  </si>
  <si>
    <t>SSV</t>
  </si>
  <si>
    <t>Fraccionamiento de sólidos suspendidos tras Tamiz 5 mm (F2)</t>
  </si>
  <si>
    <t>Fraccionamiento de la DQO tras Tamiz 5mm (F2)</t>
  </si>
  <si>
    <t>Trivial</t>
  </si>
  <si>
    <t>Inerte</t>
  </si>
  <si>
    <t>Orgánico</t>
  </si>
  <si>
    <t>Metcalf&amp;Eddy 5th p.221</t>
  </si>
  <si>
    <t>Porcentajes en F1, F2</t>
  </si>
  <si>
    <t>VSS en FOG</t>
  </si>
  <si>
    <t>kgDQO / kgVSS</t>
  </si>
  <si>
    <t>Porcentaje (%) | Carga (kg/d)</t>
  </si>
  <si>
    <t>Considero que las arenas son sólidos suspendidos con agua (parte de los SS son materia orgánica)</t>
  </si>
  <si>
    <t>Letra amarilla</t>
  </si>
  <si>
    <t>Puede haber discrepancia entre los datos (particularmente por los residuos) y los cálculos</t>
  </si>
  <si>
    <t>Asumo que sólo salen materia orgánica y SST por las arenas (F11)</t>
  </si>
  <si>
    <t>VSS/ST</t>
  </si>
  <si>
    <t>ST en FOG:</t>
  </si>
  <si>
    <t>ST/FOG</t>
  </si>
  <si>
    <t>Considero que la parte orgánica de FOG son solo sólidos suspendidos volátiles, y todos los SS de FOG son SSV (el resto son otros tipos de sólidos, pero no suspendidos)</t>
  </si>
  <si>
    <t>SSi</t>
  </si>
  <si>
    <t>Negrita</t>
  </si>
  <si>
    <t>Esto viene de referencia, suposición, o es trivial, pero no fue necesario calcularlo en este paso</t>
  </si>
  <si>
    <t>Arenas (SSi)</t>
  </si>
  <si>
    <t>Auxiliar</t>
  </si>
  <si>
    <t>*ST</t>
  </si>
  <si>
    <t>NOT USED</t>
  </si>
  <si>
    <t>FOG, VSS, DBO (parcialmente)</t>
  </si>
  <si>
    <t>Asumo que el 100% de la DQOrb es también DBO, y lo demás es DQOlb</t>
  </si>
  <si>
    <t>Fraccionamiento de la DQO en Desarenador Aireado</t>
  </si>
  <si>
    <t>La DQOp es la suma de DQOnbp y DQOlb</t>
  </si>
  <si>
    <t>Asumo que la DBO se compone de toda la DQOrb y parte de la DQOlb</t>
  </si>
  <si>
    <t>Asumo que la DBO se compone de toda la DQOrb y el resto es DQOlb.</t>
  </si>
  <si>
    <t>Asumo también que el porcentaje de ambas no variará en esta unidad.</t>
  </si>
  <si>
    <t>Total en F3</t>
  </si>
  <si>
    <t>Parte de la DBO en F3</t>
  </si>
  <si>
    <t>% de si mismo en F3</t>
  </si>
  <si>
    <t>Fraccionamiento de la DQO en Extractor de Arenas</t>
  </si>
  <si>
    <t>Fraccionamiento de sólidos suspendidos en Extractor de Arenas</t>
  </si>
  <si>
    <t>Materia orgánica en arenas lavadas:</t>
  </si>
  <si>
    <t>Porcentaje de arenas extraídas:</t>
  </si>
  <si>
    <t>Los SSV se distribuyen homogéneamente entre DQOnbp y DQOlb</t>
  </si>
  <si>
    <t>Asumo que los SSV se distribuyen homogéneamente entre la DQOnbp y la DQOlb según sus cantidades</t>
  </si>
  <si>
    <t>Fracciones de DQO particulada</t>
  </si>
  <si>
    <t>La remoción de contaminantes en tamices de 0.2 a 1.5 mm es similar a la de la clarificación primaria</t>
  </si>
  <si>
    <t>Remoción de SST</t>
  </si>
  <si>
    <t>Asumo que la remoción es homogénea para ambas fracciones de SST</t>
  </si>
  <si>
    <t>Y que las fracciones de DQO asociadas a los SSV se remueven en el mismo porcentaje que los SSV</t>
  </si>
  <si>
    <t>Fraccionamiento de sólidos suspendidos Tamiz 1 mm</t>
  </si>
  <si>
    <t xml:space="preserve">Fraccionamiento de la DQO en Tamiz 1 mm </t>
  </si>
  <si>
    <t>Fraccionamiento de sólidos suspendidos en Desarenador Aireado</t>
  </si>
  <si>
    <t>% de SSV que salen en</t>
  </si>
  <si>
    <t>En principio asumo que no hay remoción de NT, PT, FOG o detergentes</t>
  </si>
  <si>
    <t>SSi no tiene DQO</t>
  </si>
  <si>
    <t>SSV sí tiene DQO</t>
  </si>
  <si>
    <t>ST</t>
  </si>
  <si>
    <t>Parte del PT es asimilado por los microorganismos</t>
  </si>
  <si>
    <t>.</t>
  </si>
  <si>
    <t>Porcentaje de recirculación de lodos:</t>
  </si>
  <si>
    <t>% del NT que se emite como N2O-N2:</t>
  </si>
  <si>
    <t>Polielectrolito seco por tonelada de materia seca (SST) en los lodos a deshidratar (% o kg/ton):</t>
  </si>
  <si>
    <t>% materia seca de lodos deshidratados:</t>
  </si>
  <si>
    <t>% materia seca en lodos sin deshidratar:</t>
  </si>
  <si>
    <t>Final (referencia)</t>
  </si>
  <si>
    <t>Densidad del policloruro de aluminio (PAC):</t>
  </si>
  <si>
    <t>Compuesto</t>
  </si>
  <si>
    <t>Ácido acético</t>
  </si>
  <si>
    <t>Fórmula</t>
  </si>
  <si>
    <t>Masa molar</t>
  </si>
  <si>
    <t>C2H4O2</t>
  </si>
  <si>
    <t>Biomasa</t>
  </si>
  <si>
    <t>C5H7NO2</t>
  </si>
  <si>
    <t>Oxígeno</t>
  </si>
  <si>
    <t>O2</t>
  </si>
  <si>
    <t>Amonio</t>
  </si>
  <si>
    <t>NH4+</t>
  </si>
  <si>
    <t>Dióxido de carbono</t>
  </si>
  <si>
    <t>CO2</t>
  </si>
  <si>
    <t>Nitrato</t>
  </si>
  <si>
    <t>NO3-</t>
  </si>
  <si>
    <t>Desnitrificación (anóxico)</t>
  </si>
  <si>
    <t>Nitrificación (aerobio)</t>
  </si>
  <si>
    <t>Desnitrificación</t>
  </si>
  <si>
    <t>Moles</t>
  </si>
  <si>
    <t>% de TN que queda en lodos</t>
  </si>
  <si>
    <t>% de TN que se emite en gases</t>
  </si>
  <si>
    <t>Replicación celular (aerobio)</t>
  </si>
  <si>
    <t>Oxidación de materia orgánica (aerobio)</t>
  </si>
  <si>
    <t>Oxidación</t>
  </si>
  <si>
    <t>Replicación</t>
  </si>
  <si>
    <t>Nitrificación</t>
  </si>
  <si>
    <t>DBO del ácido acético</t>
  </si>
  <si>
    <t>g DBO5 / g C2H4O2</t>
  </si>
  <si>
    <t>kg N2O-N / (d * kg NT)</t>
  </si>
  <si>
    <t>kg N20 / (d*kg NT)</t>
  </si>
  <si>
    <t>kg N2O / d</t>
  </si>
  <si>
    <t>kg CO2eq - NO2 / d</t>
  </si>
  <si>
    <t>* Un signo negativo indica que la sustancia se consume</t>
  </si>
  <si>
    <t>Nitrógeno</t>
  </si>
  <si>
    <t>Salida</t>
  </si>
  <si>
    <t>Total (moles/d)</t>
  </si>
  <si>
    <t>N2</t>
  </si>
  <si>
    <t>&lt;- O2 requerido</t>
  </si>
  <si>
    <t>Masa (kg/d)</t>
  </si>
  <si>
    <t>*Los valores en negro se usaron para calcular los demás de sus respectivas reacciones</t>
  </si>
  <si>
    <t>*El O2 requerido real sería mayor al calculado aquí, pues se hicieron varias simplificaciones, y habría que calcular la disolución del O2 en agua y más cosas</t>
  </si>
  <si>
    <t>N2O</t>
  </si>
  <si>
    <t>Cálculos N2O</t>
  </si>
  <si>
    <t>Se asimila parte de la materia orgánica para formar células</t>
  </si>
  <si>
    <t>La materia orgánica en gases sale como CO2 principalmente</t>
  </si>
  <si>
    <t>g biomasa / g DQO</t>
  </si>
  <si>
    <t>Rendimiento de biomasa en sustrato</t>
  </si>
  <si>
    <t>---&gt;</t>
  </si>
  <si>
    <t>Rendimiento de C5H7NO2 en C2H4O2</t>
  </si>
  <si>
    <t>mol C5H7NO2 / mol C2H4O2</t>
  </si>
  <si>
    <t>F17: Lodos purgados</t>
  </si>
  <si>
    <t>F18: Agua extraída de los lodos</t>
  </si>
  <si>
    <t>F27: Polielectrolito</t>
  </si>
  <si>
    <t>F28: Lodos deshidratados</t>
  </si>
  <si>
    <t>Fósforo que se va en el lodo deshidratado:</t>
  </si>
  <si>
    <t>t de operación [h/año]</t>
  </si>
  <si>
    <t>Consumos eléctricos anuales</t>
  </si>
  <si>
    <t>Por qué los rotores no funcionaron en febrero?</t>
  </si>
  <si>
    <t>Se recirculó mucho fango en octubre</t>
  </si>
  <si>
    <t>Bombeo de fangos</t>
  </si>
  <si>
    <t>Pretratamiento (desarenado / desengrasado)</t>
  </si>
  <si>
    <t>Canal de aireación (oxidation ditch)</t>
  </si>
  <si>
    <t>Bombeo de interno</t>
  </si>
  <si>
    <t>Tanque de homogeneización</t>
  </si>
  <si>
    <t>Por qué no se deshidrataron lodos en mayo? Tampoco se bombearon fangos en exceso. será que no hubo casi producción de fangos por algún problema en el biológico? Se recirculó más fango que lo normal</t>
  </si>
  <si>
    <t>Consumo anual [kWh]</t>
  </si>
  <si>
    <t>EDAR VEDRA - HORAS DE EQUIPOS (horas/mes)</t>
  </si>
  <si>
    <t>TORNILLO</t>
  </si>
  <si>
    <t>BOMBA 1</t>
  </si>
  <si>
    <t>BOMBA 2</t>
  </si>
  <si>
    <t>AGITADOR</t>
  </si>
  <si>
    <t>BOMBA PAC</t>
  </si>
  <si>
    <t>BOMBA METANOL</t>
  </si>
  <si>
    <t>RAYOS UV</t>
  </si>
  <si>
    <t>Bomba sumergible 1</t>
  </si>
  <si>
    <t>kWh anual</t>
  </si>
  <si>
    <t>kWh diarios</t>
  </si>
  <si>
    <t>Diario op.</t>
  </si>
  <si>
    <t>Suma equipos</t>
  </si>
  <si>
    <t>% restante</t>
  </si>
  <si>
    <t>Promedio</t>
  </si>
  <si>
    <t>StDev</t>
  </si>
  <si>
    <t>Outliers</t>
  </si>
  <si>
    <t>Desviación</t>
  </si>
  <si>
    <t>Rotores</t>
  </si>
  <si>
    <t>Soplantes, rotores</t>
  </si>
  <si>
    <t>+</t>
  </si>
  <si>
    <t>Alto NT y biodegradabilidad del afluente sobre el promedio</t>
  </si>
  <si>
    <t>Afluente muy poco biodegradable, y bajo NT a la entrada</t>
  </si>
  <si>
    <t>Materia orgánica y nitrógeno muy bajos a la entrada</t>
  </si>
  <si>
    <t>SST y materia orgánica bajos a la entrada</t>
  </si>
  <si>
    <t>Consumo eléctrico mensual [kWh]</t>
  </si>
  <si>
    <t>media</t>
  </si>
  <si>
    <t>Diferencia entre el consumo mensual de los equipos listados y el total</t>
  </si>
  <si>
    <t>Primero: Consumos eléctricos</t>
  </si>
  <si>
    <t>Segundo: Esquema del balance</t>
  </si>
  <si>
    <t>Tercero: Revisar corrientes del diagrama</t>
  </si>
  <si>
    <t>MOSTRAR A ALMUDENA</t>
  </si>
  <si>
    <t>EDAR CERCEDA COBELANS - Consumos mensuales por equipo (kWh)</t>
  </si>
  <si>
    <t>BOMBAS SUMERGIBLES</t>
  </si>
  <si>
    <t>BOMBAS PAC Y METANOL</t>
  </si>
  <si>
    <t>EDAR VEDRA - CONSUMOS MENSUALES DE EQUIPOS (kWh)</t>
  </si>
  <si>
    <t>Los valores en amarillo se desviaron entre 1σ y 2σ, mientras que el valor en rojo se desvió más de 2σ</t>
  </si>
  <si>
    <t>Promedio sin outliers &gt;2σ</t>
  </si>
  <si>
    <t>h</t>
  </si>
  <si>
    <t>d</t>
  </si>
  <si>
    <t>min</t>
  </si>
  <si>
    <t>No se consideran los periodos 9, 10 ni 11 por falta de datos</t>
  </si>
  <si>
    <t>En revisión</t>
  </si>
  <si>
    <t>Pozo Imhoff</t>
  </si>
  <si>
    <t>Pozo bombeo y homogeneización</t>
  </si>
  <si>
    <t>Anóxico</t>
  </si>
  <si>
    <t>Aireación extendida</t>
  </si>
  <si>
    <t>Decantación</t>
  </si>
  <si>
    <t>Biofiltros</t>
  </si>
  <si>
    <t>ton/año</t>
  </si>
  <si>
    <t>Lodos recirculados a anóxico</t>
  </si>
  <si>
    <t>Lodos recirculados a cabeza de planta</t>
  </si>
  <si>
    <t>F1 + F10 = F2 + F11 + F12</t>
  </si>
  <si>
    <t>F1: Agua residual bruta</t>
  </si>
  <si>
    <t>F2: Agua de proceso</t>
  </si>
  <si>
    <t>F3: Agua de proceso</t>
  </si>
  <si>
    <t>F4: Agua de proceso</t>
  </si>
  <si>
    <t>F5: Agua de proceso</t>
  </si>
  <si>
    <t>F6: Agua de proceso</t>
  </si>
  <si>
    <t>F7: Agua de proceso</t>
  </si>
  <si>
    <t>F8: Agua depurada</t>
  </si>
  <si>
    <t>F9: Lodos recirculados al anóxico (dentro de la planta compacta)</t>
  </si>
  <si>
    <t>F10: Lodos recirculados al pozo Imhoff (fuera de la planta compacta, a cabeza de planta)</t>
  </si>
  <si>
    <t>F11: Lodos a gestión (retirados por un camión)</t>
  </si>
  <si>
    <t>F12: Emisiones gaseosas del pozo Imhoff</t>
  </si>
  <si>
    <t>F15: Emisiones gaseosas del anóxico</t>
  </si>
  <si>
    <t>F16: Emisiones gaseosas del aerobio</t>
  </si>
  <si>
    <t>F14: Metanol</t>
  </si>
  <si>
    <t>Pozo de bombeo y homogeneización</t>
  </si>
  <si>
    <t>F2 = F3</t>
  </si>
  <si>
    <t>F4 = F5 + F16</t>
  </si>
  <si>
    <t>Biofiltro</t>
  </si>
  <si>
    <t>F5 = F6 + F9 + F10</t>
  </si>
  <si>
    <t>F7 = F8</t>
  </si>
  <si>
    <t>No ocurre ningún cambio másico, sólo desinfección del agua con radiación UV.</t>
  </si>
  <si>
    <t>F6 = F7 + F17</t>
  </si>
  <si>
    <t>F6: Agua del decantador</t>
  </si>
  <si>
    <t>F7: Agua filtrada</t>
  </si>
  <si>
    <t>F17: Lodos de biofiltro (purgados periódicamente)</t>
  </si>
  <si>
    <t>Tratamiento Biológico</t>
  </si>
  <si>
    <t>Anóxico desnitrifica y emite nitrógeno</t>
  </si>
  <si>
    <t>Revisar si las potencias son por cada equipo o si son la suma de todos (buscar alguno de los equipos en internet)</t>
  </si>
  <si>
    <t>https://aniq.org.mx/pqta/pdf/Magnasol_4725(MSDS).pdf</t>
  </si>
  <si>
    <t>F17: Lodos de los biofiltros (a gestión)</t>
  </si>
  <si>
    <t>Entradas y salidas globales de ambas EDAR</t>
  </si>
  <si>
    <t>Electricidad</t>
  </si>
  <si>
    <t>Entradas en la EDARI de Cerceda (anual)</t>
  </si>
  <si>
    <t>Entradas en la EDAR de Vedra (anual)</t>
  </si>
  <si>
    <t>Salidas en la EDAR de Vedra (anual)</t>
  </si>
  <si>
    <t>Salidas en la EDARI de Cerceda (anual)</t>
  </si>
  <si>
    <t>Agua residual bruta</t>
  </si>
  <si>
    <t>Item</t>
  </si>
  <si>
    <t>Lodos a gestión</t>
  </si>
  <si>
    <t>Policloruro de aluminio</t>
  </si>
  <si>
    <t>CH4</t>
  </si>
  <si>
    <t>F3 + F9 + F13 + F14 = F4 + F15</t>
  </si>
  <si>
    <t>Depuración de aguas residuales: Modelización de procesos de lodos activos. 2da edición ampliada - Manuel Gil Rodríguez (2013)</t>
  </si>
  <si>
    <t>*Es solo para estimar la generación de lodos para los cálculos, pero en realidad los lodos se retiran una vez al año</t>
  </si>
  <si>
    <t>Datos conocidos:</t>
  </si>
  <si>
    <t>Det. Anion</t>
  </si>
  <si>
    <t>F11 + F17</t>
  </si>
  <si>
    <t>PAC</t>
  </si>
  <si>
    <t>F13: Policloruro de aluminio (PAC / Magnasol)</t>
  </si>
  <si>
    <t>ρ metanol</t>
  </si>
  <si>
    <t>kg/L</t>
  </si>
  <si>
    <t>&lt;––––&gt;</t>
  </si>
  <si>
    <t>ρ PAC</t>
  </si>
  <si>
    <t>Cuarto: ir armando balance</t>
  </si>
  <si>
    <t>DQO metanol</t>
  </si>
  <si>
    <t>gDQO / gmetOH</t>
  </si>
  <si>
    <t>https://www.abpcoatings.com/wp-content/uploads/2019/02/Metanol.pdf</t>
  </si>
  <si>
    <t>CH3OH</t>
  </si>
  <si>
    <t xml:space="preserve">Aerobio oxida mat.org. y hace respiración endógena </t>
  </si>
  <si>
    <t>Según el fabricante, todos los lodos producidos deberían consumirse por respiración endógena, pero realmente no ocurre, y se produce mucho lodo en exceso</t>
  </si>
  <si>
    <t>Producción de fangos:</t>
  </si>
  <si>
    <t>L/(hab*año)</t>
  </si>
  <si>
    <t>diametro tanque</t>
  </si>
  <si>
    <t>Volumen tanque</t>
  </si>
  <si>
    <t>m</t>
  </si>
  <si>
    <t>m3</t>
  </si>
  <si>
    <t>L</t>
  </si>
  <si>
    <t>Días para llenar</t>
  </si>
  <si>
    <t>% MS en fangos:</t>
  </si>
  <si>
    <t>altura útil tanque (estimación)</t>
  </si>
  <si>
    <t>Tuve que iterar manualmente porque sino explotaba el valor</t>
  </si>
  <si>
    <t>en vedra se piden 12 garrafas de metanol cada 20 días aproximadamente y 8 garrafas cada 4 meses</t>
  </si>
  <si>
    <t>Uso de reactivos</t>
  </si>
  <si>
    <t>Transporte de reactivos</t>
  </si>
  <si>
    <t>Remoción de fosfato (global)</t>
  </si>
  <si>
    <t>Puedo usar las potencias y horas de funcionamiento para distribuir la energía del total según cuanto gastaría cada equipo</t>
  </si>
  <si>
    <t>Ver qué tipología de residuos es cada uno</t>
  </si>
  <si>
    <t>DQOrb / DBO5</t>
  </si>
  <si>
    <t>DQOlb_DBO5 / DBO5</t>
  </si>
  <si>
    <t>DQOlb_DBO5 / DQOlb</t>
  </si>
  <si>
    <t>Fracción</t>
  </si>
  <si>
    <t>Masa</t>
  </si>
  <si>
    <t>El 100% de la DQOrb contribuye a la DBO, mientras que sólo el 37.5% (S176) de la DQOlb contribuye. Esto lo asocio a que es la parte con menor tamaño.</t>
  </si>
  <si>
    <t>Como asumí que la fracción de la DQOlb que aporta DQO es sólo la de menor tamaño, el tamiz no removerá DBO hasta no alcanzar la cantidad d DQOlb que forma parte de la DBO</t>
  </si>
  <si>
    <t>Se asume que en el decantador secundario hay una cantidad despreciable de flotantes</t>
  </si>
  <si>
    <t>El proceso tiene EBPR (Enhanced Biological Phosphorus Removal), por lo que asumo que en el anaerobio la única rx importante es esa, y no hay una generación importante de metano</t>
  </si>
  <si>
    <t>Habrá nitrificación y desnitrificación simultáneas en el Oxidation Ditch (OD)</t>
  </si>
  <si>
    <t>Eliminación aprox.</t>
  </si>
  <si>
    <t>Fosfato</t>
  </si>
  <si>
    <t>PO4</t>
  </si>
  <si>
    <t>Enhanced Biological Phosphorus Removal (Global)</t>
  </si>
  <si>
    <t>*Primero calculo la nitificación y desnitrificación, luego la replicación, y la materia orgánica que queda para llegar al porcentaje de remoción la tiro a oxidación</t>
  </si>
  <si>
    <t>Tratamiento biológico de aguas residuales: Principios, modelación y diseño. Carlos M López Vázquez et al. 2017</t>
  </si>
  <si>
    <t>Trato el PT como si fuese fosfato</t>
  </si>
  <si>
    <t>Consumo / Generación en EBPR</t>
  </si>
  <si>
    <t xml:space="preserve">Moles </t>
  </si>
  <si>
    <t>Reacciones en el oxidation ditch (no EBPR)</t>
  </si>
  <si>
    <t>Generación / Consumo totales Tratamiento Biológico</t>
  </si>
  <si>
    <t>Gen / Cons neto</t>
  </si>
  <si>
    <t>Comp asociado</t>
  </si>
  <si>
    <t xml:space="preserve">Aporte </t>
  </si>
  <si>
    <t>SST en lodos</t>
  </si>
  <si>
    <t>DBO5 en agua</t>
  </si>
  <si>
    <t>NT en agua</t>
  </si>
  <si>
    <t>Emisiones</t>
  </si>
  <si>
    <t>Req. de aireación</t>
  </si>
  <si>
    <t>El PoliP es el polifosfato acumulado en las PAO, por lo que se va en los lodos. El glucógeno también se almacena dentro de la célula, así que nolos calculo</t>
  </si>
  <si>
    <t>PT en agua y lodos</t>
  </si>
  <si>
    <t>* lo resto al agua y lo sumo a los lodos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</si>
</sst>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0.0"/>
    <numFmt numFmtId="166" formatCode="0.0%"/>
    <numFmt numFmtId="167" formatCode="0.000"/>
    <numFmt numFmtId="168" formatCode="0.0000"/>
    <numFmt numFmtId="169" formatCode="0.0000000000000"/>
    <numFmt numFmtId="170" formatCode="General\ &quot;[kW]&quot;"/>
    <numFmt numFmtId="171" formatCode="General\ &quot;[h/año]&quot;"/>
    <numFmt numFmtId="172" formatCode="0.00\ &quot;[kWh]&quot;"/>
    <numFmt numFmtId="173" formatCode="0\ &quot;[kWh]&quot;"/>
    <numFmt numFmtId="174" formatCode="0.00000"/>
  </numFmts>
  <fonts count="57" x14ac:knownFonts="1">
    <font>
      <sz val="12"/>
      <color theme="1"/>
      <name val="Aptos Narrow"/>
      <family val="2"/>
      <scheme val="minor"/>
    </font>
    <font>
      <b/>
      <sz val="12"/>
      <color theme="1"/>
      <name val="Aptos Narrow"/>
      <family val="2"/>
      <scheme val="minor"/>
    </font>
    <font>
      <b/>
      <sz val="12"/>
      <color theme="0"/>
      <name val="Aptos Narrow"/>
      <family val="2"/>
      <scheme val="minor"/>
    </font>
    <font>
      <sz val="12"/>
      <color theme="1"/>
      <name val="Aptos Narrow"/>
      <family val="2"/>
      <scheme val="minor"/>
    </font>
    <font>
      <sz val="10"/>
      <color rgb="FF000000"/>
      <name val="Tahoma"/>
      <family val="2"/>
    </font>
    <font>
      <sz val="8"/>
      <name val="Aptos Narrow"/>
      <family val="2"/>
      <scheme val="minor"/>
    </font>
    <font>
      <b/>
      <sz val="10"/>
      <color theme="0"/>
      <name val="Aptos Narrow"/>
      <family val="2"/>
      <scheme val="minor"/>
    </font>
    <font>
      <sz val="10"/>
      <color rgb="FF000000"/>
      <name val="Aptos Narrow"/>
      <family val="2"/>
      <scheme val="minor"/>
    </font>
    <font>
      <sz val="12"/>
      <color theme="5" tint="-0.249977111117893"/>
      <name val="Aptos Narrow"/>
      <family val="2"/>
      <scheme val="minor"/>
    </font>
    <font>
      <sz val="12"/>
      <name val="Aptos Narrow"/>
      <family val="2"/>
      <scheme val="minor"/>
    </font>
    <font>
      <sz val="12"/>
      <color theme="5"/>
      <name val="Aptos Narrow"/>
      <family val="2"/>
      <scheme val="minor"/>
    </font>
    <font>
      <sz val="10"/>
      <color rgb="FF000000"/>
      <name val="Aptos Narrow"/>
      <family val="2"/>
    </font>
    <font>
      <sz val="12"/>
      <name val="Aptos Narrow"/>
      <family val="2"/>
      <scheme val="minor"/>
    </font>
    <font>
      <sz val="11"/>
      <color theme="1"/>
      <name val="Aptos Narrow"/>
      <family val="2"/>
      <scheme val="minor"/>
    </font>
    <font>
      <b/>
      <sz val="11"/>
      <color theme="0"/>
      <name val="Aptos Narrow"/>
      <family val="2"/>
      <scheme val="minor"/>
    </font>
    <font>
      <b/>
      <sz val="20"/>
      <color theme="0"/>
      <name val="Aptos Narrow"/>
      <family val="2"/>
      <scheme val="minor"/>
    </font>
    <font>
      <sz val="28"/>
      <color theme="0" tint="-4.9989318521683403E-2"/>
      <name val="Aptos Narrow"/>
      <family val="2"/>
      <scheme val="minor"/>
    </font>
    <font>
      <sz val="12"/>
      <color theme="0" tint="-4.9989318521683403E-2"/>
      <name val="Aptos Narrow"/>
      <family val="2"/>
      <scheme val="minor"/>
    </font>
    <font>
      <sz val="11"/>
      <color theme="0"/>
      <name val="Aptos Narrow"/>
      <family val="2"/>
      <scheme val="minor"/>
    </font>
    <font>
      <b/>
      <sz val="22"/>
      <color theme="0" tint="-4.9989318521683403E-2"/>
      <name val="Aptos Narrow"/>
      <family val="2"/>
      <scheme val="minor"/>
    </font>
    <font>
      <b/>
      <sz val="18"/>
      <color theme="1"/>
      <name val="Aptos Narrow"/>
      <family val="2"/>
      <scheme val="minor"/>
    </font>
    <font>
      <sz val="12"/>
      <color theme="1"/>
      <name val="Helvetica"/>
      <family val="2"/>
    </font>
    <font>
      <sz val="12"/>
      <color rgb="FF000000"/>
      <name val="Aptos"/>
      <family val="2"/>
    </font>
    <font>
      <b/>
      <sz val="12"/>
      <color rgb="FF000000"/>
      <name val="Aptos"/>
      <family val="2"/>
    </font>
    <font>
      <b/>
      <sz val="8"/>
      <color rgb="FF000000"/>
      <name val="Aptos"/>
      <family val="2"/>
    </font>
    <font>
      <b/>
      <sz val="48"/>
      <color theme="0" tint="-4.9989318521683403E-2"/>
      <name val="Aptos Narrow"/>
      <family val="2"/>
      <scheme val="minor"/>
    </font>
    <font>
      <sz val="10"/>
      <color theme="1"/>
      <name val="Aptos Narrow"/>
      <family val="2"/>
      <scheme val="minor"/>
    </font>
    <font>
      <sz val="9"/>
      <color theme="1"/>
      <name val="Aptos Narrow"/>
      <family val="2"/>
      <scheme val="minor"/>
    </font>
    <font>
      <sz val="12"/>
      <color rgb="FFFF0000"/>
      <name val="Aptos Narrow"/>
      <family val="2"/>
      <scheme val="minor"/>
    </font>
    <font>
      <sz val="22"/>
      <color theme="1"/>
      <name val="Aptos Narrow"/>
      <family val="2"/>
      <scheme val="minor"/>
    </font>
    <font>
      <sz val="12"/>
      <color theme="9"/>
      <name val="Aptos Narrow"/>
      <family val="2"/>
      <scheme val="minor"/>
    </font>
    <font>
      <sz val="12"/>
      <color theme="5" tint="-0.499984740745262"/>
      <name val="Aptos Narrow"/>
      <family val="2"/>
      <scheme val="minor"/>
    </font>
    <font>
      <sz val="12"/>
      <color rgb="FFFFC000"/>
      <name val="Aptos Narrow"/>
      <family val="2"/>
      <scheme val="minor"/>
    </font>
    <font>
      <sz val="12"/>
      <color rgb="FF7030A0"/>
      <name val="Aptos Narrow"/>
      <family val="2"/>
      <scheme val="minor"/>
    </font>
    <font>
      <sz val="18"/>
      <color theme="0" tint="-4.9989318521683403E-2"/>
      <name val="Aptos Narrow"/>
      <family val="2"/>
      <scheme val="minor"/>
    </font>
    <font>
      <sz val="12"/>
      <color rgb="FFFF0000"/>
      <name val="Aptos"/>
      <family val="2"/>
    </font>
    <font>
      <b/>
      <sz val="10"/>
      <color rgb="FF000000"/>
      <name val="Tahoma"/>
      <family val="2"/>
    </font>
    <font>
      <sz val="16"/>
      <color rgb="FFC00000"/>
      <name val="Aptos Narrow"/>
      <family val="2"/>
      <scheme val="minor"/>
    </font>
    <font>
      <u/>
      <sz val="12"/>
      <color theme="10"/>
      <name val="Aptos Narrow"/>
      <family val="2"/>
      <scheme val="minor"/>
    </font>
    <font>
      <sz val="12"/>
      <color theme="1"/>
      <name val="Aptos Narrow"/>
      <family val="2"/>
      <scheme val="minor"/>
    </font>
    <font>
      <b/>
      <sz val="11"/>
      <color theme="1"/>
      <name val="Aptos Narrow"/>
      <family val="2"/>
      <scheme val="minor"/>
    </font>
    <font>
      <b/>
      <sz val="16"/>
      <color rgb="FFC00000"/>
      <name val="Aptos Narrow"/>
      <family val="2"/>
      <scheme val="minor"/>
    </font>
    <font>
      <sz val="12"/>
      <color rgb="FF000000"/>
      <name val="Aptos Narrow"/>
      <family val="2"/>
    </font>
    <font>
      <sz val="7"/>
      <color rgb="FF000000"/>
      <name val="Aptos Narrow"/>
      <family val="2"/>
    </font>
    <font>
      <sz val="18"/>
      <color rgb="FF000000"/>
      <name val="Aptos Narrow"/>
      <family val="2"/>
    </font>
    <font>
      <b/>
      <sz val="14"/>
      <color theme="1"/>
      <name val="Aptos Narrow"/>
      <family val="2"/>
      <scheme val="minor"/>
    </font>
    <font>
      <b/>
      <sz val="10"/>
      <color theme="1"/>
      <name val="Aptos Narrow"/>
      <family val="2"/>
      <scheme val="minor"/>
    </font>
    <font>
      <b/>
      <sz val="12"/>
      <color theme="1"/>
      <name val="Aptos Narrow"/>
      <family val="2"/>
      <scheme val="minor"/>
    </font>
    <font>
      <b/>
      <sz val="10"/>
      <color rgb="FF000000"/>
      <name val="Aptos"/>
      <family val="2"/>
    </font>
    <font>
      <sz val="10"/>
      <color rgb="FF000000"/>
      <name val="Aptos"/>
      <family val="2"/>
    </font>
    <font>
      <b/>
      <sz val="9"/>
      <color theme="1"/>
      <name val="Aptos Narrow"/>
      <family val="2"/>
      <scheme val="minor"/>
    </font>
    <font>
      <b/>
      <sz val="12"/>
      <color theme="0" tint="-4.9989318521683403E-2"/>
      <name val="Aptos Narrow"/>
      <family val="2"/>
      <scheme val="minor"/>
    </font>
    <font>
      <sz val="20"/>
      <color theme="1"/>
      <name val="Aptos Narrow"/>
      <family val="2"/>
      <scheme val="minor"/>
    </font>
    <font>
      <sz val="14"/>
      <color rgb="FFFF0000"/>
      <name val="Aptos Narrow"/>
      <family val="2"/>
      <scheme val="minor"/>
    </font>
    <font>
      <b/>
      <sz val="40"/>
      <color theme="0" tint="-4.9989318521683403E-2"/>
      <name val="Aptos Narrow"/>
      <family val="2"/>
      <scheme val="minor"/>
    </font>
    <font>
      <b/>
      <sz val="26"/>
      <color theme="1"/>
      <name val="Aptos Narrow"/>
      <family val="2"/>
      <scheme val="minor"/>
    </font>
    <font>
      <b/>
      <sz val="24"/>
      <color theme="1"/>
      <name val="Aptos Narrow"/>
      <family val="2"/>
      <scheme val="minor"/>
    </font>
  </fonts>
  <fills count="18">
    <fill>
      <patternFill patternType="none"/>
    </fill>
    <fill>
      <patternFill patternType="gray125"/>
    </fill>
    <fill>
      <patternFill patternType="solid">
        <fgColor rgb="FF004D96"/>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00B0F0"/>
        <bgColor indexed="64"/>
      </patternFill>
    </fill>
    <fill>
      <patternFill patternType="solid">
        <fgColor theme="2" tint="-0.89999084444715716"/>
        <bgColor indexed="64"/>
      </patternFill>
    </fill>
    <fill>
      <patternFill patternType="solid">
        <fgColor theme="5" tint="0.79998168889431442"/>
        <bgColor indexed="64"/>
      </patternFill>
    </fill>
    <fill>
      <patternFill patternType="solid">
        <fgColor rgb="FFFFB5B6"/>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1"/>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9"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ck">
        <color indexed="64"/>
      </right>
      <top/>
      <bottom/>
      <diagonal/>
    </border>
    <border>
      <left/>
      <right style="thick">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ck">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diagonal/>
    </border>
  </borders>
  <cellStyleXfs count="4">
    <xf numFmtId="0" fontId="0" fillId="0" borderId="0"/>
    <xf numFmtId="9" fontId="3" fillId="0" borderId="0" applyFont="0" applyFill="0" applyBorder="0" applyAlignment="0" applyProtection="0"/>
    <xf numFmtId="164" fontId="3" fillId="0" borderId="0" applyFont="0" applyFill="0" applyBorder="0" applyAlignment="0" applyProtection="0"/>
    <xf numFmtId="0" fontId="38" fillId="0" borderId="0" applyNumberFormat="0" applyFill="0" applyBorder="0" applyAlignment="0" applyProtection="0"/>
  </cellStyleXfs>
  <cellXfs count="597">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3" borderId="5" xfId="0" applyFill="1" applyBorder="1" applyAlignment="1">
      <alignment horizontal="center" vertical="center"/>
    </xf>
    <xf numFmtId="0" fontId="0" fillId="3" borderId="4" xfId="0" applyFill="1" applyBorder="1"/>
    <xf numFmtId="0" fontId="0" fillId="3" borderId="1" xfId="0" applyFill="1" applyBorder="1"/>
    <xf numFmtId="0" fontId="0" fillId="0" borderId="1" xfId="0" applyBorder="1" applyAlignment="1">
      <alignment horizontal="center"/>
    </xf>
    <xf numFmtId="0" fontId="0" fillId="0" borderId="1" xfId="0" quotePrefix="1" applyBorder="1" applyAlignment="1">
      <alignment horizontal="center"/>
    </xf>
    <xf numFmtId="0" fontId="0" fillId="3" borderId="1" xfId="0"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2" fillId="2" borderId="0" xfId="0" applyFont="1" applyFill="1" applyAlignment="1">
      <alignment horizontal="center"/>
    </xf>
    <xf numFmtId="0" fontId="0" fillId="0" borderId="0" xfId="0" applyAlignment="1">
      <alignment horizontal="center"/>
    </xf>
    <xf numFmtId="2" fontId="0" fillId="0" borderId="0" xfId="0" applyNumberFormat="1"/>
    <xf numFmtId="1" fontId="0" fillId="4" borderId="1" xfId="0" applyNumberFormat="1" applyFill="1" applyBorder="1" applyAlignment="1">
      <alignment horizontal="center"/>
    </xf>
    <xf numFmtId="0" fontId="8" fillId="0" borderId="1" xfId="0" applyFont="1" applyBorder="1" applyAlignment="1">
      <alignment horizontal="center"/>
    </xf>
    <xf numFmtId="0" fontId="8" fillId="0" borderId="0" xfId="0" applyFont="1"/>
    <xf numFmtId="165" fontId="0" fillId="4" borderId="1" xfId="0" applyNumberFormat="1" applyFill="1" applyBorder="1" applyAlignment="1">
      <alignment horizontal="center"/>
    </xf>
    <xf numFmtId="2" fontId="0" fillId="4" borderId="1" xfId="0" applyNumberFormat="1" applyFill="1" applyBorder="1" applyAlignment="1">
      <alignment horizontal="center"/>
    </xf>
    <xf numFmtId="0" fontId="0" fillId="3" borderId="8" xfId="0" applyFill="1" applyBorder="1"/>
    <xf numFmtId="0" fontId="0" fillId="3" borderId="8" xfId="0" applyFill="1" applyBorder="1" applyAlignment="1">
      <alignment horizontal="center"/>
    </xf>
    <xf numFmtId="166" fontId="0" fillId="4" borderId="1" xfId="1" applyNumberFormat="1" applyFont="1" applyFill="1" applyBorder="1" applyAlignment="1">
      <alignment horizontal="center"/>
    </xf>
    <xf numFmtId="0" fontId="0" fillId="0" borderId="1" xfId="0" applyBorder="1"/>
    <xf numFmtId="0" fontId="2" fillId="2" borderId="1" xfId="0" applyFont="1" applyFill="1" applyBorder="1" applyAlignment="1">
      <alignment horizontal="center"/>
    </xf>
    <xf numFmtId="0" fontId="2" fillId="2" borderId="1" xfId="0" applyFont="1" applyFill="1" applyBorder="1"/>
    <xf numFmtId="0" fontId="0" fillId="0" borderId="3" xfId="0" applyBorder="1"/>
    <xf numFmtId="0" fontId="0" fillId="0" borderId="4" xfId="0" applyBorder="1"/>
    <xf numFmtId="2" fontId="1" fillId="4" borderId="2" xfId="0" applyNumberFormat="1" applyFont="1" applyFill="1" applyBorder="1"/>
    <xf numFmtId="0" fontId="0" fillId="0" borderId="1" xfId="0" applyBorder="1" applyAlignment="1">
      <alignment vertical="center"/>
    </xf>
    <xf numFmtId="0" fontId="0" fillId="4" borderId="1" xfId="0" applyFill="1" applyBorder="1"/>
    <xf numFmtId="2" fontId="9" fillId="0" borderId="1" xfId="0" applyNumberFormat="1" applyFont="1" applyBorder="1" applyAlignment="1">
      <alignment horizontal="center"/>
    </xf>
    <xf numFmtId="0" fontId="10" fillId="0" borderId="1" xfId="0" applyFont="1" applyBorder="1" applyAlignment="1">
      <alignment horizontal="center"/>
    </xf>
    <xf numFmtId="9" fontId="9" fillId="0" borderId="1" xfId="0" applyNumberFormat="1" applyFont="1" applyBorder="1" applyAlignment="1">
      <alignment horizontal="center"/>
    </xf>
    <xf numFmtId="2" fontId="0" fillId="0" borderId="1" xfId="0" applyNumberFormat="1" applyBorder="1"/>
    <xf numFmtId="165" fontId="0" fillId="0" borderId="1" xfId="0" applyNumberFormat="1" applyBorder="1"/>
    <xf numFmtId="0" fontId="0" fillId="3" borderId="2" xfId="0" applyFill="1" applyBorder="1"/>
    <xf numFmtId="0" fontId="0" fillId="3" borderId="2" xfId="0" applyFill="1" applyBorder="1" applyAlignment="1">
      <alignment horizontal="center"/>
    </xf>
    <xf numFmtId="2" fontId="0" fillId="0" borderId="2" xfId="0" applyNumberFormat="1" applyBorder="1"/>
    <xf numFmtId="0" fontId="0" fillId="3" borderId="11" xfId="0" applyFill="1" applyBorder="1"/>
    <xf numFmtId="0" fontId="0" fillId="3" borderId="11" xfId="0" applyFill="1" applyBorder="1" applyAlignment="1">
      <alignment horizontal="center"/>
    </xf>
    <xf numFmtId="0" fontId="0" fillId="0" borderId="11" xfId="0" applyBorder="1" applyAlignment="1">
      <alignment horizontal="center"/>
    </xf>
    <xf numFmtId="0" fontId="8" fillId="0" borderId="11" xfId="0" applyFont="1" applyBorder="1" applyAlignment="1">
      <alignment horizontal="center"/>
    </xf>
    <xf numFmtId="165" fontId="0" fillId="4" borderId="11" xfId="0" applyNumberFormat="1" applyFill="1" applyBorder="1" applyAlignment="1">
      <alignment horizontal="center"/>
    </xf>
    <xf numFmtId="2" fontId="0" fillId="4" borderId="2" xfId="0" applyNumberFormat="1" applyFill="1" applyBorder="1" applyAlignment="1">
      <alignment horizontal="center"/>
    </xf>
    <xf numFmtId="2" fontId="8" fillId="0" borderId="2" xfId="0" applyNumberFormat="1" applyFont="1" applyBorder="1"/>
    <xf numFmtId="165" fontId="8" fillId="0" borderId="1" xfId="0" applyNumberFormat="1" applyFont="1" applyBorder="1"/>
    <xf numFmtId="2" fontId="8" fillId="0" borderId="1" xfId="0" applyNumberFormat="1" applyFont="1" applyBorder="1"/>
    <xf numFmtId="165" fontId="12" fillId="0" borderId="1" xfId="0" applyNumberFormat="1" applyFont="1" applyBorder="1"/>
    <xf numFmtId="0" fontId="10" fillId="0" borderId="11" xfId="0" applyFont="1" applyBorder="1" applyAlignment="1">
      <alignment horizontal="center"/>
    </xf>
    <xf numFmtId="2" fontId="0" fillId="0" borderId="2" xfId="0" quotePrefix="1" applyNumberFormat="1" applyBorder="1" applyAlignment="1">
      <alignment horizontal="center"/>
    </xf>
    <xf numFmtId="2" fontId="0" fillId="0" borderId="2" xfId="0" applyNumberFormat="1"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2" fontId="9" fillId="4" borderId="1" xfId="0" applyNumberFormat="1" applyFont="1" applyFill="1" applyBorder="1" applyAlignment="1">
      <alignment horizontal="center"/>
    </xf>
    <xf numFmtId="0" fontId="0" fillId="5" borderId="1" xfId="0" applyFill="1" applyBorder="1"/>
    <xf numFmtId="0" fontId="0" fillId="5" borderId="1" xfId="0" applyFill="1" applyBorder="1" applyAlignment="1">
      <alignment horizontal="center"/>
    </xf>
    <xf numFmtId="0" fontId="0" fillId="5" borderId="11" xfId="0" applyFill="1" applyBorder="1"/>
    <xf numFmtId="0" fontId="0" fillId="5" borderId="11" xfId="0" applyFill="1" applyBorder="1" applyAlignment="1">
      <alignment horizontal="center"/>
    </xf>
    <xf numFmtId="0" fontId="0" fillId="5" borderId="2" xfId="0" applyFill="1" applyBorder="1"/>
    <xf numFmtId="0" fontId="0" fillId="5" borderId="2" xfId="0" applyFill="1" applyBorder="1" applyAlignment="1">
      <alignment horizontal="center"/>
    </xf>
    <xf numFmtId="165" fontId="8" fillId="0" borderId="1" xfId="0" applyNumberFormat="1" applyFont="1" applyBorder="1" applyAlignment="1">
      <alignment horizontal="center"/>
    </xf>
    <xf numFmtId="2" fontId="8" fillId="0" borderId="1" xfId="0" applyNumberFormat="1" applyFont="1" applyBorder="1" applyAlignment="1">
      <alignment horizontal="center"/>
    </xf>
    <xf numFmtId="0" fontId="0" fillId="6" borderId="1" xfId="0" applyFill="1" applyBorder="1" applyAlignment="1">
      <alignment horizontal="center"/>
    </xf>
    <xf numFmtId="0" fontId="0" fillId="6" borderId="11" xfId="0" applyFill="1" applyBorder="1" applyAlignment="1">
      <alignment horizontal="center"/>
    </xf>
    <xf numFmtId="2" fontId="0" fillId="6" borderId="2" xfId="0" applyNumberFormat="1" applyFill="1" applyBorder="1" applyAlignment="1">
      <alignment horizontal="center"/>
    </xf>
    <xf numFmtId="165" fontId="0" fillId="6" borderId="1" xfId="0" applyNumberFormat="1" applyFill="1" applyBorder="1" applyAlignment="1">
      <alignment horizontal="center"/>
    </xf>
    <xf numFmtId="2" fontId="0" fillId="6" borderId="1" xfId="0" applyNumberFormat="1" applyFill="1" applyBorder="1" applyAlignment="1">
      <alignment horizontal="center"/>
    </xf>
    <xf numFmtId="2" fontId="12" fillId="0" borderId="1" xfId="0" applyNumberFormat="1" applyFont="1" applyBorder="1"/>
    <xf numFmtId="1" fontId="0" fillId="0" borderId="1" xfId="0" applyNumberFormat="1" applyBorder="1" applyAlignment="1">
      <alignment horizontal="center"/>
    </xf>
    <xf numFmtId="0" fontId="0" fillId="0" borderId="14" xfId="0" applyBorder="1"/>
    <xf numFmtId="1" fontId="9" fillId="4" borderId="1" xfId="0" applyNumberFormat="1" applyFont="1" applyFill="1" applyBorder="1" applyAlignment="1">
      <alignment horizontal="center"/>
    </xf>
    <xf numFmtId="2" fontId="9" fillId="4" borderId="2" xfId="0" applyNumberFormat="1"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167" fontId="0" fillId="0" borderId="1" xfId="0" applyNumberFormat="1" applyBorder="1" applyAlignment="1">
      <alignment horizontal="center"/>
    </xf>
    <xf numFmtId="167" fontId="0" fillId="0" borderId="1" xfId="0" quotePrefix="1" applyNumberFormat="1" applyBorder="1" applyAlignment="1">
      <alignment horizontal="center"/>
    </xf>
    <xf numFmtId="167" fontId="0" fillId="0" borderId="11" xfId="0" applyNumberFormat="1" applyBorder="1" applyAlignment="1">
      <alignment horizontal="center"/>
    </xf>
    <xf numFmtId="167" fontId="0" fillId="0" borderId="11" xfId="0" quotePrefix="1" applyNumberFormat="1" applyBorder="1" applyAlignment="1">
      <alignment horizontal="center"/>
    </xf>
    <xf numFmtId="167" fontId="9" fillId="0" borderId="1" xfId="0" applyNumberFormat="1" applyFont="1" applyBorder="1" applyAlignment="1">
      <alignment horizontal="center"/>
    </xf>
    <xf numFmtId="0" fontId="13" fillId="3" borderId="5" xfId="0" applyFont="1" applyFill="1" applyBorder="1" applyAlignment="1">
      <alignment horizontal="center" vertical="center"/>
    </xf>
    <xf numFmtId="0" fontId="14" fillId="2" borderId="1" xfId="0" applyFont="1" applyFill="1" applyBorder="1" applyAlignment="1">
      <alignment horizontal="center"/>
    </xf>
    <xf numFmtId="0" fontId="14" fillId="2" borderId="1" xfId="0" applyFont="1" applyFill="1" applyBorder="1"/>
    <xf numFmtId="0" fontId="0" fillId="0" borderId="7" xfId="0" applyBorder="1"/>
    <xf numFmtId="2" fontId="0" fillId="0" borderId="1" xfId="0" applyNumberFormat="1" applyBorder="1" applyAlignment="1">
      <alignment horizontal="right"/>
    </xf>
    <xf numFmtId="0" fontId="0" fillId="8" borderId="0" xfId="0" applyFill="1"/>
    <xf numFmtId="1" fontId="0" fillId="0" borderId="1" xfId="0" applyNumberFormat="1" applyBorder="1"/>
    <xf numFmtId="9" fontId="0" fillId="0" borderId="1" xfId="0" applyNumberFormat="1" applyBorder="1"/>
    <xf numFmtId="0" fontId="0" fillId="0" borderId="17" xfId="0" applyBorder="1"/>
    <xf numFmtId="0" fontId="2" fillId="7" borderId="0" xfId="0" applyFont="1" applyFill="1" applyAlignment="1">
      <alignment horizontal="center"/>
    </xf>
    <xf numFmtId="0" fontId="0" fillId="0" borderId="12" xfId="0" applyBorder="1"/>
    <xf numFmtId="0" fontId="0" fillId="0" borderId="13" xfId="0" applyBorder="1"/>
    <xf numFmtId="0" fontId="0" fillId="0" borderId="15" xfId="0" applyBorder="1"/>
    <xf numFmtId="0" fontId="0" fillId="0" borderId="10" xfId="0" applyBorder="1"/>
    <xf numFmtId="0" fontId="0" fillId="0" borderId="6" xfId="0" applyBorder="1"/>
    <xf numFmtId="0" fontId="0" fillId="0" borderId="16" xfId="0" applyBorder="1"/>
    <xf numFmtId="165" fontId="9" fillId="4" borderId="11" xfId="0" applyNumberFormat="1" applyFont="1" applyFill="1" applyBorder="1" applyAlignment="1">
      <alignment horizontal="center"/>
    </xf>
    <xf numFmtId="165" fontId="9" fillId="4" borderId="2" xfId="0" applyNumberFormat="1" applyFont="1" applyFill="1" applyBorder="1" applyAlignment="1">
      <alignment horizontal="center"/>
    </xf>
    <xf numFmtId="165" fontId="9" fillId="4" borderId="1" xfId="0" applyNumberFormat="1" applyFont="1" applyFill="1" applyBorder="1" applyAlignment="1">
      <alignment horizontal="center"/>
    </xf>
    <xf numFmtId="0" fontId="2" fillId="7" borderId="2" xfId="0" applyFont="1" applyFill="1" applyBorder="1"/>
    <xf numFmtId="0" fontId="2" fillId="7" borderId="2" xfId="0" applyFont="1" applyFill="1" applyBorder="1" applyAlignment="1">
      <alignment horizontal="center"/>
    </xf>
    <xf numFmtId="2" fontId="0" fillId="0" borderId="11" xfId="0" applyNumberFormat="1" applyBorder="1" applyAlignment="1">
      <alignment horizontal="center"/>
    </xf>
    <xf numFmtId="2" fontId="9" fillId="4" borderId="11" xfId="0" applyNumberFormat="1" applyFont="1" applyFill="1" applyBorder="1" applyAlignment="1">
      <alignment horizontal="center"/>
    </xf>
    <xf numFmtId="0" fontId="0" fillId="4" borderId="1" xfId="0" applyFill="1" applyBorder="1" applyAlignment="1">
      <alignment horizontal="center" vertical="center"/>
    </xf>
    <xf numFmtId="0" fontId="6" fillId="2" borderId="1" xfId="0" applyFont="1" applyFill="1" applyBorder="1"/>
    <xf numFmtId="165" fontId="0" fillId="0" borderId="1" xfId="0" quotePrefix="1" applyNumberFormat="1" applyBorder="1" applyAlignment="1">
      <alignment horizontal="center"/>
    </xf>
    <xf numFmtId="1" fontId="0" fillId="0" borderId="1" xfId="0" quotePrefix="1" applyNumberFormat="1" applyBorder="1" applyAlignment="1">
      <alignment horizontal="center"/>
    </xf>
    <xf numFmtId="165" fontId="9" fillId="5" borderId="1" xfId="0" applyNumberFormat="1" applyFont="1" applyFill="1" applyBorder="1" applyAlignment="1">
      <alignment horizontal="center"/>
    </xf>
    <xf numFmtId="167" fontId="9" fillId="5" borderId="1" xfId="0" applyNumberFormat="1" applyFont="1" applyFill="1" applyBorder="1" applyAlignment="1">
      <alignment horizontal="center"/>
    </xf>
    <xf numFmtId="167" fontId="9" fillId="5" borderId="11" xfId="0" applyNumberFormat="1" applyFont="1" applyFill="1" applyBorder="1" applyAlignment="1">
      <alignment horizontal="center"/>
    </xf>
    <xf numFmtId="2" fontId="9" fillId="5" borderId="2" xfId="0" applyNumberFormat="1" applyFont="1" applyFill="1" applyBorder="1" applyAlignment="1">
      <alignment horizontal="center"/>
    </xf>
    <xf numFmtId="1" fontId="9" fillId="5" borderId="1" xfId="0" applyNumberFormat="1" applyFont="1" applyFill="1" applyBorder="1" applyAlignment="1">
      <alignment horizontal="center"/>
    </xf>
    <xf numFmtId="2" fontId="9" fillId="5" borderId="1" xfId="0" applyNumberFormat="1" applyFont="1" applyFill="1" applyBorder="1" applyAlignment="1">
      <alignment horizontal="center"/>
    </xf>
    <xf numFmtId="2" fontId="9" fillId="5" borderId="11" xfId="0" applyNumberFormat="1" applyFont="1" applyFill="1" applyBorder="1" applyAlignment="1">
      <alignment horizontal="center"/>
    </xf>
    <xf numFmtId="1" fontId="9" fillId="5" borderId="11" xfId="0" applyNumberFormat="1" applyFont="1" applyFill="1" applyBorder="1" applyAlignment="1">
      <alignment horizontal="center"/>
    </xf>
    <xf numFmtId="0" fontId="0" fillId="0" borderId="0" xfId="0" applyAlignment="1">
      <alignment vertical="center" wrapText="1"/>
    </xf>
    <xf numFmtId="0" fontId="2" fillId="2" borderId="2" xfId="0" applyFont="1" applyFill="1" applyBorder="1"/>
    <xf numFmtId="0" fontId="2" fillId="2" borderId="2" xfId="0" applyFont="1" applyFill="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11" xfId="0" applyFont="1" applyBorder="1" applyAlignment="1">
      <alignment horizontal="center"/>
    </xf>
    <xf numFmtId="2" fontId="12" fillId="0" borderId="1" xfId="0" applyNumberFormat="1" applyFont="1" applyBorder="1" applyAlignment="1">
      <alignment horizontal="center"/>
    </xf>
    <xf numFmtId="165" fontId="12" fillId="0" borderId="1" xfId="0" applyNumberFormat="1" applyFont="1" applyBorder="1" applyAlignment="1">
      <alignment horizontal="center"/>
    </xf>
    <xf numFmtId="165" fontId="9" fillId="0" borderId="1" xfId="0" applyNumberFormat="1" applyFont="1" applyBorder="1" applyAlignment="1">
      <alignment horizontal="center"/>
    </xf>
    <xf numFmtId="1" fontId="9" fillId="0" borderId="1" xfId="0" applyNumberFormat="1" applyFont="1" applyBorder="1" applyAlignment="1">
      <alignment horizontal="center"/>
    </xf>
    <xf numFmtId="1" fontId="8" fillId="0" borderId="1" xfId="0" applyNumberFormat="1" applyFont="1" applyBorder="1" applyAlignment="1">
      <alignment horizontal="center" vertical="center"/>
    </xf>
    <xf numFmtId="1" fontId="12" fillId="0" borderId="1" xfId="0" applyNumberFormat="1" applyFont="1" applyBorder="1" applyAlignment="1">
      <alignment horizontal="center"/>
    </xf>
    <xf numFmtId="2" fontId="12" fillId="0" borderId="2" xfId="0" applyNumberFormat="1" applyFont="1" applyBorder="1" applyAlignment="1">
      <alignment horizontal="center"/>
    </xf>
    <xf numFmtId="0" fontId="0" fillId="5" borderId="3" xfId="0" applyFill="1" applyBorder="1"/>
    <xf numFmtId="2" fontId="0" fillId="0" borderId="1" xfId="0" quotePrefix="1" applyNumberFormat="1" applyBorder="1" applyAlignment="1">
      <alignment horizontal="center"/>
    </xf>
    <xf numFmtId="1" fontId="8" fillId="0" borderId="1" xfId="0" applyNumberFormat="1" applyFont="1" applyBorder="1" applyAlignment="1">
      <alignment horizontal="center"/>
    </xf>
    <xf numFmtId="2" fontId="8" fillId="0" borderId="11" xfId="0" applyNumberFormat="1" applyFont="1" applyBorder="1" applyAlignment="1">
      <alignment horizontal="center"/>
    </xf>
    <xf numFmtId="2" fontId="9" fillId="0" borderId="1" xfId="0" quotePrefix="1" applyNumberFormat="1" applyFont="1" applyBorder="1" applyAlignment="1">
      <alignment horizontal="center"/>
    </xf>
    <xf numFmtId="9" fontId="9" fillId="0" borderId="1" xfId="0" quotePrefix="1" applyNumberFormat="1" applyFont="1" applyBorder="1" applyAlignment="1">
      <alignment horizontal="center"/>
    </xf>
    <xf numFmtId="0" fontId="23" fillId="0" borderId="0" xfId="0" applyFont="1"/>
    <xf numFmtId="0" fontId="21" fillId="0" borderId="0" xfId="0" applyFont="1"/>
    <xf numFmtId="0" fontId="22" fillId="0" borderId="0" xfId="0" applyFont="1"/>
    <xf numFmtId="0" fontId="6" fillId="2" borderId="0" xfId="0" applyFont="1" applyFill="1" applyAlignment="1">
      <alignment horizontal="center"/>
    </xf>
    <xf numFmtId="0" fontId="0" fillId="0" borderId="7" xfId="0" applyBorder="1" applyAlignment="1">
      <alignment horizontal="center"/>
    </xf>
    <xf numFmtId="0" fontId="0" fillId="0" borderId="0" xfId="0" applyAlignment="1">
      <alignment horizontal="left"/>
    </xf>
    <xf numFmtId="0" fontId="0" fillId="0" borderId="0" xfId="0" applyAlignment="1">
      <alignment horizontal="right"/>
    </xf>
    <xf numFmtId="0" fontId="0" fillId="0" borderId="0" xfId="0" applyAlignment="1">
      <alignment horizontal="center" vertical="top"/>
    </xf>
    <xf numFmtId="0" fontId="26" fillId="0" borderId="0" xfId="0" applyFont="1"/>
    <xf numFmtId="0" fontId="27" fillId="0" borderId="0" xfId="0" applyFont="1" applyAlignment="1">
      <alignment horizontal="center" vertical="center"/>
    </xf>
    <xf numFmtId="0" fontId="26" fillId="0" borderId="1" xfId="0" applyFont="1" applyBorder="1"/>
    <xf numFmtId="1" fontId="0" fillId="0" borderId="0" xfId="0" applyNumberFormat="1"/>
    <xf numFmtId="165" fontId="0" fillId="0" borderId="0" xfId="0" applyNumberFormat="1"/>
    <xf numFmtId="0" fontId="0" fillId="0" borderId="0" xfId="0" quotePrefix="1"/>
    <xf numFmtId="0" fontId="0" fillId="9" borderId="0" xfId="0" quotePrefix="1" applyFill="1"/>
    <xf numFmtId="11" fontId="0" fillId="0" borderId="0" xfId="0" quotePrefix="1" applyNumberFormat="1"/>
    <xf numFmtId="167" fontId="0" fillId="0" borderId="0" xfId="0" applyNumberFormat="1" applyAlignment="1">
      <alignment horizontal="center" vertical="center"/>
    </xf>
    <xf numFmtId="166" fontId="0" fillId="0" borderId="0" xfId="1" applyNumberFormat="1" applyFont="1"/>
    <xf numFmtId="10" fontId="0" fillId="0" borderId="0" xfId="1" applyNumberFormat="1" applyFont="1"/>
    <xf numFmtId="0" fontId="30" fillId="0" borderId="0" xfId="0" applyFont="1"/>
    <xf numFmtId="0" fontId="31" fillId="0" borderId="0" xfId="0" applyFont="1"/>
    <xf numFmtId="0" fontId="32" fillId="0" borderId="0" xfId="0" applyFont="1"/>
    <xf numFmtId="0" fontId="33" fillId="0" borderId="0" xfId="0" applyFont="1"/>
    <xf numFmtId="0" fontId="28" fillId="0" borderId="0" xfId="0" applyFont="1"/>
    <xf numFmtId="0" fontId="12" fillId="0" borderId="0" xfId="0" applyFont="1"/>
    <xf numFmtId="0" fontId="0" fillId="9" borderId="0" xfId="0" applyFill="1"/>
    <xf numFmtId="0" fontId="0" fillId="6" borderId="0" xfId="0" applyFill="1"/>
    <xf numFmtId="0" fontId="0" fillId="10" borderId="0" xfId="0" applyFill="1"/>
    <xf numFmtId="9" fontId="0" fillId="0" borderId="0" xfId="0" applyNumberFormat="1"/>
    <xf numFmtId="166" fontId="0" fillId="0" borderId="0" xfId="0" applyNumberFormat="1"/>
    <xf numFmtId="9" fontId="0" fillId="0" borderId="0" xfId="0" applyNumberFormat="1" applyAlignment="1">
      <alignment horizontal="center"/>
    </xf>
    <xf numFmtId="0" fontId="0" fillId="0" borderId="0" xfId="1" applyNumberFormat="1" applyFont="1" applyAlignment="1">
      <alignment horizontal="center"/>
    </xf>
    <xf numFmtId="1" fontId="0" fillId="0" borderId="0" xfId="0" applyNumberFormat="1" applyAlignment="1">
      <alignment horizontal="center"/>
    </xf>
    <xf numFmtId="0" fontId="35" fillId="0" borderId="0" xfId="0" applyFont="1"/>
    <xf numFmtId="0" fontId="0" fillId="11" borderId="1" xfId="0" applyFill="1" applyBorder="1" applyAlignment="1">
      <alignment horizontal="center"/>
    </xf>
    <xf numFmtId="0" fontId="8" fillId="11" borderId="1" xfId="0" applyFont="1" applyFill="1" applyBorder="1" applyAlignment="1">
      <alignment horizontal="center"/>
    </xf>
    <xf numFmtId="0" fontId="0" fillId="11" borderId="11" xfId="0" applyFill="1" applyBorder="1" applyAlignment="1">
      <alignment horizontal="center"/>
    </xf>
    <xf numFmtId="2" fontId="0" fillId="11" borderId="2" xfId="0" applyNumberFormat="1" applyFill="1" applyBorder="1"/>
    <xf numFmtId="165" fontId="0" fillId="11" borderId="1" xfId="0" applyNumberFormat="1" applyFill="1" applyBorder="1"/>
    <xf numFmtId="2" fontId="0" fillId="11" borderId="1" xfId="0" applyNumberFormat="1" applyFill="1" applyBorder="1"/>
    <xf numFmtId="167" fontId="0" fillId="0" borderId="0" xfId="0" applyNumberFormat="1" applyAlignment="1">
      <alignment horizontal="center"/>
    </xf>
    <xf numFmtId="10" fontId="0" fillId="0" borderId="0" xfId="0" applyNumberFormat="1"/>
    <xf numFmtId="1" fontId="0" fillId="12" borderId="0" xfId="0" applyNumberFormat="1" applyFill="1"/>
    <xf numFmtId="165" fontId="0" fillId="12" borderId="0" xfId="0" applyNumberFormat="1" applyFill="1"/>
    <xf numFmtId="2" fontId="0" fillId="12" borderId="0" xfId="0" applyNumberFormat="1" applyFill="1"/>
    <xf numFmtId="0" fontId="0" fillId="12" borderId="0" xfId="0" applyFill="1"/>
    <xf numFmtId="0" fontId="0" fillId="13" borderId="0" xfId="0" applyFill="1"/>
    <xf numFmtId="168" fontId="0" fillId="0" borderId="0" xfId="0" applyNumberFormat="1"/>
    <xf numFmtId="2" fontId="0" fillId="0" borderId="8" xfId="0" applyNumberFormat="1" applyBorder="1" applyAlignment="1">
      <alignment horizontal="center" vertical="center"/>
    </xf>
    <xf numFmtId="165" fontId="0" fillId="0" borderId="8" xfId="0" applyNumberFormat="1" applyBorder="1" applyAlignment="1">
      <alignment horizontal="center" vertical="center"/>
    </xf>
    <xf numFmtId="1" fontId="0" fillId="0" borderId="8" xfId="0" applyNumberFormat="1" applyBorder="1" applyAlignment="1">
      <alignment horizontal="center" vertical="center"/>
    </xf>
    <xf numFmtId="0" fontId="0" fillId="5" borderId="0" xfId="0" applyFill="1"/>
    <xf numFmtId="0" fontId="28" fillId="0" borderId="1" xfId="0" applyFont="1" applyBorder="1" applyAlignment="1">
      <alignment horizontal="center"/>
    </xf>
    <xf numFmtId="0" fontId="28" fillId="0" borderId="11" xfId="0" applyFont="1" applyBorder="1" applyAlignment="1">
      <alignment horizontal="center"/>
    </xf>
    <xf numFmtId="0" fontId="0" fillId="0" borderId="11" xfId="0" applyBorder="1" applyAlignment="1">
      <alignment horizontal="center" vertical="center"/>
    </xf>
    <xf numFmtId="2" fontId="28" fillId="0" borderId="1" xfId="0" applyNumberFormat="1" applyFont="1" applyBorder="1" applyAlignment="1">
      <alignment horizontal="center"/>
    </xf>
    <xf numFmtId="165" fontId="0" fillId="0" borderId="11" xfId="0" applyNumberFormat="1" applyBorder="1" applyAlignment="1">
      <alignment horizontal="center"/>
    </xf>
    <xf numFmtId="9" fontId="0" fillId="0" borderId="0" xfId="1" applyFont="1"/>
    <xf numFmtId="2" fontId="12" fillId="0" borderId="7" xfId="0" applyNumberFormat="1" applyFont="1" applyBorder="1" applyAlignment="1">
      <alignment horizontal="center"/>
    </xf>
    <xf numFmtId="0" fontId="6" fillId="7" borderId="2" xfId="0" applyFont="1" applyFill="1" applyBorder="1" applyAlignment="1">
      <alignment horizontal="center"/>
    </xf>
    <xf numFmtId="0" fontId="0" fillId="0" borderId="18" xfId="0" applyBorder="1"/>
    <xf numFmtId="166" fontId="0" fillId="0" borderId="0" xfId="0" applyNumberFormat="1" applyAlignment="1">
      <alignment horizontal="center"/>
    </xf>
    <xf numFmtId="0" fontId="0" fillId="0" borderId="19" xfId="0" applyBorder="1"/>
    <xf numFmtId="9" fontId="0" fillId="0" borderId="14" xfId="0" applyNumberFormat="1" applyBorder="1" applyAlignment="1">
      <alignment horizontal="center"/>
    </xf>
    <xf numFmtId="9" fontId="0" fillId="12" borderId="0" xfId="0" applyNumberFormat="1" applyFill="1"/>
    <xf numFmtId="0" fontId="1" fillId="0" borderId="0" xfId="0" applyFont="1"/>
    <xf numFmtId="0" fontId="0" fillId="0" borderId="21" xfId="0" applyBorder="1"/>
    <xf numFmtId="0" fontId="0" fillId="0" borderId="22" xfId="0" applyBorder="1"/>
    <xf numFmtId="0" fontId="1" fillId="0" borderId="20" xfId="0" applyFont="1" applyBorder="1"/>
    <xf numFmtId="9" fontId="1" fillId="12" borderId="7" xfId="0" applyNumberFormat="1" applyFont="1" applyFill="1" applyBorder="1" applyAlignment="1">
      <alignment horizontal="center"/>
    </xf>
    <xf numFmtId="165" fontId="0" fillId="12" borderId="17" xfId="0" applyNumberFormat="1" applyFill="1" applyBorder="1" applyAlignment="1">
      <alignment horizontal="center"/>
    </xf>
    <xf numFmtId="9" fontId="0" fillId="12" borderId="7" xfId="1" applyFont="1" applyFill="1" applyBorder="1" applyAlignment="1">
      <alignment horizontal="center"/>
    </xf>
    <xf numFmtId="2" fontId="0" fillId="12" borderId="17" xfId="0" applyNumberFormat="1" applyFill="1" applyBorder="1" applyAlignment="1">
      <alignment horizontal="center"/>
    </xf>
    <xf numFmtId="0" fontId="0" fillId="12" borderId="17" xfId="0" applyFill="1" applyBorder="1" applyAlignment="1">
      <alignment horizontal="center"/>
    </xf>
    <xf numFmtId="2" fontId="0" fillId="12" borderId="16" xfId="0" applyNumberFormat="1" applyFill="1" applyBorder="1"/>
    <xf numFmtId="9" fontId="0" fillId="12" borderId="7" xfId="0" applyNumberFormat="1" applyFill="1" applyBorder="1" applyAlignment="1">
      <alignment horizontal="center"/>
    </xf>
    <xf numFmtId="1" fontId="0" fillId="12" borderId="17" xfId="0" applyNumberFormat="1" applyFill="1" applyBorder="1" applyAlignment="1">
      <alignment horizontal="center"/>
    </xf>
    <xf numFmtId="9" fontId="0" fillId="12" borderId="10" xfId="0" applyNumberFormat="1" applyFill="1" applyBorder="1" applyAlignment="1">
      <alignment horizontal="center"/>
    </xf>
    <xf numFmtId="1" fontId="0" fillId="12" borderId="16" xfId="0" applyNumberFormat="1" applyFill="1" applyBorder="1" applyAlignment="1">
      <alignment horizontal="center"/>
    </xf>
    <xf numFmtId="9" fontId="0" fillId="12" borderId="10" xfId="1" applyFont="1" applyFill="1" applyBorder="1" applyAlignment="1">
      <alignment horizontal="center"/>
    </xf>
    <xf numFmtId="0" fontId="0" fillId="12" borderId="7" xfId="0" applyFill="1" applyBorder="1" applyAlignment="1">
      <alignment horizontal="center"/>
    </xf>
    <xf numFmtId="165" fontId="0" fillId="12" borderId="4" xfId="0" applyNumberFormat="1" applyFill="1" applyBorder="1"/>
    <xf numFmtId="165" fontId="0" fillId="12" borderId="5" xfId="0" applyNumberFormat="1" applyFill="1" applyBorder="1"/>
    <xf numFmtId="1" fontId="0" fillId="12" borderId="4" xfId="0" applyNumberFormat="1" applyFill="1" applyBorder="1"/>
    <xf numFmtId="1" fontId="0" fillId="12" borderId="9" xfId="0" applyNumberFormat="1" applyFill="1" applyBorder="1"/>
    <xf numFmtId="165" fontId="0" fillId="12" borderId="16" xfId="0" applyNumberFormat="1" applyFill="1" applyBorder="1" applyAlignment="1">
      <alignment horizontal="center"/>
    </xf>
    <xf numFmtId="0" fontId="27" fillId="14" borderId="23" xfId="0" applyFont="1" applyFill="1" applyBorder="1" applyAlignment="1">
      <alignment horizontal="center" vertical="center"/>
    </xf>
    <xf numFmtId="0" fontId="27" fillId="14" borderId="0" xfId="0" applyFont="1" applyFill="1" applyAlignment="1">
      <alignment horizontal="center" vertical="center"/>
    </xf>
    <xf numFmtId="0" fontId="27" fillId="14" borderId="24" xfId="0" applyFont="1" applyFill="1" applyBorder="1" applyAlignment="1">
      <alignment horizontal="center" vertical="center"/>
    </xf>
    <xf numFmtId="0" fontId="0" fillId="14" borderId="23" xfId="0" applyFill="1" applyBorder="1"/>
    <xf numFmtId="9" fontId="0" fillId="14" borderId="0" xfId="0" applyNumberFormat="1" applyFill="1" applyAlignment="1">
      <alignment horizontal="center"/>
    </xf>
    <xf numFmtId="0" fontId="0" fillId="14" borderId="0" xfId="0" applyFill="1" applyAlignment="1">
      <alignment horizontal="center"/>
    </xf>
    <xf numFmtId="0" fontId="0" fillId="14" borderId="24" xfId="0" applyFill="1" applyBorder="1" applyAlignment="1">
      <alignment horizontal="center"/>
    </xf>
    <xf numFmtId="166" fontId="0" fillId="14" borderId="0" xfId="0" applyNumberFormat="1" applyFill="1"/>
    <xf numFmtId="0" fontId="0" fillId="14" borderId="0" xfId="1" applyNumberFormat="1" applyFont="1" applyFill="1" applyBorder="1"/>
    <xf numFmtId="0" fontId="0" fillId="14" borderId="24" xfId="0" applyFill="1" applyBorder="1"/>
    <xf numFmtId="9" fontId="0" fillId="14" borderId="0" xfId="0" applyNumberFormat="1" applyFill="1"/>
    <xf numFmtId="0" fontId="0" fillId="14" borderId="0" xfId="1" applyNumberFormat="1" applyFont="1" applyFill="1" applyBorder="1" applyAlignment="1">
      <alignment horizontal="center"/>
    </xf>
    <xf numFmtId="0" fontId="0" fillId="14" borderId="25" xfId="0" applyFill="1" applyBorder="1"/>
    <xf numFmtId="9" fontId="0" fillId="14" borderId="14" xfId="0" applyNumberFormat="1" applyFill="1" applyBorder="1"/>
    <xf numFmtId="0" fontId="0" fillId="14" borderId="14" xfId="1" applyNumberFormat="1" applyFont="1" applyFill="1" applyBorder="1" applyAlignment="1">
      <alignment horizontal="center"/>
    </xf>
    <xf numFmtId="0" fontId="0" fillId="14" borderId="26" xfId="0" applyFill="1" applyBorder="1" applyAlignment="1">
      <alignment horizontal="center"/>
    </xf>
    <xf numFmtId="1" fontId="0" fillId="12" borderId="0" xfId="0" quotePrefix="1" applyNumberFormat="1" applyFill="1"/>
    <xf numFmtId="0" fontId="13" fillId="0" borderId="0" xfId="0" applyFont="1"/>
    <xf numFmtId="165" fontId="0" fillId="0" borderId="0" xfId="1" applyNumberFormat="1" applyFont="1"/>
    <xf numFmtId="165" fontId="0" fillId="12" borderId="8" xfId="0" applyNumberFormat="1" applyFill="1" applyBorder="1"/>
    <xf numFmtId="165" fontId="0" fillId="12" borderId="8" xfId="1" applyNumberFormat="1" applyFont="1" applyFill="1" applyBorder="1"/>
    <xf numFmtId="0" fontId="0" fillId="0" borderId="0" xfId="0" quotePrefix="1" applyAlignment="1">
      <alignment horizontal="center"/>
    </xf>
    <xf numFmtId="0" fontId="0" fillId="0" borderId="17" xfId="0" applyBorder="1" applyAlignment="1">
      <alignment horizontal="center"/>
    </xf>
    <xf numFmtId="0" fontId="0" fillId="0" borderId="10" xfId="0" quotePrefix="1" applyBorder="1"/>
    <xf numFmtId="0" fontId="27" fillId="0" borderId="12" xfId="0" applyFont="1" applyBorder="1" applyAlignment="1">
      <alignment horizontal="center" vertical="center"/>
    </xf>
    <xf numFmtId="0" fontId="27" fillId="0" borderId="15" xfId="0" applyFont="1" applyBorder="1" applyAlignment="1">
      <alignment horizontal="center" vertical="center"/>
    </xf>
    <xf numFmtId="2" fontId="0" fillId="12" borderId="8" xfId="0" applyNumberFormat="1" applyFill="1" applyBorder="1"/>
    <xf numFmtId="2" fontId="0" fillId="12" borderId="2" xfId="0" applyNumberFormat="1" applyFill="1" applyBorder="1"/>
    <xf numFmtId="0" fontId="0" fillId="0" borderId="0" xfId="0" applyAlignment="1">
      <alignment horizontal="left" vertical="center"/>
    </xf>
    <xf numFmtId="165" fontId="0" fillId="12" borderId="0" xfId="0" applyNumberFormat="1" applyFill="1" applyAlignment="1">
      <alignment horizontal="center"/>
    </xf>
    <xf numFmtId="165" fontId="0" fillId="12" borderId="10" xfId="0" applyNumberFormat="1" applyFill="1" applyBorder="1"/>
    <xf numFmtId="0" fontId="0" fillId="0" borderId="2" xfId="0" applyBorder="1"/>
    <xf numFmtId="165" fontId="0" fillId="12" borderId="6" xfId="0" applyNumberFormat="1" applyFill="1" applyBorder="1"/>
    <xf numFmtId="165" fontId="0" fillId="12" borderId="16" xfId="0" applyNumberFormat="1" applyFill="1" applyBorder="1"/>
    <xf numFmtId="1" fontId="0" fillId="12" borderId="5" xfId="0" applyNumberFormat="1" applyFill="1" applyBorder="1"/>
    <xf numFmtId="1" fontId="0" fillId="12" borderId="0" xfId="0" applyNumberFormat="1" applyFill="1" applyAlignment="1">
      <alignment horizontal="center"/>
    </xf>
    <xf numFmtId="1" fontId="0" fillId="12" borderId="6" xfId="0" applyNumberFormat="1" applyFill="1" applyBorder="1" applyAlignment="1">
      <alignment horizontal="center"/>
    </xf>
    <xf numFmtId="165" fontId="9" fillId="12" borderId="17" xfId="0" applyNumberFormat="1" applyFont="1" applyFill="1" applyBorder="1" applyAlignment="1">
      <alignment horizontal="center"/>
    </xf>
    <xf numFmtId="9" fontId="9" fillId="12" borderId="7" xfId="1" applyFont="1" applyFill="1" applyBorder="1" applyAlignment="1">
      <alignment horizontal="center"/>
    </xf>
    <xf numFmtId="9" fontId="9" fillId="12" borderId="7" xfId="0" applyNumberFormat="1" applyFont="1" applyFill="1" applyBorder="1" applyAlignment="1">
      <alignment horizontal="center"/>
    </xf>
    <xf numFmtId="165" fontId="9" fillId="12" borderId="16" xfId="0" applyNumberFormat="1" applyFont="1" applyFill="1" applyBorder="1" applyAlignment="1">
      <alignment horizontal="center"/>
    </xf>
    <xf numFmtId="9" fontId="9" fillId="12" borderId="10" xfId="0" applyNumberFormat="1" applyFont="1" applyFill="1" applyBorder="1" applyAlignment="1">
      <alignment horizontal="center"/>
    </xf>
    <xf numFmtId="0" fontId="0" fillId="0" borderId="29" xfId="0" applyBorder="1"/>
    <xf numFmtId="0" fontId="0" fillId="14" borderId="0" xfId="0" applyFill="1"/>
    <xf numFmtId="0" fontId="0" fillId="0" borderId="20" xfId="0" applyBorder="1"/>
    <xf numFmtId="0" fontId="0" fillId="0" borderId="30" xfId="0" applyBorder="1" applyAlignment="1">
      <alignment horizontal="center" vertical="center"/>
    </xf>
    <xf numFmtId="0" fontId="0" fillId="0" borderId="31" xfId="0" applyBorder="1" applyAlignment="1">
      <alignment horizontal="center"/>
    </xf>
    <xf numFmtId="165" fontId="0" fillId="12" borderId="32" xfId="0" applyNumberFormat="1" applyFill="1" applyBorder="1"/>
    <xf numFmtId="9" fontId="0" fillId="12" borderId="33" xfId="1" applyFont="1" applyFill="1" applyBorder="1"/>
    <xf numFmtId="166" fontId="0" fillId="12" borderId="34" xfId="1" applyNumberFormat="1" applyFont="1" applyFill="1" applyBorder="1"/>
    <xf numFmtId="0" fontId="0" fillId="0" borderId="35" xfId="0" applyBorder="1"/>
    <xf numFmtId="0" fontId="0" fillId="0" borderId="36" xfId="0" applyBorder="1"/>
    <xf numFmtId="0" fontId="0" fillId="0" borderId="37" xfId="0" applyBorder="1"/>
    <xf numFmtId="169" fontId="0" fillId="0" borderId="35" xfId="0" applyNumberFormat="1" applyBorder="1"/>
    <xf numFmtId="9" fontId="39" fillId="12" borderId="7" xfId="0" applyNumberFormat="1" applyFont="1" applyFill="1" applyBorder="1" applyAlignment="1">
      <alignment horizontal="center"/>
    </xf>
    <xf numFmtId="165" fontId="39" fillId="12" borderId="17" xfId="0" applyNumberFormat="1" applyFont="1" applyFill="1" applyBorder="1" applyAlignment="1">
      <alignment horizontal="center"/>
    </xf>
    <xf numFmtId="9" fontId="39" fillId="12" borderId="10" xfId="0" applyNumberFormat="1" applyFont="1" applyFill="1" applyBorder="1" applyAlignment="1">
      <alignment horizontal="center"/>
    </xf>
    <xf numFmtId="165" fontId="39" fillId="12" borderId="16" xfId="0" applyNumberFormat="1" applyFont="1" applyFill="1" applyBorder="1" applyAlignment="1">
      <alignment horizontal="center"/>
    </xf>
    <xf numFmtId="165" fontId="0" fillId="12" borderId="0" xfId="0" quotePrefix="1" applyNumberFormat="1" applyFill="1"/>
    <xf numFmtId="1" fontId="0" fillId="0" borderId="35" xfId="0" applyNumberFormat="1" applyBorder="1"/>
    <xf numFmtId="0" fontId="0" fillId="0" borderId="38" xfId="0" applyBorder="1"/>
    <xf numFmtId="166" fontId="0" fillId="0" borderId="35" xfId="1" applyNumberFormat="1" applyFont="1" applyBorder="1"/>
    <xf numFmtId="2" fontId="0" fillId="0" borderId="0" xfId="2" applyNumberFormat="1" applyFont="1"/>
    <xf numFmtId="0" fontId="0" fillId="15" borderId="0" xfId="0" applyFill="1"/>
    <xf numFmtId="1" fontId="0" fillId="15" borderId="0" xfId="0" applyNumberFormat="1" applyFill="1"/>
    <xf numFmtId="165" fontId="0" fillId="15" borderId="0" xfId="0" applyNumberFormat="1" applyFill="1"/>
    <xf numFmtId="167" fontId="0" fillId="12" borderId="0" xfId="0" applyNumberFormat="1" applyFill="1"/>
    <xf numFmtId="0" fontId="38" fillId="0" borderId="0" xfId="3"/>
    <xf numFmtId="2" fontId="0" fillId="12" borderId="0" xfId="0" applyNumberFormat="1" applyFill="1" applyAlignment="1">
      <alignment horizontal="right"/>
    </xf>
    <xf numFmtId="1" fontId="0" fillId="12" borderId="0" xfId="0" applyNumberFormat="1" applyFill="1" applyAlignment="1">
      <alignment horizontal="right"/>
    </xf>
    <xf numFmtId="0" fontId="0" fillId="0" borderId="9" xfId="0" applyBorder="1" applyAlignment="1">
      <alignment vertical="center"/>
    </xf>
    <xf numFmtId="0" fontId="0" fillId="0" borderId="5" xfId="0" applyBorder="1" applyAlignment="1">
      <alignment vertical="center"/>
    </xf>
    <xf numFmtId="165" fontId="0" fillId="0" borderId="0" xfId="0" applyNumberFormat="1" applyAlignment="1">
      <alignment vertical="center"/>
    </xf>
    <xf numFmtId="1" fontId="0" fillId="0" borderId="17" xfId="0" applyNumberFormat="1" applyBorder="1" applyAlignment="1">
      <alignment vertical="center"/>
    </xf>
    <xf numFmtId="167" fontId="0" fillId="0" borderId="0" xfId="0" applyNumberFormat="1"/>
    <xf numFmtId="1" fontId="0" fillId="0" borderId="17" xfId="0" applyNumberFormat="1" applyBorder="1"/>
    <xf numFmtId="1" fontId="0" fillId="0" borderId="10" xfId="0" applyNumberFormat="1" applyBorder="1" applyAlignment="1">
      <alignment horizontal="center"/>
    </xf>
    <xf numFmtId="1" fontId="0" fillId="0" borderId="16" xfId="0" applyNumberFormat="1" applyBorder="1" applyAlignment="1">
      <alignment horizontal="center"/>
    </xf>
    <xf numFmtId="1" fontId="0" fillId="0" borderId="16" xfId="0" applyNumberFormat="1" applyBorder="1" applyAlignment="1">
      <alignment vertical="center"/>
    </xf>
    <xf numFmtId="0" fontId="27" fillId="0" borderId="0" xfId="0" applyFont="1" applyAlignment="1">
      <alignment vertical="center"/>
    </xf>
    <xf numFmtId="0" fontId="13" fillId="0" borderId="9" xfId="0" applyFont="1" applyBorder="1" applyAlignment="1">
      <alignment vertical="center"/>
    </xf>
    <xf numFmtId="165" fontId="0" fillId="12" borderId="0" xfId="0" applyNumberFormat="1" applyFill="1" applyAlignment="1">
      <alignment vertical="center"/>
    </xf>
    <xf numFmtId="165" fontId="0" fillId="12" borderId="10" xfId="0" applyNumberFormat="1" applyFill="1" applyBorder="1" applyAlignment="1">
      <alignment vertical="center"/>
    </xf>
    <xf numFmtId="0" fontId="26" fillId="0" borderId="5" xfId="0" applyFont="1" applyBorder="1"/>
    <xf numFmtId="165" fontId="0" fillId="12" borderId="17" xfId="0" applyNumberFormat="1" applyFill="1" applyBorder="1"/>
    <xf numFmtId="167" fontId="0" fillId="12" borderId="17" xfId="0" applyNumberFormat="1" applyFill="1" applyBorder="1"/>
    <xf numFmtId="0" fontId="0" fillId="12" borderId="7" xfId="0" applyFill="1" applyBorder="1"/>
    <xf numFmtId="167" fontId="0" fillId="12" borderId="7" xfId="0" applyNumberFormat="1" applyFill="1" applyBorder="1"/>
    <xf numFmtId="0" fontId="37" fillId="0" borderId="0" xfId="0" applyFont="1" applyAlignment="1">
      <alignment vertical="center"/>
    </xf>
    <xf numFmtId="2" fontId="0" fillId="0" borderId="8" xfId="0" applyNumberFormat="1" applyBorder="1"/>
    <xf numFmtId="9" fontId="0" fillId="12" borderId="0" xfId="1" applyFont="1" applyFill="1"/>
    <xf numFmtId="9" fontId="0" fillId="12" borderId="0" xfId="0" applyNumberFormat="1" applyFill="1" applyAlignment="1">
      <alignment horizontal="center"/>
    </xf>
    <xf numFmtId="0" fontId="24" fillId="0" borderId="12" xfId="0" applyFont="1" applyBorder="1"/>
    <xf numFmtId="0" fontId="24" fillId="0" borderId="13" xfId="0" applyFont="1" applyBorder="1"/>
    <xf numFmtId="0" fontId="24" fillId="0" borderId="15" xfId="0" applyFont="1" applyBorder="1"/>
    <xf numFmtId="0" fontId="22" fillId="0" borderId="7" xfId="0" applyFont="1" applyBorder="1"/>
    <xf numFmtId="0" fontId="22" fillId="0" borderId="17" xfId="0" applyFont="1" applyBorder="1"/>
    <xf numFmtId="0" fontId="22" fillId="0" borderId="10" xfId="0" applyFont="1" applyBorder="1"/>
    <xf numFmtId="0" fontId="22" fillId="0" borderId="6" xfId="0" applyFont="1" applyBorder="1"/>
    <xf numFmtId="0" fontId="22" fillId="0" borderId="16" xfId="0" applyFont="1" applyBorder="1"/>
    <xf numFmtId="0" fontId="24" fillId="0" borderId="3" xfId="0" applyFont="1" applyBorder="1"/>
    <xf numFmtId="0" fontId="0" fillId="0" borderId="8" xfId="0" applyBorder="1"/>
    <xf numFmtId="0" fontId="22" fillId="0" borderId="8" xfId="0" applyFont="1" applyBorder="1"/>
    <xf numFmtId="0" fontId="0" fillId="17" borderId="1" xfId="0" applyFill="1" applyBorder="1"/>
    <xf numFmtId="0" fontId="28" fillId="0" borderId="1" xfId="0" applyFont="1" applyBorder="1"/>
    <xf numFmtId="0" fontId="0" fillId="0" borderId="10" xfId="0" applyBorder="1" applyAlignment="1">
      <alignment horizontal="center"/>
    </xf>
    <xf numFmtId="165" fontId="0" fillId="0" borderId="0" xfId="0" applyNumberFormat="1" applyAlignment="1">
      <alignment horizontal="center"/>
    </xf>
    <xf numFmtId="0" fontId="1" fillId="0" borderId="0" xfId="0" applyFont="1" applyAlignment="1">
      <alignment horizontal="center"/>
    </xf>
    <xf numFmtId="173" fontId="46" fillId="4" borderId="1" xfId="0" applyNumberFormat="1" applyFont="1" applyFill="1" applyBorder="1" applyAlignment="1">
      <alignment horizontal="center" vertical="center"/>
    </xf>
    <xf numFmtId="172" fontId="40" fillId="4" borderId="1" xfId="0" applyNumberFormat="1" applyFont="1" applyFill="1" applyBorder="1" applyAlignment="1">
      <alignment horizontal="center" vertical="center"/>
    </xf>
    <xf numFmtId="1" fontId="39" fillId="0" borderId="8" xfId="0" applyNumberFormat="1" applyFont="1" applyBorder="1"/>
    <xf numFmtId="1" fontId="39" fillId="0" borderId="2" xfId="0" applyNumberFormat="1" applyFont="1" applyBorder="1"/>
    <xf numFmtId="0" fontId="49" fillId="0" borderId="1" xfId="0" applyFont="1" applyBorder="1" applyAlignment="1">
      <alignment horizontal="center" vertical="center"/>
    </xf>
    <xf numFmtId="1" fontId="0" fillId="0" borderId="8" xfId="0" applyNumberFormat="1" applyBorder="1"/>
    <xf numFmtId="1" fontId="0" fillId="0" borderId="3" xfId="0" applyNumberFormat="1" applyBorder="1"/>
    <xf numFmtId="1" fontId="0" fillId="0" borderId="2" xfId="0" applyNumberFormat="1" applyBorder="1"/>
    <xf numFmtId="0" fontId="0" fillId="0" borderId="9" xfId="0" applyBorder="1"/>
    <xf numFmtId="0" fontId="0" fillId="0" borderId="5" xfId="0" applyBorder="1"/>
    <xf numFmtId="1" fontId="0" fillId="0" borderId="7" xfId="0" applyNumberFormat="1" applyBorder="1"/>
    <xf numFmtId="1" fontId="0" fillId="0" borderId="6" xfId="0" applyNumberFormat="1" applyBorder="1"/>
    <xf numFmtId="1" fontId="0" fillId="0" borderId="16" xfId="0" applyNumberFormat="1" applyBorder="1"/>
    <xf numFmtId="1" fontId="39" fillId="0" borderId="3" xfId="0" applyNumberFormat="1" applyFont="1" applyBorder="1"/>
    <xf numFmtId="1" fontId="0" fillId="0" borderId="12" xfId="0" applyNumberFormat="1" applyBorder="1"/>
    <xf numFmtId="1" fontId="0" fillId="0" borderId="13" xfId="0" applyNumberFormat="1" applyBorder="1"/>
    <xf numFmtId="1" fontId="0" fillId="0" borderId="15" xfId="0" applyNumberFormat="1" applyBorder="1"/>
    <xf numFmtId="1" fontId="0" fillId="0" borderId="10" xfId="0" applyNumberFormat="1" applyBorder="1"/>
    <xf numFmtId="9" fontId="0" fillId="0" borderId="8" xfId="1" applyFont="1" applyBorder="1"/>
    <xf numFmtId="9" fontId="0" fillId="0" borderId="2" xfId="1" applyFont="1" applyBorder="1"/>
    <xf numFmtId="9" fontId="0" fillId="0" borderId="15" xfId="0" applyNumberFormat="1" applyBorder="1"/>
    <xf numFmtId="9" fontId="0" fillId="0" borderId="16" xfId="1" applyFont="1" applyBorder="1"/>
    <xf numFmtId="9" fontId="0" fillId="0" borderId="12" xfId="1" applyFont="1" applyBorder="1"/>
    <xf numFmtId="173" fontId="50" fillId="4" borderId="1" xfId="0" applyNumberFormat="1" applyFont="1" applyFill="1" applyBorder="1" applyAlignment="1">
      <alignment horizontal="center" vertical="center"/>
    </xf>
    <xf numFmtId="9" fontId="0" fillId="0" borderId="4" xfId="1" applyFont="1" applyBorder="1"/>
    <xf numFmtId="9" fontId="0" fillId="10" borderId="12" xfId="1" applyFont="1" applyFill="1" applyBorder="1"/>
    <xf numFmtId="9" fontId="0" fillId="13" borderId="12" xfId="1" applyFont="1" applyFill="1" applyBorder="1"/>
    <xf numFmtId="0" fontId="23" fillId="0" borderId="17" xfId="0" applyFont="1" applyBorder="1"/>
    <xf numFmtId="0" fontId="22" fillId="0" borderId="12" xfId="0" applyFont="1" applyBorder="1"/>
    <xf numFmtId="0" fontId="22" fillId="0" borderId="13" xfId="0" applyFont="1" applyBorder="1"/>
    <xf numFmtId="0" fontId="22" fillId="0" borderId="15" xfId="0" applyFont="1" applyBorder="1"/>
    <xf numFmtId="0" fontId="21" fillId="0" borderId="8" xfId="0" applyFont="1" applyBorder="1"/>
    <xf numFmtId="0" fontId="48" fillId="0" borderId="1" xfId="0" applyFont="1" applyBorder="1" applyAlignment="1">
      <alignment horizontal="center" vertical="center"/>
    </xf>
    <xf numFmtId="0" fontId="47" fillId="0" borderId="1" xfId="0" applyFont="1" applyBorder="1" applyAlignment="1">
      <alignment horizontal="center"/>
    </xf>
    <xf numFmtId="0" fontId="47" fillId="0" borderId="1" xfId="0" applyFont="1" applyBorder="1"/>
    <xf numFmtId="0" fontId="0" fillId="10" borderId="1" xfId="0" applyFill="1" applyBorder="1" applyAlignment="1">
      <alignment horizontal="center"/>
    </xf>
    <xf numFmtId="165" fontId="0" fillId="0" borderId="2" xfId="0" applyNumberFormat="1" applyBorder="1"/>
    <xf numFmtId="2" fontId="0" fillId="0" borderId="0" xfId="0" applyNumberFormat="1" applyAlignment="1">
      <alignment horizontal="center"/>
    </xf>
    <xf numFmtId="165" fontId="0" fillId="0" borderId="17" xfId="0" applyNumberFormat="1" applyBorder="1" applyAlignment="1">
      <alignment vertical="center"/>
    </xf>
    <xf numFmtId="0" fontId="0" fillId="0" borderId="5" xfId="0"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vertical="center"/>
    </xf>
    <xf numFmtId="1" fontId="0" fillId="0" borderId="17" xfId="0" applyNumberFormat="1" applyBorder="1" applyAlignment="1">
      <alignment horizontal="center" vertical="center"/>
    </xf>
    <xf numFmtId="1" fontId="0" fillId="0" borderId="17" xfId="0" applyNumberFormat="1" applyBorder="1" applyAlignment="1">
      <alignment horizontal="center"/>
    </xf>
    <xf numFmtId="1" fontId="0" fillId="0" borderId="16" xfId="0" applyNumberFormat="1" applyBorder="1" applyAlignment="1">
      <alignment horizontal="center" vertical="center"/>
    </xf>
    <xf numFmtId="0" fontId="0" fillId="0" borderId="16" xfId="0" applyBorder="1" applyAlignment="1">
      <alignment horizontal="center"/>
    </xf>
    <xf numFmtId="1" fontId="0" fillId="12" borderId="0" xfId="0" quotePrefix="1" applyNumberFormat="1" applyFill="1" applyAlignment="1">
      <alignment horizontal="right"/>
    </xf>
    <xf numFmtId="2" fontId="0" fillId="13" borderId="8" xfId="0" applyNumberFormat="1" applyFill="1" applyBorder="1"/>
    <xf numFmtId="2" fontId="0" fillId="12" borderId="0" xfId="0" applyNumberFormat="1" applyFill="1" applyAlignment="1">
      <alignment horizontal="center"/>
    </xf>
    <xf numFmtId="174" fontId="0" fillId="0" borderId="0" xfId="0" applyNumberFormat="1"/>
    <xf numFmtId="0" fontId="41" fillId="0" borderId="0" xfId="0" applyFont="1" applyAlignment="1">
      <alignment vertical="center" wrapText="1"/>
    </xf>
    <xf numFmtId="165" fontId="0" fillId="0" borderId="0" xfId="1" applyNumberFormat="1" applyFont="1" applyAlignment="1">
      <alignment horizontal="right"/>
    </xf>
    <xf numFmtId="1" fontId="0" fillId="0" borderId="18" xfId="0" applyNumberFormat="1" applyBorder="1"/>
    <xf numFmtId="165" fontId="0" fillId="0" borderId="18" xfId="0" applyNumberFormat="1" applyBorder="1"/>
    <xf numFmtId="174" fontId="0" fillId="0" borderId="0" xfId="0" applyNumberFormat="1" applyAlignment="1">
      <alignment horizontal="right"/>
    </xf>
    <xf numFmtId="165" fontId="0" fillId="0" borderId="0" xfId="0" applyNumberFormat="1" applyAlignment="1">
      <alignment horizontal="right"/>
    </xf>
    <xf numFmtId="0" fontId="1" fillId="0" borderId="1" xfId="0" applyFont="1" applyBorder="1" applyAlignment="1">
      <alignment horizontal="center" vertical="center"/>
    </xf>
    <xf numFmtId="1" fontId="0" fillId="0" borderId="2" xfId="0" applyNumberFormat="1" applyBorder="1" applyAlignment="1">
      <alignment horizontal="center" vertical="center"/>
    </xf>
    <xf numFmtId="0" fontId="4" fillId="0" borderId="0" xfId="0" applyFont="1" applyAlignment="1">
      <alignment horizontal="left" vertical="center" readingOrder="1"/>
    </xf>
    <xf numFmtId="0" fontId="13" fillId="0" borderId="9" xfId="0" applyFont="1" applyBorder="1" applyAlignment="1">
      <alignment horizontal="center" vertical="center"/>
    </xf>
    <xf numFmtId="165" fontId="0" fillId="0" borderId="0" xfId="0" applyNumberFormat="1" applyAlignment="1">
      <alignment horizontal="center" vertical="center"/>
    </xf>
    <xf numFmtId="165" fontId="0" fillId="0" borderId="17" xfId="0" applyNumberFormat="1" applyBorder="1" applyAlignment="1">
      <alignment horizontal="center"/>
    </xf>
    <xf numFmtId="165" fontId="0" fillId="0" borderId="17" xfId="0" applyNumberFormat="1" applyBorder="1" applyAlignment="1">
      <alignment horizontal="center" vertical="center"/>
    </xf>
    <xf numFmtId="165" fontId="0" fillId="12" borderId="0" xfId="0" applyNumberFormat="1" applyFill="1" applyAlignment="1">
      <alignment horizontal="center" vertical="center"/>
    </xf>
    <xf numFmtId="165" fontId="0" fillId="12" borderId="10" xfId="0" applyNumberFormat="1" applyFill="1" applyBorder="1" applyAlignment="1">
      <alignment horizontal="center" vertical="center"/>
    </xf>
    <xf numFmtId="168" fontId="0" fillId="13" borderId="0" xfId="0" applyNumberFormat="1" applyFill="1"/>
    <xf numFmtId="165" fontId="27" fillId="0" borderId="0" xfId="0" applyNumberFormat="1" applyFont="1" applyAlignment="1">
      <alignment horizontal="center" vertical="center"/>
    </xf>
    <xf numFmtId="165" fontId="0" fillId="12" borderId="6" xfId="0" applyNumberFormat="1" applyFill="1" applyBorder="1" applyAlignment="1">
      <alignment horizontal="center"/>
    </xf>
    <xf numFmtId="0" fontId="0" fillId="0" borderId="1" xfId="0" applyBorder="1" applyAlignment="1">
      <alignment horizontal="center" vertical="center" wrapText="1"/>
    </xf>
    <xf numFmtId="0" fontId="0" fillId="0" borderId="0" xfId="0" applyAlignment="1">
      <alignment horizontal="center" wrapText="1"/>
    </xf>
    <xf numFmtId="0" fontId="0" fillId="0" borderId="10" xfId="0" applyBorder="1" applyAlignment="1">
      <alignment horizontal="center"/>
    </xf>
    <xf numFmtId="0" fontId="0" fillId="0" borderId="6" xfId="0" applyBorder="1" applyAlignment="1">
      <alignment horizontal="center"/>
    </xf>
    <xf numFmtId="1" fontId="0" fillId="0" borderId="10" xfId="0" applyNumberFormat="1" applyBorder="1" applyAlignment="1">
      <alignment horizontal="center"/>
    </xf>
    <xf numFmtId="1" fontId="0" fillId="0" borderId="16" xfId="0" applyNumberFormat="1"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29" fillId="12" borderId="0" xfId="0" applyFont="1" applyFill="1" applyAlignment="1">
      <alignment horizontal="center" vertical="center"/>
    </xf>
    <xf numFmtId="0" fontId="29" fillId="0" borderId="0" xfId="0" applyFont="1" applyAlignment="1">
      <alignment horizontal="center" vertical="center"/>
    </xf>
    <xf numFmtId="0" fontId="2" fillId="2" borderId="1" xfId="0" applyFont="1" applyFill="1" applyBorder="1" applyAlignment="1">
      <alignment horizontal="center"/>
    </xf>
    <xf numFmtId="0" fontId="0" fillId="10" borderId="4" xfId="0" quotePrefix="1" applyFill="1" applyBorder="1" applyAlignment="1">
      <alignment horizontal="center" vertical="center"/>
    </xf>
    <xf numFmtId="0" fontId="0" fillId="10" borderId="5" xfId="0" applyFill="1" applyBorder="1" applyAlignment="1">
      <alignment horizontal="center" vertical="center"/>
    </xf>
    <xf numFmtId="0" fontId="0" fillId="10" borderId="4" xfId="0" applyFill="1" applyBorder="1" applyAlignment="1">
      <alignment horizontal="center" vertical="center"/>
    </xf>
    <xf numFmtId="0" fontId="2" fillId="2" borderId="10" xfId="0" applyFont="1" applyFill="1" applyBorder="1" applyAlignment="1">
      <alignment horizontal="center"/>
    </xf>
    <xf numFmtId="0" fontId="2" fillId="2" borderId="6" xfId="0" applyFont="1" applyFill="1" applyBorder="1" applyAlignment="1">
      <alignment horizontal="center"/>
    </xf>
    <xf numFmtId="0" fontId="52" fillId="12" borderId="0" xfId="0" applyFont="1" applyFill="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25" fillId="8" borderId="0" xfId="0" applyFont="1" applyFill="1" applyAlignment="1">
      <alignment horizontal="center" vertical="center"/>
    </xf>
    <xf numFmtId="0" fontId="2" fillId="2"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0" fillId="17" borderId="1" xfId="0" applyFill="1" applyBorder="1" applyAlignment="1">
      <alignment horizontal="center"/>
    </xf>
    <xf numFmtId="0" fontId="0" fillId="0" borderId="1" xfId="0" applyBorder="1" applyAlignment="1">
      <alignment horizontal="center"/>
    </xf>
    <xf numFmtId="0" fontId="23" fillId="0" borderId="12" xfId="0" applyFont="1" applyBorder="1" applyAlignment="1">
      <alignment horizontal="center"/>
    </xf>
    <xf numFmtId="0" fontId="23" fillId="0" borderId="13" xfId="0" applyFont="1" applyBorder="1" applyAlignment="1">
      <alignment horizontal="center"/>
    </xf>
    <xf numFmtId="0" fontId="23" fillId="0" borderId="15" xfId="0" applyFont="1" applyBorder="1" applyAlignment="1">
      <alignment horizontal="center"/>
    </xf>
    <xf numFmtId="0" fontId="47" fillId="0" borderId="4" xfId="0" applyFont="1" applyBorder="1" applyAlignment="1">
      <alignment horizontal="center"/>
    </xf>
    <xf numFmtId="0" fontId="47" fillId="0" borderId="9" xfId="0" applyFont="1" applyBorder="1" applyAlignment="1">
      <alignment horizontal="center"/>
    </xf>
    <xf numFmtId="0" fontId="47" fillId="0" borderId="5" xfId="0" applyFont="1"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9" xfId="0" applyBorder="1" applyAlignment="1">
      <alignment horizontal="center" vertical="center"/>
    </xf>
    <xf numFmtId="0" fontId="1" fillId="4" borderId="1" xfId="0" applyFont="1" applyFill="1" applyBorder="1" applyAlignment="1">
      <alignment horizontal="center"/>
    </xf>
    <xf numFmtId="1" fontId="0" fillId="17" borderId="1" xfId="0" applyNumberFormat="1" applyFill="1" applyBorder="1" applyAlignment="1">
      <alignment horizontal="center"/>
    </xf>
    <xf numFmtId="1" fontId="0" fillId="0" borderId="1" xfId="0" applyNumberFormat="1" applyBorder="1" applyAlignment="1">
      <alignment horizontal="center"/>
    </xf>
    <xf numFmtId="1" fontId="1" fillId="4" borderId="1" xfId="0" applyNumberFormat="1" applyFont="1" applyFill="1" applyBorder="1" applyAlignment="1">
      <alignment horizontal="center"/>
    </xf>
    <xf numFmtId="0" fontId="1" fillId="4" borderId="2" xfId="0" applyFont="1" applyFill="1" applyBorder="1" applyAlignment="1">
      <alignment horizontal="center"/>
    </xf>
    <xf numFmtId="0" fontId="2" fillId="2" borderId="0" xfId="0" applyFont="1" applyFill="1" applyAlignment="1">
      <alignment horizontal="center"/>
    </xf>
    <xf numFmtId="0" fontId="0" fillId="0" borderId="7" xfId="0" applyBorder="1" applyAlignment="1">
      <alignment horizontal="center" vertical="center"/>
    </xf>
    <xf numFmtId="0" fontId="0" fillId="0" borderId="17" xfId="0" applyBorder="1" applyAlignment="1">
      <alignment horizontal="center" vertical="center"/>
    </xf>
    <xf numFmtId="0" fontId="22" fillId="0" borderId="1" xfId="0" applyFont="1" applyBorder="1" applyAlignment="1">
      <alignment horizontal="center"/>
    </xf>
    <xf numFmtId="0" fontId="22" fillId="12" borderId="1" xfId="0" applyFont="1" applyFill="1" applyBorder="1" applyAlignment="1">
      <alignment horizont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 fontId="0" fillId="0" borderId="7" xfId="0" applyNumberFormat="1" applyBorder="1" applyAlignment="1">
      <alignment horizontal="center" vertical="center"/>
    </xf>
    <xf numFmtId="1" fontId="0" fillId="0" borderId="17" xfId="0" applyNumberFormat="1" applyBorder="1" applyAlignment="1">
      <alignment horizontal="center" vertical="center"/>
    </xf>
    <xf numFmtId="1" fontId="17" fillId="0" borderId="7" xfId="0" applyNumberFormat="1" applyFont="1" applyBorder="1" applyAlignment="1">
      <alignment horizontal="center" vertical="center"/>
    </xf>
    <xf numFmtId="1" fontId="17" fillId="0" borderId="17" xfId="0" applyNumberFormat="1" applyFont="1" applyBorder="1" applyAlignment="1">
      <alignment horizontal="center" vertical="center"/>
    </xf>
    <xf numFmtId="1" fontId="0" fillId="0" borderId="7" xfId="0" applyNumberFormat="1" applyBorder="1" applyAlignment="1">
      <alignment horizontal="center"/>
    </xf>
    <xf numFmtId="1" fontId="0" fillId="0" borderId="17" xfId="0" applyNumberFormat="1" applyBorder="1" applyAlignment="1">
      <alignment horizontal="center"/>
    </xf>
    <xf numFmtId="1" fontId="17" fillId="0" borderId="7" xfId="0" applyNumberFormat="1" applyFont="1" applyBorder="1" applyAlignment="1">
      <alignment horizontal="center"/>
    </xf>
    <xf numFmtId="1" fontId="17" fillId="0" borderId="17" xfId="0" applyNumberFormat="1" applyFont="1" applyBorder="1" applyAlignment="1">
      <alignment horizontal="center"/>
    </xf>
    <xf numFmtId="1" fontId="0" fillId="0" borderId="10" xfId="0" applyNumberFormat="1" applyBorder="1" applyAlignment="1">
      <alignment horizontal="center" vertical="center"/>
    </xf>
    <xf numFmtId="1" fontId="0" fillId="0" borderId="16" xfId="0" applyNumberFormat="1" applyBorder="1" applyAlignment="1">
      <alignment horizontal="center" vertical="center"/>
    </xf>
    <xf numFmtId="0" fontId="18" fillId="2" borderId="1" xfId="0" applyFont="1" applyFill="1" applyBorder="1" applyAlignment="1">
      <alignment horizontal="center"/>
    </xf>
    <xf numFmtId="0" fontId="0" fillId="3" borderId="1" xfId="0" applyFill="1" applyBorder="1" applyAlignment="1">
      <alignment horizontal="center"/>
    </xf>
    <xf numFmtId="0" fontId="2" fillId="2" borderId="4" xfId="0" applyFont="1" applyFill="1" applyBorder="1" applyAlignment="1">
      <alignment horizontal="center"/>
    </xf>
    <xf numFmtId="0" fontId="2" fillId="2" borderId="9" xfId="0" applyFont="1" applyFill="1" applyBorder="1" applyAlignment="1">
      <alignment horizontal="center"/>
    </xf>
    <xf numFmtId="0" fontId="2" fillId="2" borderId="5" xfId="0" applyFont="1" applyFill="1" applyBorder="1" applyAlignment="1">
      <alignment horizontal="center"/>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15" fillId="2" borderId="0" xfId="0" applyFont="1" applyFill="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6" xfId="0" applyFont="1" applyFill="1" applyBorder="1" applyAlignment="1">
      <alignment horizontal="center" vertical="center"/>
    </xf>
    <xf numFmtId="0" fontId="19" fillId="8" borderId="0" xfId="0" applyFont="1" applyFill="1" applyAlignment="1">
      <alignment horizontal="center" vertical="center"/>
    </xf>
    <xf numFmtId="0" fontId="17" fillId="8" borderId="0" xfId="0" applyFont="1" applyFill="1" applyAlignment="1">
      <alignment horizont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2" fillId="2" borderId="1" xfId="0" applyFont="1" applyFill="1" applyBorder="1" applyAlignment="1">
      <alignment horizontal="center" wrapText="1"/>
    </xf>
    <xf numFmtId="0" fontId="2" fillId="7" borderId="1" xfId="0" applyFont="1" applyFill="1" applyBorder="1" applyAlignment="1">
      <alignment horizontal="center"/>
    </xf>
    <xf numFmtId="0" fontId="0" fillId="3" borderId="1" xfId="0" applyFill="1" applyBorder="1"/>
    <xf numFmtId="0" fontId="2" fillId="7" borderId="1" xfId="0" applyFont="1" applyFill="1" applyBorder="1" applyAlignment="1">
      <alignment horizontal="center" wrapText="1"/>
    </xf>
    <xf numFmtId="0" fontId="2" fillId="7" borderId="1" xfId="0" applyFont="1" applyFill="1" applyBorder="1" applyAlignment="1">
      <alignment horizontal="center" vertical="center" wrapText="1"/>
    </xf>
    <xf numFmtId="0" fontId="2" fillId="2" borderId="1" xfId="0" applyFont="1" applyFill="1" applyBorder="1"/>
    <xf numFmtId="0" fontId="2" fillId="7" borderId="4" xfId="0" applyFont="1" applyFill="1" applyBorder="1" applyAlignment="1">
      <alignment horizontal="center" wrapText="1"/>
    </xf>
    <xf numFmtId="0" fontId="2" fillId="7" borderId="9" xfId="0" applyFont="1" applyFill="1" applyBorder="1" applyAlignment="1">
      <alignment horizontal="center" wrapText="1"/>
    </xf>
    <xf numFmtId="0" fontId="2" fillId="7" borderId="5" xfId="0" applyFont="1" applyFill="1" applyBorder="1" applyAlignment="1">
      <alignment horizontal="center" wrapText="1"/>
    </xf>
    <xf numFmtId="165" fontId="0" fillId="12" borderId="7" xfId="0" applyNumberFormat="1" applyFill="1" applyBorder="1" applyAlignment="1">
      <alignment horizontal="center"/>
    </xf>
    <xf numFmtId="165" fontId="0" fillId="12" borderId="17" xfId="0" applyNumberFormat="1" applyFill="1" applyBorder="1" applyAlignment="1">
      <alignment horizontal="center"/>
    </xf>
    <xf numFmtId="2" fontId="0" fillId="12" borderId="10" xfId="0" applyNumberFormat="1" applyFill="1" applyBorder="1" applyAlignment="1">
      <alignment horizontal="center"/>
    </xf>
    <xf numFmtId="2" fontId="0" fillId="12" borderId="16" xfId="0" applyNumberFormat="1" applyFill="1"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12" fillId="0" borderId="7" xfId="0" applyFont="1" applyBorder="1" applyAlignment="1">
      <alignment horizontal="center"/>
    </xf>
    <xf numFmtId="0" fontId="12" fillId="0" borderId="17" xfId="0" applyFont="1" applyBorder="1" applyAlignment="1">
      <alignment horizontal="center"/>
    </xf>
    <xf numFmtId="0" fontId="12" fillId="0" borderId="10" xfId="0" applyFont="1" applyBorder="1" applyAlignment="1">
      <alignment horizontal="center"/>
    </xf>
    <xf numFmtId="0" fontId="12" fillId="0" borderId="16" xfId="0" applyFont="1" applyBorder="1" applyAlignment="1">
      <alignment horizontal="center"/>
    </xf>
    <xf numFmtId="0" fontId="0" fillId="0" borderId="5" xfId="0" applyBorder="1" applyAlignment="1">
      <alignment horizontal="center"/>
    </xf>
    <xf numFmtId="165" fontId="0" fillId="0" borderId="12" xfId="0" applyNumberFormat="1" applyBorder="1" applyAlignment="1">
      <alignment horizontal="center"/>
    </xf>
    <xf numFmtId="165" fontId="0" fillId="0" borderId="7" xfId="0" applyNumberFormat="1" applyBorder="1" applyAlignment="1">
      <alignment horizontal="center"/>
    </xf>
    <xf numFmtId="2" fontId="0" fillId="0" borderId="10" xfId="0" applyNumberFormat="1" applyBorder="1" applyAlignment="1">
      <alignment horizontal="center"/>
    </xf>
    <xf numFmtId="0" fontId="0" fillId="0" borderId="16" xfId="0" applyBorder="1" applyAlignment="1">
      <alignment horizontal="center"/>
    </xf>
    <xf numFmtId="165" fontId="0" fillId="0" borderId="6" xfId="0" applyNumberFormat="1" applyBorder="1" applyAlignment="1">
      <alignment horizontal="center"/>
    </xf>
    <xf numFmtId="165" fontId="0" fillId="0" borderId="16" xfId="0" applyNumberFormat="1" applyBorder="1" applyAlignment="1">
      <alignment horizontal="center"/>
    </xf>
    <xf numFmtId="0" fontId="56" fillId="0" borderId="12" xfId="0" applyFont="1" applyBorder="1" applyAlignment="1">
      <alignment horizontal="center" vertical="center"/>
    </xf>
    <xf numFmtId="0" fontId="56" fillId="0" borderId="13" xfId="0" applyFont="1" applyBorder="1" applyAlignment="1">
      <alignment horizontal="center" vertical="center"/>
    </xf>
    <xf numFmtId="0" fontId="56" fillId="0" borderId="15" xfId="0" applyFont="1" applyBorder="1" applyAlignment="1">
      <alignment horizontal="center" vertical="center"/>
    </xf>
    <xf numFmtId="0" fontId="56" fillId="0" borderId="10" xfId="0" applyFont="1" applyBorder="1" applyAlignment="1">
      <alignment horizontal="center" vertical="center"/>
    </xf>
    <xf numFmtId="0" fontId="56" fillId="0" borderId="6" xfId="0" applyFont="1" applyBorder="1" applyAlignment="1">
      <alignment horizontal="center" vertical="center"/>
    </xf>
    <xf numFmtId="0" fontId="56" fillId="0" borderId="16" xfId="0" applyFont="1" applyBorder="1" applyAlignment="1">
      <alignment horizontal="center" vertical="center"/>
    </xf>
    <xf numFmtId="0" fontId="0" fillId="0" borderId="13" xfId="0" applyBorder="1" applyAlignment="1">
      <alignment horizontal="center"/>
    </xf>
    <xf numFmtId="165" fontId="0" fillId="0" borderId="0" xfId="0" applyNumberFormat="1" applyAlignment="1">
      <alignment horizontal="center"/>
    </xf>
    <xf numFmtId="165" fontId="0" fillId="0" borderId="17" xfId="0" applyNumberFormat="1" applyBorder="1" applyAlignment="1">
      <alignment horizontal="center"/>
    </xf>
    <xf numFmtId="165" fontId="17" fillId="16" borderId="0" xfId="0" applyNumberFormat="1" applyFont="1" applyFill="1" applyAlignment="1">
      <alignment horizontal="center"/>
    </xf>
    <xf numFmtId="165" fontId="17" fillId="16" borderId="17" xfId="0" applyNumberFormat="1" applyFont="1" applyFill="1" applyBorder="1" applyAlignment="1">
      <alignment horizontal="center"/>
    </xf>
    <xf numFmtId="9" fontId="0" fillId="0" borderId="0" xfId="0" applyNumberFormat="1" applyAlignment="1">
      <alignment horizontal="center"/>
    </xf>
    <xf numFmtId="9" fontId="0" fillId="16" borderId="0" xfId="0" quotePrefix="1" applyNumberFormat="1" applyFill="1" applyAlignment="1">
      <alignment horizontal="center"/>
    </xf>
    <xf numFmtId="9" fontId="0" fillId="16" borderId="0" xfId="0" applyNumberFormat="1" applyFill="1" applyAlignment="1">
      <alignment horizontal="center"/>
    </xf>
    <xf numFmtId="9" fontId="0" fillId="12" borderId="0" xfId="0" applyNumberFormat="1" applyFill="1" applyAlignment="1">
      <alignment horizontal="center"/>
    </xf>
    <xf numFmtId="0" fontId="27" fillId="0" borderId="0" xfId="0" applyFont="1" applyAlignment="1">
      <alignment horizontal="center" vertical="center"/>
    </xf>
    <xf numFmtId="0" fontId="55" fillId="0" borderId="12" xfId="0" applyFont="1" applyBorder="1" applyAlignment="1">
      <alignment horizontal="center" vertical="center"/>
    </xf>
    <xf numFmtId="0" fontId="55" fillId="0" borderId="13" xfId="0" applyFont="1" applyBorder="1" applyAlignment="1">
      <alignment horizontal="center" vertical="center"/>
    </xf>
    <xf numFmtId="0" fontId="55" fillId="0" borderId="15" xfId="0" applyFont="1" applyBorder="1" applyAlignment="1">
      <alignment horizontal="center" vertical="center"/>
    </xf>
    <xf numFmtId="0" fontId="55" fillId="0" borderId="10" xfId="0" applyFont="1" applyBorder="1" applyAlignment="1">
      <alignment horizontal="center" vertical="center"/>
    </xf>
    <xf numFmtId="0" fontId="55" fillId="0" borderId="6" xfId="0" applyFont="1" applyBorder="1" applyAlignment="1">
      <alignment horizontal="center" vertical="center"/>
    </xf>
    <xf numFmtId="0" fontId="55" fillId="0" borderId="16" xfId="0" applyFont="1" applyBorder="1" applyAlignment="1">
      <alignment horizontal="center" vertical="center"/>
    </xf>
    <xf numFmtId="1" fontId="0" fillId="0" borderId="0" xfId="0" applyNumberFormat="1" applyAlignment="1">
      <alignment horizontal="center"/>
    </xf>
    <xf numFmtId="9" fontId="0" fillId="0" borderId="10" xfId="0" applyNumberFormat="1" applyBorder="1" applyAlignment="1">
      <alignment horizontal="center"/>
    </xf>
    <xf numFmtId="9" fontId="0" fillId="0" borderId="16" xfId="0" applyNumberForma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168" fontId="0" fillId="0" borderId="12" xfId="0" applyNumberFormat="1" applyBorder="1" applyAlignment="1">
      <alignment horizontal="center"/>
    </xf>
    <xf numFmtId="168" fontId="0" fillId="0" borderId="13" xfId="0" applyNumberFormat="1" applyBorder="1" applyAlignment="1">
      <alignment horizontal="center"/>
    </xf>
    <xf numFmtId="168" fontId="0" fillId="0" borderId="15" xfId="0" applyNumberFormat="1" applyBorder="1" applyAlignment="1">
      <alignment horizontal="center"/>
    </xf>
    <xf numFmtId="165" fontId="0" fillId="0" borderId="14" xfId="0" applyNumberFormat="1" applyBorder="1" applyAlignment="1">
      <alignment horizontal="center"/>
    </xf>
    <xf numFmtId="0" fontId="39" fillId="0" borderId="4" xfId="0" applyFont="1" applyBorder="1" applyAlignment="1">
      <alignment horizontal="center" vertical="center"/>
    </xf>
    <xf numFmtId="0" fontId="39" fillId="0" borderId="9" xfId="0" applyFont="1" applyBorder="1" applyAlignment="1">
      <alignment horizontal="center" vertical="center"/>
    </xf>
    <xf numFmtId="0" fontId="39" fillId="0" borderId="5" xfId="0" applyFont="1" applyBorder="1" applyAlignment="1">
      <alignment horizontal="center" vertical="center"/>
    </xf>
    <xf numFmtId="0" fontId="51" fillId="2" borderId="13" xfId="0" applyFont="1" applyFill="1" applyBorder="1" applyAlignment="1">
      <alignment horizontal="center" vertical="center" wrapText="1"/>
    </xf>
    <xf numFmtId="0" fontId="51" fillId="2" borderId="0" xfId="0" applyFont="1" applyFill="1" applyAlignment="1">
      <alignment horizontal="center" vertical="center" wrapText="1"/>
    </xf>
    <xf numFmtId="0" fontId="53" fillId="0" borderId="0" xfId="0" applyFont="1" applyAlignment="1">
      <alignment horizontal="center" vertical="center" wrapText="1"/>
    </xf>
    <xf numFmtId="1" fontId="0" fillId="17" borderId="4" xfId="0" applyNumberFormat="1" applyFill="1" applyBorder="1" applyAlignment="1">
      <alignment horizontal="center"/>
    </xf>
    <xf numFmtId="1" fontId="0" fillId="17" borderId="5" xfId="0" applyNumberFormat="1" applyFill="1" applyBorder="1" applyAlignment="1">
      <alignment horizontal="center"/>
    </xf>
    <xf numFmtId="171" fontId="45" fillId="4" borderId="12" xfId="0" applyNumberFormat="1" applyFont="1" applyFill="1" applyBorder="1" applyAlignment="1">
      <alignment horizontal="center" vertical="center"/>
    </xf>
    <xf numFmtId="171" fontId="45" fillId="4" borderId="15" xfId="0" applyNumberFormat="1" applyFont="1" applyFill="1" applyBorder="1" applyAlignment="1">
      <alignment horizontal="center" vertical="center"/>
    </xf>
    <xf numFmtId="171" fontId="45" fillId="4" borderId="10" xfId="0" applyNumberFormat="1" applyFont="1" applyFill="1" applyBorder="1" applyAlignment="1">
      <alignment horizontal="center" vertical="center"/>
    </xf>
    <xf numFmtId="171" fontId="45" fillId="4" borderId="16"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0" fillId="0" borderId="1" xfId="0" applyNumberFormat="1" applyBorder="1" applyAlignment="1">
      <alignment horizontal="center" vertical="center"/>
    </xf>
    <xf numFmtId="1" fontId="17" fillId="16" borderId="7" xfId="0" applyNumberFormat="1" applyFont="1" applyFill="1" applyBorder="1" applyAlignment="1">
      <alignment horizontal="center" vertical="center"/>
    </xf>
    <xf numFmtId="1" fontId="17" fillId="16" borderId="17" xfId="0" applyNumberFormat="1" applyFont="1" applyFill="1" applyBorder="1" applyAlignment="1">
      <alignment horizontal="center" vertical="center"/>
    </xf>
    <xf numFmtId="1" fontId="17" fillId="16" borderId="7" xfId="0" applyNumberFormat="1" applyFont="1" applyFill="1" applyBorder="1" applyAlignment="1">
      <alignment horizontal="center"/>
    </xf>
    <xf numFmtId="1" fontId="17" fillId="16" borderId="17" xfId="0" applyNumberFormat="1" applyFont="1" applyFill="1" applyBorder="1" applyAlignment="1">
      <alignment horizont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165" fontId="0" fillId="12" borderId="12" xfId="0" applyNumberFormat="1" applyFill="1" applyBorder="1" applyAlignment="1">
      <alignment horizontal="center"/>
    </xf>
    <xf numFmtId="165" fontId="0" fillId="12" borderId="15" xfId="0" applyNumberFormat="1" applyFill="1" applyBorder="1" applyAlignment="1">
      <alignment horizontal="center"/>
    </xf>
    <xf numFmtId="0" fontId="0" fillId="0" borderId="27" xfId="0" applyBorder="1" applyAlignment="1">
      <alignment horizontal="center"/>
    </xf>
    <xf numFmtId="0" fontId="0" fillId="0" borderId="21" xfId="0"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3" xfId="0" applyBorder="1" applyAlignment="1">
      <alignment horizontal="center"/>
    </xf>
    <xf numFmtId="0" fontId="40" fillId="0" borderId="12" xfId="0" applyFont="1" applyBorder="1" applyAlignment="1">
      <alignment horizontal="center" vertical="center" wrapText="1"/>
    </xf>
    <xf numFmtId="0" fontId="40" fillId="0" borderId="13" xfId="0" applyFont="1" applyBorder="1" applyAlignment="1">
      <alignment horizontal="center" vertical="center" wrapText="1"/>
    </xf>
    <xf numFmtId="0" fontId="40" fillId="0" borderId="15"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0" xfId="0" applyFont="1" applyAlignment="1">
      <alignment horizontal="center" vertical="center" wrapText="1"/>
    </xf>
    <xf numFmtId="0" fontId="40" fillId="0" borderId="17"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6" xfId="0" applyFont="1" applyBorder="1" applyAlignment="1">
      <alignment horizontal="center" vertical="center" wrapText="1"/>
    </xf>
    <xf numFmtId="0" fontId="40" fillId="0" borderId="16" xfId="0" applyFont="1" applyBorder="1" applyAlignment="1">
      <alignment horizontal="center" vertical="center" wrapText="1"/>
    </xf>
    <xf numFmtId="166" fontId="0" fillId="12" borderId="12" xfId="1" applyNumberFormat="1" applyFont="1" applyFill="1" applyBorder="1" applyAlignment="1">
      <alignment horizontal="center"/>
    </xf>
    <xf numFmtId="166" fontId="0" fillId="12" borderId="15" xfId="1" applyNumberFormat="1" applyFont="1" applyFill="1" applyBorder="1" applyAlignment="1">
      <alignment horizontal="center"/>
    </xf>
    <xf numFmtId="166" fontId="0" fillId="12" borderId="10" xfId="1" applyNumberFormat="1" applyFont="1" applyFill="1" applyBorder="1" applyAlignment="1">
      <alignment horizontal="center"/>
    </xf>
    <xf numFmtId="166" fontId="0" fillId="12" borderId="16" xfId="1" applyNumberFormat="1" applyFont="1" applyFill="1" applyBorder="1" applyAlignment="1">
      <alignment horizontal="center"/>
    </xf>
    <xf numFmtId="0" fontId="20" fillId="4" borderId="1" xfId="0" applyFont="1" applyFill="1" applyBorder="1" applyAlignment="1">
      <alignment horizontal="center" vertical="center"/>
    </xf>
    <xf numFmtId="170" fontId="45" fillId="4" borderId="1" xfId="0" applyNumberFormat="1" applyFont="1" applyFill="1" applyBorder="1" applyAlignment="1">
      <alignment horizontal="center" vertical="center"/>
    </xf>
    <xf numFmtId="0" fontId="34" fillId="8" borderId="0" xfId="0" applyFont="1" applyFill="1" applyAlignment="1">
      <alignment horizontal="center" vertical="center" wrapText="1"/>
    </xf>
    <xf numFmtId="0" fontId="13" fillId="0" borderId="0" xfId="0" applyFont="1" applyAlignment="1">
      <alignment horizontal="center"/>
    </xf>
    <xf numFmtId="1" fontId="12" fillId="0" borderId="0" xfId="0" applyNumberFormat="1" applyFont="1" applyAlignment="1">
      <alignment horizontal="center"/>
    </xf>
    <xf numFmtId="10" fontId="12" fillId="12" borderId="0" xfId="0" applyNumberFormat="1" applyFont="1" applyFill="1" applyAlignment="1">
      <alignment horizontal="center"/>
    </xf>
    <xf numFmtId="1" fontId="0" fillId="12" borderId="0" xfId="0" applyNumberFormat="1" applyFill="1" applyAlignment="1">
      <alignment horizontal="center"/>
    </xf>
    <xf numFmtId="2" fontId="0" fillId="12" borderId="0" xfId="0" applyNumberFormat="1" applyFill="1" applyAlignment="1">
      <alignment horizontal="center"/>
    </xf>
    <xf numFmtId="9" fontId="0" fillId="12" borderId="0" xfId="1" applyFont="1" applyFill="1" applyAlignment="1">
      <alignment horizontal="center"/>
    </xf>
    <xf numFmtId="0" fontId="26" fillId="0" borderId="0" xfId="0" applyFont="1" applyAlignment="1">
      <alignment horizontal="center"/>
    </xf>
    <xf numFmtId="2" fontId="0" fillId="15" borderId="0" xfId="0" applyNumberFormat="1" applyFill="1" applyAlignment="1">
      <alignment horizontal="center"/>
    </xf>
    <xf numFmtId="1" fontId="12" fillId="12" borderId="0" xfId="0" applyNumberFormat="1" applyFont="1" applyFill="1" applyAlignment="1">
      <alignment horizontal="center"/>
    </xf>
    <xf numFmtId="165" fontId="12" fillId="12" borderId="0" xfId="0" applyNumberFormat="1" applyFont="1" applyFill="1" applyAlignment="1">
      <alignment horizontal="center"/>
    </xf>
    <xf numFmtId="2" fontId="12" fillId="12" borderId="0" xfId="0" applyNumberFormat="1" applyFont="1" applyFill="1" applyAlignment="1">
      <alignment horizontal="center"/>
    </xf>
    <xf numFmtId="0" fontId="0" fillId="15" borderId="0" xfId="0" applyFill="1" applyAlignment="1">
      <alignment horizontal="center"/>
    </xf>
    <xf numFmtId="0" fontId="0" fillId="15" borderId="0" xfId="0" applyFill="1"/>
    <xf numFmtId="0" fontId="0" fillId="0" borderId="4" xfId="0" quotePrefix="1" applyBorder="1" applyAlignment="1">
      <alignment horizontal="center" vertical="center"/>
    </xf>
    <xf numFmtId="0" fontId="2" fillId="2" borderId="3" xfId="0" applyFont="1" applyFill="1" applyBorder="1" applyAlignment="1">
      <alignment horizontal="center" vertical="center"/>
    </xf>
    <xf numFmtId="0" fontId="2" fillId="7" borderId="10" xfId="0" applyFont="1" applyFill="1" applyBorder="1" applyAlignment="1">
      <alignment horizontal="center"/>
    </xf>
    <xf numFmtId="0" fontId="2" fillId="7" borderId="6" xfId="0" applyFont="1" applyFill="1" applyBorder="1" applyAlignment="1">
      <alignment horizontal="center"/>
    </xf>
    <xf numFmtId="0" fontId="0" fillId="0" borderId="6" xfId="0" applyBorder="1" applyAlignment="1">
      <alignment horizontal="center" wrapText="1"/>
    </xf>
    <xf numFmtId="0" fontId="54" fillId="8" borderId="0" xfId="0" applyFont="1" applyFill="1" applyAlignment="1">
      <alignment horizontal="center" vertical="center" wrapText="1"/>
    </xf>
  </cellXfs>
  <cellStyles count="4">
    <cellStyle name="Hipervínculo" xfId="3" builtinId="8"/>
    <cellStyle name="Millares" xfId="2" builtinId="3"/>
    <cellStyle name="Normal" xfId="0" builtinId="0"/>
    <cellStyle name="Porcentaje"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5B6"/>
      <color rgb="FF004D96"/>
      <color rgb="FFFF4912"/>
      <color rgb="FFFF7248"/>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15</xdr:col>
      <xdr:colOff>484755</xdr:colOff>
      <xdr:row>0</xdr:row>
      <xdr:rowOff>111760</xdr:rowOff>
    </xdr:from>
    <xdr:to>
      <xdr:col>26</xdr:col>
      <xdr:colOff>265600</xdr:colOff>
      <xdr:row>17</xdr:row>
      <xdr:rowOff>123573</xdr:rowOff>
    </xdr:to>
    <xdr:pic>
      <xdr:nvPicPr>
        <xdr:cNvPr id="2" name="Picture 1">
          <a:extLst>
            <a:ext uri="{FF2B5EF4-FFF2-40B4-BE49-F238E27FC236}">
              <a16:creationId xmlns:a16="http://schemas.microsoft.com/office/drawing/2014/main" id="{AE44492A-221F-A961-2A56-4815C4B4D9BB}"/>
            </a:ext>
          </a:extLst>
        </xdr:cNvPr>
        <xdr:cNvPicPr>
          <a:picLocks noChangeAspect="1"/>
        </xdr:cNvPicPr>
      </xdr:nvPicPr>
      <xdr:blipFill>
        <a:blip xmlns:r="http://schemas.openxmlformats.org/officeDocument/2006/relationships" r:embed="rId1"/>
        <a:stretch>
          <a:fillRect/>
        </a:stretch>
      </xdr:blipFill>
      <xdr:spPr>
        <a:xfrm>
          <a:off x="10428855" y="111760"/>
          <a:ext cx="7803525" cy="3466213"/>
        </a:xfrm>
        <a:prstGeom prst="rect">
          <a:avLst/>
        </a:prstGeom>
      </xdr:spPr>
    </xdr:pic>
    <xdr:clientData/>
  </xdr:twoCellAnchor>
  <xdr:twoCellAnchor editAs="oneCell">
    <xdr:from>
      <xdr:col>18</xdr:col>
      <xdr:colOff>0</xdr:colOff>
      <xdr:row>19</xdr:row>
      <xdr:rowOff>147870</xdr:rowOff>
    </xdr:from>
    <xdr:to>
      <xdr:col>42</xdr:col>
      <xdr:colOff>111265</xdr:colOff>
      <xdr:row>33</xdr:row>
      <xdr:rowOff>3803</xdr:rowOff>
    </xdr:to>
    <xdr:pic>
      <xdr:nvPicPr>
        <xdr:cNvPr id="3" name="Picture 2">
          <a:extLst>
            <a:ext uri="{FF2B5EF4-FFF2-40B4-BE49-F238E27FC236}">
              <a16:creationId xmlns:a16="http://schemas.microsoft.com/office/drawing/2014/main" id="{FD897582-5712-9434-6B89-3F4B885B7417}"/>
            </a:ext>
          </a:extLst>
        </xdr:cNvPr>
        <xdr:cNvPicPr>
          <a:picLocks noChangeAspect="1"/>
        </xdr:cNvPicPr>
      </xdr:nvPicPr>
      <xdr:blipFill>
        <a:blip xmlns:r="http://schemas.openxmlformats.org/officeDocument/2006/relationships" r:embed="rId2"/>
        <a:stretch>
          <a:fillRect/>
        </a:stretch>
      </xdr:blipFill>
      <xdr:spPr>
        <a:xfrm>
          <a:off x="14803120" y="4008670"/>
          <a:ext cx="15306781" cy="2703633"/>
        </a:xfrm>
        <a:prstGeom prst="rect">
          <a:avLst/>
        </a:prstGeom>
      </xdr:spPr>
    </xdr:pic>
    <xdr:clientData/>
  </xdr:twoCellAnchor>
  <xdr:twoCellAnchor editAs="oneCell">
    <xdr:from>
      <xdr:col>18</xdr:col>
      <xdr:colOff>45280</xdr:colOff>
      <xdr:row>41</xdr:row>
      <xdr:rowOff>119791</xdr:rowOff>
    </xdr:from>
    <xdr:to>
      <xdr:col>38</xdr:col>
      <xdr:colOff>481910</xdr:colOff>
      <xdr:row>52</xdr:row>
      <xdr:rowOff>45241</xdr:rowOff>
    </xdr:to>
    <xdr:pic>
      <xdr:nvPicPr>
        <xdr:cNvPr id="4" name="Picture 3">
          <a:extLst>
            <a:ext uri="{FF2B5EF4-FFF2-40B4-BE49-F238E27FC236}">
              <a16:creationId xmlns:a16="http://schemas.microsoft.com/office/drawing/2014/main" id="{282E37BF-45F2-830C-353D-CD05C36A0224}"/>
            </a:ext>
          </a:extLst>
        </xdr:cNvPr>
        <xdr:cNvPicPr>
          <a:picLocks noChangeAspect="1"/>
        </xdr:cNvPicPr>
      </xdr:nvPicPr>
      <xdr:blipFill>
        <a:blip xmlns:r="http://schemas.openxmlformats.org/officeDocument/2006/relationships" r:embed="rId3"/>
        <a:stretch>
          <a:fillRect/>
        </a:stretch>
      </xdr:blipFill>
      <xdr:spPr>
        <a:xfrm>
          <a:off x="12456644" y="8798124"/>
          <a:ext cx="12291529" cy="2253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1563</xdr:colOff>
      <xdr:row>1</xdr:row>
      <xdr:rowOff>48230</xdr:rowOff>
    </xdr:from>
    <xdr:to>
      <xdr:col>20</xdr:col>
      <xdr:colOff>536939</xdr:colOff>
      <xdr:row>46</xdr:row>
      <xdr:rowOff>15596</xdr:rowOff>
    </xdr:to>
    <xdr:pic>
      <xdr:nvPicPr>
        <xdr:cNvPr id="2" name="Picture 1">
          <a:extLst>
            <a:ext uri="{FF2B5EF4-FFF2-40B4-BE49-F238E27FC236}">
              <a16:creationId xmlns:a16="http://schemas.microsoft.com/office/drawing/2014/main" id="{2AFD78F5-7172-31AE-FA0E-4B47EE5485AB}"/>
            </a:ext>
          </a:extLst>
        </xdr:cNvPr>
        <xdr:cNvPicPr>
          <a:picLocks noChangeAspect="1"/>
        </xdr:cNvPicPr>
      </xdr:nvPicPr>
      <xdr:blipFill>
        <a:blip xmlns:r="http://schemas.openxmlformats.org/officeDocument/2006/relationships" r:embed="rId1"/>
        <a:stretch>
          <a:fillRect/>
        </a:stretch>
      </xdr:blipFill>
      <xdr:spPr>
        <a:xfrm>
          <a:off x="823328" y="257406"/>
          <a:ext cx="13430773" cy="9380308"/>
        </a:xfrm>
        <a:prstGeom prst="rect">
          <a:avLst/>
        </a:prstGeom>
      </xdr:spPr>
    </xdr:pic>
    <xdr:clientData/>
  </xdr:twoCellAnchor>
  <xdr:twoCellAnchor editAs="oneCell">
    <xdr:from>
      <xdr:col>22</xdr:col>
      <xdr:colOff>248030</xdr:colOff>
      <xdr:row>5</xdr:row>
      <xdr:rowOff>11645</xdr:rowOff>
    </xdr:from>
    <xdr:to>
      <xdr:col>25</xdr:col>
      <xdr:colOff>215351</xdr:colOff>
      <xdr:row>23</xdr:row>
      <xdr:rowOff>166406</xdr:rowOff>
    </xdr:to>
    <xdr:pic>
      <xdr:nvPicPr>
        <xdr:cNvPr id="4" name="Picture 3">
          <a:extLst>
            <a:ext uri="{FF2B5EF4-FFF2-40B4-BE49-F238E27FC236}">
              <a16:creationId xmlns:a16="http://schemas.microsoft.com/office/drawing/2014/main" id="{CB731799-DD44-4E44-0F50-181BA81B49D1}"/>
            </a:ext>
          </a:extLst>
        </xdr:cNvPr>
        <xdr:cNvPicPr>
          <a:picLocks noChangeAspect="1"/>
        </xdr:cNvPicPr>
      </xdr:nvPicPr>
      <xdr:blipFill>
        <a:blip xmlns:r="http://schemas.openxmlformats.org/officeDocument/2006/relationships" r:embed="rId2"/>
        <a:stretch>
          <a:fillRect/>
        </a:stretch>
      </xdr:blipFill>
      <xdr:spPr>
        <a:xfrm>
          <a:off x="15054371" y="1018352"/>
          <a:ext cx="1965248" cy="3778908"/>
        </a:xfrm>
        <a:prstGeom prst="rect">
          <a:avLst/>
        </a:prstGeom>
      </xdr:spPr>
    </xdr:pic>
    <xdr:clientData/>
  </xdr:twoCellAnchor>
  <xdr:twoCellAnchor>
    <xdr:from>
      <xdr:col>1</xdr:col>
      <xdr:colOff>0</xdr:colOff>
      <xdr:row>54</xdr:row>
      <xdr:rowOff>196139</xdr:rowOff>
    </xdr:from>
    <xdr:to>
      <xdr:col>2</xdr:col>
      <xdr:colOff>0</xdr:colOff>
      <xdr:row>55</xdr:row>
      <xdr:rowOff>0</xdr:rowOff>
    </xdr:to>
    <xdr:cxnSp macro="">
      <xdr:nvCxnSpPr>
        <xdr:cNvPr id="6" name="Straight Arrow Connector 5">
          <a:extLst>
            <a:ext uri="{FF2B5EF4-FFF2-40B4-BE49-F238E27FC236}">
              <a16:creationId xmlns:a16="http://schemas.microsoft.com/office/drawing/2014/main" id="{9925FAAC-CD75-3B91-BB03-09F11DA6B289}"/>
            </a:ext>
          </a:extLst>
        </xdr:cNvPr>
        <xdr:cNvCxnSpPr/>
      </xdr:nvCxnSpPr>
      <xdr:spPr>
        <a:xfrm flipV="1">
          <a:off x="823784" y="1105243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55</xdr:row>
      <xdr:rowOff>0</xdr:rowOff>
    </xdr:from>
    <xdr:to>
      <xdr:col>5</xdr:col>
      <xdr:colOff>0</xdr:colOff>
      <xdr:row>55</xdr:row>
      <xdr:rowOff>4904</xdr:rowOff>
    </xdr:to>
    <xdr:cxnSp macro="">
      <xdr:nvCxnSpPr>
        <xdr:cNvPr id="8" name="Straight Arrow Connector 7">
          <a:extLst>
            <a:ext uri="{FF2B5EF4-FFF2-40B4-BE49-F238E27FC236}">
              <a16:creationId xmlns:a16="http://schemas.microsoft.com/office/drawing/2014/main" id="{9F1504E6-E214-1F49-AE6A-8058F0F1477F}"/>
            </a:ext>
          </a:extLst>
        </xdr:cNvPr>
        <xdr:cNvCxnSpPr/>
      </xdr:nvCxnSpPr>
      <xdr:spPr>
        <a:xfrm flipV="1">
          <a:off x="2839112"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55</xdr:row>
      <xdr:rowOff>0</xdr:rowOff>
    </xdr:from>
    <xdr:to>
      <xdr:col>7</xdr:col>
      <xdr:colOff>671776</xdr:colOff>
      <xdr:row>55</xdr:row>
      <xdr:rowOff>4904</xdr:rowOff>
    </xdr:to>
    <xdr:cxnSp macro="">
      <xdr:nvCxnSpPr>
        <xdr:cNvPr id="9" name="Straight Arrow Connector 8">
          <a:extLst>
            <a:ext uri="{FF2B5EF4-FFF2-40B4-BE49-F238E27FC236}">
              <a16:creationId xmlns:a16="http://schemas.microsoft.com/office/drawing/2014/main" id="{A81EAE84-EB14-CE40-95AD-64683A2652FB}"/>
            </a:ext>
          </a:extLst>
        </xdr:cNvPr>
        <xdr:cNvCxnSpPr/>
      </xdr:nvCxnSpPr>
      <xdr:spPr>
        <a:xfrm flipV="1">
          <a:off x="4854440"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55</xdr:row>
      <xdr:rowOff>0</xdr:rowOff>
    </xdr:from>
    <xdr:to>
      <xdr:col>10</xdr:col>
      <xdr:colOff>671776</xdr:colOff>
      <xdr:row>55</xdr:row>
      <xdr:rowOff>4904</xdr:rowOff>
    </xdr:to>
    <xdr:cxnSp macro="">
      <xdr:nvCxnSpPr>
        <xdr:cNvPr id="10" name="Straight Arrow Connector 9">
          <a:extLst>
            <a:ext uri="{FF2B5EF4-FFF2-40B4-BE49-F238E27FC236}">
              <a16:creationId xmlns:a16="http://schemas.microsoft.com/office/drawing/2014/main" id="{724F73FD-E17E-C240-AA2E-D17A4B8AE335}"/>
            </a:ext>
          </a:extLst>
        </xdr:cNvPr>
        <xdr:cNvCxnSpPr/>
      </xdr:nvCxnSpPr>
      <xdr:spPr>
        <a:xfrm flipV="1">
          <a:off x="6869768"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55</xdr:row>
      <xdr:rowOff>0</xdr:rowOff>
    </xdr:from>
    <xdr:to>
      <xdr:col>14</xdr:col>
      <xdr:colOff>0</xdr:colOff>
      <xdr:row>55</xdr:row>
      <xdr:rowOff>4904</xdr:rowOff>
    </xdr:to>
    <xdr:cxnSp macro="">
      <xdr:nvCxnSpPr>
        <xdr:cNvPr id="11" name="Straight Arrow Connector 10">
          <a:extLst>
            <a:ext uri="{FF2B5EF4-FFF2-40B4-BE49-F238E27FC236}">
              <a16:creationId xmlns:a16="http://schemas.microsoft.com/office/drawing/2014/main" id="{804EA785-A51E-4C46-BE4C-4517A3DAB56F}"/>
            </a:ext>
          </a:extLst>
        </xdr:cNvPr>
        <xdr:cNvCxnSpPr/>
      </xdr:nvCxnSpPr>
      <xdr:spPr>
        <a:xfrm flipV="1">
          <a:off x="888509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55</xdr:row>
      <xdr:rowOff>0</xdr:rowOff>
    </xdr:from>
    <xdr:to>
      <xdr:col>17</xdr:col>
      <xdr:colOff>0</xdr:colOff>
      <xdr:row>55</xdr:row>
      <xdr:rowOff>4904</xdr:rowOff>
    </xdr:to>
    <xdr:cxnSp macro="">
      <xdr:nvCxnSpPr>
        <xdr:cNvPr id="12" name="Straight Arrow Connector 11">
          <a:extLst>
            <a:ext uri="{FF2B5EF4-FFF2-40B4-BE49-F238E27FC236}">
              <a16:creationId xmlns:a16="http://schemas.microsoft.com/office/drawing/2014/main" id="{CE2E8C33-692B-AC49-A451-57828F572277}"/>
            </a:ext>
          </a:extLst>
        </xdr:cNvPr>
        <xdr:cNvCxnSpPr/>
      </xdr:nvCxnSpPr>
      <xdr:spPr>
        <a:xfrm flipV="1">
          <a:off x="10900425"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55</xdr:row>
      <xdr:rowOff>0</xdr:rowOff>
    </xdr:from>
    <xdr:to>
      <xdr:col>20</xdr:col>
      <xdr:colOff>0</xdr:colOff>
      <xdr:row>55</xdr:row>
      <xdr:rowOff>4904</xdr:rowOff>
    </xdr:to>
    <xdr:cxnSp macro="">
      <xdr:nvCxnSpPr>
        <xdr:cNvPr id="13" name="Straight Arrow Connector 12">
          <a:extLst>
            <a:ext uri="{FF2B5EF4-FFF2-40B4-BE49-F238E27FC236}">
              <a16:creationId xmlns:a16="http://schemas.microsoft.com/office/drawing/2014/main" id="{AB10085D-BBB3-BA43-BE21-DEF95322EBD2}"/>
            </a:ext>
          </a:extLst>
        </xdr:cNvPr>
        <xdr:cNvCxnSpPr/>
      </xdr:nvCxnSpPr>
      <xdr:spPr>
        <a:xfrm flipV="1">
          <a:off x="12915753"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55</xdr:row>
      <xdr:rowOff>0</xdr:rowOff>
    </xdr:from>
    <xdr:to>
      <xdr:col>23</xdr:col>
      <xdr:colOff>0</xdr:colOff>
      <xdr:row>55</xdr:row>
      <xdr:rowOff>4904</xdr:rowOff>
    </xdr:to>
    <xdr:cxnSp macro="">
      <xdr:nvCxnSpPr>
        <xdr:cNvPr id="14" name="Straight Arrow Connector 13">
          <a:extLst>
            <a:ext uri="{FF2B5EF4-FFF2-40B4-BE49-F238E27FC236}">
              <a16:creationId xmlns:a16="http://schemas.microsoft.com/office/drawing/2014/main" id="{9C6DE596-521D-1747-92B2-18AB0F2A625C}"/>
            </a:ext>
          </a:extLst>
        </xdr:cNvPr>
        <xdr:cNvCxnSpPr/>
      </xdr:nvCxnSpPr>
      <xdr:spPr>
        <a:xfrm flipV="1">
          <a:off x="14931081"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671776</xdr:colOff>
      <xdr:row>55</xdr:row>
      <xdr:rowOff>0</xdr:rowOff>
    </xdr:from>
    <xdr:to>
      <xdr:col>25</xdr:col>
      <xdr:colOff>671776</xdr:colOff>
      <xdr:row>55</xdr:row>
      <xdr:rowOff>4904</xdr:rowOff>
    </xdr:to>
    <xdr:cxnSp macro="">
      <xdr:nvCxnSpPr>
        <xdr:cNvPr id="15" name="Straight Arrow Connector 14">
          <a:extLst>
            <a:ext uri="{FF2B5EF4-FFF2-40B4-BE49-F238E27FC236}">
              <a16:creationId xmlns:a16="http://schemas.microsoft.com/office/drawing/2014/main" id="{D5F3E7A2-9911-FA43-A38B-6AD49B8CA7AE}"/>
            </a:ext>
          </a:extLst>
        </xdr:cNvPr>
        <xdr:cNvCxnSpPr/>
      </xdr:nvCxnSpPr>
      <xdr:spPr>
        <a:xfrm flipV="1">
          <a:off x="16946409"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671776</xdr:colOff>
      <xdr:row>55</xdr:row>
      <xdr:rowOff>0</xdr:rowOff>
    </xdr:from>
    <xdr:to>
      <xdr:col>28</xdr:col>
      <xdr:colOff>671776</xdr:colOff>
      <xdr:row>55</xdr:row>
      <xdr:rowOff>4904</xdr:rowOff>
    </xdr:to>
    <xdr:cxnSp macro="">
      <xdr:nvCxnSpPr>
        <xdr:cNvPr id="16" name="Straight Arrow Connector 15">
          <a:extLst>
            <a:ext uri="{FF2B5EF4-FFF2-40B4-BE49-F238E27FC236}">
              <a16:creationId xmlns:a16="http://schemas.microsoft.com/office/drawing/2014/main" id="{BCD40AC5-2717-9244-869C-EF7CBCDFFCFA}"/>
            </a:ext>
          </a:extLst>
        </xdr:cNvPr>
        <xdr:cNvCxnSpPr/>
      </xdr:nvCxnSpPr>
      <xdr:spPr>
        <a:xfrm flipV="1">
          <a:off x="1896173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59</xdr:row>
      <xdr:rowOff>201042</xdr:rowOff>
    </xdr:from>
    <xdr:to>
      <xdr:col>10</xdr:col>
      <xdr:colOff>671776</xdr:colOff>
      <xdr:row>60</xdr:row>
      <xdr:rowOff>4904</xdr:rowOff>
    </xdr:to>
    <xdr:cxnSp macro="">
      <xdr:nvCxnSpPr>
        <xdr:cNvPr id="18" name="Straight Arrow Connector 17">
          <a:extLst>
            <a:ext uri="{FF2B5EF4-FFF2-40B4-BE49-F238E27FC236}">
              <a16:creationId xmlns:a16="http://schemas.microsoft.com/office/drawing/2014/main" id="{C151AA7C-92C7-2744-AFCC-79DAC2D2EA25}"/>
            </a:ext>
          </a:extLst>
        </xdr:cNvPr>
        <xdr:cNvCxnSpPr/>
      </xdr:nvCxnSpPr>
      <xdr:spPr>
        <a:xfrm flipV="1">
          <a:off x="6869768" y="1206254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53</xdr:row>
      <xdr:rowOff>0</xdr:rowOff>
    </xdr:from>
    <xdr:to>
      <xdr:col>6</xdr:col>
      <xdr:colOff>0</xdr:colOff>
      <xdr:row>54</xdr:row>
      <xdr:rowOff>8274</xdr:rowOff>
    </xdr:to>
    <xdr:cxnSp macro="">
      <xdr:nvCxnSpPr>
        <xdr:cNvPr id="20" name="Straight Arrow Connector 19">
          <a:extLst>
            <a:ext uri="{FF2B5EF4-FFF2-40B4-BE49-F238E27FC236}">
              <a16:creationId xmlns:a16="http://schemas.microsoft.com/office/drawing/2014/main" id="{F061963E-D0BD-B52E-BAD5-7A1F9588F92C}"/>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53</xdr:row>
      <xdr:rowOff>0</xdr:rowOff>
    </xdr:from>
    <xdr:to>
      <xdr:col>9</xdr:col>
      <xdr:colOff>0</xdr:colOff>
      <xdr:row>54</xdr:row>
      <xdr:rowOff>4137</xdr:rowOff>
    </xdr:to>
    <xdr:cxnSp macro="">
      <xdr:nvCxnSpPr>
        <xdr:cNvPr id="22" name="Straight Arrow Connector 21">
          <a:extLst>
            <a:ext uri="{FF2B5EF4-FFF2-40B4-BE49-F238E27FC236}">
              <a16:creationId xmlns:a16="http://schemas.microsoft.com/office/drawing/2014/main" id="{DD4A9903-DCE3-D748-A5AB-ED6DBE2312B0}"/>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53</xdr:row>
      <xdr:rowOff>0</xdr:rowOff>
    </xdr:from>
    <xdr:to>
      <xdr:col>12</xdr:col>
      <xdr:colOff>0</xdr:colOff>
      <xdr:row>54</xdr:row>
      <xdr:rowOff>4137</xdr:rowOff>
    </xdr:to>
    <xdr:cxnSp macro="">
      <xdr:nvCxnSpPr>
        <xdr:cNvPr id="23" name="Straight Arrow Connector 22">
          <a:extLst>
            <a:ext uri="{FF2B5EF4-FFF2-40B4-BE49-F238E27FC236}">
              <a16:creationId xmlns:a16="http://schemas.microsoft.com/office/drawing/2014/main" id="{43D4A82F-8CC8-8740-B26D-F78889286E37}"/>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53</xdr:row>
      <xdr:rowOff>0</xdr:rowOff>
    </xdr:from>
    <xdr:to>
      <xdr:col>18</xdr:col>
      <xdr:colOff>0</xdr:colOff>
      <xdr:row>54</xdr:row>
      <xdr:rowOff>0</xdr:rowOff>
    </xdr:to>
    <xdr:cxnSp macro="">
      <xdr:nvCxnSpPr>
        <xdr:cNvPr id="24" name="Straight Arrow Connector 23">
          <a:extLst>
            <a:ext uri="{FF2B5EF4-FFF2-40B4-BE49-F238E27FC236}">
              <a16:creationId xmlns:a16="http://schemas.microsoft.com/office/drawing/2014/main" id="{A8E51F45-0CD4-4A46-97E5-390EFD2D2D39}"/>
            </a:ext>
          </a:extLst>
        </xdr:cNvPr>
        <xdr:cNvCxnSpPr/>
      </xdr:nvCxnSpPr>
      <xdr:spPr>
        <a:xfrm flipV="1">
          <a:off x="1226820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53</xdr:row>
      <xdr:rowOff>0</xdr:rowOff>
    </xdr:from>
    <xdr:to>
      <xdr:col>21</xdr:col>
      <xdr:colOff>0</xdr:colOff>
      <xdr:row>54</xdr:row>
      <xdr:rowOff>4137</xdr:rowOff>
    </xdr:to>
    <xdr:cxnSp macro="">
      <xdr:nvCxnSpPr>
        <xdr:cNvPr id="25" name="Straight Arrow Connector 24">
          <a:extLst>
            <a:ext uri="{FF2B5EF4-FFF2-40B4-BE49-F238E27FC236}">
              <a16:creationId xmlns:a16="http://schemas.microsoft.com/office/drawing/2014/main" id="{6AAC1390-B421-E94B-A828-D3E643131C33}"/>
            </a:ext>
          </a:extLst>
        </xdr:cNvPr>
        <xdr:cNvCxnSpPr/>
      </xdr:nvCxnSpPr>
      <xdr:spPr>
        <a:xfrm flipV="1">
          <a:off x="142875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55</xdr:row>
      <xdr:rowOff>205119</xdr:rowOff>
    </xdr:from>
    <xdr:to>
      <xdr:col>9</xdr:col>
      <xdr:colOff>4137</xdr:colOff>
      <xdr:row>59</xdr:row>
      <xdr:rowOff>15574</xdr:rowOff>
    </xdr:to>
    <xdr:cxnSp macro="">
      <xdr:nvCxnSpPr>
        <xdr:cNvPr id="26" name="Straight Arrow Connector 25">
          <a:extLst>
            <a:ext uri="{FF2B5EF4-FFF2-40B4-BE49-F238E27FC236}">
              <a16:creationId xmlns:a16="http://schemas.microsoft.com/office/drawing/2014/main" id="{450D9D41-91CD-DB41-92F4-D60DA6F7AE66}"/>
            </a:ext>
          </a:extLst>
        </xdr:cNvPr>
        <xdr:cNvCxnSpPr/>
      </xdr:nvCxnSpPr>
      <xdr:spPr>
        <a:xfrm>
          <a:off x="6201615" y="11486734"/>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672096</xdr:colOff>
      <xdr:row>55</xdr:row>
      <xdr:rowOff>205120</xdr:rowOff>
    </xdr:from>
    <xdr:to>
      <xdr:col>21</xdr:col>
      <xdr:colOff>4137</xdr:colOff>
      <xdr:row>59</xdr:row>
      <xdr:rowOff>15575</xdr:rowOff>
    </xdr:to>
    <xdr:cxnSp macro="">
      <xdr:nvCxnSpPr>
        <xdr:cNvPr id="28" name="Straight Arrow Connector 27">
          <a:extLst>
            <a:ext uri="{FF2B5EF4-FFF2-40B4-BE49-F238E27FC236}">
              <a16:creationId xmlns:a16="http://schemas.microsoft.com/office/drawing/2014/main" id="{B364C88B-6D5C-B647-A153-247DB6A88026}"/>
            </a:ext>
          </a:extLst>
        </xdr:cNvPr>
        <xdr:cNvCxnSpPr/>
      </xdr:nvCxnSpPr>
      <xdr:spPr>
        <a:xfrm>
          <a:off x="16283058" y="11486735"/>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68</xdr:row>
      <xdr:rowOff>0</xdr:rowOff>
    </xdr:from>
    <xdr:to>
      <xdr:col>13</xdr:col>
      <xdr:colOff>674624</xdr:colOff>
      <xdr:row>68</xdr:row>
      <xdr:rowOff>7062</xdr:rowOff>
    </xdr:to>
    <xdr:cxnSp macro="">
      <xdr:nvCxnSpPr>
        <xdr:cNvPr id="30" name="Straight Arrow Connector 29">
          <a:extLst>
            <a:ext uri="{FF2B5EF4-FFF2-40B4-BE49-F238E27FC236}">
              <a16:creationId xmlns:a16="http://schemas.microsoft.com/office/drawing/2014/main" id="{E55E9052-3232-F74D-A85A-251426537F14}"/>
            </a:ext>
          </a:extLst>
        </xdr:cNvPr>
        <xdr:cNvCxnSpPr/>
      </xdr:nvCxnSpPr>
      <xdr:spPr>
        <a:xfrm flipV="1">
          <a:off x="6925733" y="13817600"/>
          <a:ext cx="270662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66</xdr:row>
      <xdr:rowOff>0</xdr:rowOff>
    </xdr:from>
    <xdr:to>
      <xdr:col>9</xdr:col>
      <xdr:colOff>0</xdr:colOff>
      <xdr:row>67</xdr:row>
      <xdr:rowOff>0</xdr:rowOff>
    </xdr:to>
    <xdr:cxnSp macro="">
      <xdr:nvCxnSpPr>
        <xdr:cNvPr id="55" name="Straight Arrow Connector 54">
          <a:extLst>
            <a:ext uri="{FF2B5EF4-FFF2-40B4-BE49-F238E27FC236}">
              <a16:creationId xmlns:a16="http://schemas.microsoft.com/office/drawing/2014/main" id="{12037923-890A-6546-BD5F-75C48B723C6E}"/>
            </a:ext>
          </a:extLst>
        </xdr:cNvPr>
        <xdr:cNvCxnSpPr/>
      </xdr:nvCxnSpPr>
      <xdr:spPr>
        <a:xfrm>
          <a:off x="6210300" y="134112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69</xdr:row>
      <xdr:rowOff>0</xdr:rowOff>
    </xdr:from>
    <xdr:to>
      <xdr:col>9</xdr:col>
      <xdr:colOff>0</xdr:colOff>
      <xdr:row>70</xdr:row>
      <xdr:rowOff>0</xdr:rowOff>
    </xdr:to>
    <xdr:cxnSp macro="">
      <xdr:nvCxnSpPr>
        <xdr:cNvPr id="56" name="Straight Arrow Connector 55">
          <a:extLst>
            <a:ext uri="{FF2B5EF4-FFF2-40B4-BE49-F238E27FC236}">
              <a16:creationId xmlns:a16="http://schemas.microsoft.com/office/drawing/2014/main" id="{DAA713A3-337D-4746-A1E4-96BC27060B24}"/>
            </a:ext>
          </a:extLst>
        </xdr:cNvPr>
        <xdr:cNvCxnSpPr/>
      </xdr:nvCxnSpPr>
      <xdr:spPr>
        <a:xfrm>
          <a:off x="6210300" y="140208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xdr:colOff>
      <xdr:row>56</xdr:row>
      <xdr:rowOff>0</xdr:rowOff>
    </xdr:from>
    <xdr:to>
      <xdr:col>20</xdr:col>
      <xdr:colOff>1</xdr:colOff>
      <xdr:row>60</xdr:row>
      <xdr:rowOff>0</xdr:rowOff>
    </xdr:to>
    <xdr:cxnSp macro="">
      <xdr:nvCxnSpPr>
        <xdr:cNvPr id="64" name="Elbow Connector 63">
          <a:extLst>
            <a:ext uri="{FF2B5EF4-FFF2-40B4-BE49-F238E27FC236}">
              <a16:creationId xmlns:a16="http://schemas.microsoft.com/office/drawing/2014/main" id="{57BA8555-5FD0-16E2-4BB5-EA781F536A9D}"/>
            </a:ext>
          </a:extLst>
        </xdr:cNvPr>
        <xdr:cNvCxnSpPr/>
      </xdr:nvCxnSpPr>
      <xdr:spPr>
        <a:xfrm rot="10800000">
          <a:off x="14241573" y="11182390"/>
          <a:ext cx="1341887" cy="798742"/>
        </a:xfrm>
        <a:prstGeom prst="bentConnector3">
          <a:avLst>
            <a:gd name="adj1" fmla="val 9999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56</xdr:row>
      <xdr:rowOff>1</xdr:rowOff>
    </xdr:from>
    <xdr:to>
      <xdr:col>17</xdr:col>
      <xdr:colOff>0</xdr:colOff>
      <xdr:row>68</xdr:row>
      <xdr:rowOff>0</xdr:rowOff>
    </xdr:to>
    <xdr:sp macro="" textlink="">
      <xdr:nvSpPr>
        <xdr:cNvPr id="68" name="Freeform 67">
          <a:extLst>
            <a:ext uri="{FF2B5EF4-FFF2-40B4-BE49-F238E27FC236}">
              <a16:creationId xmlns:a16="http://schemas.microsoft.com/office/drawing/2014/main" id="{131E6ECA-6ADE-FE49-A70A-C16B6BBF2BCF}"/>
            </a:ext>
          </a:extLst>
        </xdr:cNvPr>
        <xdr:cNvSpPr/>
      </xdr:nvSpPr>
      <xdr:spPr>
        <a:xfrm>
          <a:off x="4175760" y="11379201"/>
          <a:ext cx="7376160" cy="2438399"/>
        </a:xfrm>
        <a:custGeom>
          <a:avLst/>
          <a:gdLst>
            <a:gd name="csX0" fmla="*/ 6764867 w 6764867"/>
            <a:gd name="csY0" fmla="*/ 2461223 h 2461223"/>
            <a:gd name="csX1" fmla="*/ 0 w 6764867"/>
            <a:gd name="csY1" fmla="*/ 0 h 2461223"/>
            <a:gd name="csX0" fmla="*/ 6764867 w 6764867"/>
            <a:gd name="csY0" fmla="*/ 2461223 h 2461223"/>
            <a:gd name="csX1" fmla="*/ 495284 w 6764867"/>
            <a:gd name="csY1" fmla="*/ 179038 h 2461223"/>
            <a:gd name="csX2" fmla="*/ 0 w 6764867"/>
            <a:gd name="csY2" fmla="*/ 0 h 2461223"/>
            <a:gd name="csX0" fmla="*/ 6764867 w 6764867"/>
            <a:gd name="csY0" fmla="*/ 2461223 h 2461223"/>
            <a:gd name="csX1" fmla="*/ 2879671 w 6764867"/>
            <a:gd name="csY1" fmla="*/ 1047457 h 2461223"/>
            <a:gd name="csX2" fmla="*/ 495284 w 6764867"/>
            <a:gd name="csY2" fmla="*/ 179038 h 2461223"/>
            <a:gd name="csX3" fmla="*/ 0 w 6764867"/>
            <a:gd name="csY3" fmla="*/ 0 h 2461223"/>
            <a:gd name="csX0" fmla="*/ 6764867 w 6764867"/>
            <a:gd name="csY0" fmla="*/ 2461223 h 2461223"/>
            <a:gd name="csX1" fmla="*/ 2879671 w 6764867"/>
            <a:gd name="csY1" fmla="*/ 1047457 h 2461223"/>
            <a:gd name="csX2" fmla="*/ 1609671 w 6764867"/>
            <a:gd name="csY2" fmla="*/ 585639 h 2461223"/>
            <a:gd name="csX3" fmla="*/ 495284 w 6764867"/>
            <a:gd name="csY3" fmla="*/ 179038 h 2461223"/>
            <a:gd name="csX4" fmla="*/ 0 w 6764867"/>
            <a:gd name="csY4" fmla="*/ 0 h 2461223"/>
            <a:gd name="csX0" fmla="*/ 6764867 w 6764867"/>
            <a:gd name="csY0" fmla="*/ 2461223 h 2461223"/>
            <a:gd name="csX1" fmla="*/ 4596430 w 6764867"/>
            <a:gd name="csY1" fmla="*/ 1669908 h 2461223"/>
            <a:gd name="csX2" fmla="*/ 2879671 w 6764867"/>
            <a:gd name="csY2" fmla="*/ 1047457 h 2461223"/>
            <a:gd name="csX3" fmla="*/ 1609671 w 6764867"/>
            <a:gd name="csY3" fmla="*/ 585639 h 2461223"/>
            <a:gd name="csX4" fmla="*/ 495284 w 6764867"/>
            <a:gd name="csY4" fmla="*/ 179038 h 2461223"/>
            <a:gd name="csX5" fmla="*/ 0 w 6764867"/>
            <a:gd name="csY5" fmla="*/ 0 h 2461223"/>
            <a:gd name="csX0" fmla="*/ 6811718 w 6811718"/>
            <a:gd name="csY0" fmla="*/ 2573331 h 2573331"/>
            <a:gd name="csX1" fmla="*/ 4643281 w 6811718"/>
            <a:gd name="csY1" fmla="*/ 1782016 h 2573331"/>
            <a:gd name="csX2" fmla="*/ 2926522 w 6811718"/>
            <a:gd name="csY2" fmla="*/ 1159565 h 2573331"/>
            <a:gd name="csX3" fmla="*/ 1656522 w 6811718"/>
            <a:gd name="csY3" fmla="*/ 697747 h 2573331"/>
            <a:gd name="csX4" fmla="*/ 542135 w 6811718"/>
            <a:gd name="csY4" fmla="*/ 291146 h 2573331"/>
            <a:gd name="csX5" fmla="*/ 0 w 6811718"/>
            <a:gd name="csY5" fmla="*/ 0 h 2573331"/>
            <a:gd name="csX0" fmla="*/ 6053834 w 6053834"/>
            <a:gd name="csY0" fmla="*/ 2610276 h 2610276"/>
            <a:gd name="csX1" fmla="*/ 4643281 w 6053834"/>
            <a:gd name="csY1" fmla="*/ 1782016 h 2610276"/>
            <a:gd name="csX2" fmla="*/ 2926522 w 6053834"/>
            <a:gd name="csY2" fmla="*/ 1159565 h 2610276"/>
            <a:gd name="csX3" fmla="*/ 1656522 w 6053834"/>
            <a:gd name="csY3" fmla="*/ 697747 h 2610276"/>
            <a:gd name="csX4" fmla="*/ 542135 w 6053834"/>
            <a:gd name="csY4" fmla="*/ 291146 h 2610276"/>
            <a:gd name="csX5" fmla="*/ 0 w 6053834"/>
            <a:gd name="csY5" fmla="*/ 0 h 2610276"/>
            <a:gd name="csX0" fmla="*/ 6053834 w 6054286"/>
            <a:gd name="csY0" fmla="*/ 2610276 h 3614227"/>
            <a:gd name="csX1" fmla="*/ 6054286 w 6054286"/>
            <a:gd name="csY1" fmla="*/ 3614227 h 3614227"/>
            <a:gd name="csX2" fmla="*/ 2926522 w 6054286"/>
            <a:gd name="csY2" fmla="*/ 1159565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670836 w 6054286"/>
            <a:gd name="csY3" fmla="*/ 1807113 h 3614227"/>
            <a:gd name="csX4" fmla="*/ 452 w 6054286"/>
            <a:gd name="csY4" fmla="*/ 401580 h 3614227"/>
            <a:gd name="csX5" fmla="*/ 0 w 6054286"/>
            <a:gd name="csY5" fmla="*/ 0 h 3614227"/>
            <a:gd name="csX0" fmla="*/ 6053834 w 6727217"/>
            <a:gd name="csY0" fmla="*/ 2610276 h 3614227"/>
            <a:gd name="csX1" fmla="*/ 6054286 w 6727217"/>
            <a:gd name="csY1" fmla="*/ 3614227 h 3614227"/>
            <a:gd name="csX2" fmla="*/ 6727217 w 6727217"/>
            <a:gd name="csY2" fmla="*/ 1807113 h 3614227"/>
            <a:gd name="csX3" fmla="*/ 670836 w 6727217"/>
            <a:gd name="csY3" fmla="*/ 1807113 h 3614227"/>
            <a:gd name="csX4" fmla="*/ 452 w 6727217"/>
            <a:gd name="csY4" fmla="*/ 401580 h 3614227"/>
            <a:gd name="csX5" fmla="*/ 0 w 6727217"/>
            <a:gd name="csY5" fmla="*/ 0 h 3614227"/>
            <a:gd name="csX0" fmla="*/ 6053834 w 7400148"/>
            <a:gd name="csY0" fmla="*/ 2610276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2409484"/>
            <a:gd name="csX1" fmla="*/ 6727217 w 7400148"/>
            <a:gd name="csY1" fmla="*/ 2409484 h 2409484"/>
            <a:gd name="csX2" fmla="*/ 7400148 w 7400148"/>
            <a:gd name="csY2" fmla="*/ 1807113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3617459 w 7400148"/>
            <a:gd name="csY3" fmla="*/ 2058101 h 2409484"/>
            <a:gd name="csX4" fmla="*/ 670836 w 7400148"/>
            <a:gd name="csY4" fmla="*/ 1807113 h 2409484"/>
            <a:gd name="csX5" fmla="*/ 452 w 7400148"/>
            <a:gd name="csY5" fmla="*/ 401580 h 2409484"/>
            <a:gd name="csX6" fmla="*/ 0 w 7400148"/>
            <a:gd name="csY6" fmla="*/ 0 h 2409484"/>
            <a:gd name="csX0" fmla="*/ 6727217 w 7400148"/>
            <a:gd name="csY0" fmla="*/ 2409484 h 2409484"/>
            <a:gd name="csX1" fmla="*/ 6727217 w 7400148"/>
            <a:gd name="csY1" fmla="*/ 2409484 h 2409484"/>
            <a:gd name="csX2" fmla="*/ 7400148 w 7400148"/>
            <a:gd name="csY2" fmla="*/ 2409484 h 2409484"/>
            <a:gd name="csX3" fmla="*/ 7400148 w 7400148"/>
            <a:gd name="csY3" fmla="*/ 1807113 h 2409484"/>
            <a:gd name="csX4" fmla="*/ 670836 w 7400148"/>
            <a:gd name="csY4" fmla="*/ 1807113 h 2409484"/>
            <a:gd name="csX5" fmla="*/ 452 w 7400148"/>
            <a:gd name="csY5" fmla="*/ 401580 h 2409484"/>
            <a:gd name="csX6" fmla="*/ 0 w 7400148"/>
            <a:gd name="csY6" fmla="*/ 0 h 2409484"/>
            <a:gd name="csX0" fmla="*/ 6729312 w 7402243"/>
            <a:gd name="csY0" fmla="*/ 2409484 h 2409484"/>
            <a:gd name="csX1" fmla="*/ 6729312 w 7402243"/>
            <a:gd name="csY1" fmla="*/ 2409484 h 2409484"/>
            <a:gd name="csX2" fmla="*/ 7402243 w 7402243"/>
            <a:gd name="csY2" fmla="*/ 2409484 h 2409484"/>
            <a:gd name="csX3" fmla="*/ 7402243 w 7402243"/>
            <a:gd name="csY3" fmla="*/ 1807113 h 2409484"/>
            <a:gd name="csX4" fmla="*/ 0 w 7402243"/>
            <a:gd name="csY4" fmla="*/ 1807113 h 2409484"/>
            <a:gd name="csX5" fmla="*/ 2547 w 7402243"/>
            <a:gd name="csY5" fmla="*/ 401580 h 2409484"/>
            <a:gd name="csX6" fmla="*/ 2095 w 7402243"/>
            <a:gd name="csY6" fmla="*/ 0 h 240948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7402243" h="2409484">
              <a:moveTo>
                <a:pt x="6729312" y="2409484"/>
              </a:moveTo>
              <a:lnTo>
                <a:pt x="6729312" y="2409484"/>
              </a:lnTo>
              <a:lnTo>
                <a:pt x="7402243" y="2409484"/>
              </a:lnTo>
              <a:lnTo>
                <a:pt x="7402243" y="1807113"/>
              </a:lnTo>
              <a:lnTo>
                <a:pt x="0" y="1807113"/>
              </a:lnTo>
              <a:lnTo>
                <a:pt x="2547" y="401580"/>
              </a:lnTo>
              <a:cubicBezTo>
                <a:pt x="2396" y="267720"/>
                <a:pt x="2246" y="133860"/>
                <a:pt x="2095" y="0"/>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670559</xdr:colOff>
      <xdr:row>61</xdr:row>
      <xdr:rowOff>0</xdr:rowOff>
    </xdr:from>
    <xdr:to>
      <xdr:col>15</xdr:col>
      <xdr:colOff>55346</xdr:colOff>
      <xdr:row>67</xdr:row>
      <xdr:rowOff>0</xdr:rowOff>
    </xdr:to>
    <xdr:grpSp>
      <xdr:nvGrpSpPr>
        <xdr:cNvPr id="33" name="Group 32">
          <a:extLst>
            <a:ext uri="{FF2B5EF4-FFF2-40B4-BE49-F238E27FC236}">
              <a16:creationId xmlns:a16="http://schemas.microsoft.com/office/drawing/2014/main" id="{ED5314EC-74C2-0178-83EA-8AD4F783D970}"/>
            </a:ext>
          </a:extLst>
        </xdr:cNvPr>
        <xdr:cNvGrpSpPr/>
      </xdr:nvGrpSpPr>
      <xdr:grpSpPr>
        <a:xfrm>
          <a:off x="6223814" y="12059009"/>
          <a:ext cx="4102357" cy="1186133"/>
          <a:chOff x="6198794" y="12369160"/>
          <a:chExt cx="4091258" cy="1216638"/>
        </a:xfrm>
      </xdr:grpSpPr>
      <xdr:sp macro="" textlink="">
        <xdr:nvSpPr>
          <xdr:cNvPr id="62" name="Freeform 61">
            <a:extLst>
              <a:ext uri="{FF2B5EF4-FFF2-40B4-BE49-F238E27FC236}">
                <a16:creationId xmlns:a16="http://schemas.microsoft.com/office/drawing/2014/main" id="{C46E832E-F346-C618-46F8-DD34C9243227}"/>
              </a:ext>
            </a:extLst>
          </xdr:cNvPr>
          <xdr:cNvSpPr/>
        </xdr:nvSpPr>
        <xdr:spPr>
          <a:xfrm>
            <a:off x="6198794" y="12369160"/>
            <a:ext cx="4035912" cy="1216638"/>
          </a:xfrm>
          <a:custGeom>
            <a:avLst/>
            <a:gdLst>
              <a:gd name="csX0" fmla="*/ 0 w 4070664"/>
              <a:gd name="csY0" fmla="*/ 0 h 1282739"/>
              <a:gd name="csX1" fmla="*/ 4070664 w 4070664"/>
              <a:gd name="csY1" fmla="*/ 1282739 h 1282739"/>
              <a:gd name="csX0" fmla="*/ 0 w 4070664"/>
              <a:gd name="csY0" fmla="*/ 0 h 1282739"/>
              <a:gd name="csX1" fmla="*/ 836888 w 4070664"/>
              <a:gd name="csY1" fmla="*/ 269397 h 1282739"/>
              <a:gd name="csX2" fmla="*/ 4070664 w 4070664"/>
              <a:gd name="csY2" fmla="*/ 1282739 h 1282739"/>
              <a:gd name="csX0" fmla="*/ 0 w 4070664"/>
              <a:gd name="csY0" fmla="*/ 0 h 1282739"/>
              <a:gd name="csX1" fmla="*/ 836888 w 4070664"/>
              <a:gd name="csY1" fmla="*/ 269397 h 1282739"/>
              <a:gd name="csX2" fmla="*/ 2064854 w 4070664"/>
              <a:gd name="csY2" fmla="*/ 645314 h 1282739"/>
              <a:gd name="csX3" fmla="*/ 4070664 w 4070664"/>
              <a:gd name="csY3" fmla="*/ 1282739 h 1282739"/>
              <a:gd name="csX0" fmla="*/ 0 w 4070664"/>
              <a:gd name="csY0" fmla="*/ 0 h 1282739"/>
              <a:gd name="csX1" fmla="*/ 836888 w 4070664"/>
              <a:gd name="csY1" fmla="*/ 269397 h 1282739"/>
              <a:gd name="csX2" fmla="*/ 2064854 w 4070664"/>
              <a:gd name="csY2" fmla="*/ 645314 h 1282739"/>
              <a:gd name="csX3" fmla="*/ 2891523 w 4070664"/>
              <a:gd name="csY3" fmla="*/ 914994 h 1282739"/>
              <a:gd name="csX4" fmla="*/ 4070664 w 4070664"/>
              <a:gd name="csY4" fmla="*/ 1282739 h 1282739"/>
              <a:gd name="csX0" fmla="*/ 0 w 4070664"/>
              <a:gd name="csY0" fmla="*/ 0 h 1282739"/>
              <a:gd name="csX1" fmla="*/ 836888 w 4070664"/>
              <a:gd name="csY1" fmla="*/ 269397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74624 w 4070664"/>
              <a:gd name="csY2" fmla="*/ 669830 h 1282739"/>
              <a:gd name="csX3" fmla="*/ 2064854 w 4070664"/>
              <a:gd name="csY3" fmla="*/ 645314 h 1282739"/>
              <a:gd name="csX4" fmla="*/ 2891523 w 4070664"/>
              <a:gd name="csY4" fmla="*/ 914994 h 1282739"/>
              <a:gd name="csX5" fmla="*/ 4070664 w 4070664"/>
              <a:gd name="csY5" fmla="*/ 1282739 h 1282739"/>
              <a:gd name="csX0" fmla="*/ 0 w 4071332"/>
              <a:gd name="csY0" fmla="*/ 0 h 1282739"/>
              <a:gd name="csX1" fmla="*/ 26271 w 4071332"/>
              <a:gd name="csY1" fmla="*/ 669830 h 1282739"/>
              <a:gd name="csX2" fmla="*/ 1374624 w 4071332"/>
              <a:gd name="csY2" fmla="*/ 669830 h 1282739"/>
              <a:gd name="csX3" fmla="*/ 2064854 w 4071332"/>
              <a:gd name="csY3" fmla="*/ 645314 h 1282739"/>
              <a:gd name="csX4" fmla="*/ 4071332 w 4071332"/>
              <a:gd name="csY4" fmla="*/ 669830 h 1282739"/>
              <a:gd name="csX5" fmla="*/ 4070664 w 4071332"/>
              <a:gd name="csY5" fmla="*/ 1282739 h 1282739"/>
              <a:gd name="csX0" fmla="*/ 0 w 4071332"/>
              <a:gd name="csY0" fmla="*/ 0 h 1282739"/>
              <a:gd name="csX1" fmla="*/ 26271 w 4071332"/>
              <a:gd name="csY1" fmla="*/ 669830 h 1282739"/>
              <a:gd name="csX2" fmla="*/ 1374624 w 4071332"/>
              <a:gd name="csY2" fmla="*/ 669830 h 1282739"/>
              <a:gd name="csX3" fmla="*/ 2048802 w 4071332"/>
              <a:gd name="csY3" fmla="*/ 669830 h 1282739"/>
              <a:gd name="csX4" fmla="*/ 4071332 w 4071332"/>
              <a:gd name="csY4" fmla="*/ 669830 h 1282739"/>
              <a:gd name="csX5" fmla="*/ 4070664 w 4071332"/>
              <a:gd name="csY5" fmla="*/ 1282739 h 1282739"/>
              <a:gd name="csX0" fmla="*/ 0 w 4045061"/>
              <a:gd name="csY0" fmla="*/ 0 h 1225818"/>
              <a:gd name="csX1" fmla="*/ 0 w 4045061"/>
              <a:gd name="csY1" fmla="*/ 612909 h 1225818"/>
              <a:gd name="csX2" fmla="*/ 1348353 w 4045061"/>
              <a:gd name="csY2" fmla="*/ 612909 h 1225818"/>
              <a:gd name="csX3" fmla="*/ 2022531 w 4045061"/>
              <a:gd name="csY3" fmla="*/ 612909 h 1225818"/>
              <a:gd name="csX4" fmla="*/ 4045061 w 4045061"/>
              <a:gd name="csY4" fmla="*/ 612909 h 1225818"/>
              <a:gd name="csX5" fmla="*/ 4044393 w 4045061"/>
              <a:gd name="csY5" fmla="*/ 1225818 h 1225818"/>
              <a:gd name="csX0" fmla="*/ 1 w 4045062"/>
              <a:gd name="csY0" fmla="*/ 0 h 1225818"/>
              <a:gd name="csX1" fmla="*/ 0 w 4045062"/>
              <a:gd name="csY1" fmla="*/ 408606 h 1225818"/>
              <a:gd name="csX2" fmla="*/ 1348354 w 4045062"/>
              <a:gd name="csY2" fmla="*/ 612909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408606 h 1225818"/>
              <a:gd name="csX5" fmla="*/ 4044394 w 4045062"/>
              <a:gd name="csY5" fmla="*/ 1225818 h 1225818"/>
            </a:gdLst>
            <a:ahLst/>
            <a:cxnLst>
              <a:cxn ang="0">
                <a:pos x="csX0" y="csY0"/>
              </a:cxn>
              <a:cxn ang="0">
                <a:pos x="csX1" y="csY1"/>
              </a:cxn>
              <a:cxn ang="0">
                <a:pos x="csX2" y="csY2"/>
              </a:cxn>
              <a:cxn ang="0">
                <a:pos x="csX3" y="csY3"/>
              </a:cxn>
              <a:cxn ang="0">
                <a:pos x="csX4" y="csY4"/>
              </a:cxn>
              <a:cxn ang="0">
                <a:pos x="csX5" y="csY5"/>
              </a:cxn>
            </a:cxnLst>
            <a:rect l="l" t="t" r="r" b="b"/>
            <a:pathLst>
              <a:path w="4045062" h="1225818">
                <a:moveTo>
                  <a:pt x="1" y="0"/>
                </a:moveTo>
                <a:cubicBezTo>
                  <a:pt x="1" y="136202"/>
                  <a:pt x="0" y="272404"/>
                  <a:pt x="0" y="408606"/>
                </a:cubicBezTo>
                <a:lnTo>
                  <a:pt x="4045062" y="408606"/>
                </a:lnTo>
                <a:lnTo>
                  <a:pt x="4045062" y="408606"/>
                </a:lnTo>
                <a:lnTo>
                  <a:pt x="4045062" y="408606"/>
                </a:lnTo>
                <a:cubicBezTo>
                  <a:pt x="4044839" y="612909"/>
                  <a:pt x="4044617" y="1021515"/>
                  <a:pt x="4044394" y="1225818"/>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74" name="Group 73">
            <a:extLst>
              <a:ext uri="{FF2B5EF4-FFF2-40B4-BE49-F238E27FC236}">
                <a16:creationId xmlns:a16="http://schemas.microsoft.com/office/drawing/2014/main" id="{F6F13EF9-C652-2AE4-00C1-4CE08B36653E}"/>
              </a:ext>
            </a:extLst>
          </xdr:cNvPr>
          <xdr:cNvGrpSpPr/>
        </xdr:nvGrpSpPr>
        <xdr:grpSpPr>
          <a:xfrm>
            <a:off x="10161520" y="13123529"/>
            <a:ext cx="128532" cy="101173"/>
            <a:chOff x="10189295" y="13067486"/>
            <a:chExt cx="130256" cy="100297"/>
          </a:xfrm>
        </xdr:grpSpPr>
        <xdr:grpSp>
          <xdr:nvGrpSpPr>
            <xdr:cNvPr id="71" name="Group 70">
              <a:extLst>
                <a:ext uri="{FF2B5EF4-FFF2-40B4-BE49-F238E27FC236}">
                  <a16:creationId xmlns:a16="http://schemas.microsoft.com/office/drawing/2014/main" id="{E4E974A4-810B-D17B-492C-4EF8927E957D}"/>
                </a:ext>
              </a:extLst>
            </xdr:cNvPr>
            <xdr:cNvGrpSpPr/>
          </xdr:nvGrpSpPr>
          <xdr:grpSpPr>
            <a:xfrm>
              <a:off x="10215603" y="13067486"/>
              <a:ext cx="96227" cy="100297"/>
              <a:chOff x="10201275" y="13150850"/>
              <a:chExt cx="95250" cy="101600"/>
            </a:xfrm>
          </xdr:grpSpPr>
          <xdr:sp macro="" textlink="">
            <xdr:nvSpPr>
              <xdr:cNvPr id="69" name="Oval 68">
                <a:extLst>
                  <a:ext uri="{FF2B5EF4-FFF2-40B4-BE49-F238E27FC236}">
                    <a16:creationId xmlns:a16="http://schemas.microsoft.com/office/drawing/2014/main" id="{1553798C-729E-66DE-7887-429F0F5469EF}"/>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Rectangle 69">
                <a:extLst>
                  <a:ext uri="{FF2B5EF4-FFF2-40B4-BE49-F238E27FC236}">
                    <a16:creationId xmlns:a16="http://schemas.microsoft.com/office/drawing/2014/main" id="{57479F6B-801E-4E4D-8D63-1BB924752BDA}"/>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73" name="Straight Connector 72">
              <a:extLst>
                <a:ext uri="{FF2B5EF4-FFF2-40B4-BE49-F238E27FC236}">
                  <a16:creationId xmlns:a16="http://schemas.microsoft.com/office/drawing/2014/main" id="{70B97BC9-8E07-9AFA-6C3F-B4FD5497699E}"/>
                </a:ext>
              </a:extLst>
            </xdr:cNvPr>
            <xdr:cNvCxnSpPr/>
          </xdr:nvCxnSpPr>
          <xdr:spPr>
            <a:xfrm>
              <a:off x="10189295" y="1312336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22</xdr:col>
      <xdr:colOff>10161</xdr:colOff>
      <xdr:row>56</xdr:row>
      <xdr:rowOff>6375</xdr:rowOff>
    </xdr:from>
    <xdr:to>
      <xdr:col>23</xdr:col>
      <xdr:colOff>339709</xdr:colOff>
      <xdr:row>60</xdr:row>
      <xdr:rowOff>1</xdr:rowOff>
    </xdr:to>
    <xdr:sp macro="" textlink="">
      <xdr:nvSpPr>
        <xdr:cNvPr id="5" name="Freeform 4">
          <a:extLst>
            <a:ext uri="{FF2B5EF4-FFF2-40B4-BE49-F238E27FC236}">
              <a16:creationId xmlns:a16="http://schemas.microsoft.com/office/drawing/2014/main" id="{7B7B21E1-CCAA-E4E9-CDEE-849BC9F0A044}"/>
            </a:ext>
          </a:extLst>
        </xdr:cNvPr>
        <xdr:cNvSpPr/>
      </xdr:nvSpPr>
      <xdr:spPr>
        <a:xfrm>
          <a:off x="14943058" y="11471564"/>
          <a:ext cx="1001336" cy="812568"/>
        </a:xfrm>
        <a:custGeom>
          <a:avLst/>
          <a:gdLst>
            <a:gd name="csX0" fmla="*/ 1330960 w 1330960"/>
            <a:gd name="csY0" fmla="*/ 0 h 812800"/>
            <a:gd name="csX1" fmla="*/ 0 w 1330960"/>
            <a:gd name="csY1" fmla="*/ 812800 h 812800"/>
            <a:gd name="csX2" fmla="*/ 0 w 1330960"/>
            <a:gd name="csY2" fmla="*/ 812800 h 812800"/>
            <a:gd name="csX3" fmla="*/ 0 w 1330960"/>
            <a:gd name="csY3" fmla="*/ 812800 h 812800"/>
            <a:gd name="csX0" fmla="*/ 1330960 w 1330960"/>
            <a:gd name="csY0" fmla="*/ 0 h 812800"/>
            <a:gd name="csX1" fmla="*/ 213414 w 1330960"/>
            <a:gd name="csY1" fmla="*/ 694660 h 812800"/>
            <a:gd name="csX2" fmla="*/ 0 w 1330960"/>
            <a:gd name="csY2" fmla="*/ 812800 h 812800"/>
            <a:gd name="csX3" fmla="*/ 0 w 1330960"/>
            <a:gd name="csY3" fmla="*/ 812800 h 812800"/>
            <a:gd name="csX4" fmla="*/ 0 w 1330960"/>
            <a:gd name="csY4" fmla="*/ 812800 h 812800"/>
            <a:gd name="csX0" fmla="*/ 1330960 w 1330960"/>
            <a:gd name="csY0" fmla="*/ 0 h 812800"/>
            <a:gd name="csX1" fmla="*/ 665089 w 1330960"/>
            <a:gd name="csY1" fmla="*/ 415851 h 812800"/>
            <a:gd name="csX2" fmla="*/ 213414 w 1330960"/>
            <a:gd name="csY2" fmla="*/ 694660 h 812800"/>
            <a:gd name="csX3" fmla="*/ 0 w 1330960"/>
            <a:gd name="csY3" fmla="*/ 812800 h 812800"/>
            <a:gd name="csX4" fmla="*/ 0 w 1330960"/>
            <a:gd name="csY4" fmla="*/ 812800 h 812800"/>
            <a:gd name="csX5" fmla="*/ 0 w 1330960"/>
            <a:gd name="csY5" fmla="*/ 812800 h 812800"/>
            <a:gd name="csX0" fmla="*/ 1330960 w 1330960"/>
            <a:gd name="csY0" fmla="*/ 0 h 812800"/>
            <a:gd name="csX1" fmla="*/ 995696 w 1330960"/>
            <a:gd name="csY1" fmla="*/ 207926 h 812800"/>
            <a:gd name="csX2" fmla="*/ 665089 w 1330960"/>
            <a:gd name="csY2" fmla="*/ 415851 h 812800"/>
            <a:gd name="csX3" fmla="*/ 213414 w 1330960"/>
            <a:gd name="csY3" fmla="*/ 694660 h 812800"/>
            <a:gd name="csX4" fmla="*/ 0 w 1330960"/>
            <a:gd name="csY4" fmla="*/ 812800 h 812800"/>
            <a:gd name="csX5" fmla="*/ 0 w 1330960"/>
            <a:gd name="csY5" fmla="*/ 812800 h 812800"/>
            <a:gd name="csX6" fmla="*/ 0 w 1330960"/>
            <a:gd name="csY6" fmla="*/ 812800 h 812800"/>
            <a:gd name="csX0" fmla="*/ 1330960 w 1330960"/>
            <a:gd name="csY0" fmla="*/ 0 h 812800"/>
            <a:gd name="csX1" fmla="*/ 995696 w 1330960"/>
            <a:gd name="csY1" fmla="*/ 207926 h 812800"/>
            <a:gd name="csX2" fmla="*/ 665089 w 1330960"/>
            <a:gd name="csY2" fmla="*/ 415851 h 812800"/>
            <a:gd name="csX3" fmla="*/ 422954 w 1330960"/>
            <a:gd name="csY3" fmla="*/ 562345 h 812800"/>
            <a:gd name="csX4" fmla="*/ 213414 w 1330960"/>
            <a:gd name="csY4" fmla="*/ 694660 h 812800"/>
            <a:gd name="csX5" fmla="*/ 0 w 1330960"/>
            <a:gd name="csY5" fmla="*/ 812800 h 812800"/>
            <a:gd name="csX6" fmla="*/ 0 w 1330960"/>
            <a:gd name="csY6" fmla="*/ 812800 h 812800"/>
            <a:gd name="csX7" fmla="*/ 0 w 1330960"/>
            <a:gd name="csY7" fmla="*/ 812800 h 812800"/>
            <a:gd name="csX0" fmla="*/ 1330960 w 1330960"/>
            <a:gd name="csY0" fmla="*/ 0 h 817525"/>
            <a:gd name="csX1" fmla="*/ 995696 w 1330960"/>
            <a:gd name="csY1" fmla="*/ 207926 h 817525"/>
            <a:gd name="csX2" fmla="*/ 665089 w 1330960"/>
            <a:gd name="csY2" fmla="*/ 415851 h 817525"/>
            <a:gd name="csX3" fmla="*/ 422954 w 1330960"/>
            <a:gd name="csY3" fmla="*/ 562345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665089 w 1330960"/>
            <a:gd name="csY2" fmla="*/ 415851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1648 w 1330960"/>
            <a:gd name="csY2" fmla="*/ 406401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5616"/>
            <a:gd name="csY0" fmla="*/ 0 h 817525"/>
            <a:gd name="csX1" fmla="*/ 1335616 w 1335616"/>
            <a:gd name="csY1" fmla="*/ 193749 h 817525"/>
            <a:gd name="csX2" fmla="*/ 1321648 w 1335616"/>
            <a:gd name="csY2" fmla="*/ 406401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5616"/>
            <a:gd name="csY0" fmla="*/ 0 h 817525"/>
            <a:gd name="csX1" fmla="*/ 1335616 w 1335616"/>
            <a:gd name="csY1" fmla="*/ 193749 h 817525"/>
            <a:gd name="csX2" fmla="*/ 1330960 w 1335616"/>
            <a:gd name="csY2" fmla="*/ 406400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9600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1330960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8128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973332 w 1330960"/>
            <a:gd name="csY1" fmla="*/ 806475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992491 w 992491"/>
            <a:gd name="csY0" fmla="*/ 0 h 803312"/>
            <a:gd name="csX1" fmla="*/ 973332 w 992491"/>
            <a:gd name="csY1" fmla="*/ 796987 h 803312"/>
            <a:gd name="csX2" fmla="*/ 660409 w 992491"/>
            <a:gd name="csY2" fmla="*/ 803312 h 803312"/>
            <a:gd name="csX3" fmla="*/ 660409 w 992491"/>
            <a:gd name="csY3" fmla="*/ 803312 h 803312"/>
            <a:gd name="csX4" fmla="*/ 660409 w 992491"/>
            <a:gd name="csY4" fmla="*/ 803312 h 803312"/>
            <a:gd name="csX5" fmla="*/ 0 w 992491"/>
            <a:gd name="csY5" fmla="*/ 803312 h 803312"/>
            <a:gd name="csX6" fmla="*/ 0 w 992491"/>
            <a:gd name="csY6" fmla="*/ 803312 h 803312"/>
            <a:gd name="csX7" fmla="*/ 0 w 992491"/>
            <a:gd name="csY7" fmla="*/ 803312 h 803312"/>
            <a:gd name="csX0" fmla="*/ 992491 w 998877"/>
            <a:gd name="csY0" fmla="*/ 0 h 803312"/>
            <a:gd name="csX1" fmla="*/ 998877 w 998877"/>
            <a:gd name="csY1" fmla="*/ 800149 h 803312"/>
            <a:gd name="csX2" fmla="*/ 660409 w 998877"/>
            <a:gd name="csY2" fmla="*/ 803312 h 803312"/>
            <a:gd name="csX3" fmla="*/ 660409 w 998877"/>
            <a:gd name="csY3" fmla="*/ 803312 h 803312"/>
            <a:gd name="csX4" fmla="*/ 660409 w 998877"/>
            <a:gd name="csY4" fmla="*/ 803312 h 803312"/>
            <a:gd name="csX5" fmla="*/ 0 w 998877"/>
            <a:gd name="csY5" fmla="*/ 803312 h 803312"/>
            <a:gd name="csX6" fmla="*/ 0 w 998877"/>
            <a:gd name="csY6" fmla="*/ 803312 h 803312"/>
            <a:gd name="csX7" fmla="*/ 0 w 998877"/>
            <a:gd name="csY7" fmla="*/ 803312 h 803312"/>
            <a:gd name="csX0" fmla="*/ 998877 w 999491"/>
            <a:gd name="csY0" fmla="*/ 0 h 803312"/>
            <a:gd name="csX1" fmla="*/ 998877 w 999491"/>
            <a:gd name="csY1" fmla="*/ 800149 h 803312"/>
            <a:gd name="csX2" fmla="*/ 660409 w 999491"/>
            <a:gd name="csY2" fmla="*/ 803312 h 803312"/>
            <a:gd name="csX3" fmla="*/ 660409 w 999491"/>
            <a:gd name="csY3" fmla="*/ 803312 h 803312"/>
            <a:gd name="csX4" fmla="*/ 660409 w 999491"/>
            <a:gd name="csY4" fmla="*/ 803312 h 803312"/>
            <a:gd name="csX5" fmla="*/ 0 w 999491"/>
            <a:gd name="csY5" fmla="*/ 803312 h 803312"/>
            <a:gd name="csX6" fmla="*/ 0 w 999491"/>
            <a:gd name="csY6" fmla="*/ 803312 h 803312"/>
            <a:gd name="csX7" fmla="*/ 0 w 999491"/>
            <a:gd name="csY7" fmla="*/ 803312 h 8033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9491" h="803312">
              <a:moveTo>
                <a:pt x="998877" y="0"/>
              </a:moveTo>
              <a:cubicBezTo>
                <a:pt x="1001006" y="266716"/>
                <a:pt x="996748" y="533433"/>
                <a:pt x="998877" y="800149"/>
              </a:cubicBezTo>
              <a:lnTo>
                <a:pt x="660409" y="803312"/>
              </a:lnTo>
              <a:lnTo>
                <a:pt x="660409" y="803312"/>
              </a:lnTo>
              <a:lnTo>
                <a:pt x="660409" y="803312"/>
              </a:lnTo>
              <a:lnTo>
                <a:pt x="0" y="803312"/>
              </a:lnTo>
              <a:lnTo>
                <a:pt x="0" y="803312"/>
              </a:lnTo>
              <a:lnTo>
                <a:pt x="0" y="803312"/>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xdr:colOff>
      <xdr:row>56</xdr:row>
      <xdr:rowOff>13229</xdr:rowOff>
    </xdr:from>
    <xdr:to>
      <xdr:col>24</xdr:col>
      <xdr:colOff>343953</xdr:colOff>
      <xdr:row>72</xdr:row>
      <xdr:rowOff>0</xdr:rowOff>
    </xdr:to>
    <xdr:sp macro="" textlink="">
      <xdr:nvSpPr>
        <xdr:cNvPr id="17" name="Freeform 16">
          <a:extLst>
            <a:ext uri="{FF2B5EF4-FFF2-40B4-BE49-F238E27FC236}">
              <a16:creationId xmlns:a16="http://schemas.microsoft.com/office/drawing/2014/main" id="{3748E26F-C5D0-E068-AFC3-78DE5EEA6DD7}"/>
            </a:ext>
          </a:extLst>
        </xdr:cNvPr>
        <xdr:cNvSpPr/>
      </xdr:nvSpPr>
      <xdr:spPr>
        <a:xfrm>
          <a:off x="8246182" y="11372673"/>
          <a:ext cx="8440202" cy="3232327"/>
        </a:xfrm>
        <a:custGeom>
          <a:avLst/>
          <a:gdLst>
            <a:gd name="csX0" fmla="*/ 8036560 w 8036560"/>
            <a:gd name="csY0" fmla="*/ 0 h 2448560"/>
            <a:gd name="csX1" fmla="*/ 0 w 8036560"/>
            <a:gd name="csY1" fmla="*/ 2448560 h 2448560"/>
            <a:gd name="csX0" fmla="*/ 8036560 w 8036560"/>
            <a:gd name="csY0" fmla="*/ 0 h 2448560"/>
            <a:gd name="csX1" fmla="*/ 3677920 w 8036560"/>
            <a:gd name="csY1" fmla="*/ 1320800 h 2448560"/>
            <a:gd name="csX2" fmla="*/ 0 w 8036560"/>
            <a:gd name="csY2" fmla="*/ 2448560 h 2448560"/>
            <a:gd name="csX0" fmla="*/ 8036560 w 8036560"/>
            <a:gd name="csY0" fmla="*/ 0 h 2448560"/>
            <a:gd name="csX1" fmla="*/ 3952240 w 8036560"/>
            <a:gd name="csY1" fmla="*/ 1229360 h 2448560"/>
            <a:gd name="csX2" fmla="*/ 3677920 w 8036560"/>
            <a:gd name="csY2" fmla="*/ 1320800 h 2448560"/>
            <a:gd name="csX3" fmla="*/ 0 w 8036560"/>
            <a:gd name="csY3" fmla="*/ 2448560 h 2448560"/>
            <a:gd name="csX0" fmla="*/ 8036560 w 8036560"/>
            <a:gd name="csY0" fmla="*/ 0 h 2448560"/>
            <a:gd name="csX1" fmla="*/ 3952240 w 8036560"/>
            <a:gd name="csY1" fmla="*/ 1229360 h 2448560"/>
            <a:gd name="csX2" fmla="*/ 3677920 w 8036560"/>
            <a:gd name="csY2" fmla="*/ 1320800 h 2448560"/>
            <a:gd name="csX3" fmla="*/ 3362960 w 8036560"/>
            <a:gd name="csY3" fmla="*/ 1422400 h 2448560"/>
            <a:gd name="csX4" fmla="*/ 0 w 8036560"/>
            <a:gd name="csY4" fmla="*/ 2448560 h 2448560"/>
            <a:gd name="csX0" fmla="*/ 8036560 w 8036560"/>
            <a:gd name="csY0" fmla="*/ 0 h 2448560"/>
            <a:gd name="csX1" fmla="*/ 4267200 w 8036560"/>
            <a:gd name="csY1" fmla="*/ 1158240 h 2448560"/>
            <a:gd name="csX2" fmla="*/ 3952240 w 8036560"/>
            <a:gd name="csY2" fmla="*/ 1229360 h 2448560"/>
            <a:gd name="csX3" fmla="*/ 3677920 w 8036560"/>
            <a:gd name="csY3" fmla="*/ 1320800 h 2448560"/>
            <a:gd name="csX4" fmla="*/ 3362960 w 8036560"/>
            <a:gd name="csY4" fmla="*/ 1422400 h 2448560"/>
            <a:gd name="csX5" fmla="*/ 0 w 8036560"/>
            <a:gd name="csY5" fmla="*/ 2448560 h 2448560"/>
            <a:gd name="csX0" fmla="*/ 8036560 w 8036560"/>
            <a:gd name="csY0" fmla="*/ 0 h 3251200"/>
            <a:gd name="csX1" fmla="*/ 8036560 w 8036560"/>
            <a:gd name="csY1" fmla="*/ 3251200 h 3251200"/>
            <a:gd name="csX2" fmla="*/ 3952240 w 8036560"/>
            <a:gd name="csY2" fmla="*/ 1229360 h 3251200"/>
            <a:gd name="csX3" fmla="*/ 3677920 w 8036560"/>
            <a:gd name="csY3" fmla="*/ 1320800 h 3251200"/>
            <a:gd name="csX4" fmla="*/ 3362960 w 8036560"/>
            <a:gd name="csY4" fmla="*/ 1422400 h 3251200"/>
            <a:gd name="csX5" fmla="*/ 0 w 8036560"/>
            <a:gd name="csY5" fmla="*/ 2448560 h 3251200"/>
            <a:gd name="csX0" fmla="*/ 8052743 w 8052743"/>
            <a:gd name="csY0" fmla="*/ 0 h 3251200"/>
            <a:gd name="csX1" fmla="*/ 8052743 w 8052743"/>
            <a:gd name="csY1" fmla="*/ 3251200 h 3251200"/>
            <a:gd name="csX2" fmla="*/ 0 w 8052743"/>
            <a:gd name="csY2" fmla="*/ 3251200 h 3251200"/>
            <a:gd name="csX3" fmla="*/ 3694103 w 8052743"/>
            <a:gd name="csY3" fmla="*/ 13208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1 w 8052743"/>
            <a:gd name="csY4" fmla="*/ 3251200 h 3251200"/>
            <a:gd name="csX5" fmla="*/ 16183 w 8052743"/>
            <a:gd name="csY5" fmla="*/ 2448560 h 3251200"/>
            <a:gd name="csX0" fmla="*/ 8056879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47697"/>
            <a:gd name="csY0" fmla="*/ 0 h 3251200"/>
            <a:gd name="csX1" fmla="*/ 8046720 w 8047697"/>
            <a:gd name="csY1" fmla="*/ 3251200 h 3251200"/>
            <a:gd name="csX2" fmla="*/ 4136 w 8047697"/>
            <a:gd name="csY2" fmla="*/ 3251200 h 3251200"/>
            <a:gd name="csX3" fmla="*/ 4137 w 8047697"/>
            <a:gd name="csY3" fmla="*/ 3251200 h 3251200"/>
            <a:gd name="csX4" fmla="*/ 4137 w 8047697"/>
            <a:gd name="csY4" fmla="*/ 3251200 h 3251200"/>
            <a:gd name="csX5" fmla="*/ 0 w 8047697"/>
            <a:gd name="csY5" fmla="*/ 2438400 h 3251200"/>
            <a:gd name="csX0" fmla="*/ 8046720 w 8388574"/>
            <a:gd name="csY0" fmla="*/ 0 h 3251200"/>
            <a:gd name="csX1" fmla="*/ 8388574 w 8388574"/>
            <a:gd name="csY1" fmla="*/ 3251200 h 3251200"/>
            <a:gd name="csX2" fmla="*/ 4136 w 8388574"/>
            <a:gd name="csY2" fmla="*/ 3251200 h 3251200"/>
            <a:gd name="csX3" fmla="*/ 4137 w 8388574"/>
            <a:gd name="csY3" fmla="*/ 3251200 h 3251200"/>
            <a:gd name="csX4" fmla="*/ 4137 w 8388574"/>
            <a:gd name="csY4" fmla="*/ 3251200 h 3251200"/>
            <a:gd name="csX5" fmla="*/ 0 w 8388574"/>
            <a:gd name="csY5" fmla="*/ 2438400 h 3251200"/>
            <a:gd name="csX0" fmla="*/ 8366660 w 8388574"/>
            <a:gd name="csY0" fmla="*/ 0 h 3237948"/>
            <a:gd name="csX1" fmla="*/ 8388574 w 8388574"/>
            <a:gd name="csY1" fmla="*/ 3237948 h 3237948"/>
            <a:gd name="csX2" fmla="*/ 4136 w 8388574"/>
            <a:gd name="csY2" fmla="*/ 3237948 h 3237948"/>
            <a:gd name="csX3" fmla="*/ 4137 w 8388574"/>
            <a:gd name="csY3" fmla="*/ 3237948 h 3237948"/>
            <a:gd name="csX4" fmla="*/ 4137 w 8388574"/>
            <a:gd name="csY4" fmla="*/ 3237948 h 3237948"/>
            <a:gd name="csX5" fmla="*/ 0 w 8388574"/>
            <a:gd name="csY5" fmla="*/ 2425148 h 3237948"/>
          </a:gdLst>
          <a:ahLst/>
          <a:cxnLst>
            <a:cxn ang="0">
              <a:pos x="csX0" y="csY0"/>
            </a:cxn>
            <a:cxn ang="0">
              <a:pos x="csX1" y="csY1"/>
            </a:cxn>
            <a:cxn ang="0">
              <a:pos x="csX2" y="csY2"/>
            </a:cxn>
            <a:cxn ang="0">
              <a:pos x="csX3" y="csY3"/>
            </a:cxn>
            <a:cxn ang="0">
              <a:pos x="csX4" y="csY4"/>
            </a:cxn>
            <a:cxn ang="0">
              <a:pos x="csX5" y="csY5"/>
            </a:cxn>
          </a:cxnLst>
          <a:rect l="l" t="t" r="r" b="b"/>
          <a:pathLst>
            <a:path w="8388574" h="3237948">
              <a:moveTo>
                <a:pt x="8366660" y="0"/>
              </a:moveTo>
              <a:cubicBezTo>
                <a:pt x="8370046" y="1083733"/>
                <a:pt x="8385188" y="2154215"/>
                <a:pt x="8388574" y="3237948"/>
              </a:cubicBezTo>
              <a:lnTo>
                <a:pt x="4136" y="3237948"/>
              </a:lnTo>
              <a:lnTo>
                <a:pt x="4137" y="3237948"/>
              </a:lnTo>
              <a:lnTo>
                <a:pt x="4137" y="3237948"/>
              </a:lnTo>
              <a:lnTo>
                <a:pt x="0" y="2425148"/>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a:t>
          </a:r>
        </a:p>
      </xdr:txBody>
    </xdr:sp>
    <xdr:clientData/>
  </xdr:twoCellAnchor>
  <xdr:twoCellAnchor>
    <xdr:from>
      <xdr:col>5</xdr:col>
      <xdr:colOff>669583</xdr:colOff>
      <xdr:row>61</xdr:row>
      <xdr:rowOff>0</xdr:rowOff>
    </xdr:from>
    <xdr:to>
      <xdr:col>21</xdr:col>
      <xdr:colOff>57150</xdr:colOff>
      <xdr:row>75</xdr:row>
      <xdr:rowOff>0</xdr:rowOff>
    </xdr:to>
    <xdr:grpSp>
      <xdr:nvGrpSpPr>
        <xdr:cNvPr id="34" name="Group 33">
          <a:extLst>
            <a:ext uri="{FF2B5EF4-FFF2-40B4-BE49-F238E27FC236}">
              <a16:creationId xmlns:a16="http://schemas.microsoft.com/office/drawing/2014/main" id="{CC29A454-0D38-E629-2CD4-0A99D0F9340A}"/>
            </a:ext>
          </a:extLst>
        </xdr:cNvPr>
        <xdr:cNvGrpSpPr/>
      </xdr:nvGrpSpPr>
      <xdr:grpSpPr>
        <a:xfrm>
          <a:off x="4201022" y="12059009"/>
          <a:ext cx="10170586" cy="2767642"/>
          <a:chOff x="4180759" y="12369160"/>
          <a:chExt cx="10145215" cy="2838823"/>
        </a:xfrm>
      </xdr:grpSpPr>
      <xdr:sp macro="" textlink="">
        <xdr:nvSpPr>
          <xdr:cNvPr id="32" name="Freeform 31">
            <a:extLst>
              <a:ext uri="{FF2B5EF4-FFF2-40B4-BE49-F238E27FC236}">
                <a16:creationId xmlns:a16="http://schemas.microsoft.com/office/drawing/2014/main" id="{BDEA85B7-B544-241A-5B8E-A73BCA8D93CB}"/>
              </a:ext>
            </a:extLst>
          </xdr:cNvPr>
          <xdr:cNvSpPr/>
        </xdr:nvSpPr>
        <xdr:spPr>
          <a:xfrm>
            <a:off x="4180759" y="12369160"/>
            <a:ext cx="10088066" cy="2838823"/>
          </a:xfrm>
          <a:custGeom>
            <a:avLst/>
            <a:gdLst>
              <a:gd name="csX0" fmla="*/ 8717280 w 8717280"/>
              <a:gd name="csY0" fmla="*/ 0 h 1422400"/>
              <a:gd name="csX1" fmla="*/ 0 w 8717280"/>
              <a:gd name="csY1" fmla="*/ 1422400 h 1422400"/>
              <a:gd name="csX0" fmla="*/ 8717280 w 8717280"/>
              <a:gd name="csY0" fmla="*/ 0 h 1422400"/>
              <a:gd name="csX1" fmla="*/ 7640320 w 8717280"/>
              <a:gd name="csY1" fmla="*/ 172720 h 1422400"/>
              <a:gd name="csX2" fmla="*/ 0 w 8717280"/>
              <a:gd name="csY2" fmla="*/ 1422400 h 1422400"/>
              <a:gd name="csX0" fmla="*/ 8717280 w 8717280"/>
              <a:gd name="csY0" fmla="*/ 0 h 1422400"/>
              <a:gd name="csX1" fmla="*/ 7640320 w 8717280"/>
              <a:gd name="csY1" fmla="*/ 172720 h 1422400"/>
              <a:gd name="csX2" fmla="*/ 7132320 w 8717280"/>
              <a:gd name="csY2" fmla="*/ 243840 h 1422400"/>
              <a:gd name="csX3" fmla="*/ 0 w 8717280"/>
              <a:gd name="csY3" fmla="*/ 1422400 h 1422400"/>
              <a:gd name="csX0" fmla="*/ 8717280 w 8717280"/>
              <a:gd name="csY0" fmla="*/ 0 h 1422400"/>
              <a:gd name="csX1" fmla="*/ 7640320 w 8717280"/>
              <a:gd name="csY1" fmla="*/ 172720 h 1422400"/>
              <a:gd name="csX2" fmla="*/ 7132320 w 8717280"/>
              <a:gd name="csY2" fmla="*/ 243840 h 1422400"/>
              <a:gd name="csX3" fmla="*/ 6085840 w 8717280"/>
              <a:gd name="csY3" fmla="*/ 406400 h 1422400"/>
              <a:gd name="csX4" fmla="*/ 0 w 8717280"/>
              <a:gd name="csY4" fmla="*/ 1422400 h 1422400"/>
              <a:gd name="csX0" fmla="*/ 8717280 w 8717280"/>
              <a:gd name="csY0" fmla="*/ 0 h 1422400"/>
              <a:gd name="csX1" fmla="*/ 7640320 w 8717280"/>
              <a:gd name="csY1" fmla="*/ 172720 h 1422400"/>
              <a:gd name="csX2" fmla="*/ 7132320 w 8717280"/>
              <a:gd name="csY2" fmla="*/ 243840 h 1422400"/>
              <a:gd name="csX3" fmla="*/ 6634480 w 8717280"/>
              <a:gd name="csY3" fmla="*/ 325120 h 1422400"/>
              <a:gd name="csX4" fmla="*/ 6085840 w 8717280"/>
              <a:gd name="csY4" fmla="*/ 406400 h 1422400"/>
              <a:gd name="csX5" fmla="*/ 0 w 8717280"/>
              <a:gd name="csY5" fmla="*/ 1422400 h 1422400"/>
              <a:gd name="csX0" fmla="*/ 8717280 w 8717280"/>
              <a:gd name="csY0" fmla="*/ 0 h 2875280"/>
              <a:gd name="csX1" fmla="*/ 8717280 w 8717280"/>
              <a:gd name="csY1" fmla="*/ 2875280 h 2875280"/>
              <a:gd name="csX2" fmla="*/ 7132320 w 8717280"/>
              <a:gd name="csY2" fmla="*/ 243840 h 2875280"/>
              <a:gd name="csX3" fmla="*/ 6634480 w 8717280"/>
              <a:gd name="csY3" fmla="*/ 325120 h 2875280"/>
              <a:gd name="csX4" fmla="*/ 6085840 w 8717280"/>
              <a:gd name="csY4" fmla="*/ 406400 h 2875280"/>
              <a:gd name="csX5" fmla="*/ 0 w 8717280"/>
              <a:gd name="csY5" fmla="*/ 1422400 h 2875280"/>
              <a:gd name="csX0" fmla="*/ 10048240 w 10048240"/>
              <a:gd name="csY0" fmla="*/ 0 h 2875280"/>
              <a:gd name="csX1" fmla="*/ 10048240 w 10048240"/>
              <a:gd name="csY1" fmla="*/ 2875280 h 2875280"/>
              <a:gd name="csX2" fmla="*/ 0 w 10048240"/>
              <a:gd name="csY2" fmla="*/ 2875280 h 2875280"/>
              <a:gd name="csX3" fmla="*/ 7965440 w 10048240"/>
              <a:gd name="csY3" fmla="*/ 325120 h 2875280"/>
              <a:gd name="csX4" fmla="*/ 7416800 w 10048240"/>
              <a:gd name="csY4" fmla="*/ 406400 h 2875280"/>
              <a:gd name="csX5" fmla="*/ 1330960 w 1004824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7437120 w 10068560"/>
              <a:gd name="csY4" fmla="*/ 40640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40080 w 10068560"/>
              <a:gd name="csY4" fmla="*/ 141224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80720 w 10068560"/>
              <a:gd name="csY4" fmla="*/ 1412240 h 2875280"/>
              <a:gd name="csX5" fmla="*/ 1351280 w 1006856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12240 h 2875280"/>
              <a:gd name="csX0" fmla="*/ 10059377 w 10059377"/>
              <a:gd name="csY0" fmla="*/ 0 h 2875280"/>
              <a:gd name="csX1" fmla="*/ 10059377 w 10059377"/>
              <a:gd name="csY1" fmla="*/ 2875280 h 2875280"/>
              <a:gd name="csX2" fmla="*/ 977 w 10059377"/>
              <a:gd name="csY2" fmla="*/ 2834640 h 2875280"/>
              <a:gd name="csX3" fmla="*/ 977 w 10059377"/>
              <a:gd name="csY3" fmla="*/ 1412240 h 2875280"/>
              <a:gd name="csX4" fmla="*/ 671537 w 10059377"/>
              <a:gd name="csY4" fmla="*/ 1412240 h 2875280"/>
              <a:gd name="csX5" fmla="*/ 1342097 w 10059377"/>
              <a:gd name="csY5" fmla="*/ 1412240 h 2875280"/>
              <a:gd name="csX0" fmla="*/ 10059377 w 10059378"/>
              <a:gd name="csY0" fmla="*/ 0 h 2834640"/>
              <a:gd name="csX1" fmla="*/ 10059378 w 10059378"/>
              <a:gd name="csY1" fmla="*/ 2834640 h 2834640"/>
              <a:gd name="csX2" fmla="*/ 977 w 10059378"/>
              <a:gd name="csY2" fmla="*/ 2834640 h 2834640"/>
              <a:gd name="csX3" fmla="*/ 977 w 10059378"/>
              <a:gd name="csY3" fmla="*/ 1412240 h 2834640"/>
              <a:gd name="csX4" fmla="*/ 671537 w 10059378"/>
              <a:gd name="csY4" fmla="*/ 1412240 h 2834640"/>
              <a:gd name="csX5" fmla="*/ 1342097 w 10059378"/>
              <a:gd name="csY5" fmla="*/ 1412240 h 2834640"/>
              <a:gd name="csX0" fmla="*/ 10059377 w 10059378"/>
              <a:gd name="csY0" fmla="*/ 0 h 2844800"/>
              <a:gd name="csX1" fmla="*/ 10059378 w 10059378"/>
              <a:gd name="csY1" fmla="*/ 2844800 h 2844800"/>
              <a:gd name="csX2" fmla="*/ 977 w 10059378"/>
              <a:gd name="csY2" fmla="*/ 2844800 h 2844800"/>
              <a:gd name="csX3" fmla="*/ 977 w 10059378"/>
              <a:gd name="csY3" fmla="*/ 1422400 h 2844800"/>
              <a:gd name="csX4" fmla="*/ 671537 w 10059378"/>
              <a:gd name="csY4" fmla="*/ 1422400 h 2844800"/>
              <a:gd name="csX5" fmla="*/ 1342097 w 10059378"/>
              <a:gd name="csY5" fmla="*/ 1422400 h 2844800"/>
            </a:gdLst>
            <a:ahLst/>
            <a:cxnLst>
              <a:cxn ang="0">
                <a:pos x="csX0" y="csY0"/>
              </a:cxn>
              <a:cxn ang="0">
                <a:pos x="csX1" y="csY1"/>
              </a:cxn>
              <a:cxn ang="0">
                <a:pos x="csX2" y="csY2"/>
              </a:cxn>
              <a:cxn ang="0">
                <a:pos x="csX3" y="csY3"/>
              </a:cxn>
              <a:cxn ang="0">
                <a:pos x="csX4" y="csY4"/>
              </a:cxn>
              <a:cxn ang="0">
                <a:pos x="csX5" y="csY5"/>
              </a:cxn>
            </a:cxnLst>
            <a:rect l="l" t="t" r="r" b="b"/>
            <a:pathLst>
              <a:path w="10059378" h="2844800">
                <a:moveTo>
                  <a:pt x="10059377" y="0"/>
                </a:moveTo>
                <a:cubicBezTo>
                  <a:pt x="10059377" y="944880"/>
                  <a:pt x="10059378" y="1899920"/>
                  <a:pt x="10059378" y="2844800"/>
                </a:cubicBezTo>
                <a:lnTo>
                  <a:pt x="977" y="2844800"/>
                </a:lnTo>
                <a:cubicBezTo>
                  <a:pt x="-2410" y="2357120"/>
                  <a:pt x="4364" y="1910080"/>
                  <a:pt x="977" y="1422400"/>
                </a:cubicBezTo>
                <a:lnTo>
                  <a:pt x="671537" y="1422400"/>
                </a:lnTo>
                <a:lnTo>
                  <a:pt x="1342097" y="1422400"/>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9" name="Group 18">
            <a:extLst>
              <a:ext uri="{FF2B5EF4-FFF2-40B4-BE49-F238E27FC236}">
                <a16:creationId xmlns:a16="http://schemas.microsoft.com/office/drawing/2014/main" id="{9358607D-6F9B-1B43-8DCB-24F2BD3C2939}"/>
              </a:ext>
            </a:extLst>
          </xdr:cNvPr>
          <xdr:cNvGrpSpPr/>
        </xdr:nvGrpSpPr>
        <xdr:grpSpPr>
          <a:xfrm>
            <a:off x="14197442" y="14542941"/>
            <a:ext cx="128532" cy="101173"/>
            <a:chOff x="10189308" y="13067486"/>
            <a:chExt cx="130256" cy="100297"/>
          </a:xfrm>
        </xdr:grpSpPr>
        <xdr:grpSp>
          <xdr:nvGrpSpPr>
            <xdr:cNvPr id="21" name="Group 20">
              <a:extLst>
                <a:ext uri="{FF2B5EF4-FFF2-40B4-BE49-F238E27FC236}">
                  <a16:creationId xmlns:a16="http://schemas.microsoft.com/office/drawing/2014/main" id="{3789E890-BCED-E79F-2423-2FDCECCAF279}"/>
                </a:ext>
              </a:extLst>
            </xdr:cNvPr>
            <xdr:cNvGrpSpPr/>
          </xdr:nvGrpSpPr>
          <xdr:grpSpPr>
            <a:xfrm>
              <a:off x="10215603" y="13067486"/>
              <a:ext cx="96227" cy="100297"/>
              <a:chOff x="10201275" y="13150850"/>
              <a:chExt cx="95250" cy="101600"/>
            </a:xfrm>
          </xdr:grpSpPr>
          <xdr:sp macro="" textlink="">
            <xdr:nvSpPr>
              <xdr:cNvPr id="29" name="Oval 28">
                <a:extLst>
                  <a:ext uri="{FF2B5EF4-FFF2-40B4-BE49-F238E27FC236}">
                    <a16:creationId xmlns:a16="http://schemas.microsoft.com/office/drawing/2014/main" id="{8B331E6B-3B81-4CB8-7DDB-B54690A198A5}"/>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65ADA5E8-A7AB-2E0B-9A69-577F01AE70C7}"/>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27" name="Straight Connector 26">
              <a:extLst>
                <a:ext uri="{FF2B5EF4-FFF2-40B4-BE49-F238E27FC236}">
                  <a16:creationId xmlns:a16="http://schemas.microsoft.com/office/drawing/2014/main" id="{B68E50A4-8519-6D6B-2E4C-79927EDB3381}"/>
                </a:ext>
              </a:extLst>
            </xdr:cNvPr>
            <xdr:cNvCxnSpPr/>
          </xdr:nvCxnSpPr>
          <xdr:spPr>
            <a:xfrm>
              <a:off x="10189308" y="1312333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xdr:col>
      <xdr:colOff>0</xdr:colOff>
      <xdr:row>121</xdr:row>
      <xdr:rowOff>196139</xdr:rowOff>
    </xdr:from>
    <xdr:to>
      <xdr:col>3</xdr:col>
      <xdr:colOff>0</xdr:colOff>
      <xdr:row>122</xdr:row>
      <xdr:rowOff>0</xdr:rowOff>
    </xdr:to>
    <xdr:cxnSp macro="">
      <xdr:nvCxnSpPr>
        <xdr:cNvPr id="3" name="Straight Arrow Connector 2">
          <a:extLst>
            <a:ext uri="{FF2B5EF4-FFF2-40B4-BE49-F238E27FC236}">
              <a16:creationId xmlns:a16="http://schemas.microsoft.com/office/drawing/2014/main" id="{B96CC964-CB2A-2A47-9211-0A6E5803F378}"/>
            </a:ext>
          </a:extLst>
        </xdr:cNvPr>
        <xdr:cNvCxnSpPr/>
      </xdr:nvCxnSpPr>
      <xdr:spPr>
        <a:xfrm flipV="1">
          <a:off x="822704" y="10979158"/>
          <a:ext cx="670944" cy="35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122</xdr:row>
      <xdr:rowOff>0</xdr:rowOff>
    </xdr:from>
    <xdr:to>
      <xdr:col>6</xdr:col>
      <xdr:colOff>0</xdr:colOff>
      <xdr:row>122</xdr:row>
      <xdr:rowOff>4904</xdr:rowOff>
    </xdr:to>
    <xdr:cxnSp macro="">
      <xdr:nvCxnSpPr>
        <xdr:cNvPr id="7" name="Straight Arrow Connector 6">
          <a:extLst>
            <a:ext uri="{FF2B5EF4-FFF2-40B4-BE49-F238E27FC236}">
              <a16:creationId xmlns:a16="http://schemas.microsoft.com/office/drawing/2014/main" id="{A337BA59-8BD5-1849-A46A-FEA98CCF8015}"/>
            </a:ext>
          </a:extLst>
        </xdr:cNvPr>
        <xdr:cNvCxnSpPr/>
      </xdr:nvCxnSpPr>
      <xdr:spPr>
        <a:xfrm flipV="1">
          <a:off x="2835535" y="10982704"/>
          <a:ext cx="67094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136</xdr:row>
      <xdr:rowOff>196139</xdr:rowOff>
    </xdr:from>
    <xdr:to>
      <xdr:col>3</xdr:col>
      <xdr:colOff>0</xdr:colOff>
      <xdr:row>137</xdr:row>
      <xdr:rowOff>0</xdr:rowOff>
    </xdr:to>
    <xdr:cxnSp macro="">
      <xdr:nvCxnSpPr>
        <xdr:cNvPr id="35" name="Straight Arrow Connector 34">
          <a:extLst>
            <a:ext uri="{FF2B5EF4-FFF2-40B4-BE49-F238E27FC236}">
              <a16:creationId xmlns:a16="http://schemas.microsoft.com/office/drawing/2014/main" id="{5209E8BC-96F6-5E40-B387-C65207EDD3E9}"/>
            </a:ext>
          </a:extLst>
        </xdr:cNvPr>
        <xdr:cNvCxnSpPr/>
      </xdr:nvCxnSpPr>
      <xdr:spPr>
        <a:xfrm flipV="1">
          <a:off x="1498600" y="247833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6</xdr:col>
      <xdr:colOff>0</xdr:colOff>
      <xdr:row>137</xdr:row>
      <xdr:rowOff>4904</xdr:rowOff>
    </xdr:to>
    <xdr:cxnSp macro="">
      <xdr:nvCxnSpPr>
        <xdr:cNvPr id="36" name="Straight Arrow Connector 35">
          <a:extLst>
            <a:ext uri="{FF2B5EF4-FFF2-40B4-BE49-F238E27FC236}">
              <a16:creationId xmlns:a16="http://schemas.microsoft.com/office/drawing/2014/main" id="{19EB6D2F-E212-D247-ACB6-CE92B08160E7}"/>
            </a:ext>
          </a:extLst>
        </xdr:cNvPr>
        <xdr:cNvCxnSpPr/>
      </xdr:nvCxnSpPr>
      <xdr:spPr>
        <a:xfrm flipV="1">
          <a:off x="3517900" y="247904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137</xdr:row>
      <xdr:rowOff>0</xdr:rowOff>
    </xdr:from>
    <xdr:to>
      <xdr:col>3</xdr:col>
      <xdr:colOff>0</xdr:colOff>
      <xdr:row>137</xdr:row>
      <xdr:rowOff>4904</xdr:rowOff>
    </xdr:to>
    <xdr:cxnSp macro="">
      <xdr:nvCxnSpPr>
        <xdr:cNvPr id="37" name="Straight Arrow Connector 36">
          <a:extLst>
            <a:ext uri="{FF2B5EF4-FFF2-40B4-BE49-F238E27FC236}">
              <a16:creationId xmlns:a16="http://schemas.microsoft.com/office/drawing/2014/main" id="{2810D440-472C-A243-8084-62B6AB932E9E}"/>
            </a:ext>
          </a:extLst>
        </xdr:cNvPr>
        <xdr:cNvCxnSpPr/>
      </xdr:nvCxnSpPr>
      <xdr:spPr>
        <a:xfrm flipV="1">
          <a:off x="2839253" y="11240230"/>
          <a:ext cx="67149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5</xdr:col>
      <xdr:colOff>671776</xdr:colOff>
      <xdr:row>137</xdr:row>
      <xdr:rowOff>4904</xdr:rowOff>
    </xdr:to>
    <xdr:cxnSp macro="">
      <xdr:nvCxnSpPr>
        <xdr:cNvPr id="38" name="Straight Arrow Connector 37">
          <a:extLst>
            <a:ext uri="{FF2B5EF4-FFF2-40B4-BE49-F238E27FC236}">
              <a16:creationId xmlns:a16="http://schemas.microsoft.com/office/drawing/2014/main" id="{B459C550-41CB-8449-B9DE-55465373BA54}"/>
            </a:ext>
          </a:extLst>
        </xdr:cNvPr>
        <xdr:cNvCxnSpPr/>
      </xdr:nvCxnSpPr>
      <xdr:spPr>
        <a:xfrm flipV="1">
          <a:off x="4853736" y="1124023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135</xdr:row>
      <xdr:rowOff>0</xdr:rowOff>
    </xdr:from>
    <xdr:to>
      <xdr:col>4</xdr:col>
      <xdr:colOff>0</xdr:colOff>
      <xdr:row>136</xdr:row>
      <xdr:rowOff>8274</xdr:rowOff>
    </xdr:to>
    <xdr:cxnSp macro="">
      <xdr:nvCxnSpPr>
        <xdr:cNvPr id="39" name="Straight Arrow Connector 38">
          <a:extLst>
            <a:ext uri="{FF2B5EF4-FFF2-40B4-BE49-F238E27FC236}">
              <a16:creationId xmlns:a16="http://schemas.microsoft.com/office/drawing/2014/main" id="{BE580AC5-2D0D-3647-AF3B-1FC8202B8841}"/>
            </a:ext>
          </a:extLst>
        </xdr:cNvPr>
        <xdr:cNvCxnSpPr/>
      </xdr:nvCxnSpPr>
      <xdr:spPr>
        <a:xfrm flipV="1">
          <a:off x="2839253" y="27589655"/>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138</xdr:row>
      <xdr:rowOff>0</xdr:rowOff>
    </xdr:from>
    <xdr:to>
      <xdr:col>4</xdr:col>
      <xdr:colOff>0</xdr:colOff>
      <xdr:row>139</xdr:row>
      <xdr:rowOff>8275</xdr:rowOff>
    </xdr:to>
    <xdr:cxnSp macro="">
      <xdr:nvCxnSpPr>
        <xdr:cNvPr id="41" name="Straight Arrow Connector 40">
          <a:extLst>
            <a:ext uri="{FF2B5EF4-FFF2-40B4-BE49-F238E27FC236}">
              <a16:creationId xmlns:a16="http://schemas.microsoft.com/office/drawing/2014/main" id="{40EB98E2-E0E9-3D41-98FB-13E37C105ACC}"/>
            </a:ext>
          </a:extLst>
        </xdr:cNvPr>
        <xdr:cNvCxnSpPr/>
      </xdr:nvCxnSpPr>
      <xdr:spPr>
        <a:xfrm flipV="1">
          <a:off x="2839253" y="28202759"/>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160</xdr:row>
      <xdr:rowOff>196139</xdr:rowOff>
    </xdr:from>
    <xdr:to>
      <xdr:col>3</xdr:col>
      <xdr:colOff>0</xdr:colOff>
      <xdr:row>161</xdr:row>
      <xdr:rowOff>0</xdr:rowOff>
    </xdr:to>
    <xdr:cxnSp macro="">
      <xdr:nvCxnSpPr>
        <xdr:cNvPr id="42" name="Straight Arrow Connector 41">
          <a:extLst>
            <a:ext uri="{FF2B5EF4-FFF2-40B4-BE49-F238E27FC236}">
              <a16:creationId xmlns:a16="http://schemas.microsoft.com/office/drawing/2014/main" id="{7AD08507-5F01-0549-A582-233D12498E4F}"/>
            </a:ext>
          </a:extLst>
        </xdr:cNvPr>
        <xdr:cNvCxnSpPr/>
      </xdr:nvCxnSpPr>
      <xdr:spPr>
        <a:xfrm flipV="1">
          <a:off x="1489624" y="27467718"/>
          <a:ext cx="668421" cy="438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6</xdr:col>
      <xdr:colOff>0</xdr:colOff>
      <xdr:row>161</xdr:row>
      <xdr:rowOff>4904</xdr:rowOff>
    </xdr:to>
    <xdr:cxnSp macro="">
      <xdr:nvCxnSpPr>
        <xdr:cNvPr id="43" name="Straight Arrow Connector 42">
          <a:extLst>
            <a:ext uri="{FF2B5EF4-FFF2-40B4-BE49-F238E27FC236}">
              <a16:creationId xmlns:a16="http://schemas.microsoft.com/office/drawing/2014/main" id="{F0AA1061-4E70-0249-8487-F0AB3339F06E}"/>
            </a:ext>
          </a:extLst>
        </xdr:cNvPr>
        <xdr:cNvCxnSpPr/>
      </xdr:nvCxnSpPr>
      <xdr:spPr>
        <a:xfrm flipV="1">
          <a:off x="3494887"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3</xdr:col>
      <xdr:colOff>0</xdr:colOff>
      <xdr:row>161</xdr:row>
      <xdr:rowOff>4904</xdr:rowOff>
    </xdr:to>
    <xdr:cxnSp macro="">
      <xdr:nvCxnSpPr>
        <xdr:cNvPr id="44" name="Straight Arrow Connector 43">
          <a:extLst>
            <a:ext uri="{FF2B5EF4-FFF2-40B4-BE49-F238E27FC236}">
              <a16:creationId xmlns:a16="http://schemas.microsoft.com/office/drawing/2014/main" id="{4DBE8B87-1BEF-3843-8C4E-D7ACD6E9FC3E}"/>
            </a:ext>
          </a:extLst>
        </xdr:cNvPr>
        <xdr:cNvCxnSpPr/>
      </xdr:nvCxnSpPr>
      <xdr:spPr>
        <a:xfrm flipV="1">
          <a:off x="1489624"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5</xdr:col>
      <xdr:colOff>671776</xdr:colOff>
      <xdr:row>161</xdr:row>
      <xdr:rowOff>4904</xdr:rowOff>
    </xdr:to>
    <xdr:cxnSp macro="">
      <xdr:nvCxnSpPr>
        <xdr:cNvPr id="45" name="Straight Arrow Connector 44">
          <a:extLst>
            <a:ext uri="{FF2B5EF4-FFF2-40B4-BE49-F238E27FC236}">
              <a16:creationId xmlns:a16="http://schemas.microsoft.com/office/drawing/2014/main" id="{B22F98F1-656C-154C-B84E-FFB75552D783}"/>
            </a:ext>
          </a:extLst>
        </xdr:cNvPr>
        <xdr:cNvCxnSpPr/>
      </xdr:nvCxnSpPr>
      <xdr:spPr>
        <a:xfrm flipV="1">
          <a:off x="3494887" y="27472105"/>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8274</xdr:rowOff>
    </xdr:to>
    <xdr:cxnSp macro="">
      <xdr:nvCxnSpPr>
        <xdr:cNvPr id="46" name="Straight Arrow Connector 45">
          <a:extLst>
            <a:ext uri="{FF2B5EF4-FFF2-40B4-BE49-F238E27FC236}">
              <a16:creationId xmlns:a16="http://schemas.microsoft.com/office/drawing/2014/main" id="{D73EF0B9-21E9-3641-AB5D-53609FCF36BA}"/>
            </a:ext>
          </a:extLst>
        </xdr:cNvPr>
        <xdr:cNvCxnSpPr/>
      </xdr:nvCxnSpPr>
      <xdr:spPr>
        <a:xfrm flipV="1">
          <a:off x="2826466" y="27071053"/>
          <a:ext cx="0" cy="2088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2</xdr:col>
      <xdr:colOff>671776</xdr:colOff>
      <xdr:row>161</xdr:row>
      <xdr:rowOff>4904</xdr:rowOff>
    </xdr:to>
    <xdr:cxnSp macro="">
      <xdr:nvCxnSpPr>
        <xdr:cNvPr id="48" name="Straight Arrow Connector 47">
          <a:extLst>
            <a:ext uri="{FF2B5EF4-FFF2-40B4-BE49-F238E27FC236}">
              <a16:creationId xmlns:a16="http://schemas.microsoft.com/office/drawing/2014/main" id="{32AFA191-2B9A-9849-AE63-C984622A7518}"/>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161</xdr:row>
      <xdr:rowOff>0</xdr:rowOff>
    </xdr:from>
    <xdr:to>
      <xdr:col>5</xdr:col>
      <xdr:colOff>671776</xdr:colOff>
      <xdr:row>161</xdr:row>
      <xdr:rowOff>4904</xdr:rowOff>
    </xdr:to>
    <xdr:cxnSp macro="">
      <xdr:nvCxnSpPr>
        <xdr:cNvPr id="49" name="Straight Arrow Connector 48">
          <a:extLst>
            <a:ext uri="{FF2B5EF4-FFF2-40B4-BE49-F238E27FC236}">
              <a16:creationId xmlns:a16="http://schemas.microsoft.com/office/drawing/2014/main" id="{E28E3AFB-7129-0C4E-9A6D-347412E54543}"/>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4137</xdr:rowOff>
    </xdr:to>
    <xdr:cxnSp macro="">
      <xdr:nvCxnSpPr>
        <xdr:cNvPr id="50" name="Straight Arrow Connector 49">
          <a:extLst>
            <a:ext uri="{FF2B5EF4-FFF2-40B4-BE49-F238E27FC236}">
              <a16:creationId xmlns:a16="http://schemas.microsoft.com/office/drawing/2014/main" id="{CCB7A733-A936-FA4A-8452-AA0993FD4986}"/>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162</xdr:row>
      <xdr:rowOff>0</xdr:rowOff>
    </xdr:from>
    <xdr:to>
      <xdr:col>4</xdr:col>
      <xdr:colOff>0</xdr:colOff>
      <xdr:row>163</xdr:row>
      <xdr:rowOff>0</xdr:rowOff>
    </xdr:to>
    <xdr:cxnSp macro="">
      <xdr:nvCxnSpPr>
        <xdr:cNvPr id="51" name="Straight Arrow Connector 50">
          <a:extLst>
            <a:ext uri="{FF2B5EF4-FFF2-40B4-BE49-F238E27FC236}">
              <a16:creationId xmlns:a16="http://schemas.microsoft.com/office/drawing/2014/main" id="{CA5CC71F-2C13-CB42-9685-825EAB776933}"/>
            </a:ext>
          </a:extLst>
        </xdr:cNvPr>
        <xdr:cNvCxnSpPr/>
      </xdr:nvCxnSpPr>
      <xdr:spPr>
        <a:xfrm>
          <a:off x="2844800" y="329184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186</xdr:row>
      <xdr:rowOff>196139</xdr:rowOff>
    </xdr:from>
    <xdr:to>
      <xdr:col>3</xdr:col>
      <xdr:colOff>0</xdr:colOff>
      <xdr:row>187</xdr:row>
      <xdr:rowOff>0</xdr:rowOff>
    </xdr:to>
    <xdr:cxnSp macro="">
      <xdr:nvCxnSpPr>
        <xdr:cNvPr id="40" name="Straight Arrow Connector 39">
          <a:extLst>
            <a:ext uri="{FF2B5EF4-FFF2-40B4-BE49-F238E27FC236}">
              <a16:creationId xmlns:a16="http://schemas.microsoft.com/office/drawing/2014/main" id="{DA303291-7930-2642-AE8D-A1830F30682F}"/>
            </a:ext>
          </a:extLst>
        </xdr:cNvPr>
        <xdr:cNvCxnSpPr/>
      </xdr:nvCxnSpPr>
      <xdr:spPr>
        <a:xfrm flipV="1">
          <a:off x="1499681" y="32621671"/>
          <a:ext cx="675532" cy="65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47" name="Straight Arrow Connector 46">
          <a:extLst>
            <a:ext uri="{FF2B5EF4-FFF2-40B4-BE49-F238E27FC236}">
              <a16:creationId xmlns:a16="http://schemas.microsoft.com/office/drawing/2014/main" id="{82CF46E5-FFF7-6E41-ADA1-97B8A7DA6112}"/>
            </a:ext>
          </a:extLst>
        </xdr:cNvPr>
        <xdr:cNvCxnSpPr/>
      </xdr:nvCxnSpPr>
      <xdr:spPr>
        <a:xfrm flipV="1">
          <a:off x="3526277"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3</xdr:col>
      <xdr:colOff>0</xdr:colOff>
      <xdr:row>187</xdr:row>
      <xdr:rowOff>4904</xdr:rowOff>
    </xdr:to>
    <xdr:cxnSp macro="">
      <xdr:nvCxnSpPr>
        <xdr:cNvPr id="52" name="Straight Arrow Connector 51">
          <a:extLst>
            <a:ext uri="{FF2B5EF4-FFF2-40B4-BE49-F238E27FC236}">
              <a16:creationId xmlns:a16="http://schemas.microsoft.com/office/drawing/2014/main" id="{722D7339-68E9-AC47-A6A4-63AAABBF6A37}"/>
            </a:ext>
          </a:extLst>
        </xdr:cNvPr>
        <xdr:cNvCxnSpPr/>
      </xdr:nvCxnSpPr>
      <xdr:spPr>
        <a:xfrm flipV="1">
          <a:off x="149968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5</xdr:col>
      <xdr:colOff>671776</xdr:colOff>
      <xdr:row>187</xdr:row>
      <xdr:rowOff>4904</xdr:rowOff>
    </xdr:to>
    <xdr:cxnSp macro="">
      <xdr:nvCxnSpPr>
        <xdr:cNvPr id="53" name="Straight Arrow Connector 52">
          <a:extLst>
            <a:ext uri="{FF2B5EF4-FFF2-40B4-BE49-F238E27FC236}">
              <a16:creationId xmlns:a16="http://schemas.microsoft.com/office/drawing/2014/main" id="{17CF0527-9F95-F340-A58A-A030D45427B1}"/>
            </a:ext>
          </a:extLst>
        </xdr:cNvPr>
        <xdr:cNvCxnSpPr/>
      </xdr:nvCxnSpPr>
      <xdr:spPr>
        <a:xfrm flipV="1">
          <a:off x="3526277"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8274</xdr:rowOff>
    </xdr:to>
    <xdr:cxnSp macro="">
      <xdr:nvCxnSpPr>
        <xdr:cNvPr id="54" name="Straight Arrow Connector 53">
          <a:extLst>
            <a:ext uri="{FF2B5EF4-FFF2-40B4-BE49-F238E27FC236}">
              <a16:creationId xmlns:a16="http://schemas.microsoft.com/office/drawing/2014/main" id="{2915845D-1AF2-3E49-82CA-868CB060582A}"/>
            </a:ext>
          </a:extLst>
        </xdr:cNvPr>
        <xdr:cNvCxnSpPr/>
      </xdr:nvCxnSpPr>
      <xdr:spPr>
        <a:xfrm flipV="1">
          <a:off x="2850745" y="32222872"/>
          <a:ext cx="0" cy="21093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2</xdr:col>
      <xdr:colOff>671776</xdr:colOff>
      <xdr:row>187</xdr:row>
      <xdr:rowOff>4904</xdr:rowOff>
    </xdr:to>
    <xdr:cxnSp macro="">
      <xdr:nvCxnSpPr>
        <xdr:cNvPr id="57" name="Straight Arrow Connector 56">
          <a:extLst>
            <a:ext uri="{FF2B5EF4-FFF2-40B4-BE49-F238E27FC236}">
              <a16:creationId xmlns:a16="http://schemas.microsoft.com/office/drawing/2014/main" id="{17BC292E-826F-3141-BABB-F786E34516D1}"/>
            </a:ext>
          </a:extLst>
        </xdr:cNvPr>
        <xdr:cNvCxnSpPr/>
      </xdr:nvCxnSpPr>
      <xdr:spPr>
        <a:xfrm flipV="1">
          <a:off x="1499681"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187</xdr:row>
      <xdr:rowOff>0</xdr:rowOff>
    </xdr:from>
    <xdr:to>
      <xdr:col>5</xdr:col>
      <xdr:colOff>671776</xdr:colOff>
      <xdr:row>187</xdr:row>
      <xdr:rowOff>4904</xdr:rowOff>
    </xdr:to>
    <xdr:cxnSp macro="">
      <xdr:nvCxnSpPr>
        <xdr:cNvPr id="58" name="Straight Arrow Connector 57">
          <a:extLst>
            <a:ext uri="{FF2B5EF4-FFF2-40B4-BE49-F238E27FC236}">
              <a16:creationId xmlns:a16="http://schemas.microsoft.com/office/drawing/2014/main" id="{DF9D0750-AD44-1344-A72B-89E3E2333653}"/>
            </a:ext>
          </a:extLst>
        </xdr:cNvPr>
        <xdr:cNvCxnSpPr/>
      </xdr:nvCxnSpPr>
      <xdr:spPr>
        <a:xfrm flipV="1">
          <a:off x="352252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59" name="Straight Arrow Connector 58">
          <a:extLst>
            <a:ext uri="{FF2B5EF4-FFF2-40B4-BE49-F238E27FC236}">
              <a16:creationId xmlns:a16="http://schemas.microsoft.com/office/drawing/2014/main" id="{56E11DF5-A68C-FF48-B979-E4D493CD809B}"/>
            </a:ext>
          </a:extLst>
        </xdr:cNvPr>
        <xdr:cNvCxnSpPr/>
      </xdr:nvCxnSpPr>
      <xdr:spPr>
        <a:xfrm flipV="1">
          <a:off x="2850745" y="32222872"/>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187</xdr:row>
      <xdr:rowOff>0</xdr:rowOff>
    </xdr:from>
    <xdr:to>
      <xdr:col>2</xdr:col>
      <xdr:colOff>671776</xdr:colOff>
      <xdr:row>187</xdr:row>
      <xdr:rowOff>4904</xdr:rowOff>
    </xdr:to>
    <xdr:cxnSp macro="">
      <xdr:nvCxnSpPr>
        <xdr:cNvPr id="61" name="Straight Arrow Connector 60">
          <a:extLst>
            <a:ext uri="{FF2B5EF4-FFF2-40B4-BE49-F238E27FC236}">
              <a16:creationId xmlns:a16="http://schemas.microsoft.com/office/drawing/2014/main" id="{2440B6FE-05A6-C143-A74F-40F7DF8C53F7}"/>
            </a:ext>
          </a:extLst>
        </xdr:cNvPr>
        <xdr:cNvCxnSpPr/>
      </xdr:nvCxnSpPr>
      <xdr:spPr>
        <a:xfrm flipV="1">
          <a:off x="6900180"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63" name="Straight Arrow Connector 62">
          <a:extLst>
            <a:ext uri="{FF2B5EF4-FFF2-40B4-BE49-F238E27FC236}">
              <a16:creationId xmlns:a16="http://schemas.microsoft.com/office/drawing/2014/main" id="{1AC868AF-45B2-DB41-8E0C-6644E059FC98}"/>
            </a:ext>
          </a:extLst>
        </xdr:cNvPr>
        <xdr:cNvCxnSpPr/>
      </xdr:nvCxnSpPr>
      <xdr:spPr>
        <a:xfrm flipV="1">
          <a:off x="8930532"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65" name="Straight Arrow Connector 64">
          <a:extLst>
            <a:ext uri="{FF2B5EF4-FFF2-40B4-BE49-F238E27FC236}">
              <a16:creationId xmlns:a16="http://schemas.microsoft.com/office/drawing/2014/main" id="{F5B4155C-174B-244D-B79A-DEA1BAF20E55}"/>
            </a:ext>
          </a:extLst>
        </xdr:cNvPr>
        <xdr:cNvCxnSpPr/>
      </xdr:nvCxnSpPr>
      <xdr:spPr>
        <a:xfrm flipV="1">
          <a:off x="8255000" y="10740957"/>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217</xdr:row>
      <xdr:rowOff>196139</xdr:rowOff>
    </xdr:from>
    <xdr:to>
      <xdr:col>3</xdr:col>
      <xdr:colOff>0</xdr:colOff>
      <xdr:row>218</xdr:row>
      <xdr:rowOff>0</xdr:rowOff>
    </xdr:to>
    <xdr:cxnSp macro="">
      <xdr:nvCxnSpPr>
        <xdr:cNvPr id="66" name="Straight Arrow Connector 65">
          <a:extLst>
            <a:ext uri="{FF2B5EF4-FFF2-40B4-BE49-F238E27FC236}">
              <a16:creationId xmlns:a16="http://schemas.microsoft.com/office/drawing/2014/main" id="{877D8889-74BF-0443-AF29-55E6DD566CFF}"/>
            </a:ext>
          </a:extLst>
        </xdr:cNvPr>
        <xdr:cNvCxnSpPr/>
      </xdr:nvCxnSpPr>
      <xdr:spPr>
        <a:xfrm flipV="1">
          <a:off x="1507067" y="36975339"/>
          <a:ext cx="677333"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67" name="Straight Arrow Connector 66">
          <a:extLst>
            <a:ext uri="{FF2B5EF4-FFF2-40B4-BE49-F238E27FC236}">
              <a16:creationId xmlns:a16="http://schemas.microsoft.com/office/drawing/2014/main" id="{7FB3F867-A904-A247-8077-E8CFF37B5F6F}"/>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72" name="Straight Arrow Connector 71">
          <a:extLst>
            <a:ext uri="{FF2B5EF4-FFF2-40B4-BE49-F238E27FC236}">
              <a16:creationId xmlns:a16="http://schemas.microsoft.com/office/drawing/2014/main" id="{7489115F-F669-4F49-A227-592D0CF5853B}"/>
            </a:ext>
          </a:extLst>
        </xdr:cNvPr>
        <xdr:cNvCxnSpPr/>
      </xdr:nvCxnSpPr>
      <xdr:spPr>
        <a:xfrm flipV="1">
          <a:off x="1507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5</xdr:col>
      <xdr:colOff>671776</xdr:colOff>
      <xdr:row>218</xdr:row>
      <xdr:rowOff>4904</xdr:rowOff>
    </xdr:to>
    <xdr:cxnSp macro="">
      <xdr:nvCxnSpPr>
        <xdr:cNvPr id="75" name="Straight Arrow Connector 74">
          <a:extLst>
            <a:ext uri="{FF2B5EF4-FFF2-40B4-BE49-F238E27FC236}">
              <a16:creationId xmlns:a16="http://schemas.microsoft.com/office/drawing/2014/main" id="{85F1E091-51EC-D140-87A6-7C6D6135FCEC}"/>
            </a:ext>
          </a:extLst>
        </xdr:cNvPr>
        <xdr:cNvCxnSpPr/>
      </xdr:nvCxnSpPr>
      <xdr:spPr>
        <a:xfrm flipV="1">
          <a:off x="3539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2</xdr:col>
      <xdr:colOff>671776</xdr:colOff>
      <xdr:row>218</xdr:row>
      <xdr:rowOff>4904</xdr:rowOff>
    </xdr:to>
    <xdr:cxnSp macro="">
      <xdr:nvCxnSpPr>
        <xdr:cNvPr id="77" name="Straight Arrow Connector 76">
          <a:extLst>
            <a:ext uri="{FF2B5EF4-FFF2-40B4-BE49-F238E27FC236}">
              <a16:creationId xmlns:a16="http://schemas.microsoft.com/office/drawing/2014/main" id="{4B9C92D7-7741-1D40-BE47-0A96B1030E47}"/>
            </a:ext>
          </a:extLst>
        </xdr:cNvPr>
        <xdr:cNvCxnSpPr/>
      </xdr:nvCxnSpPr>
      <xdr:spPr>
        <a:xfrm flipV="1">
          <a:off x="1507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218</xdr:row>
      <xdr:rowOff>0</xdr:rowOff>
    </xdr:from>
    <xdr:to>
      <xdr:col>5</xdr:col>
      <xdr:colOff>671776</xdr:colOff>
      <xdr:row>218</xdr:row>
      <xdr:rowOff>4904</xdr:rowOff>
    </xdr:to>
    <xdr:cxnSp macro="">
      <xdr:nvCxnSpPr>
        <xdr:cNvPr id="78" name="Straight Arrow Connector 77">
          <a:extLst>
            <a:ext uri="{FF2B5EF4-FFF2-40B4-BE49-F238E27FC236}">
              <a16:creationId xmlns:a16="http://schemas.microsoft.com/office/drawing/2014/main" id="{7852141A-4AB6-FA4A-9A12-91FF0166C828}"/>
            </a:ext>
          </a:extLst>
        </xdr:cNvPr>
        <xdr:cNvCxnSpPr/>
      </xdr:nvCxnSpPr>
      <xdr:spPr>
        <a:xfrm flipV="1">
          <a:off x="3533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218</xdr:row>
      <xdr:rowOff>0</xdr:rowOff>
    </xdr:from>
    <xdr:to>
      <xdr:col>2</xdr:col>
      <xdr:colOff>671776</xdr:colOff>
      <xdr:row>218</xdr:row>
      <xdr:rowOff>4904</xdr:rowOff>
    </xdr:to>
    <xdr:cxnSp macro="">
      <xdr:nvCxnSpPr>
        <xdr:cNvPr id="80" name="Straight Arrow Connector 79">
          <a:extLst>
            <a:ext uri="{FF2B5EF4-FFF2-40B4-BE49-F238E27FC236}">
              <a16:creationId xmlns:a16="http://schemas.microsoft.com/office/drawing/2014/main" id="{9A1500BA-42F9-C643-9D9D-76C30D226F24}"/>
            </a:ext>
          </a:extLst>
        </xdr:cNvPr>
        <xdr:cNvCxnSpPr/>
      </xdr:nvCxnSpPr>
      <xdr:spPr>
        <a:xfrm flipV="1">
          <a:off x="1501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1" name="Straight Arrow Connector 80">
          <a:extLst>
            <a:ext uri="{FF2B5EF4-FFF2-40B4-BE49-F238E27FC236}">
              <a16:creationId xmlns:a16="http://schemas.microsoft.com/office/drawing/2014/main" id="{ACB6EB67-FC1A-8640-8812-20C9292B0782}"/>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3" name="Straight Arrow Connector 82">
          <a:extLst>
            <a:ext uri="{FF2B5EF4-FFF2-40B4-BE49-F238E27FC236}">
              <a16:creationId xmlns:a16="http://schemas.microsoft.com/office/drawing/2014/main" id="{E8E96FDB-30D4-D543-8728-BC458F4778FF}"/>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4" name="Straight Arrow Connector 83">
          <a:extLst>
            <a:ext uri="{FF2B5EF4-FFF2-40B4-BE49-F238E27FC236}">
              <a16:creationId xmlns:a16="http://schemas.microsoft.com/office/drawing/2014/main" id="{863084B9-A9DE-9F40-BA12-C30532EF8B83}"/>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5" name="Straight Arrow Connector 84">
          <a:extLst>
            <a:ext uri="{FF2B5EF4-FFF2-40B4-BE49-F238E27FC236}">
              <a16:creationId xmlns:a16="http://schemas.microsoft.com/office/drawing/2014/main" id="{CAFC529E-4F3F-1647-BEE4-6F57D6855E95}"/>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6" name="Straight Arrow Connector 85">
          <a:extLst>
            <a:ext uri="{FF2B5EF4-FFF2-40B4-BE49-F238E27FC236}">
              <a16:creationId xmlns:a16="http://schemas.microsoft.com/office/drawing/2014/main" id="{9342B6F4-2F61-1248-88EA-305E4C672C24}"/>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293</xdr:row>
      <xdr:rowOff>196139</xdr:rowOff>
    </xdr:from>
    <xdr:to>
      <xdr:col>3</xdr:col>
      <xdr:colOff>0</xdr:colOff>
      <xdr:row>294</xdr:row>
      <xdr:rowOff>0</xdr:rowOff>
    </xdr:to>
    <xdr:cxnSp macro="">
      <xdr:nvCxnSpPr>
        <xdr:cNvPr id="158" name="Straight Arrow Connector 157">
          <a:extLst>
            <a:ext uri="{FF2B5EF4-FFF2-40B4-BE49-F238E27FC236}">
              <a16:creationId xmlns:a16="http://schemas.microsoft.com/office/drawing/2014/main" id="{625FF156-C8A4-FC4F-B530-98670DBDE7A0}"/>
            </a:ext>
          </a:extLst>
        </xdr:cNvPr>
        <xdr:cNvCxnSpPr/>
      </xdr:nvCxnSpPr>
      <xdr:spPr>
        <a:xfrm flipV="1">
          <a:off x="1493520" y="41242539"/>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59" name="Straight Arrow Connector 158">
          <a:extLst>
            <a:ext uri="{FF2B5EF4-FFF2-40B4-BE49-F238E27FC236}">
              <a16:creationId xmlns:a16="http://schemas.microsoft.com/office/drawing/2014/main" id="{10582121-6AFF-8C4D-BB17-3D67C93C5ED8}"/>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0" name="Straight Arrow Connector 159">
          <a:extLst>
            <a:ext uri="{FF2B5EF4-FFF2-40B4-BE49-F238E27FC236}">
              <a16:creationId xmlns:a16="http://schemas.microsoft.com/office/drawing/2014/main" id="{E47F25FA-C774-FB4E-897F-5CBD604B8826}"/>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5</xdr:col>
      <xdr:colOff>671776</xdr:colOff>
      <xdr:row>294</xdr:row>
      <xdr:rowOff>4904</xdr:rowOff>
    </xdr:to>
    <xdr:cxnSp macro="">
      <xdr:nvCxnSpPr>
        <xdr:cNvPr id="161" name="Straight Arrow Connector 160">
          <a:extLst>
            <a:ext uri="{FF2B5EF4-FFF2-40B4-BE49-F238E27FC236}">
              <a16:creationId xmlns:a16="http://schemas.microsoft.com/office/drawing/2014/main" id="{A2587C05-EFF1-FD4D-A814-415F19369A09}"/>
            </a:ext>
          </a:extLst>
        </xdr:cNvPr>
        <xdr:cNvCxnSpPr/>
      </xdr:nvCxnSpPr>
      <xdr:spPr>
        <a:xfrm flipV="1">
          <a:off x="350520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2</xdr:col>
      <xdr:colOff>671776</xdr:colOff>
      <xdr:row>294</xdr:row>
      <xdr:rowOff>4904</xdr:rowOff>
    </xdr:to>
    <xdr:cxnSp macro="">
      <xdr:nvCxnSpPr>
        <xdr:cNvPr id="162" name="Straight Arrow Connector 161">
          <a:extLst>
            <a:ext uri="{FF2B5EF4-FFF2-40B4-BE49-F238E27FC236}">
              <a16:creationId xmlns:a16="http://schemas.microsoft.com/office/drawing/2014/main" id="{F227B6F7-7DFE-7A4B-930C-504D08A60949}"/>
            </a:ext>
          </a:extLst>
        </xdr:cNvPr>
        <xdr:cNvCxnSpPr/>
      </xdr:nvCxnSpPr>
      <xdr:spPr>
        <a:xfrm flipV="1">
          <a:off x="149352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63" name="Straight Arrow Connector 162">
          <a:extLst>
            <a:ext uri="{FF2B5EF4-FFF2-40B4-BE49-F238E27FC236}">
              <a16:creationId xmlns:a16="http://schemas.microsoft.com/office/drawing/2014/main" id="{E52C2068-ED0B-F140-9BA0-C7EEAC53C0E4}"/>
            </a:ext>
          </a:extLst>
        </xdr:cNvPr>
        <xdr:cNvCxnSpPr/>
      </xdr:nvCxnSpPr>
      <xdr:spPr>
        <a:xfrm flipV="1">
          <a:off x="350641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64" name="Straight Arrow Connector 163">
          <a:extLst>
            <a:ext uri="{FF2B5EF4-FFF2-40B4-BE49-F238E27FC236}">
              <a16:creationId xmlns:a16="http://schemas.microsoft.com/office/drawing/2014/main" id="{07B1F7FD-6A78-3F45-8E6C-7E855B86517F}"/>
            </a:ext>
          </a:extLst>
        </xdr:cNvPr>
        <xdr:cNvCxnSpPr/>
      </xdr:nvCxnSpPr>
      <xdr:spPr>
        <a:xfrm flipV="1">
          <a:off x="149473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5" name="Straight Arrow Connector 164">
          <a:extLst>
            <a:ext uri="{FF2B5EF4-FFF2-40B4-BE49-F238E27FC236}">
              <a16:creationId xmlns:a16="http://schemas.microsoft.com/office/drawing/2014/main" id="{6D304BF0-8BB0-4542-B698-159382A3F139}"/>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6" name="Straight Arrow Connector 165">
          <a:extLst>
            <a:ext uri="{FF2B5EF4-FFF2-40B4-BE49-F238E27FC236}">
              <a16:creationId xmlns:a16="http://schemas.microsoft.com/office/drawing/2014/main" id="{3ABAD1EA-2ABC-A14E-8E27-756A871E51F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7" name="Straight Arrow Connector 166">
          <a:extLst>
            <a:ext uri="{FF2B5EF4-FFF2-40B4-BE49-F238E27FC236}">
              <a16:creationId xmlns:a16="http://schemas.microsoft.com/office/drawing/2014/main" id="{15F68B58-A2E6-5846-9AB4-7299D54E7C1C}"/>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8" name="Straight Arrow Connector 167">
          <a:extLst>
            <a:ext uri="{FF2B5EF4-FFF2-40B4-BE49-F238E27FC236}">
              <a16:creationId xmlns:a16="http://schemas.microsoft.com/office/drawing/2014/main" id="{AFEBABF9-C94A-D44F-9DE3-788B4ADA946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9" name="Straight Arrow Connector 168">
          <a:extLst>
            <a:ext uri="{FF2B5EF4-FFF2-40B4-BE49-F238E27FC236}">
              <a16:creationId xmlns:a16="http://schemas.microsoft.com/office/drawing/2014/main" id="{AA921A77-9C71-EB4C-ABC9-11CCBABC913E}"/>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70" name="Straight Arrow Connector 169">
          <a:extLst>
            <a:ext uri="{FF2B5EF4-FFF2-40B4-BE49-F238E27FC236}">
              <a16:creationId xmlns:a16="http://schemas.microsoft.com/office/drawing/2014/main" id="{F6B20929-988D-4F4C-A93F-3E1B3776F50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71" name="Straight Arrow Connector 170">
          <a:extLst>
            <a:ext uri="{FF2B5EF4-FFF2-40B4-BE49-F238E27FC236}">
              <a16:creationId xmlns:a16="http://schemas.microsoft.com/office/drawing/2014/main" id="{26EEDEEB-F14B-4D49-A7B5-0758A335C5B9}"/>
            </a:ext>
          </a:extLst>
        </xdr:cNvPr>
        <xdr:cNvCxnSpPr/>
      </xdr:nvCxnSpPr>
      <xdr:spPr>
        <a:xfrm flipV="1">
          <a:off x="1892929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73" name="Straight Arrow Connector 172">
          <a:extLst>
            <a:ext uri="{FF2B5EF4-FFF2-40B4-BE49-F238E27FC236}">
              <a16:creationId xmlns:a16="http://schemas.microsoft.com/office/drawing/2014/main" id="{E8256CF1-565C-1C45-AC3C-93C097BA5FB0}"/>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5</xdr:col>
      <xdr:colOff>671776</xdr:colOff>
      <xdr:row>370</xdr:row>
      <xdr:rowOff>4904</xdr:rowOff>
    </xdr:to>
    <xdr:cxnSp macro="">
      <xdr:nvCxnSpPr>
        <xdr:cNvPr id="175" name="Straight Arrow Connector 174">
          <a:extLst>
            <a:ext uri="{FF2B5EF4-FFF2-40B4-BE49-F238E27FC236}">
              <a16:creationId xmlns:a16="http://schemas.microsoft.com/office/drawing/2014/main" id="{CCB31C03-DB04-3F44-8072-49B4BA55BF6D}"/>
            </a:ext>
          </a:extLst>
        </xdr:cNvPr>
        <xdr:cNvCxnSpPr/>
      </xdr:nvCxnSpPr>
      <xdr:spPr>
        <a:xfrm flipV="1">
          <a:off x="3505200"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370</xdr:row>
      <xdr:rowOff>0</xdr:rowOff>
    </xdr:from>
    <xdr:to>
      <xdr:col>5</xdr:col>
      <xdr:colOff>671776</xdr:colOff>
      <xdr:row>370</xdr:row>
      <xdr:rowOff>4904</xdr:rowOff>
    </xdr:to>
    <xdr:cxnSp macro="">
      <xdr:nvCxnSpPr>
        <xdr:cNvPr id="178" name="Straight Arrow Connector 177">
          <a:extLst>
            <a:ext uri="{FF2B5EF4-FFF2-40B4-BE49-F238E27FC236}">
              <a16:creationId xmlns:a16="http://schemas.microsoft.com/office/drawing/2014/main" id="{451E5A8C-4496-2646-977E-462986FDF4CC}"/>
            </a:ext>
          </a:extLst>
        </xdr:cNvPr>
        <xdr:cNvCxnSpPr/>
      </xdr:nvCxnSpPr>
      <xdr:spPr>
        <a:xfrm flipV="1">
          <a:off x="3506416"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81" name="Straight Arrow Connector 180">
          <a:extLst>
            <a:ext uri="{FF2B5EF4-FFF2-40B4-BE49-F238E27FC236}">
              <a16:creationId xmlns:a16="http://schemas.microsoft.com/office/drawing/2014/main" id="{3F9F9446-14A9-2245-94A6-1F1D94C41B08}"/>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369</xdr:row>
      <xdr:rowOff>201042</xdr:rowOff>
    </xdr:from>
    <xdr:to>
      <xdr:col>5</xdr:col>
      <xdr:colOff>671776</xdr:colOff>
      <xdr:row>370</xdr:row>
      <xdr:rowOff>4904</xdr:rowOff>
    </xdr:to>
    <xdr:cxnSp macro="">
      <xdr:nvCxnSpPr>
        <xdr:cNvPr id="183" name="Straight Arrow Connector 182">
          <a:extLst>
            <a:ext uri="{FF2B5EF4-FFF2-40B4-BE49-F238E27FC236}">
              <a16:creationId xmlns:a16="http://schemas.microsoft.com/office/drawing/2014/main" id="{C9F0C43E-76E5-9545-8F5C-EB6DAC8A1159}"/>
            </a:ext>
          </a:extLst>
        </xdr:cNvPr>
        <xdr:cNvCxnSpPr/>
      </xdr:nvCxnSpPr>
      <xdr:spPr>
        <a:xfrm flipV="1">
          <a:off x="6859216" y="12189842"/>
          <a:ext cx="670560"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367</xdr:row>
      <xdr:rowOff>201131</xdr:rowOff>
    </xdr:from>
    <xdr:to>
      <xdr:col>4</xdr:col>
      <xdr:colOff>0</xdr:colOff>
      <xdr:row>369</xdr:row>
      <xdr:rowOff>0</xdr:rowOff>
    </xdr:to>
    <xdr:cxnSp macro="">
      <xdr:nvCxnSpPr>
        <xdr:cNvPr id="184" name="Straight Arrow Connector 183">
          <a:extLst>
            <a:ext uri="{FF2B5EF4-FFF2-40B4-BE49-F238E27FC236}">
              <a16:creationId xmlns:a16="http://schemas.microsoft.com/office/drawing/2014/main" id="{84AED95E-229A-1649-96C5-18484E88A6ED}"/>
            </a:ext>
          </a:extLst>
        </xdr:cNvPr>
        <xdr:cNvCxnSpPr/>
      </xdr:nvCxnSpPr>
      <xdr:spPr>
        <a:xfrm>
          <a:off x="2844570" y="60138235"/>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371</xdr:row>
      <xdr:rowOff>0</xdr:rowOff>
    </xdr:from>
    <xdr:to>
      <xdr:col>4</xdr:col>
      <xdr:colOff>0</xdr:colOff>
      <xdr:row>372</xdr:row>
      <xdr:rowOff>1</xdr:rowOff>
    </xdr:to>
    <xdr:cxnSp macro="">
      <xdr:nvCxnSpPr>
        <xdr:cNvPr id="185" name="Straight Arrow Connector 184">
          <a:extLst>
            <a:ext uri="{FF2B5EF4-FFF2-40B4-BE49-F238E27FC236}">
              <a16:creationId xmlns:a16="http://schemas.microsoft.com/office/drawing/2014/main" id="{5C426266-6283-5143-824F-5023F1D8FDD9}"/>
            </a:ext>
          </a:extLst>
        </xdr:cNvPr>
        <xdr:cNvCxnSpPr/>
      </xdr:nvCxnSpPr>
      <xdr:spPr>
        <a:xfrm>
          <a:off x="2844570" y="60741629"/>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238</xdr:row>
      <xdr:rowOff>0</xdr:rowOff>
    </xdr:from>
    <xdr:to>
      <xdr:col>2</xdr:col>
      <xdr:colOff>0</xdr:colOff>
      <xdr:row>238</xdr:row>
      <xdr:rowOff>4904</xdr:rowOff>
    </xdr:to>
    <xdr:cxnSp macro="">
      <xdr:nvCxnSpPr>
        <xdr:cNvPr id="144" name="Straight Arrow Connector 143">
          <a:extLst>
            <a:ext uri="{FF2B5EF4-FFF2-40B4-BE49-F238E27FC236}">
              <a16:creationId xmlns:a16="http://schemas.microsoft.com/office/drawing/2014/main" id="{277E5B1A-ADF1-3346-97F1-3CEEB1328546}"/>
            </a:ext>
          </a:extLst>
        </xdr:cNvPr>
        <xdr:cNvCxnSpPr/>
      </xdr:nvCxnSpPr>
      <xdr:spPr>
        <a:xfrm flipV="1">
          <a:off x="1088136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238</xdr:row>
      <xdr:rowOff>0</xdr:rowOff>
    </xdr:from>
    <xdr:to>
      <xdr:col>5</xdr:col>
      <xdr:colOff>0</xdr:colOff>
      <xdr:row>238</xdr:row>
      <xdr:rowOff>4904</xdr:rowOff>
    </xdr:to>
    <xdr:cxnSp macro="">
      <xdr:nvCxnSpPr>
        <xdr:cNvPr id="145" name="Straight Arrow Connector 144">
          <a:extLst>
            <a:ext uri="{FF2B5EF4-FFF2-40B4-BE49-F238E27FC236}">
              <a16:creationId xmlns:a16="http://schemas.microsoft.com/office/drawing/2014/main" id="{8E0D98D8-DE85-5846-83A8-884C1CEC269D}"/>
            </a:ext>
          </a:extLst>
        </xdr:cNvPr>
        <xdr:cNvCxnSpPr/>
      </xdr:nvCxnSpPr>
      <xdr:spPr>
        <a:xfrm flipV="1">
          <a:off x="1289304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238</xdr:row>
      <xdr:rowOff>0</xdr:rowOff>
    </xdr:from>
    <xdr:to>
      <xdr:col>8</xdr:col>
      <xdr:colOff>0</xdr:colOff>
      <xdr:row>238</xdr:row>
      <xdr:rowOff>4904</xdr:rowOff>
    </xdr:to>
    <xdr:cxnSp macro="">
      <xdr:nvCxnSpPr>
        <xdr:cNvPr id="146" name="Straight Arrow Connector 145">
          <a:extLst>
            <a:ext uri="{FF2B5EF4-FFF2-40B4-BE49-F238E27FC236}">
              <a16:creationId xmlns:a16="http://schemas.microsoft.com/office/drawing/2014/main" id="{4F97F35F-CF7E-7644-86D9-DA209A9DFB5B}"/>
            </a:ext>
          </a:extLst>
        </xdr:cNvPr>
        <xdr:cNvCxnSpPr/>
      </xdr:nvCxnSpPr>
      <xdr:spPr>
        <a:xfrm flipV="1">
          <a:off x="1490472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238</xdr:row>
      <xdr:rowOff>0</xdr:rowOff>
    </xdr:from>
    <xdr:to>
      <xdr:col>10</xdr:col>
      <xdr:colOff>671776</xdr:colOff>
      <xdr:row>238</xdr:row>
      <xdr:rowOff>4904</xdr:rowOff>
    </xdr:to>
    <xdr:cxnSp macro="">
      <xdr:nvCxnSpPr>
        <xdr:cNvPr id="147" name="Straight Arrow Connector 146">
          <a:extLst>
            <a:ext uri="{FF2B5EF4-FFF2-40B4-BE49-F238E27FC236}">
              <a16:creationId xmlns:a16="http://schemas.microsoft.com/office/drawing/2014/main" id="{8FD94677-EB65-4142-9DAD-71E35349A7A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236</xdr:row>
      <xdr:rowOff>0</xdr:rowOff>
    </xdr:from>
    <xdr:to>
      <xdr:col>3</xdr:col>
      <xdr:colOff>0</xdr:colOff>
      <xdr:row>237</xdr:row>
      <xdr:rowOff>0</xdr:rowOff>
    </xdr:to>
    <xdr:cxnSp macro="">
      <xdr:nvCxnSpPr>
        <xdr:cNvPr id="148" name="Straight Arrow Connector 147">
          <a:extLst>
            <a:ext uri="{FF2B5EF4-FFF2-40B4-BE49-F238E27FC236}">
              <a16:creationId xmlns:a16="http://schemas.microsoft.com/office/drawing/2014/main" id="{DDCADAE0-6249-9C41-AD16-443F38C24726}"/>
            </a:ext>
          </a:extLst>
        </xdr:cNvPr>
        <xdr:cNvCxnSpPr/>
      </xdr:nvCxnSpPr>
      <xdr:spPr>
        <a:xfrm flipV="1">
          <a:off x="1222248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236</xdr:row>
      <xdr:rowOff>0</xdr:rowOff>
    </xdr:from>
    <xdr:to>
      <xdr:col>6</xdr:col>
      <xdr:colOff>0</xdr:colOff>
      <xdr:row>237</xdr:row>
      <xdr:rowOff>4137</xdr:rowOff>
    </xdr:to>
    <xdr:cxnSp macro="">
      <xdr:nvCxnSpPr>
        <xdr:cNvPr id="149" name="Straight Arrow Connector 148">
          <a:extLst>
            <a:ext uri="{FF2B5EF4-FFF2-40B4-BE49-F238E27FC236}">
              <a16:creationId xmlns:a16="http://schemas.microsoft.com/office/drawing/2014/main" id="{D1073545-60FD-AE42-820C-628093A98343}"/>
            </a:ext>
          </a:extLst>
        </xdr:cNvPr>
        <xdr:cNvCxnSpPr/>
      </xdr:nvCxnSpPr>
      <xdr:spPr>
        <a:xfrm flipV="1">
          <a:off x="1423416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239</xdr:row>
      <xdr:rowOff>0</xdr:rowOff>
    </xdr:from>
    <xdr:to>
      <xdr:col>6</xdr:col>
      <xdr:colOff>0</xdr:colOff>
      <xdr:row>239</xdr:row>
      <xdr:rowOff>206744</xdr:rowOff>
    </xdr:to>
    <xdr:cxnSp macro="">
      <xdr:nvCxnSpPr>
        <xdr:cNvPr id="150" name="Straight Arrow Connector 149">
          <a:extLst>
            <a:ext uri="{FF2B5EF4-FFF2-40B4-BE49-F238E27FC236}">
              <a16:creationId xmlns:a16="http://schemas.microsoft.com/office/drawing/2014/main" id="{59A9D169-F0B5-D74C-880B-03351E7DC66E}"/>
            </a:ext>
          </a:extLst>
        </xdr:cNvPr>
        <xdr:cNvCxnSpPr/>
      </xdr:nvCxnSpPr>
      <xdr:spPr>
        <a:xfrm>
          <a:off x="4186570"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332268</xdr:colOff>
      <xdr:row>239</xdr:row>
      <xdr:rowOff>7384</xdr:rowOff>
    </xdr:from>
    <xdr:to>
      <xdr:col>8</xdr:col>
      <xdr:colOff>332268</xdr:colOff>
      <xdr:row>240</xdr:row>
      <xdr:rowOff>7384</xdr:rowOff>
    </xdr:to>
    <xdr:cxnSp macro="">
      <xdr:nvCxnSpPr>
        <xdr:cNvPr id="151" name="Straight Arrow Connector 150">
          <a:extLst>
            <a:ext uri="{FF2B5EF4-FFF2-40B4-BE49-F238E27FC236}">
              <a16:creationId xmlns:a16="http://schemas.microsoft.com/office/drawing/2014/main" id="{1C3F80BA-BBE8-5B46-B914-5A4ABE62C8C5}"/>
            </a:ext>
          </a:extLst>
        </xdr:cNvPr>
        <xdr:cNvCxnSpPr/>
      </xdr:nvCxnSpPr>
      <xdr:spPr>
        <a:xfrm>
          <a:off x="5862675"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324884</xdr:colOff>
      <xdr:row>239</xdr:row>
      <xdr:rowOff>7384</xdr:rowOff>
    </xdr:from>
    <xdr:to>
      <xdr:col>9</xdr:col>
      <xdr:colOff>324884</xdr:colOff>
      <xdr:row>240</xdr:row>
      <xdr:rowOff>7384</xdr:rowOff>
    </xdr:to>
    <xdr:cxnSp macro="">
      <xdr:nvCxnSpPr>
        <xdr:cNvPr id="152" name="Straight Arrow Connector 151">
          <a:extLst>
            <a:ext uri="{FF2B5EF4-FFF2-40B4-BE49-F238E27FC236}">
              <a16:creationId xmlns:a16="http://schemas.microsoft.com/office/drawing/2014/main" id="{E1B5E474-7215-7A4D-A3C0-EBB25B4D5478}"/>
            </a:ext>
          </a:extLst>
        </xdr:cNvPr>
        <xdr:cNvCxnSpPr/>
      </xdr:nvCxnSpPr>
      <xdr:spPr>
        <a:xfrm>
          <a:off x="6527210"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239</xdr:row>
      <xdr:rowOff>0</xdr:rowOff>
    </xdr:from>
    <xdr:to>
      <xdr:col>3</xdr:col>
      <xdr:colOff>0</xdr:colOff>
      <xdr:row>239</xdr:row>
      <xdr:rowOff>206744</xdr:rowOff>
    </xdr:to>
    <xdr:cxnSp macro="">
      <xdr:nvCxnSpPr>
        <xdr:cNvPr id="153" name="Straight Arrow Connector 152">
          <a:extLst>
            <a:ext uri="{FF2B5EF4-FFF2-40B4-BE49-F238E27FC236}">
              <a16:creationId xmlns:a16="http://schemas.microsoft.com/office/drawing/2014/main" id="{38287FE6-93FB-8B4F-9CE6-BCF5ACF1EE6F}"/>
            </a:ext>
          </a:extLst>
        </xdr:cNvPr>
        <xdr:cNvCxnSpPr/>
      </xdr:nvCxnSpPr>
      <xdr:spPr>
        <a:xfrm flipV="1">
          <a:off x="2170814"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309</xdr:row>
      <xdr:rowOff>0</xdr:rowOff>
    </xdr:from>
    <xdr:to>
      <xdr:col>3</xdr:col>
      <xdr:colOff>0</xdr:colOff>
      <xdr:row>309</xdr:row>
      <xdr:rowOff>7062</xdr:rowOff>
    </xdr:to>
    <xdr:cxnSp macro="">
      <xdr:nvCxnSpPr>
        <xdr:cNvPr id="190" name="Straight Arrow Connector 189">
          <a:extLst>
            <a:ext uri="{FF2B5EF4-FFF2-40B4-BE49-F238E27FC236}">
              <a16:creationId xmlns:a16="http://schemas.microsoft.com/office/drawing/2014/main" id="{B1D9849E-680F-A947-B8D1-D00D1D65E645}"/>
            </a:ext>
          </a:extLst>
        </xdr:cNvPr>
        <xdr:cNvCxnSpPr/>
      </xdr:nvCxnSpPr>
      <xdr:spPr>
        <a:xfrm flipH="1" flipV="1">
          <a:off x="1498682"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673794</xdr:colOff>
      <xdr:row>309</xdr:row>
      <xdr:rowOff>0</xdr:rowOff>
    </xdr:from>
    <xdr:to>
      <xdr:col>5</xdr:col>
      <xdr:colOff>673794</xdr:colOff>
      <xdr:row>309</xdr:row>
      <xdr:rowOff>7062</xdr:rowOff>
    </xdr:to>
    <xdr:cxnSp macro="">
      <xdr:nvCxnSpPr>
        <xdr:cNvPr id="191" name="Straight Arrow Connector 190">
          <a:extLst>
            <a:ext uri="{FF2B5EF4-FFF2-40B4-BE49-F238E27FC236}">
              <a16:creationId xmlns:a16="http://schemas.microsoft.com/office/drawing/2014/main" id="{9087D911-AD1D-564D-9005-F7189826AC8D}"/>
            </a:ext>
          </a:extLst>
        </xdr:cNvPr>
        <xdr:cNvCxnSpPr/>
      </xdr:nvCxnSpPr>
      <xdr:spPr>
        <a:xfrm flipH="1" flipV="1">
          <a:off x="3520064"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307</xdr:row>
      <xdr:rowOff>0</xdr:rowOff>
    </xdr:from>
    <xdr:to>
      <xdr:col>4</xdr:col>
      <xdr:colOff>0</xdr:colOff>
      <xdr:row>308</xdr:row>
      <xdr:rowOff>0</xdr:rowOff>
    </xdr:to>
    <xdr:cxnSp macro="">
      <xdr:nvCxnSpPr>
        <xdr:cNvPr id="192" name="Straight Arrow Connector 191">
          <a:extLst>
            <a:ext uri="{FF2B5EF4-FFF2-40B4-BE49-F238E27FC236}">
              <a16:creationId xmlns:a16="http://schemas.microsoft.com/office/drawing/2014/main" id="{43BBBFED-98D0-694F-8AA7-D5C94F20208D}"/>
            </a:ext>
          </a:extLst>
        </xdr:cNvPr>
        <xdr:cNvCxnSpPr/>
      </xdr:nvCxnSpPr>
      <xdr:spPr>
        <a:xfrm>
          <a:off x="2835852" y="55360455"/>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310</xdr:row>
      <xdr:rowOff>0</xdr:rowOff>
    </xdr:from>
    <xdr:to>
      <xdr:col>4</xdr:col>
      <xdr:colOff>0</xdr:colOff>
      <xdr:row>310</xdr:row>
      <xdr:rowOff>202045</xdr:rowOff>
    </xdr:to>
    <xdr:cxnSp macro="">
      <xdr:nvCxnSpPr>
        <xdr:cNvPr id="193" name="Straight Arrow Connector 192">
          <a:extLst>
            <a:ext uri="{FF2B5EF4-FFF2-40B4-BE49-F238E27FC236}">
              <a16:creationId xmlns:a16="http://schemas.microsoft.com/office/drawing/2014/main" id="{83B8EA7F-8608-304A-AF1F-A78FE61F4162}"/>
            </a:ext>
          </a:extLst>
        </xdr:cNvPr>
        <xdr:cNvCxnSpPr/>
      </xdr:nvCxnSpPr>
      <xdr:spPr>
        <a:xfrm>
          <a:off x="2835852" y="55966591"/>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327</xdr:row>
      <xdr:rowOff>0</xdr:rowOff>
    </xdr:from>
    <xdr:to>
      <xdr:col>6</xdr:col>
      <xdr:colOff>0</xdr:colOff>
      <xdr:row>327</xdr:row>
      <xdr:rowOff>4904</xdr:rowOff>
    </xdr:to>
    <xdr:cxnSp macro="">
      <xdr:nvCxnSpPr>
        <xdr:cNvPr id="128" name="Straight Arrow Connector 127">
          <a:extLst>
            <a:ext uri="{FF2B5EF4-FFF2-40B4-BE49-F238E27FC236}">
              <a16:creationId xmlns:a16="http://schemas.microsoft.com/office/drawing/2014/main" id="{3278139E-9C44-0841-9CDE-C084D0A598CE}"/>
            </a:ext>
          </a:extLst>
        </xdr:cNvPr>
        <xdr:cNvCxnSpPr/>
      </xdr:nvCxnSpPr>
      <xdr:spPr>
        <a:xfrm flipV="1">
          <a:off x="350520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327</xdr:row>
      <xdr:rowOff>0</xdr:rowOff>
    </xdr:from>
    <xdr:to>
      <xdr:col>3</xdr:col>
      <xdr:colOff>0</xdr:colOff>
      <xdr:row>327</xdr:row>
      <xdr:rowOff>4904</xdr:rowOff>
    </xdr:to>
    <xdr:cxnSp macro="">
      <xdr:nvCxnSpPr>
        <xdr:cNvPr id="131" name="Straight Arrow Connector 130">
          <a:extLst>
            <a:ext uri="{FF2B5EF4-FFF2-40B4-BE49-F238E27FC236}">
              <a16:creationId xmlns:a16="http://schemas.microsoft.com/office/drawing/2014/main" id="{3D76FC13-EB1C-1840-9C37-12A445AC8C71}"/>
            </a:ext>
          </a:extLst>
        </xdr:cNvPr>
        <xdr:cNvCxnSpPr/>
      </xdr:nvCxnSpPr>
      <xdr:spPr>
        <a:xfrm flipV="1">
          <a:off x="149352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325</xdr:row>
      <xdr:rowOff>0</xdr:rowOff>
    </xdr:from>
    <xdr:to>
      <xdr:col>4</xdr:col>
      <xdr:colOff>0</xdr:colOff>
      <xdr:row>326</xdr:row>
      <xdr:rowOff>3544</xdr:rowOff>
    </xdr:to>
    <xdr:cxnSp macro="">
      <xdr:nvCxnSpPr>
        <xdr:cNvPr id="134" name="Straight Arrow Connector 133">
          <a:extLst>
            <a:ext uri="{FF2B5EF4-FFF2-40B4-BE49-F238E27FC236}">
              <a16:creationId xmlns:a16="http://schemas.microsoft.com/office/drawing/2014/main" id="{5A5B2227-EAF7-8346-913C-86FD1AFEC846}"/>
            </a:ext>
          </a:extLst>
        </xdr:cNvPr>
        <xdr:cNvCxnSpPr/>
      </xdr:nvCxnSpPr>
      <xdr:spPr>
        <a:xfrm>
          <a:off x="283464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328</xdr:row>
      <xdr:rowOff>0</xdr:rowOff>
    </xdr:from>
    <xdr:to>
      <xdr:col>4</xdr:col>
      <xdr:colOff>0</xdr:colOff>
      <xdr:row>329</xdr:row>
      <xdr:rowOff>3544</xdr:rowOff>
    </xdr:to>
    <xdr:cxnSp macro="">
      <xdr:nvCxnSpPr>
        <xdr:cNvPr id="137" name="Straight Arrow Connector 136">
          <a:extLst>
            <a:ext uri="{FF2B5EF4-FFF2-40B4-BE49-F238E27FC236}">
              <a16:creationId xmlns:a16="http://schemas.microsoft.com/office/drawing/2014/main" id="{ADB5F51F-A551-6742-AB2F-44482FEE06B7}"/>
            </a:ext>
          </a:extLst>
        </xdr:cNvPr>
        <xdr:cNvCxnSpPr/>
      </xdr:nvCxnSpPr>
      <xdr:spPr>
        <a:xfrm>
          <a:off x="2834640" y="599440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395</xdr:row>
      <xdr:rowOff>0</xdr:rowOff>
    </xdr:from>
    <xdr:to>
      <xdr:col>4</xdr:col>
      <xdr:colOff>0</xdr:colOff>
      <xdr:row>396</xdr:row>
      <xdr:rowOff>3544</xdr:rowOff>
    </xdr:to>
    <xdr:cxnSp macro="">
      <xdr:nvCxnSpPr>
        <xdr:cNvPr id="79" name="Straight Arrow Connector 78">
          <a:extLst>
            <a:ext uri="{FF2B5EF4-FFF2-40B4-BE49-F238E27FC236}">
              <a16:creationId xmlns:a16="http://schemas.microsoft.com/office/drawing/2014/main" id="{F8CE1640-A28E-6F40-81B2-798DDBF4B6FC}"/>
            </a:ext>
          </a:extLst>
        </xdr:cNvPr>
        <xdr:cNvCxnSpPr/>
      </xdr:nvCxnSpPr>
      <xdr:spPr>
        <a:xfrm>
          <a:off x="284480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397</xdr:row>
      <xdr:rowOff>0</xdr:rowOff>
    </xdr:from>
    <xdr:to>
      <xdr:col>3</xdr:col>
      <xdr:colOff>0</xdr:colOff>
      <xdr:row>397</xdr:row>
      <xdr:rowOff>7061</xdr:rowOff>
    </xdr:to>
    <xdr:cxnSp macro="">
      <xdr:nvCxnSpPr>
        <xdr:cNvPr id="116" name="Straight Arrow Connector 115">
          <a:extLst>
            <a:ext uri="{FF2B5EF4-FFF2-40B4-BE49-F238E27FC236}">
              <a16:creationId xmlns:a16="http://schemas.microsoft.com/office/drawing/2014/main" id="{28334A0F-CB16-AC46-92D5-0DCBC83DB19E}"/>
            </a:ext>
          </a:extLst>
        </xdr:cNvPr>
        <xdr:cNvCxnSpPr/>
      </xdr:nvCxnSpPr>
      <xdr:spPr>
        <a:xfrm flipV="1">
          <a:off x="149352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397</xdr:row>
      <xdr:rowOff>0</xdr:rowOff>
    </xdr:from>
    <xdr:to>
      <xdr:col>6</xdr:col>
      <xdr:colOff>0</xdr:colOff>
      <xdr:row>397</xdr:row>
      <xdr:rowOff>7061</xdr:rowOff>
    </xdr:to>
    <xdr:cxnSp macro="">
      <xdr:nvCxnSpPr>
        <xdr:cNvPr id="125" name="Straight Arrow Connector 124">
          <a:extLst>
            <a:ext uri="{FF2B5EF4-FFF2-40B4-BE49-F238E27FC236}">
              <a16:creationId xmlns:a16="http://schemas.microsoft.com/office/drawing/2014/main" id="{1CB56D7B-1CFA-5B43-97B1-CA22902B1CAD}"/>
            </a:ext>
          </a:extLst>
        </xdr:cNvPr>
        <xdr:cNvCxnSpPr/>
      </xdr:nvCxnSpPr>
      <xdr:spPr>
        <a:xfrm flipV="1">
          <a:off x="350520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347</xdr:row>
      <xdr:rowOff>0</xdr:rowOff>
    </xdr:from>
    <xdr:to>
      <xdr:col>5</xdr:col>
      <xdr:colOff>674624</xdr:colOff>
      <xdr:row>347</xdr:row>
      <xdr:rowOff>7062</xdr:rowOff>
    </xdr:to>
    <xdr:cxnSp macro="">
      <xdr:nvCxnSpPr>
        <xdr:cNvPr id="174" name="Straight Arrow Connector 173">
          <a:extLst>
            <a:ext uri="{FF2B5EF4-FFF2-40B4-BE49-F238E27FC236}">
              <a16:creationId xmlns:a16="http://schemas.microsoft.com/office/drawing/2014/main" id="{D63295F6-5BDE-384F-B12D-0B56E6A75704}"/>
            </a:ext>
          </a:extLst>
        </xdr:cNvPr>
        <xdr:cNvCxnSpPr/>
      </xdr:nvCxnSpPr>
      <xdr:spPr>
        <a:xfrm flipV="1">
          <a:off x="9525000" y="64497857"/>
          <a:ext cx="2681678"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347</xdr:row>
      <xdr:rowOff>0</xdr:rowOff>
    </xdr:from>
    <xdr:to>
      <xdr:col>4</xdr:col>
      <xdr:colOff>0</xdr:colOff>
      <xdr:row>348</xdr:row>
      <xdr:rowOff>2637</xdr:rowOff>
    </xdr:to>
    <xdr:cxnSp macro="">
      <xdr:nvCxnSpPr>
        <xdr:cNvPr id="176" name="Straight Arrow Connector 175">
          <a:extLst>
            <a:ext uri="{FF2B5EF4-FFF2-40B4-BE49-F238E27FC236}">
              <a16:creationId xmlns:a16="http://schemas.microsoft.com/office/drawing/2014/main" id="{7ACC161C-F04F-A04E-8043-6E8B08FF52DC}"/>
            </a:ext>
          </a:extLst>
        </xdr:cNvPr>
        <xdr:cNvCxnSpPr/>
      </xdr:nvCxnSpPr>
      <xdr:spPr>
        <a:xfrm flipV="1">
          <a:off x="10863036" y="64497857"/>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33</xdr:col>
      <xdr:colOff>500005</xdr:colOff>
      <xdr:row>259</xdr:row>
      <xdr:rowOff>16817</xdr:rowOff>
    </xdr:from>
    <xdr:ext cx="3131306" cy="173766"/>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5</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+8</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→4</m:t>
                    </m:r>
                    <m:sSub>
                      <m:sSubPr>
                        <m:ctrlPr>
                          <a:rPr lang="es-ES" sz="1100" b="0" i="1">
                            <a:latin typeface="Cambria Math" panose="02040503050406030204" pitchFamily="18" charset="0"/>
                          </a:rPr>
                        </m:ctrlPr>
                      </m:sSubPr>
                      <m:e>
                        <m:r>
                          <a:rPr lang="es-ES" sz="1100" b="0" i="1">
                            <a:latin typeface="Cambria Math" panose="02040503050406030204" pitchFamily="18" charset="0"/>
                          </a:rPr>
                          <m:t>𝑁</m:t>
                        </m:r>
                      </m:e>
                      <m:sub>
                        <m:r>
                          <a:rPr lang="es-ES" sz="1100" b="0" i="1">
                            <a:latin typeface="Cambria Math" panose="02040503050406030204" pitchFamily="18" charset="0"/>
                          </a:rPr>
                          <m:t>2</m:t>
                        </m:r>
                      </m:sub>
                    </m:sSub>
                    <m:r>
                      <a:rPr lang="es-ES" sz="1100" b="0" i="1">
                        <a:latin typeface="Cambria Math" panose="02040503050406030204" pitchFamily="18" charset="0"/>
                      </a:rPr>
                      <m:t>+10</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+6</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r>
                      <a:rPr lang="es-ES" sz="1100" b="0" i="1">
                        <a:latin typeface="Cambria Math" panose="02040503050406030204" pitchFamily="18" charset="0"/>
                      </a:rPr>
                      <m:t>+8</m:t>
                    </m:r>
                    <m:r>
                      <a:rPr lang="es-ES" sz="1100" b="0" i="1">
                        <a:latin typeface="Cambria Math" panose="02040503050406030204" pitchFamily="18" charset="0"/>
                      </a:rPr>
                      <m:t>𝑂</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oMath>
                </m:oMathPara>
              </a14:m>
              <a:endParaRPr lang="en-GB" sz="1100"/>
            </a:p>
          </xdr:txBody>
        </xdr:sp>
      </mc:Choice>
      <mc:Fallback xmlns="">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5𝐶_2 𝐻_4 𝑂_2+8𝑁𝑂_3^−→4𝑁_2+10𝐶𝑂_2+6𝐻_2 𝑂+8𝑂𝐻^+</a:t>
              </a:r>
              <a:endParaRPr lang="en-GB" sz="1100"/>
            </a:p>
          </xdr:txBody>
        </xdr:sp>
      </mc:Fallback>
    </mc:AlternateContent>
    <xdr:clientData/>
  </xdr:oneCellAnchor>
  <xdr:oneCellAnchor>
    <xdr:from>
      <xdr:col>33</xdr:col>
      <xdr:colOff>25575</xdr:colOff>
      <xdr:row>262</xdr:row>
      <xdr:rowOff>15417</xdr:rowOff>
    </xdr:from>
    <xdr:ext cx="4104329" cy="174535"/>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+0.48</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+0.32</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→0.32</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5</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7</m:t>
                        </m:r>
                      </m:sub>
                    </m:sSub>
                    <m:r>
                      <a:rPr lang="es-ES" sz="1100" b="0" i="1">
                        <a:latin typeface="Cambria Math" panose="02040503050406030204" pitchFamily="18" charset="0"/>
                      </a:rPr>
                      <m:t>𝑁</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+1.52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𝐶_2 𝐻_4 𝑂_2+0.48𝑂_2+0.32𝑁𝐻_4^+→0.32𝐶_5 𝐻_7 𝑁𝑂_2+0.4𝐶𝑂_2+1.52𝐻_2 𝑂</a:t>
              </a:r>
              <a:endParaRPr lang="en-GB" sz="1100"/>
            </a:p>
          </xdr:txBody>
        </xdr:sp>
      </mc:Fallback>
    </mc:AlternateContent>
    <xdr:clientData/>
  </xdr:oneCellAnchor>
  <xdr:oneCellAnchor>
    <xdr:from>
      <xdr:col>34</xdr:col>
      <xdr:colOff>217087</xdr:colOff>
      <xdr:row>265</xdr:row>
      <xdr:rowOff>14763</xdr:rowOff>
    </xdr:from>
    <xdr:ext cx="2064989" cy="174535"/>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+2</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𝑁𝐻_4^++2𝑂_2→𝑁𝑂_3^−+2𝐻^++𝐻_2 𝑂</a:t>
              </a:r>
              <a:endParaRPr lang="en-GB" sz="1100"/>
            </a:p>
          </xdr:txBody>
        </xdr:sp>
      </mc:Fallback>
    </mc:AlternateContent>
    <xdr:clientData/>
  </xdr:oneCellAnchor>
  <xdr:oneCellAnchor>
    <xdr:from>
      <xdr:col>34</xdr:col>
      <xdr:colOff>285276</xdr:colOff>
      <xdr:row>268</xdr:row>
      <xdr:rowOff>16212</xdr:rowOff>
    </xdr:from>
    <xdr:ext cx="1907509" cy="173766"/>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𝐶_2 𝐻_4 𝑂_2+2𝑂_2→2𝐶𝑂_2+2𝐻_2 𝑂</a:t>
              </a:r>
              <a:endParaRPr lang="en-GB" sz="1100"/>
            </a:p>
          </xdr:txBody>
        </xdr:sp>
      </mc:Fallback>
    </mc:AlternateContent>
    <xdr:clientData/>
  </xdr:oneCellAnchor>
  <xdr:twoCellAnchor editAs="oneCell">
    <xdr:from>
      <xdr:col>60</xdr:col>
      <xdr:colOff>62576</xdr:colOff>
      <xdr:row>23</xdr:row>
      <xdr:rowOff>57229</xdr:rowOff>
    </xdr:from>
    <xdr:to>
      <xdr:col>64</xdr:col>
      <xdr:colOff>662022</xdr:colOff>
      <xdr:row>39</xdr:row>
      <xdr:rowOff>110395</xdr:rowOff>
    </xdr:to>
    <xdr:pic>
      <xdr:nvPicPr>
        <xdr:cNvPr id="87" name="Picture 86">
          <a:extLst>
            <a:ext uri="{FF2B5EF4-FFF2-40B4-BE49-F238E27FC236}">
              <a16:creationId xmlns:a16="http://schemas.microsoft.com/office/drawing/2014/main" id="{A03D984E-8B2F-4774-B4C5-4BC8BE10AFC8}"/>
            </a:ext>
          </a:extLst>
        </xdr:cNvPr>
        <xdr:cNvPicPr>
          <a:picLocks noChangeAspect="1"/>
        </xdr:cNvPicPr>
      </xdr:nvPicPr>
      <xdr:blipFill>
        <a:blip xmlns:r="http://schemas.openxmlformats.org/officeDocument/2006/relationships" r:embed="rId3"/>
        <a:stretch>
          <a:fillRect/>
        </a:stretch>
      </xdr:blipFill>
      <xdr:spPr>
        <a:xfrm>
          <a:off x="45485342" y="4718399"/>
          <a:ext cx="3896042" cy="3295719"/>
        </a:xfrm>
        <a:prstGeom prst="rect">
          <a:avLst/>
        </a:prstGeom>
      </xdr:spPr>
    </xdr:pic>
    <xdr:clientData/>
  </xdr:twoCellAnchor>
  <xdr:oneCellAnchor>
    <xdr:from>
      <xdr:col>34</xdr:col>
      <xdr:colOff>521653</xdr:colOff>
      <xdr:row>234</xdr:row>
      <xdr:rowOff>166837</xdr:rowOff>
    </xdr:from>
    <xdr:ext cx="3728008" cy="199157"/>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BEB18533-CAE1-4240-B6D1-EFF5E21E3DD6}"/>
                </a:ext>
              </a:extLst>
            </xdr:cNvPr>
            <xdr:cNvSpPr txBox="1"/>
          </xdr:nvSpPr>
          <xdr:spPr>
            <a:xfrm>
              <a:off x="25987021" y="48342793"/>
              <a:ext cx="3728008" cy="199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20</m:t>
                    </m:r>
                    <m:r>
                      <a:rPr lang="es-ES" sz="1100" b="0" i="1">
                        <a:latin typeface="Cambria Math" panose="02040503050406030204" pitchFamily="18" charset="0"/>
                      </a:rPr>
                      <m:t>𝑔</m:t>
                    </m:r>
                    <m:r>
                      <a:rPr lang="es-ES" sz="1100" b="0" i="1">
                        <a:latin typeface="Cambria Math" panose="02040503050406030204" pitchFamily="18" charset="0"/>
                      </a:rPr>
                      <m:t> </m:t>
                    </m:r>
                    <m:r>
                      <a:rPr lang="es-ES" sz="1100" b="0" i="1">
                        <a:latin typeface="Cambria Math" panose="02040503050406030204" pitchFamily="18" charset="0"/>
                      </a:rPr>
                      <m:t>𝐷𝑄</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𝐻𝐴𝑐</m:t>
                        </m:r>
                      </m:sub>
                    </m:sSub>
                    <m:r>
                      <a:rPr lang="es-ES" sz="1100" b="0" i="1">
                        <a:latin typeface="Cambria Math" panose="02040503050406030204" pitchFamily="18" charset="0"/>
                      </a:rPr>
                      <m:t>+1</m:t>
                    </m:r>
                    <m:r>
                      <a:rPr lang="es-ES" sz="1100" b="0" i="1">
                        <a:latin typeface="Cambria Math" panose="02040503050406030204" pitchFamily="18" charset="0"/>
                      </a:rPr>
                      <m:t>𝑔</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𝑃</m:t>
                        </m:r>
                      </m:e>
                      <m:sub>
                        <m:r>
                          <a:rPr lang="es-ES" sz="1100" b="0" i="1">
                            <a:latin typeface="Cambria Math" panose="02040503050406030204" pitchFamily="18" charset="0"/>
                          </a:rPr>
                          <m:t>𝑃</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4</m:t>
                            </m:r>
                          </m:sub>
                          <m:sup>
                            <m:r>
                              <a:rPr lang="es-ES" sz="1100" b="0" i="1">
                                <a:latin typeface="Cambria Math" panose="02040503050406030204" pitchFamily="18" charset="0"/>
                              </a:rPr>
                              <m:t>3−</m:t>
                            </m:r>
                          </m:sup>
                        </m:sSubSup>
                      </m:sub>
                    </m:sSub>
                    <m:r>
                      <a:rPr lang="es-ES" sz="1100" b="0" i="1">
                        <a:latin typeface="Cambria Math" panose="02040503050406030204" pitchFamily="18" charset="0"/>
                      </a:rPr>
                      <m:t>→6</m:t>
                    </m:r>
                    <m:r>
                      <a:rPr lang="es-ES" sz="1100" b="0" i="1">
                        <a:latin typeface="Cambria Math" panose="02040503050406030204" pitchFamily="18" charset="0"/>
                      </a:rPr>
                      <m:t>𝑔</m:t>
                    </m:r>
                    <m:r>
                      <a:rPr lang="es-ES" sz="1100" b="0" i="1">
                        <a:latin typeface="Cambria Math" panose="02040503050406030204" pitchFamily="18" charset="0"/>
                      </a:rPr>
                      <m:t> </m:t>
                    </m:r>
                    <m:r>
                      <a:rPr lang="es-ES" sz="1100" b="0" i="1">
                        <a:latin typeface="Cambria Math" panose="02040503050406030204" pitchFamily="18" charset="0"/>
                      </a:rPr>
                      <m:t>𝐷𝑄</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𝑃𝐴𝑂</m:t>
                        </m:r>
                      </m:sub>
                    </m:sSub>
                    <m:r>
                      <a:rPr lang="es-ES" sz="1100" b="0" i="1">
                        <a:latin typeface="Cambria Math" panose="02040503050406030204" pitchFamily="18" charset="0"/>
                      </a:rPr>
                      <m:t>+1</m:t>
                    </m:r>
                    <m:r>
                      <a:rPr lang="es-ES" sz="1100" b="0" i="1">
                        <a:latin typeface="Cambria Math" panose="02040503050406030204" pitchFamily="18" charset="0"/>
                      </a:rPr>
                      <m:t>𝑔</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𝑃</m:t>
                        </m:r>
                      </m:e>
                      <m:sub>
                        <m:r>
                          <a:rPr lang="es-ES" sz="1100" b="0" i="1">
                            <a:latin typeface="Cambria Math" panose="02040503050406030204" pitchFamily="18" charset="0"/>
                          </a:rPr>
                          <m:t>𝑃𝑃</m:t>
                        </m:r>
                      </m:sub>
                    </m:sSub>
                    <m:r>
                      <a:rPr lang="es-ES" sz="1100" b="0" i="1">
                        <a:latin typeface="Cambria Math" panose="02040503050406030204" pitchFamily="18" charset="0"/>
                      </a:rPr>
                      <m:t>+0.1</m:t>
                    </m:r>
                    <m:r>
                      <a:rPr lang="es-ES" sz="1100" b="0" i="1">
                        <a:latin typeface="Cambria Math" panose="02040503050406030204" pitchFamily="18" charset="0"/>
                      </a:rPr>
                      <m:t>𝑔</m:t>
                    </m:r>
                    <m:r>
                      <a:rPr lang="es-ES" sz="1100" b="0" i="1">
                        <a:latin typeface="Cambria Math" panose="02040503050406030204" pitchFamily="18" charset="0"/>
                      </a:rPr>
                      <m:t> </m:t>
                    </m:r>
                    <m:r>
                      <a:rPr lang="es-ES" sz="1100" b="0" i="1">
                        <a:latin typeface="Cambria Math" panose="02040503050406030204" pitchFamily="18" charset="0"/>
                      </a:rPr>
                      <m:t>𝑂</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oMath>
                </m:oMathPara>
              </a14:m>
              <a:endParaRPr lang="en-GB" sz="1100"/>
            </a:p>
          </xdr:txBody>
        </xdr:sp>
      </mc:Choice>
      <mc:Fallback xmlns="">
        <xdr:sp macro="" textlink="">
          <xdr:nvSpPr>
            <xdr:cNvPr id="88" name="TextBox 87">
              <a:extLst>
                <a:ext uri="{FF2B5EF4-FFF2-40B4-BE49-F238E27FC236}">
                  <a16:creationId xmlns:a16="http://schemas.microsoft.com/office/drawing/2014/main" id="{BEB18533-CAE1-4240-B6D1-EFF5E21E3DD6}"/>
                </a:ext>
              </a:extLst>
            </xdr:cNvPr>
            <xdr:cNvSpPr txBox="1"/>
          </xdr:nvSpPr>
          <xdr:spPr>
            <a:xfrm>
              <a:off x="25987021" y="48342793"/>
              <a:ext cx="3728008" cy="199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20𝑔 𝐷𝑄𝑂_𝐻𝐴𝑐+1𝑔 𝑃_(𝑃𝑂_4^(3−) )→6𝑔 𝐷𝑄𝑂_𝑃𝐴𝑂+1𝑔 𝑃_𝑃𝑃+0.1𝑔 𝑂𝐻^−</a:t>
              </a:r>
              <a:endParaRPr lang="en-GB" sz="1100"/>
            </a:p>
          </xdr:txBody>
        </xdr:sp>
      </mc:Fallback>
    </mc:AlternateContent>
    <xdr:clientData/>
  </xdr:oneCellAnchor>
  <xdr:oneCellAnchor>
    <xdr:from>
      <xdr:col>32</xdr:col>
      <xdr:colOff>779379</xdr:colOff>
      <xdr:row>229</xdr:row>
      <xdr:rowOff>188939</xdr:rowOff>
    </xdr:from>
    <xdr:ext cx="65" cy="172227"/>
    <xdr:sp macro="" textlink="">
      <xdr:nvSpPr>
        <xdr:cNvPr id="107" name="TextBox 106">
          <a:extLst>
            <a:ext uri="{FF2B5EF4-FFF2-40B4-BE49-F238E27FC236}">
              <a16:creationId xmlns:a16="http://schemas.microsoft.com/office/drawing/2014/main" id="{2928B272-E896-D9C5-6DF5-F1D71F29D481}"/>
            </a:ext>
          </a:extLst>
        </xdr:cNvPr>
        <xdr:cNvSpPr txBox="1"/>
      </xdr:nvSpPr>
      <xdr:spPr>
        <a:xfrm>
          <a:off x="24352361" y="4622086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31</xdr:col>
      <xdr:colOff>1808869</xdr:colOff>
      <xdr:row>243</xdr:row>
      <xdr:rowOff>70130</xdr:rowOff>
    </xdr:from>
    <xdr:ext cx="6590009" cy="173702"/>
    <mc:AlternateContent xmlns:mc="http://schemas.openxmlformats.org/markup-compatibility/2006" xmlns:a14="http://schemas.microsoft.com/office/drawing/2010/main">
      <mc:Choice Requires="a14">
        <xdr:sp macro="" textlink="">
          <xdr:nvSpPr>
            <xdr:cNvPr id="109" name="TextBox 108">
              <a:extLst>
                <a:ext uri="{FF2B5EF4-FFF2-40B4-BE49-F238E27FC236}">
                  <a16:creationId xmlns:a16="http://schemas.microsoft.com/office/drawing/2014/main" id="{74429D8A-C152-9C96-7B5C-EA33450B24B6}"/>
                </a:ext>
              </a:extLst>
            </xdr:cNvPr>
            <xdr:cNvSpPr txBox="1"/>
          </xdr:nvSpPr>
          <xdr:spPr>
            <a:xfrm>
              <a:off x="23244570" y="49232186"/>
              <a:ext cx="65900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0.5 </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+0.04 </m:t>
                    </m:r>
                    <m:r>
                      <a:rPr lang="es-ES" sz="1100" b="0" i="1">
                        <a:latin typeface="Cambria Math" panose="02040503050406030204" pitchFamily="18" charset="0"/>
                      </a:rPr>
                      <m:t>𝑃</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4</m:t>
                        </m:r>
                      </m:sub>
                    </m:sSub>
                    <m:r>
                      <a:rPr lang="es-ES" sz="1100" b="0" i="1">
                        <a:latin typeface="Cambria Math" panose="02040503050406030204" pitchFamily="18" charset="0"/>
                      </a:rPr>
                      <m:t>→0.34</m:t>
                    </m:r>
                    <m:sSub>
                      <m:sSubPr>
                        <m:ctrlPr>
                          <a:rPr lang="es-ES" sz="1100" b="0" i="1">
                            <a:latin typeface="Cambria Math" panose="02040503050406030204" pitchFamily="18" charset="0"/>
                          </a:rPr>
                        </m:ctrlPr>
                      </m:sSubPr>
                      <m:e>
                        <m:r>
                          <a:rPr lang="es-ES" sz="1100" b="0" i="1">
                            <a:latin typeface="Cambria Math" panose="02040503050406030204" pitchFamily="18" charset="0"/>
                          </a:rPr>
                          <m:t> </m:t>
                        </m:r>
                        <m:r>
                          <a:rPr lang="es-ES" sz="1100" b="0" i="1">
                            <a:latin typeface="Cambria Math" panose="02040503050406030204" pitchFamily="18" charset="0"/>
                          </a:rPr>
                          <m:t>𝐶</m:t>
                        </m:r>
                      </m:e>
                      <m:sub>
                        <m:r>
                          <a:rPr lang="es-ES" sz="1100" b="0" i="1">
                            <a:latin typeface="Cambria Math" panose="02040503050406030204" pitchFamily="18" charset="0"/>
                          </a:rPr>
                          <m:t>5</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7</m:t>
                        </m:r>
                      </m:sub>
                    </m:sSub>
                    <m:r>
                      <a:rPr lang="es-ES" sz="1100" b="0" i="1">
                        <a:latin typeface="Cambria Math" panose="02040503050406030204" pitchFamily="18" charset="0"/>
                      </a:rPr>
                      <m:t>𝑁</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+0.04 </m:t>
                    </m:r>
                    <m:r>
                      <a:rPr lang="es-ES" sz="1100" b="0" i="1">
                        <a:latin typeface="Cambria Math" panose="02040503050406030204" pitchFamily="18" charset="0"/>
                      </a:rPr>
                      <m:t>𝑃𝑜𝑙𝑖𝑃</m:t>
                    </m:r>
                    <m:r>
                      <a:rPr lang="es-ES" sz="1100" b="0" i="1">
                        <a:latin typeface="Cambria Math" panose="02040503050406030204" pitchFamily="18" charset="0"/>
                      </a:rPr>
                      <m:t>+0.06 </m:t>
                    </m:r>
                    <m:r>
                      <a:rPr lang="es-ES" sz="1100" b="0" i="1">
                        <a:latin typeface="Cambria Math" panose="02040503050406030204" pitchFamily="18" charset="0"/>
                      </a:rPr>
                      <m:t>𝐺𝑙𝑢𝑐</m:t>
                    </m:r>
                    <m:r>
                      <a:rPr lang="es-ES" sz="1100" b="0" i="1">
                        <a:latin typeface="Cambria Math" panose="02040503050406030204" pitchFamily="18" charset="0"/>
                      </a:rPr>
                      <m:t>ó</m:t>
                    </m:r>
                    <m:r>
                      <a:rPr lang="es-ES" sz="1100" b="0" i="1">
                        <a:latin typeface="Cambria Math" panose="02040503050406030204" pitchFamily="18" charset="0"/>
                      </a:rPr>
                      <m:t>𝑔𝑒𝑛𝑜</m:t>
                    </m:r>
                    <m:r>
                      <a:rPr lang="es-ES" sz="1100" b="0" i="1">
                        <a:latin typeface="Cambria Math" panose="02040503050406030204" pitchFamily="18" charset="0"/>
                      </a:rPr>
                      <m:t>+0.01 </m:t>
                    </m:r>
                    <m:r>
                      <a:rPr lang="es-ES" sz="1100" b="0" i="1">
                        <a:latin typeface="Cambria Math" panose="02040503050406030204" pitchFamily="18" charset="0"/>
                      </a:rPr>
                      <m:t>𝑃𝐻𝐵</m:t>
                    </m:r>
                    <m:r>
                      <a:rPr lang="es-ES" sz="1100" b="0" i="1">
                        <a:latin typeface="Cambria Math" panose="02040503050406030204" pitchFamily="18" charset="0"/>
                      </a:rPr>
                      <m:t>+0.59 </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+0.55 </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oMath>
                </m:oMathPara>
              </a14:m>
              <a:endParaRPr lang="en-GB" sz="1100"/>
            </a:p>
          </xdr:txBody>
        </xdr:sp>
      </mc:Choice>
      <mc:Fallback xmlns="">
        <xdr:sp macro="" textlink="">
          <xdr:nvSpPr>
            <xdr:cNvPr id="109" name="TextBox 108">
              <a:extLst>
                <a:ext uri="{FF2B5EF4-FFF2-40B4-BE49-F238E27FC236}">
                  <a16:creationId xmlns:a16="http://schemas.microsoft.com/office/drawing/2014/main" id="{74429D8A-C152-9C96-7B5C-EA33450B24B6}"/>
                </a:ext>
              </a:extLst>
            </xdr:cNvPr>
            <xdr:cNvSpPr txBox="1"/>
          </xdr:nvSpPr>
          <xdr:spPr>
            <a:xfrm>
              <a:off x="23244570" y="49232186"/>
              <a:ext cx="65900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0.5 𝐶_2 𝐻_4 𝑂_2+0.04 𝑃𝑂_4→0.34〖 𝐶〗_5 𝐻_7 𝑁𝑂_2+0.04 𝑃𝑜𝑙𝑖𝑃+0.06 𝐺𝑙𝑢𝑐ó𝑔𝑒𝑛𝑜+0.01 𝑃𝐻𝐵+0.59 𝐶𝑂_2+0.55 𝑂_2</a:t>
              </a:r>
              <a:endParaRPr lang="en-GB" sz="1100"/>
            </a:p>
          </xdr:txBody>
        </xdr:sp>
      </mc:Fallback>
    </mc:AlternateContent>
    <xdr:clientData/>
  </xdr:oneCellAnchor>
  <xdr:oneCellAnchor>
    <xdr:from>
      <xdr:col>21</xdr:col>
      <xdr:colOff>27452</xdr:colOff>
      <xdr:row>232</xdr:row>
      <xdr:rowOff>123727</xdr:rowOff>
    </xdr:from>
    <xdr:ext cx="7040453" cy="345800"/>
    <mc:AlternateContent xmlns:mc="http://schemas.openxmlformats.org/markup-compatibility/2006" xmlns:a14="http://schemas.microsoft.com/office/drawing/2010/main">
      <mc:Choice Requires="a14">
        <xdr:sp macro="" textlink="">
          <xdr:nvSpPr>
            <xdr:cNvPr id="111" name="TextBox 110">
              <a:extLst>
                <a:ext uri="{FF2B5EF4-FFF2-40B4-BE49-F238E27FC236}">
                  <a16:creationId xmlns:a16="http://schemas.microsoft.com/office/drawing/2014/main" id="{9D504FDA-B989-F043-A90E-C64797F2735E}"/>
                </a:ext>
              </a:extLst>
            </xdr:cNvPr>
            <xdr:cNvSpPr txBox="1"/>
          </xdr:nvSpPr>
          <xdr:spPr>
            <a:xfrm>
              <a:off x="14352137" y="49470664"/>
              <a:ext cx="7040453" cy="345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0.5</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+0.04</m:t>
                    </m:r>
                    <m:r>
                      <a:rPr lang="es-ES" sz="1100" b="0" i="1">
                        <a:latin typeface="Cambria Math" panose="02040503050406030204" pitchFamily="18" charset="0"/>
                      </a:rPr>
                      <m:t>𝑃</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4</m:t>
                        </m:r>
                      </m:sub>
                    </m:sSub>
                    <m:r>
                      <a:rPr lang="es-ES" sz="1100" b="0" i="1">
                        <a:latin typeface="Cambria Math" panose="02040503050406030204" pitchFamily="18" charset="0"/>
                      </a:rPr>
                      <m:t>→0.34</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2.09</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𝑁</m:t>
                        </m:r>
                      </m:e>
                      <m:sub>
                        <m:r>
                          <a:rPr lang="es-ES" sz="1100" b="0" i="1">
                            <a:latin typeface="Cambria Math" panose="02040503050406030204" pitchFamily="18" charset="0"/>
                          </a:rPr>
                          <m:t>0.2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0.54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𝑃</m:t>
                        </m:r>
                      </m:e>
                      <m:sub>
                        <m:r>
                          <a:rPr lang="es-ES" sz="1100" b="0" i="1">
                            <a:latin typeface="Cambria Math" panose="02040503050406030204" pitchFamily="18" charset="0"/>
                          </a:rPr>
                          <m:t>0.015</m:t>
                        </m:r>
                      </m:sub>
                    </m:sSub>
                    <m:r>
                      <a:rPr lang="es-ES" sz="1100" b="0" i="1">
                        <a:latin typeface="Cambria Math" panose="02040503050406030204" pitchFamily="18" charset="0"/>
                      </a:rPr>
                      <m:t>+0.04</m:t>
                    </m:r>
                    <m:r>
                      <a:rPr lang="es-ES" sz="1100" b="0" i="1">
                        <a:latin typeface="Cambria Math" panose="02040503050406030204" pitchFamily="18" charset="0"/>
                      </a:rPr>
                      <m:t>𝐻𝑃</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3</m:t>
                        </m:r>
                      </m:sub>
                    </m:sSub>
                    <m:r>
                      <a:rPr lang="es-ES" sz="1100" b="0" i="1">
                        <a:latin typeface="Cambria Math" panose="02040503050406030204" pitchFamily="18" charset="0"/>
                      </a:rPr>
                      <m:t>+0.06 </m:t>
                    </m:r>
                    <m:r>
                      <a:rPr lang="es-ES" sz="1100" b="0" i="1">
                        <a:latin typeface="Cambria Math" panose="02040503050406030204" pitchFamily="18" charset="0"/>
                      </a:rPr>
                      <m:t>𝐺𝑙𝑢𝑐</m:t>
                    </m:r>
                    <m:r>
                      <a:rPr lang="es-ES" sz="1100" b="0" i="1">
                        <a:latin typeface="Cambria Math" panose="02040503050406030204" pitchFamily="18" charset="0"/>
                      </a:rPr>
                      <m:t>ó</m:t>
                    </m:r>
                    <m:r>
                      <a:rPr lang="es-ES" sz="1100" b="0" i="1">
                        <a:latin typeface="Cambria Math" panose="02040503050406030204" pitchFamily="18" charset="0"/>
                      </a:rPr>
                      <m:t>𝑔𝑒𝑛𝑜</m:t>
                    </m:r>
                    <m:r>
                      <a:rPr lang="es-ES" sz="1100" b="0" i="1">
                        <a:latin typeface="Cambria Math" panose="02040503050406030204" pitchFamily="18" charset="0"/>
                      </a:rPr>
                      <m:t>+0.01 </m:t>
                    </m:r>
                    <m:r>
                      <a:rPr lang="es-ES" sz="1100" b="0" i="1">
                        <a:latin typeface="Cambria Math" panose="02040503050406030204" pitchFamily="18" charset="0"/>
                      </a:rPr>
                      <m:t>𝑃𝐻𝐵</m:t>
                    </m:r>
                    <m:r>
                      <a:rPr lang="es-ES" sz="1100" b="0" i="1">
                        <a:latin typeface="Cambria Math" panose="02040503050406030204" pitchFamily="18" charset="0"/>
                      </a:rPr>
                      <m:t>+0.59 </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+0.55 </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oMath>
                </m:oMathPara>
              </a14:m>
              <a:endParaRPr lang="en-GB" sz="1100"/>
            </a:p>
            <a:p>
              <a:endParaRPr lang="en-GB" sz="1100"/>
            </a:p>
          </xdr:txBody>
        </xdr:sp>
      </mc:Choice>
      <mc:Fallback xmlns="">
        <xdr:sp macro="" textlink="">
          <xdr:nvSpPr>
            <xdr:cNvPr id="111" name="TextBox 110">
              <a:extLst>
                <a:ext uri="{FF2B5EF4-FFF2-40B4-BE49-F238E27FC236}">
                  <a16:creationId xmlns:a16="http://schemas.microsoft.com/office/drawing/2014/main" id="{9D504FDA-B989-F043-A90E-C64797F2735E}"/>
                </a:ext>
              </a:extLst>
            </xdr:cNvPr>
            <xdr:cNvSpPr txBox="1"/>
          </xdr:nvSpPr>
          <xdr:spPr>
            <a:xfrm>
              <a:off x="14352137" y="49470664"/>
              <a:ext cx="7040453" cy="345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latin typeface="Cambria Math" panose="02040503050406030204" pitchFamily="18" charset="0"/>
                </a:rPr>
                <a:t>0.5𝐶_2 𝐻_4 𝑂_2+0.04𝑃𝑂_4→0.34𝐶𝐻_2.09 𝑁_0.2 𝑂_0.54 𝑃_0.015+0.04𝐻𝑃𝑂_3+0.06 𝐺𝑙𝑢𝑐ó𝑔𝑒𝑛𝑜+0.01 𝑃𝐻𝐵+0.59 𝐶𝑂_2+0.55 𝑂_2</a:t>
              </a:r>
              <a:endParaRPr lang="en-GB" sz="1100"/>
            </a:p>
            <a:p>
              <a:endParaRPr lang="en-GB" sz="1100"/>
            </a:p>
          </xdr:txBody>
        </xdr:sp>
      </mc:Fallback>
    </mc:AlternateContent>
    <xdr:clientData/>
  </xdr:oneCellAnchor>
  <xdr:twoCellAnchor editAs="oneCell">
    <xdr:from>
      <xdr:col>31</xdr:col>
      <xdr:colOff>1324989</xdr:colOff>
      <xdr:row>228</xdr:row>
      <xdr:rowOff>60325</xdr:rowOff>
    </xdr:from>
    <xdr:to>
      <xdr:col>39</xdr:col>
      <xdr:colOff>780980</xdr:colOff>
      <xdr:row>250</xdr:row>
      <xdr:rowOff>85862</xdr:rowOff>
    </xdr:to>
    <xdr:pic>
      <xdr:nvPicPr>
        <xdr:cNvPr id="105" name="Picture 104">
          <a:extLst>
            <a:ext uri="{FF2B5EF4-FFF2-40B4-BE49-F238E27FC236}">
              <a16:creationId xmlns:a16="http://schemas.microsoft.com/office/drawing/2014/main" id="{BB030997-A11A-BA1E-D3F0-1665F6BA7AF2}"/>
            </a:ext>
          </a:extLst>
        </xdr:cNvPr>
        <xdr:cNvPicPr>
          <a:picLocks noChangeAspect="1"/>
        </xdr:cNvPicPr>
      </xdr:nvPicPr>
      <xdr:blipFill>
        <a:blip xmlns:r="http://schemas.openxmlformats.org/officeDocument/2006/relationships" r:embed="rId4"/>
        <a:stretch>
          <a:fillRect/>
        </a:stretch>
      </xdr:blipFill>
      <xdr:spPr>
        <a:xfrm>
          <a:off x="22579517" y="45732400"/>
          <a:ext cx="7746935" cy="4450569"/>
        </a:xfrm>
        <a:prstGeom prst="rect">
          <a:avLst/>
        </a:prstGeom>
      </xdr:spPr>
    </xdr:pic>
    <xdr:clientData/>
  </xdr:twoCellAnchor>
  <xdr:twoCellAnchor editAs="oneCell">
    <xdr:from>
      <xdr:col>25</xdr:col>
      <xdr:colOff>342260</xdr:colOff>
      <xdr:row>243</xdr:row>
      <xdr:rowOff>199109</xdr:rowOff>
    </xdr:from>
    <xdr:to>
      <xdr:col>31</xdr:col>
      <xdr:colOff>1054456</xdr:colOff>
      <xdr:row>248</xdr:row>
      <xdr:rowOff>47847</xdr:rowOff>
    </xdr:to>
    <xdr:pic>
      <xdr:nvPicPr>
        <xdr:cNvPr id="112" name="Picture 111">
          <a:extLst>
            <a:ext uri="{FF2B5EF4-FFF2-40B4-BE49-F238E27FC236}">
              <a16:creationId xmlns:a16="http://schemas.microsoft.com/office/drawing/2014/main" id="{14CAC986-8EE7-CCB5-F653-4F824AD94174}"/>
            </a:ext>
          </a:extLst>
        </xdr:cNvPr>
        <xdr:cNvPicPr>
          <a:picLocks noChangeAspect="1"/>
        </xdr:cNvPicPr>
      </xdr:nvPicPr>
      <xdr:blipFill>
        <a:blip xmlns:r="http://schemas.openxmlformats.org/officeDocument/2006/relationships" r:embed="rId5"/>
        <a:stretch>
          <a:fillRect/>
        </a:stretch>
      </xdr:blipFill>
      <xdr:spPr>
        <a:xfrm>
          <a:off x="17427993" y="49762976"/>
          <a:ext cx="5080996" cy="8647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71513</xdr:colOff>
      <xdr:row>21</xdr:row>
      <xdr:rowOff>54766</xdr:rowOff>
    </xdr:from>
    <xdr:to>
      <xdr:col>32</xdr:col>
      <xdr:colOff>634237</xdr:colOff>
      <xdr:row>29</xdr:row>
      <xdr:rowOff>83597</xdr:rowOff>
    </xdr:to>
    <xdr:pic>
      <xdr:nvPicPr>
        <xdr:cNvPr id="2" name="Picture 1">
          <a:extLst>
            <a:ext uri="{FF2B5EF4-FFF2-40B4-BE49-F238E27FC236}">
              <a16:creationId xmlns:a16="http://schemas.microsoft.com/office/drawing/2014/main" id="{8FE52069-F5E0-5D80-2400-887830C7E816}"/>
            </a:ext>
          </a:extLst>
        </xdr:cNvPr>
        <xdr:cNvPicPr>
          <a:picLocks noChangeAspect="1"/>
        </xdr:cNvPicPr>
      </xdr:nvPicPr>
      <xdr:blipFill>
        <a:blip xmlns:r="http://schemas.openxmlformats.org/officeDocument/2006/relationships" r:embed="rId1"/>
        <a:stretch>
          <a:fillRect/>
        </a:stretch>
      </xdr:blipFill>
      <xdr:spPr>
        <a:xfrm>
          <a:off x="10331401" y="4250047"/>
          <a:ext cx="13354866" cy="1641303"/>
        </a:xfrm>
        <a:prstGeom prst="rect">
          <a:avLst/>
        </a:prstGeom>
      </xdr:spPr>
    </xdr:pic>
    <xdr:clientData/>
  </xdr:twoCellAnchor>
  <xdr:twoCellAnchor editAs="oneCell">
    <xdr:from>
      <xdr:col>17</xdr:col>
      <xdr:colOff>471982</xdr:colOff>
      <xdr:row>39</xdr:row>
      <xdr:rowOff>111378</xdr:rowOff>
    </xdr:from>
    <xdr:to>
      <xdr:col>29</xdr:col>
      <xdr:colOff>154494</xdr:colOff>
      <xdr:row>46</xdr:row>
      <xdr:rowOff>120142</xdr:rowOff>
    </xdr:to>
    <xdr:pic>
      <xdr:nvPicPr>
        <xdr:cNvPr id="3" name="Picture 2">
          <a:extLst>
            <a:ext uri="{FF2B5EF4-FFF2-40B4-BE49-F238E27FC236}">
              <a16:creationId xmlns:a16="http://schemas.microsoft.com/office/drawing/2014/main" id="{EB2CC2AA-932C-422D-8E68-18DCC20F5067}"/>
            </a:ext>
          </a:extLst>
        </xdr:cNvPr>
        <xdr:cNvPicPr>
          <a:picLocks noChangeAspect="1"/>
        </xdr:cNvPicPr>
      </xdr:nvPicPr>
      <xdr:blipFill>
        <a:blip xmlns:r="http://schemas.openxmlformats.org/officeDocument/2006/relationships" r:embed="rId2"/>
        <a:stretch>
          <a:fillRect/>
        </a:stretch>
      </xdr:blipFill>
      <xdr:spPr>
        <a:xfrm>
          <a:off x="15339449" y="9881911"/>
          <a:ext cx="10014437" cy="1448098"/>
        </a:xfrm>
        <a:prstGeom prst="rect">
          <a:avLst/>
        </a:prstGeom>
      </xdr:spPr>
    </xdr:pic>
    <xdr:clientData/>
  </xdr:twoCellAnchor>
  <xdr:twoCellAnchor editAs="oneCell">
    <xdr:from>
      <xdr:col>1</xdr:col>
      <xdr:colOff>2219200</xdr:colOff>
      <xdr:row>0</xdr:row>
      <xdr:rowOff>0</xdr:rowOff>
    </xdr:from>
    <xdr:to>
      <xdr:col>14</xdr:col>
      <xdr:colOff>400718</xdr:colOff>
      <xdr:row>17</xdr:row>
      <xdr:rowOff>11813</xdr:rowOff>
    </xdr:to>
    <xdr:pic>
      <xdr:nvPicPr>
        <xdr:cNvPr id="4" name="Picture 3">
          <a:extLst>
            <a:ext uri="{FF2B5EF4-FFF2-40B4-BE49-F238E27FC236}">
              <a16:creationId xmlns:a16="http://schemas.microsoft.com/office/drawing/2014/main" id="{26C829C4-E1D1-C440-92E3-DEAA84F224E7}"/>
            </a:ext>
          </a:extLst>
        </xdr:cNvPr>
        <xdr:cNvPicPr>
          <a:picLocks noChangeAspect="1"/>
        </xdr:cNvPicPr>
      </xdr:nvPicPr>
      <xdr:blipFill>
        <a:blip xmlns:r="http://schemas.openxmlformats.org/officeDocument/2006/relationships" r:embed="rId3"/>
        <a:stretch>
          <a:fillRect/>
        </a:stretch>
      </xdr:blipFill>
      <xdr:spPr>
        <a:xfrm>
          <a:off x="2240020" y="0"/>
          <a:ext cx="7732464" cy="3551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331583</xdr:colOff>
      <xdr:row>3</xdr:row>
      <xdr:rowOff>186399</xdr:rowOff>
    </xdr:from>
    <xdr:to>
      <xdr:col>14</xdr:col>
      <xdr:colOff>606752</xdr:colOff>
      <xdr:row>9</xdr:row>
      <xdr:rowOff>6095</xdr:rowOff>
    </xdr:to>
    <xdr:pic>
      <xdr:nvPicPr>
        <xdr:cNvPr id="3" name="Picture 2">
          <a:extLst>
            <a:ext uri="{FF2B5EF4-FFF2-40B4-BE49-F238E27FC236}">
              <a16:creationId xmlns:a16="http://schemas.microsoft.com/office/drawing/2014/main" id="{3064F35A-DBF0-0541-B91E-6E5A13C5316E}"/>
            </a:ext>
          </a:extLst>
        </xdr:cNvPr>
        <xdr:cNvPicPr>
          <a:picLocks noChangeAspect="1"/>
        </xdr:cNvPicPr>
      </xdr:nvPicPr>
      <xdr:blipFill rotWithShape="1">
        <a:blip xmlns:r="http://schemas.openxmlformats.org/officeDocument/2006/relationships" r:embed="rId1"/>
        <a:srcRect t="45420" r="90549" b="23282"/>
        <a:stretch>
          <a:fillRect/>
        </a:stretch>
      </xdr:blipFill>
      <xdr:spPr>
        <a:xfrm>
          <a:off x="9051653" y="803512"/>
          <a:ext cx="945944" cy="1053921"/>
        </a:xfrm>
        <a:prstGeom prst="rect">
          <a:avLst/>
        </a:prstGeom>
      </xdr:spPr>
    </xdr:pic>
    <xdr:clientData/>
  </xdr:twoCellAnchor>
  <xdr:twoCellAnchor editAs="oneCell">
    <xdr:from>
      <xdr:col>13</xdr:col>
      <xdr:colOff>302549</xdr:colOff>
      <xdr:row>2</xdr:row>
      <xdr:rowOff>118807</xdr:rowOff>
    </xdr:from>
    <xdr:to>
      <xdr:col>15</xdr:col>
      <xdr:colOff>146521</xdr:colOff>
      <xdr:row>10</xdr:row>
      <xdr:rowOff>180694</xdr:rowOff>
    </xdr:to>
    <xdr:pic>
      <xdr:nvPicPr>
        <xdr:cNvPr id="4" name="Picture 3">
          <a:extLst>
            <a:ext uri="{FF2B5EF4-FFF2-40B4-BE49-F238E27FC236}">
              <a16:creationId xmlns:a16="http://schemas.microsoft.com/office/drawing/2014/main" id="{DAF09D36-D78D-1E4B-A141-C1493BF66F0C}"/>
            </a:ext>
          </a:extLst>
        </xdr:cNvPr>
        <xdr:cNvPicPr>
          <a:picLocks noChangeAspect="1"/>
        </xdr:cNvPicPr>
      </xdr:nvPicPr>
      <xdr:blipFill rotWithShape="1">
        <a:blip xmlns:r="http://schemas.openxmlformats.org/officeDocument/2006/relationships" r:embed="rId1"/>
        <a:srcRect l="8820" t="43130" r="79209" b="6107"/>
        <a:stretch>
          <a:fillRect/>
        </a:stretch>
      </xdr:blipFill>
      <xdr:spPr>
        <a:xfrm>
          <a:off x="9022619" y="530215"/>
          <a:ext cx="1185522" cy="1707521"/>
        </a:xfrm>
        <a:prstGeom prst="rect">
          <a:avLst/>
        </a:prstGeom>
      </xdr:spPr>
    </xdr:pic>
    <xdr:clientData/>
  </xdr:twoCellAnchor>
  <xdr:twoCellAnchor editAs="oneCell">
    <xdr:from>
      <xdr:col>12</xdr:col>
      <xdr:colOff>552343</xdr:colOff>
      <xdr:row>1</xdr:row>
      <xdr:rowOff>155010</xdr:rowOff>
    </xdr:from>
    <xdr:to>
      <xdr:col>15</xdr:col>
      <xdr:colOff>179111</xdr:colOff>
      <xdr:row>11</xdr:row>
      <xdr:rowOff>12807</xdr:rowOff>
    </xdr:to>
    <xdr:pic>
      <xdr:nvPicPr>
        <xdr:cNvPr id="5" name="Picture 4">
          <a:extLst>
            <a:ext uri="{FF2B5EF4-FFF2-40B4-BE49-F238E27FC236}">
              <a16:creationId xmlns:a16="http://schemas.microsoft.com/office/drawing/2014/main" id="{E9027C16-141E-0249-B4D6-35CF340F157D}"/>
            </a:ext>
          </a:extLst>
        </xdr:cNvPr>
        <xdr:cNvPicPr>
          <a:picLocks noChangeAspect="1"/>
        </xdr:cNvPicPr>
      </xdr:nvPicPr>
      <xdr:blipFill rotWithShape="1">
        <a:blip xmlns:r="http://schemas.openxmlformats.org/officeDocument/2006/relationships" r:embed="rId1"/>
        <a:srcRect l="19658" t="30153" r="63709" b="12977"/>
        <a:stretch>
          <a:fillRect/>
        </a:stretch>
      </xdr:blipFill>
      <xdr:spPr>
        <a:xfrm>
          <a:off x="8601639" y="360714"/>
          <a:ext cx="1639092" cy="1914839"/>
        </a:xfrm>
        <a:prstGeom prst="rect">
          <a:avLst/>
        </a:prstGeom>
      </xdr:spPr>
    </xdr:pic>
    <xdr:clientData/>
  </xdr:twoCellAnchor>
  <xdr:twoCellAnchor editAs="oneCell">
    <xdr:from>
      <xdr:col>10</xdr:col>
      <xdr:colOff>170413</xdr:colOff>
      <xdr:row>3</xdr:row>
      <xdr:rowOff>146057</xdr:rowOff>
    </xdr:from>
    <xdr:to>
      <xdr:col>15</xdr:col>
      <xdr:colOff>274707</xdr:colOff>
      <xdr:row>10</xdr:row>
      <xdr:rowOff>118152</xdr:rowOff>
    </xdr:to>
    <xdr:pic>
      <xdr:nvPicPr>
        <xdr:cNvPr id="6" name="Picture 5">
          <a:extLst>
            <a:ext uri="{FF2B5EF4-FFF2-40B4-BE49-F238E27FC236}">
              <a16:creationId xmlns:a16="http://schemas.microsoft.com/office/drawing/2014/main" id="{3D91A84E-FD06-8343-A3CA-BBCE59ABC16E}"/>
            </a:ext>
          </a:extLst>
        </xdr:cNvPr>
        <xdr:cNvPicPr>
          <a:picLocks noChangeAspect="1"/>
        </xdr:cNvPicPr>
      </xdr:nvPicPr>
      <xdr:blipFill rotWithShape="1">
        <a:blip xmlns:r="http://schemas.openxmlformats.org/officeDocument/2006/relationships" r:embed="rId1"/>
        <a:srcRect l="31125" t="5725" r="33718" b="52291"/>
        <a:stretch>
          <a:fillRect/>
        </a:stretch>
      </xdr:blipFill>
      <xdr:spPr>
        <a:xfrm>
          <a:off x="6878159" y="763170"/>
          <a:ext cx="3458168" cy="1412024"/>
        </a:xfrm>
        <a:prstGeom prst="rect">
          <a:avLst/>
        </a:prstGeom>
      </xdr:spPr>
    </xdr:pic>
    <xdr:clientData/>
  </xdr:twoCellAnchor>
  <xdr:twoCellAnchor editAs="oneCell">
    <xdr:from>
      <xdr:col>12</xdr:col>
      <xdr:colOff>282627</xdr:colOff>
      <xdr:row>3</xdr:row>
      <xdr:rowOff>161276</xdr:rowOff>
    </xdr:from>
    <xdr:to>
      <xdr:col>14</xdr:col>
      <xdr:colOff>560213</xdr:colOff>
      <xdr:row>9</xdr:row>
      <xdr:rowOff>190866</xdr:rowOff>
    </xdr:to>
    <xdr:pic>
      <xdr:nvPicPr>
        <xdr:cNvPr id="7" name="Picture 6">
          <a:extLst>
            <a:ext uri="{FF2B5EF4-FFF2-40B4-BE49-F238E27FC236}">
              <a16:creationId xmlns:a16="http://schemas.microsoft.com/office/drawing/2014/main" id="{95577691-5B94-4145-ACCD-79E330F8E32F}"/>
            </a:ext>
          </a:extLst>
        </xdr:cNvPr>
        <xdr:cNvPicPr>
          <a:picLocks noChangeAspect="1"/>
        </xdr:cNvPicPr>
      </xdr:nvPicPr>
      <xdr:blipFill rotWithShape="1">
        <a:blip xmlns:r="http://schemas.openxmlformats.org/officeDocument/2006/relationships" r:embed="rId1"/>
        <a:srcRect l="66660" t="25571" r="16833" b="37023"/>
        <a:stretch>
          <a:fillRect/>
        </a:stretch>
      </xdr:blipFill>
      <xdr:spPr>
        <a:xfrm>
          <a:off x="8331923" y="778389"/>
          <a:ext cx="1619135" cy="1263815"/>
        </a:xfrm>
        <a:prstGeom prst="rect">
          <a:avLst/>
        </a:prstGeom>
      </xdr:spPr>
    </xdr:pic>
    <xdr:clientData/>
  </xdr:twoCellAnchor>
  <xdr:twoCellAnchor editAs="oneCell">
    <xdr:from>
      <xdr:col>12</xdr:col>
      <xdr:colOff>178214</xdr:colOff>
      <xdr:row>4</xdr:row>
      <xdr:rowOff>174007</xdr:rowOff>
    </xdr:from>
    <xdr:to>
      <xdr:col>15</xdr:col>
      <xdr:colOff>50166</xdr:colOff>
      <xdr:row>9</xdr:row>
      <xdr:rowOff>82603</xdr:rowOff>
    </xdr:to>
    <xdr:pic>
      <xdr:nvPicPr>
        <xdr:cNvPr id="8" name="Picture 7">
          <a:extLst>
            <a:ext uri="{FF2B5EF4-FFF2-40B4-BE49-F238E27FC236}">
              <a16:creationId xmlns:a16="http://schemas.microsoft.com/office/drawing/2014/main" id="{81CC4262-9192-7E4A-8F07-4CFB56CEF3D5}"/>
            </a:ext>
          </a:extLst>
        </xdr:cNvPr>
        <xdr:cNvPicPr>
          <a:picLocks noChangeAspect="1"/>
        </xdr:cNvPicPr>
      </xdr:nvPicPr>
      <xdr:blipFill rotWithShape="1">
        <a:blip xmlns:r="http://schemas.openxmlformats.org/officeDocument/2006/relationships" r:embed="rId1"/>
        <a:srcRect l="80394" t="44274" r="452" b="27863"/>
        <a:stretch>
          <a:fillRect/>
        </a:stretch>
      </xdr:blipFill>
      <xdr:spPr>
        <a:xfrm>
          <a:off x="8227510" y="996824"/>
          <a:ext cx="1884276" cy="937117"/>
        </a:xfrm>
        <a:prstGeom prst="rect">
          <a:avLst/>
        </a:prstGeom>
      </xdr:spPr>
    </xdr:pic>
    <xdr:clientData/>
  </xdr:twoCellAnchor>
  <xdr:twoCellAnchor editAs="oneCell">
    <xdr:from>
      <xdr:col>34</xdr:col>
      <xdr:colOff>794496</xdr:colOff>
      <xdr:row>0</xdr:row>
      <xdr:rowOff>68035</xdr:rowOff>
    </xdr:from>
    <xdr:to>
      <xdr:col>43</xdr:col>
      <xdr:colOff>408215</xdr:colOff>
      <xdr:row>14</xdr:row>
      <xdr:rowOff>143540</xdr:rowOff>
    </xdr:to>
    <xdr:pic>
      <xdr:nvPicPr>
        <xdr:cNvPr id="9" name="Picture 8">
          <a:extLst>
            <a:ext uri="{FF2B5EF4-FFF2-40B4-BE49-F238E27FC236}">
              <a16:creationId xmlns:a16="http://schemas.microsoft.com/office/drawing/2014/main" id="{B60DC7D7-561E-B182-33A8-52A812F2E6A7}"/>
            </a:ext>
          </a:extLst>
        </xdr:cNvPr>
        <xdr:cNvPicPr>
          <a:picLocks noChangeAspect="1"/>
        </xdr:cNvPicPr>
      </xdr:nvPicPr>
      <xdr:blipFill>
        <a:blip xmlns:r="http://schemas.openxmlformats.org/officeDocument/2006/relationships" r:embed="rId2"/>
        <a:stretch>
          <a:fillRect/>
        </a:stretch>
      </xdr:blipFill>
      <xdr:spPr>
        <a:xfrm>
          <a:off x="27010925" y="68035"/>
          <a:ext cx="6961576" cy="2933005"/>
        </a:xfrm>
        <a:prstGeom prst="rect">
          <a:avLst/>
        </a:prstGeom>
      </xdr:spPr>
    </xdr:pic>
    <xdr:clientData/>
  </xdr:twoCellAnchor>
  <xdr:twoCellAnchor editAs="oneCell">
    <xdr:from>
      <xdr:col>0</xdr:col>
      <xdr:colOff>647700</xdr:colOff>
      <xdr:row>1</xdr:row>
      <xdr:rowOff>63500</xdr:rowOff>
    </xdr:from>
    <xdr:to>
      <xdr:col>15</xdr:col>
      <xdr:colOff>468844</xdr:colOff>
      <xdr:row>17</xdr:row>
      <xdr:rowOff>139700</xdr:rowOff>
    </xdr:to>
    <xdr:pic>
      <xdr:nvPicPr>
        <xdr:cNvPr id="2" name="Picture 1">
          <a:extLst>
            <a:ext uri="{FF2B5EF4-FFF2-40B4-BE49-F238E27FC236}">
              <a16:creationId xmlns:a16="http://schemas.microsoft.com/office/drawing/2014/main" id="{382AE689-364B-34E3-6F7E-46BD7A1840CB}"/>
            </a:ext>
          </a:extLst>
        </xdr:cNvPr>
        <xdr:cNvPicPr>
          <a:picLocks noChangeAspect="1"/>
        </xdr:cNvPicPr>
      </xdr:nvPicPr>
      <xdr:blipFill>
        <a:blip xmlns:r="http://schemas.openxmlformats.org/officeDocument/2006/relationships" r:embed="rId1"/>
        <a:stretch>
          <a:fillRect/>
        </a:stretch>
      </xdr:blipFill>
      <xdr:spPr>
        <a:xfrm>
          <a:off x="647700" y="266700"/>
          <a:ext cx="9917644" cy="3327400"/>
        </a:xfrm>
        <a:prstGeom prst="rect">
          <a:avLst/>
        </a:prstGeom>
      </xdr:spPr>
    </xdr:pic>
    <xdr:clientData/>
  </xdr:twoCellAnchor>
  <xdr:twoCellAnchor>
    <xdr:from>
      <xdr:col>5</xdr:col>
      <xdr:colOff>0</xdr:colOff>
      <xdr:row>82</xdr:row>
      <xdr:rowOff>0</xdr:rowOff>
    </xdr:from>
    <xdr:to>
      <xdr:col>6</xdr:col>
      <xdr:colOff>0</xdr:colOff>
      <xdr:row>82</xdr:row>
      <xdr:rowOff>4904</xdr:rowOff>
    </xdr:to>
    <xdr:cxnSp macro="">
      <xdr:nvCxnSpPr>
        <xdr:cNvPr id="11" name="Straight Arrow Connector 10">
          <a:extLst>
            <a:ext uri="{FF2B5EF4-FFF2-40B4-BE49-F238E27FC236}">
              <a16:creationId xmlns:a16="http://schemas.microsoft.com/office/drawing/2014/main" id="{2B0FE384-4C1F-8048-AB04-7A82C589430B}"/>
            </a:ext>
          </a:extLst>
        </xdr:cNvPr>
        <xdr:cNvCxnSpPr/>
      </xdr:nvCxnSpPr>
      <xdr:spPr>
        <a:xfrm flipV="1">
          <a:off x="35179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82</xdr:row>
      <xdr:rowOff>0</xdr:rowOff>
    </xdr:from>
    <xdr:to>
      <xdr:col>3</xdr:col>
      <xdr:colOff>0</xdr:colOff>
      <xdr:row>82</xdr:row>
      <xdr:rowOff>4904</xdr:rowOff>
    </xdr:to>
    <xdr:cxnSp macro="">
      <xdr:nvCxnSpPr>
        <xdr:cNvPr id="12" name="Straight Arrow Connector 11">
          <a:extLst>
            <a:ext uri="{FF2B5EF4-FFF2-40B4-BE49-F238E27FC236}">
              <a16:creationId xmlns:a16="http://schemas.microsoft.com/office/drawing/2014/main" id="{F0977E52-F7A1-A346-923C-CEE5EDE87FB3}"/>
            </a:ext>
          </a:extLst>
        </xdr:cNvPr>
        <xdr:cNvCxnSpPr/>
      </xdr:nvCxnSpPr>
      <xdr:spPr>
        <a:xfrm flipV="1">
          <a:off x="14986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5</xdr:col>
      <xdr:colOff>671776</xdr:colOff>
      <xdr:row>82</xdr:row>
      <xdr:rowOff>4904</xdr:rowOff>
    </xdr:to>
    <xdr:cxnSp macro="">
      <xdr:nvCxnSpPr>
        <xdr:cNvPr id="13" name="Straight Arrow Connector 12">
          <a:extLst>
            <a:ext uri="{FF2B5EF4-FFF2-40B4-BE49-F238E27FC236}">
              <a16:creationId xmlns:a16="http://schemas.microsoft.com/office/drawing/2014/main" id="{804DDB05-54A0-BB4B-A6FD-3B9F7F203E10}"/>
            </a:ext>
          </a:extLst>
        </xdr:cNvPr>
        <xdr:cNvCxnSpPr/>
      </xdr:nvCxnSpPr>
      <xdr:spPr>
        <a:xfrm flipV="1">
          <a:off x="3517900" y="278511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80</xdr:row>
      <xdr:rowOff>0</xdr:rowOff>
    </xdr:from>
    <xdr:to>
      <xdr:col>4</xdr:col>
      <xdr:colOff>0</xdr:colOff>
      <xdr:row>81</xdr:row>
      <xdr:rowOff>8274</xdr:rowOff>
    </xdr:to>
    <xdr:cxnSp macro="">
      <xdr:nvCxnSpPr>
        <xdr:cNvPr id="14" name="Straight Arrow Connector 13">
          <a:extLst>
            <a:ext uri="{FF2B5EF4-FFF2-40B4-BE49-F238E27FC236}">
              <a16:creationId xmlns:a16="http://schemas.microsoft.com/office/drawing/2014/main" id="{8B10133D-280C-F744-B981-A4A39AE86B55}"/>
            </a:ext>
          </a:extLst>
        </xdr:cNvPr>
        <xdr:cNvCxnSpPr/>
      </xdr:nvCxnSpPr>
      <xdr:spPr>
        <a:xfrm flipV="1">
          <a:off x="2844800" y="274447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39</xdr:row>
      <xdr:rowOff>196139</xdr:rowOff>
    </xdr:from>
    <xdr:to>
      <xdr:col>2</xdr:col>
      <xdr:colOff>0</xdr:colOff>
      <xdr:row>40</xdr:row>
      <xdr:rowOff>0</xdr:rowOff>
    </xdr:to>
    <xdr:cxnSp macro="">
      <xdr:nvCxnSpPr>
        <xdr:cNvPr id="16" name="Straight Arrow Connector 15">
          <a:extLst>
            <a:ext uri="{FF2B5EF4-FFF2-40B4-BE49-F238E27FC236}">
              <a16:creationId xmlns:a16="http://schemas.microsoft.com/office/drawing/2014/main" id="{63089296-D230-CE45-8636-CFC2AEDBC8D2}"/>
            </a:ext>
          </a:extLst>
        </xdr:cNvPr>
        <xdr:cNvCxnSpPr/>
      </xdr:nvCxnSpPr>
      <xdr:spPr>
        <a:xfrm flipV="1">
          <a:off x="825500" y="111689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40</xdr:row>
      <xdr:rowOff>0</xdr:rowOff>
    </xdr:from>
    <xdr:to>
      <xdr:col>5</xdr:col>
      <xdr:colOff>0</xdr:colOff>
      <xdr:row>40</xdr:row>
      <xdr:rowOff>4904</xdr:rowOff>
    </xdr:to>
    <xdr:cxnSp macro="">
      <xdr:nvCxnSpPr>
        <xdr:cNvPr id="17" name="Straight Arrow Connector 16">
          <a:extLst>
            <a:ext uri="{FF2B5EF4-FFF2-40B4-BE49-F238E27FC236}">
              <a16:creationId xmlns:a16="http://schemas.microsoft.com/office/drawing/2014/main" id="{0D4399D4-6C98-2541-A961-6CFD95828A40}"/>
            </a:ext>
          </a:extLst>
        </xdr:cNvPr>
        <xdr:cNvCxnSpPr/>
      </xdr:nvCxnSpPr>
      <xdr:spPr>
        <a:xfrm flipV="1">
          <a:off x="2844800"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40</xdr:row>
      <xdr:rowOff>0</xdr:rowOff>
    </xdr:from>
    <xdr:to>
      <xdr:col>7</xdr:col>
      <xdr:colOff>671776</xdr:colOff>
      <xdr:row>40</xdr:row>
      <xdr:rowOff>4904</xdr:rowOff>
    </xdr:to>
    <xdr:cxnSp macro="">
      <xdr:nvCxnSpPr>
        <xdr:cNvPr id="18" name="Straight Arrow Connector 17">
          <a:extLst>
            <a:ext uri="{FF2B5EF4-FFF2-40B4-BE49-F238E27FC236}">
              <a16:creationId xmlns:a16="http://schemas.microsoft.com/office/drawing/2014/main" id="{7CF0F6D2-FECE-CA44-9681-D6D33B1AC26D}"/>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40</xdr:row>
      <xdr:rowOff>0</xdr:rowOff>
    </xdr:from>
    <xdr:to>
      <xdr:col>10</xdr:col>
      <xdr:colOff>671776</xdr:colOff>
      <xdr:row>40</xdr:row>
      <xdr:rowOff>4904</xdr:rowOff>
    </xdr:to>
    <xdr:cxnSp macro="">
      <xdr:nvCxnSpPr>
        <xdr:cNvPr id="19" name="Straight Arrow Connector 18">
          <a:extLst>
            <a:ext uri="{FF2B5EF4-FFF2-40B4-BE49-F238E27FC236}">
              <a16:creationId xmlns:a16="http://schemas.microsoft.com/office/drawing/2014/main" id="{62626BED-98E1-6A42-B1D6-5F5BFB50198A}"/>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40</xdr:row>
      <xdr:rowOff>0</xdr:rowOff>
    </xdr:from>
    <xdr:to>
      <xdr:col>14</xdr:col>
      <xdr:colOff>0</xdr:colOff>
      <xdr:row>40</xdr:row>
      <xdr:rowOff>4904</xdr:rowOff>
    </xdr:to>
    <xdr:cxnSp macro="">
      <xdr:nvCxnSpPr>
        <xdr:cNvPr id="20" name="Straight Arrow Connector 19">
          <a:extLst>
            <a:ext uri="{FF2B5EF4-FFF2-40B4-BE49-F238E27FC236}">
              <a16:creationId xmlns:a16="http://schemas.microsoft.com/office/drawing/2014/main" id="{34202F0F-D1AF-CF4D-9046-9B522E78454D}"/>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38</xdr:row>
      <xdr:rowOff>0</xdr:rowOff>
    </xdr:from>
    <xdr:to>
      <xdr:col>3</xdr:col>
      <xdr:colOff>0</xdr:colOff>
      <xdr:row>39</xdr:row>
      <xdr:rowOff>8274</xdr:rowOff>
    </xdr:to>
    <xdr:cxnSp macro="">
      <xdr:nvCxnSpPr>
        <xdr:cNvPr id="22" name="Straight Arrow Connector 21">
          <a:extLst>
            <a:ext uri="{FF2B5EF4-FFF2-40B4-BE49-F238E27FC236}">
              <a16:creationId xmlns:a16="http://schemas.microsoft.com/office/drawing/2014/main" id="{6F54A27C-F460-2F4D-B578-0C58B85D6BC8}"/>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38</xdr:row>
      <xdr:rowOff>0</xdr:rowOff>
    </xdr:from>
    <xdr:to>
      <xdr:col>12</xdr:col>
      <xdr:colOff>0</xdr:colOff>
      <xdr:row>39</xdr:row>
      <xdr:rowOff>4137</xdr:rowOff>
    </xdr:to>
    <xdr:cxnSp macro="">
      <xdr:nvCxnSpPr>
        <xdr:cNvPr id="24" name="Straight Arrow Connector 23">
          <a:extLst>
            <a:ext uri="{FF2B5EF4-FFF2-40B4-BE49-F238E27FC236}">
              <a16:creationId xmlns:a16="http://schemas.microsoft.com/office/drawing/2014/main" id="{22440332-3D52-BF47-A400-D7D8D63A7053}"/>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329617</xdr:colOff>
      <xdr:row>40</xdr:row>
      <xdr:rowOff>204367</xdr:rowOff>
    </xdr:from>
    <xdr:to>
      <xdr:col>2</xdr:col>
      <xdr:colOff>329617</xdr:colOff>
      <xdr:row>41</xdr:row>
      <xdr:rowOff>204368</xdr:rowOff>
    </xdr:to>
    <xdr:cxnSp macro="">
      <xdr:nvCxnSpPr>
        <xdr:cNvPr id="26" name="Straight Arrow Connector 25">
          <a:extLst>
            <a:ext uri="{FF2B5EF4-FFF2-40B4-BE49-F238E27FC236}">
              <a16:creationId xmlns:a16="http://schemas.microsoft.com/office/drawing/2014/main" id="{3621EBB2-56A1-8E49-8474-C3FB0BE60C7C}"/>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81</xdr:row>
      <xdr:rowOff>196139</xdr:rowOff>
    </xdr:from>
    <xdr:to>
      <xdr:col>3</xdr:col>
      <xdr:colOff>0</xdr:colOff>
      <xdr:row>82</xdr:row>
      <xdr:rowOff>0</xdr:rowOff>
    </xdr:to>
    <xdr:cxnSp macro="">
      <xdr:nvCxnSpPr>
        <xdr:cNvPr id="53" name="Straight Arrow Connector 52">
          <a:extLst>
            <a:ext uri="{FF2B5EF4-FFF2-40B4-BE49-F238E27FC236}">
              <a16:creationId xmlns:a16="http://schemas.microsoft.com/office/drawing/2014/main" id="{1728AEBB-25CD-E942-96AF-ED3276ADE3FB}"/>
            </a:ext>
          </a:extLst>
        </xdr:cNvPr>
        <xdr:cNvCxnSpPr/>
      </xdr:nvCxnSpPr>
      <xdr:spPr>
        <a:xfrm flipV="1">
          <a:off x="667845" y="8308811"/>
          <a:ext cx="667845" cy="118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40</xdr:row>
      <xdr:rowOff>0</xdr:rowOff>
    </xdr:from>
    <xdr:to>
      <xdr:col>17</xdr:col>
      <xdr:colOff>0</xdr:colOff>
      <xdr:row>40</xdr:row>
      <xdr:rowOff>4904</xdr:rowOff>
    </xdr:to>
    <xdr:cxnSp macro="">
      <xdr:nvCxnSpPr>
        <xdr:cNvPr id="29" name="Straight Arrow Connector 28">
          <a:extLst>
            <a:ext uri="{FF2B5EF4-FFF2-40B4-BE49-F238E27FC236}">
              <a16:creationId xmlns:a16="http://schemas.microsoft.com/office/drawing/2014/main" id="{97CDA6A0-E7E7-9443-BB11-60C9D21ABAE4}"/>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40</xdr:row>
      <xdr:rowOff>0</xdr:rowOff>
    </xdr:from>
    <xdr:to>
      <xdr:col>20</xdr:col>
      <xdr:colOff>0</xdr:colOff>
      <xdr:row>40</xdr:row>
      <xdr:rowOff>4904</xdr:rowOff>
    </xdr:to>
    <xdr:cxnSp macro="">
      <xdr:nvCxnSpPr>
        <xdr:cNvPr id="31" name="Straight Arrow Connector 30">
          <a:extLst>
            <a:ext uri="{FF2B5EF4-FFF2-40B4-BE49-F238E27FC236}">
              <a16:creationId xmlns:a16="http://schemas.microsoft.com/office/drawing/2014/main" id="{9AF21B27-6C9E-AA48-A6D6-DD9D0B9EAA57}"/>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40</xdr:row>
      <xdr:rowOff>0</xdr:rowOff>
    </xdr:from>
    <xdr:to>
      <xdr:col>23</xdr:col>
      <xdr:colOff>0</xdr:colOff>
      <xdr:row>40</xdr:row>
      <xdr:rowOff>4904</xdr:rowOff>
    </xdr:to>
    <xdr:cxnSp macro="">
      <xdr:nvCxnSpPr>
        <xdr:cNvPr id="32" name="Straight Arrow Connector 31">
          <a:extLst>
            <a:ext uri="{FF2B5EF4-FFF2-40B4-BE49-F238E27FC236}">
              <a16:creationId xmlns:a16="http://schemas.microsoft.com/office/drawing/2014/main" id="{7325CFD2-FA57-6842-8E2B-7D6341A53F6A}"/>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335750</xdr:colOff>
      <xdr:row>41</xdr:row>
      <xdr:rowOff>1421</xdr:rowOff>
    </xdr:from>
    <xdr:to>
      <xdr:col>14</xdr:col>
      <xdr:colOff>336553</xdr:colOff>
      <xdr:row>44</xdr:row>
      <xdr:rowOff>1422</xdr:rowOff>
    </xdr:to>
    <xdr:sp macro="" textlink="">
      <xdr:nvSpPr>
        <xdr:cNvPr id="49" name="Left Bracket 48">
          <a:extLst>
            <a:ext uri="{FF2B5EF4-FFF2-40B4-BE49-F238E27FC236}">
              <a16:creationId xmlns:a16="http://schemas.microsoft.com/office/drawing/2014/main" id="{D487B9F8-7FAC-832A-B200-894FBCBEC5E7}"/>
            </a:ext>
          </a:extLst>
        </xdr:cNvPr>
        <xdr:cNvSpPr/>
      </xdr:nvSpPr>
      <xdr:spPr>
        <a:xfrm rot="16200000">
          <a:off x="7751783" y="7007916"/>
          <a:ext cx="613105" cy="3358275"/>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317501</xdr:colOff>
      <xdr:row>41</xdr:row>
      <xdr:rowOff>7739</xdr:rowOff>
    </xdr:from>
    <xdr:to>
      <xdr:col>15</xdr:col>
      <xdr:colOff>330203</xdr:colOff>
      <xdr:row>47</xdr:row>
      <xdr:rowOff>7746</xdr:rowOff>
    </xdr:to>
    <xdr:sp macro="" textlink="">
      <xdr:nvSpPr>
        <xdr:cNvPr id="50" name="Left Bracket 49">
          <a:extLst>
            <a:ext uri="{FF2B5EF4-FFF2-40B4-BE49-F238E27FC236}">
              <a16:creationId xmlns:a16="http://schemas.microsoft.com/office/drawing/2014/main" id="{06BD02DD-6D34-DE40-A35D-C5D3974B6349}"/>
            </a:ext>
          </a:extLst>
        </xdr:cNvPr>
        <xdr:cNvSpPr/>
      </xdr:nvSpPr>
      <xdr:spPr>
        <a:xfrm rot="16200000">
          <a:off x="5772148" y="4903592"/>
          <a:ext cx="1219207" cy="8089902"/>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9</xdr:col>
      <xdr:colOff>340618</xdr:colOff>
      <xdr:row>38</xdr:row>
      <xdr:rowOff>0</xdr:rowOff>
    </xdr:from>
    <xdr:to>
      <xdr:col>9</xdr:col>
      <xdr:colOff>340618</xdr:colOff>
      <xdr:row>39</xdr:row>
      <xdr:rowOff>4137</xdr:rowOff>
    </xdr:to>
    <xdr:cxnSp macro="">
      <xdr:nvCxnSpPr>
        <xdr:cNvPr id="51" name="Straight Arrow Connector 50">
          <a:extLst>
            <a:ext uri="{FF2B5EF4-FFF2-40B4-BE49-F238E27FC236}">
              <a16:creationId xmlns:a16="http://schemas.microsoft.com/office/drawing/2014/main" id="{9E7285EB-F576-4E4B-BA8F-EE7CE5FA0CCB}"/>
            </a:ext>
          </a:extLst>
        </xdr:cNvPr>
        <xdr:cNvCxnSpPr/>
      </xdr:nvCxnSpPr>
      <xdr:spPr>
        <a:xfrm flipV="1">
          <a:off x="6384066" y="7765977"/>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40</xdr:row>
      <xdr:rowOff>202919</xdr:rowOff>
    </xdr:from>
    <xdr:to>
      <xdr:col>18</xdr:col>
      <xdr:colOff>0</xdr:colOff>
      <xdr:row>42</xdr:row>
      <xdr:rowOff>0</xdr:rowOff>
    </xdr:to>
    <xdr:cxnSp macro="">
      <xdr:nvCxnSpPr>
        <xdr:cNvPr id="52" name="Straight Arrow Connector 51">
          <a:extLst>
            <a:ext uri="{FF2B5EF4-FFF2-40B4-BE49-F238E27FC236}">
              <a16:creationId xmlns:a16="http://schemas.microsoft.com/office/drawing/2014/main" id="{A9CC9010-A99F-724D-846F-8BBA4F9363F7}"/>
            </a:ext>
          </a:extLst>
        </xdr:cNvPr>
        <xdr:cNvCxnSpPr/>
      </xdr:nvCxnSpPr>
      <xdr:spPr>
        <a:xfrm>
          <a:off x="12091240" y="8319723"/>
          <a:ext cx="0" cy="2029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6</xdr:col>
      <xdr:colOff>0</xdr:colOff>
      <xdr:row>82</xdr:row>
      <xdr:rowOff>4904</xdr:rowOff>
    </xdr:to>
    <xdr:cxnSp macro="">
      <xdr:nvCxnSpPr>
        <xdr:cNvPr id="54" name="Straight Arrow Connector 53">
          <a:extLst>
            <a:ext uri="{FF2B5EF4-FFF2-40B4-BE49-F238E27FC236}">
              <a16:creationId xmlns:a16="http://schemas.microsoft.com/office/drawing/2014/main" id="{0FCA12E1-DDC0-F14C-8FB7-67DCBB53B19E}"/>
            </a:ext>
          </a:extLst>
        </xdr:cNvPr>
        <xdr:cNvCxnSpPr/>
      </xdr:nvCxnSpPr>
      <xdr:spPr>
        <a:xfrm flipV="1">
          <a:off x="2671379" y="8320690"/>
          <a:ext cx="667845"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330328</xdr:colOff>
      <xdr:row>82</xdr:row>
      <xdr:rowOff>198839</xdr:rowOff>
    </xdr:from>
    <xdr:to>
      <xdr:col>4</xdr:col>
      <xdr:colOff>330328</xdr:colOff>
      <xdr:row>84</xdr:row>
      <xdr:rowOff>5068</xdr:rowOff>
    </xdr:to>
    <xdr:cxnSp macro="">
      <xdr:nvCxnSpPr>
        <xdr:cNvPr id="55" name="Straight Arrow Connector 54">
          <a:extLst>
            <a:ext uri="{FF2B5EF4-FFF2-40B4-BE49-F238E27FC236}">
              <a16:creationId xmlns:a16="http://schemas.microsoft.com/office/drawing/2014/main" id="{A4C13CB5-0F72-1744-B45E-D19500B0E806}"/>
            </a:ext>
          </a:extLst>
        </xdr:cNvPr>
        <xdr:cNvCxnSpPr/>
      </xdr:nvCxnSpPr>
      <xdr:spPr>
        <a:xfrm flipV="1">
          <a:off x="3024267" y="16766566"/>
          <a:ext cx="0" cy="21032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82</xdr:row>
      <xdr:rowOff>204367</xdr:rowOff>
    </xdr:from>
    <xdr:to>
      <xdr:col>3</xdr:col>
      <xdr:colOff>329617</xdr:colOff>
      <xdr:row>83</xdr:row>
      <xdr:rowOff>204368</xdr:rowOff>
    </xdr:to>
    <xdr:cxnSp macro="">
      <xdr:nvCxnSpPr>
        <xdr:cNvPr id="56" name="Straight Arrow Connector 55">
          <a:extLst>
            <a:ext uri="{FF2B5EF4-FFF2-40B4-BE49-F238E27FC236}">
              <a16:creationId xmlns:a16="http://schemas.microsoft.com/office/drawing/2014/main" id="{2E638FB2-392B-CC4D-A7B8-DDE6468EB8EC}"/>
            </a:ext>
          </a:extLst>
        </xdr:cNvPr>
        <xdr:cNvCxnSpPr/>
      </xdr:nvCxnSpPr>
      <xdr:spPr>
        <a:xfrm>
          <a:off x="1665307" y="8525057"/>
          <a:ext cx="0" cy="20801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337970</xdr:colOff>
      <xdr:row>40</xdr:row>
      <xdr:rowOff>204367</xdr:rowOff>
    </xdr:from>
    <xdr:to>
      <xdr:col>8</xdr:col>
      <xdr:colOff>337970</xdr:colOff>
      <xdr:row>42</xdr:row>
      <xdr:rowOff>4137</xdr:rowOff>
    </xdr:to>
    <xdr:cxnSp macro="">
      <xdr:nvCxnSpPr>
        <xdr:cNvPr id="74" name="Straight Arrow Connector 73">
          <a:extLst>
            <a:ext uri="{FF2B5EF4-FFF2-40B4-BE49-F238E27FC236}">
              <a16:creationId xmlns:a16="http://schemas.microsoft.com/office/drawing/2014/main" id="{1709BF17-8A36-EF47-BDD9-B13870FBFAE7}"/>
            </a:ext>
          </a:extLst>
        </xdr:cNvPr>
        <xdr:cNvCxnSpPr/>
      </xdr:nvCxnSpPr>
      <xdr:spPr>
        <a:xfrm flipV="1">
          <a:off x="5709924" y="8379080"/>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329617</xdr:colOff>
      <xdr:row>37</xdr:row>
      <xdr:rowOff>204367</xdr:rowOff>
    </xdr:from>
    <xdr:to>
      <xdr:col>8</xdr:col>
      <xdr:colOff>329617</xdr:colOff>
      <xdr:row>38</xdr:row>
      <xdr:rowOff>204368</xdr:rowOff>
    </xdr:to>
    <xdr:cxnSp macro="">
      <xdr:nvCxnSpPr>
        <xdr:cNvPr id="78" name="Straight Arrow Connector 77">
          <a:extLst>
            <a:ext uri="{FF2B5EF4-FFF2-40B4-BE49-F238E27FC236}">
              <a16:creationId xmlns:a16="http://schemas.microsoft.com/office/drawing/2014/main" id="{04762179-5F40-A74A-B04E-BD8184369C74}"/>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79" name="Straight Arrow Connector 78">
          <a:extLst>
            <a:ext uri="{FF2B5EF4-FFF2-40B4-BE49-F238E27FC236}">
              <a16:creationId xmlns:a16="http://schemas.microsoft.com/office/drawing/2014/main" id="{9D6EB77E-161E-1141-A3A1-4EB5142A0D6F}"/>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105</xdr:row>
      <xdr:rowOff>0</xdr:rowOff>
    </xdr:from>
    <xdr:to>
      <xdr:col>3</xdr:col>
      <xdr:colOff>0</xdr:colOff>
      <xdr:row>105</xdr:row>
      <xdr:rowOff>4904</xdr:rowOff>
    </xdr:to>
    <xdr:cxnSp macro="">
      <xdr:nvCxnSpPr>
        <xdr:cNvPr id="80" name="Straight Arrow Connector 79">
          <a:extLst>
            <a:ext uri="{FF2B5EF4-FFF2-40B4-BE49-F238E27FC236}">
              <a16:creationId xmlns:a16="http://schemas.microsoft.com/office/drawing/2014/main" id="{12403F8E-E1A1-5040-B754-F4173C9D7C23}"/>
            </a:ext>
          </a:extLst>
        </xdr:cNvPr>
        <xdr:cNvCxnSpPr/>
      </xdr:nvCxnSpPr>
      <xdr:spPr>
        <a:xfrm flipV="1">
          <a:off x="1332459" y="17072131"/>
          <a:ext cx="66623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5</xdr:col>
      <xdr:colOff>671776</xdr:colOff>
      <xdr:row>105</xdr:row>
      <xdr:rowOff>4904</xdr:rowOff>
    </xdr:to>
    <xdr:cxnSp macro="">
      <xdr:nvCxnSpPr>
        <xdr:cNvPr id="81" name="Straight Arrow Connector 80">
          <a:extLst>
            <a:ext uri="{FF2B5EF4-FFF2-40B4-BE49-F238E27FC236}">
              <a16:creationId xmlns:a16="http://schemas.microsoft.com/office/drawing/2014/main" id="{685EF087-E429-0841-9F30-B13F370F6967}"/>
            </a:ext>
          </a:extLst>
        </xdr:cNvPr>
        <xdr:cNvCxnSpPr/>
      </xdr:nvCxnSpPr>
      <xdr:spPr>
        <a:xfrm flipV="1">
          <a:off x="3331148" y="1707213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104</xdr:row>
      <xdr:rowOff>196139</xdr:rowOff>
    </xdr:from>
    <xdr:to>
      <xdr:col>3</xdr:col>
      <xdr:colOff>0</xdr:colOff>
      <xdr:row>105</xdr:row>
      <xdr:rowOff>0</xdr:rowOff>
    </xdr:to>
    <xdr:cxnSp macro="">
      <xdr:nvCxnSpPr>
        <xdr:cNvPr id="83" name="Straight Arrow Connector 82">
          <a:extLst>
            <a:ext uri="{FF2B5EF4-FFF2-40B4-BE49-F238E27FC236}">
              <a16:creationId xmlns:a16="http://schemas.microsoft.com/office/drawing/2014/main" id="{F61F9915-47A4-5144-98D1-D7044EF77B91}"/>
            </a:ext>
          </a:extLst>
        </xdr:cNvPr>
        <xdr:cNvCxnSpPr/>
      </xdr:nvCxnSpPr>
      <xdr:spPr>
        <a:xfrm flipV="1">
          <a:off x="1332459" y="17060073"/>
          <a:ext cx="666230" cy="1205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84" name="Straight Arrow Connector 83">
          <a:extLst>
            <a:ext uri="{FF2B5EF4-FFF2-40B4-BE49-F238E27FC236}">
              <a16:creationId xmlns:a16="http://schemas.microsoft.com/office/drawing/2014/main" id="{88E60633-A9DB-B944-AAEC-3C585242D2A8}"/>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128</xdr:row>
      <xdr:rowOff>0</xdr:rowOff>
    </xdr:from>
    <xdr:to>
      <xdr:col>2</xdr:col>
      <xdr:colOff>671776</xdr:colOff>
      <xdr:row>128</xdr:row>
      <xdr:rowOff>4904</xdr:rowOff>
    </xdr:to>
    <xdr:cxnSp macro="">
      <xdr:nvCxnSpPr>
        <xdr:cNvPr id="132" name="Straight Arrow Connector 131">
          <a:extLst>
            <a:ext uri="{FF2B5EF4-FFF2-40B4-BE49-F238E27FC236}">
              <a16:creationId xmlns:a16="http://schemas.microsoft.com/office/drawing/2014/main" id="{92925413-C73D-EA43-B483-8A9680B469C1}"/>
            </a:ext>
          </a:extLst>
        </xdr:cNvPr>
        <xdr:cNvCxnSpPr/>
      </xdr:nvCxnSpPr>
      <xdr:spPr>
        <a:xfrm flipV="1">
          <a:off x="4730936" y="8021053"/>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128</xdr:row>
      <xdr:rowOff>0</xdr:rowOff>
    </xdr:from>
    <xdr:to>
      <xdr:col>5</xdr:col>
      <xdr:colOff>671776</xdr:colOff>
      <xdr:row>128</xdr:row>
      <xdr:rowOff>4904</xdr:rowOff>
    </xdr:to>
    <xdr:cxnSp macro="">
      <xdr:nvCxnSpPr>
        <xdr:cNvPr id="133" name="Straight Arrow Connector 132">
          <a:extLst>
            <a:ext uri="{FF2B5EF4-FFF2-40B4-BE49-F238E27FC236}">
              <a16:creationId xmlns:a16="http://schemas.microsoft.com/office/drawing/2014/main" id="{4D494AD7-7A77-DC48-BD43-51FF61605D39}"/>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340618</xdr:colOff>
      <xdr:row>126</xdr:row>
      <xdr:rowOff>0</xdr:rowOff>
    </xdr:from>
    <xdr:to>
      <xdr:col>4</xdr:col>
      <xdr:colOff>340618</xdr:colOff>
      <xdr:row>127</xdr:row>
      <xdr:rowOff>4137</xdr:rowOff>
    </xdr:to>
    <xdr:cxnSp macro="">
      <xdr:nvCxnSpPr>
        <xdr:cNvPr id="134" name="Straight Arrow Connector 133">
          <a:extLst>
            <a:ext uri="{FF2B5EF4-FFF2-40B4-BE49-F238E27FC236}">
              <a16:creationId xmlns:a16="http://schemas.microsoft.com/office/drawing/2014/main" id="{4B17931C-4B64-3F4B-B75A-314AA54FAC98}"/>
            </a:ext>
          </a:extLst>
        </xdr:cNvPr>
        <xdr:cNvCxnSpPr/>
      </xdr:nvCxnSpPr>
      <xdr:spPr>
        <a:xfrm flipV="1">
          <a:off x="6423250"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337970</xdr:colOff>
      <xdr:row>128</xdr:row>
      <xdr:rowOff>204367</xdr:rowOff>
    </xdr:from>
    <xdr:to>
      <xdr:col>3</xdr:col>
      <xdr:colOff>337970</xdr:colOff>
      <xdr:row>130</xdr:row>
      <xdr:rowOff>4137</xdr:rowOff>
    </xdr:to>
    <xdr:cxnSp macro="">
      <xdr:nvCxnSpPr>
        <xdr:cNvPr id="135" name="Straight Arrow Connector 134">
          <a:extLst>
            <a:ext uri="{FF2B5EF4-FFF2-40B4-BE49-F238E27FC236}">
              <a16:creationId xmlns:a16="http://schemas.microsoft.com/office/drawing/2014/main" id="{E56B8FCC-9395-674F-A90A-E45DD9A61717}"/>
            </a:ext>
          </a:extLst>
        </xdr:cNvPr>
        <xdr:cNvCxnSpPr/>
      </xdr:nvCxnSpPr>
      <xdr:spPr>
        <a:xfrm flipV="1">
          <a:off x="5744754" y="8225420"/>
          <a:ext cx="0" cy="2008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125</xdr:row>
      <xdr:rowOff>204367</xdr:rowOff>
    </xdr:from>
    <xdr:to>
      <xdr:col>3</xdr:col>
      <xdr:colOff>329617</xdr:colOff>
      <xdr:row>126</xdr:row>
      <xdr:rowOff>204368</xdr:rowOff>
    </xdr:to>
    <xdr:cxnSp macro="">
      <xdr:nvCxnSpPr>
        <xdr:cNvPr id="136" name="Straight Arrow Connector 135">
          <a:extLst>
            <a:ext uri="{FF2B5EF4-FFF2-40B4-BE49-F238E27FC236}">
              <a16:creationId xmlns:a16="http://schemas.microsoft.com/office/drawing/2014/main" id="{896BDDAD-2443-9944-8C09-DEB5A0381CBA}"/>
            </a:ext>
          </a:extLst>
        </xdr:cNvPr>
        <xdr:cNvCxnSpPr/>
      </xdr:nvCxnSpPr>
      <xdr:spPr>
        <a:xfrm>
          <a:off x="5736401" y="7623841"/>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337970</xdr:colOff>
      <xdr:row>128</xdr:row>
      <xdr:rowOff>204367</xdr:rowOff>
    </xdr:from>
    <xdr:to>
      <xdr:col>4</xdr:col>
      <xdr:colOff>337970</xdr:colOff>
      <xdr:row>130</xdr:row>
      <xdr:rowOff>4137</xdr:rowOff>
    </xdr:to>
    <xdr:cxnSp macro="">
      <xdr:nvCxnSpPr>
        <xdr:cNvPr id="137" name="Straight Arrow Connector 136">
          <a:extLst>
            <a:ext uri="{FF2B5EF4-FFF2-40B4-BE49-F238E27FC236}">
              <a16:creationId xmlns:a16="http://schemas.microsoft.com/office/drawing/2014/main" id="{84E09E3A-6DF8-8846-8970-9F21C7E560E1}"/>
            </a:ext>
          </a:extLst>
        </xdr:cNvPr>
        <xdr:cNvCxnSpPr/>
      </xdr:nvCxnSpPr>
      <xdr:spPr>
        <a:xfrm flipV="1">
          <a:off x="2365514" y="25901443"/>
          <a:ext cx="0" cy="20082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151</xdr:row>
      <xdr:rowOff>0</xdr:rowOff>
    </xdr:from>
    <xdr:to>
      <xdr:col>2</xdr:col>
      <xdr:colOff>671776</xdr:colOff>
      <xdr:row>151</xdr:row>
      <xdr:rowOff>4904</xdr:rowOff>
    </xdr:to>
    <xdr:cxnSp macro="">
      <xdr:nvCxnSpPr>
        <xdr:cNvPr id="138" name="Straight Arrow Connector 137">
          <a:extLst>
            <a:ext uri="{FF2B5EF4-FFF2-40B4-BE49-F238E27FC236}">
              <a16:creationId xmlns:a16="http://schemas.microsoft.com/office/drawing/2014/main" id="{5C37D7D2-89B6-9242-9473-49F6B93D253D}"/>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151</xdr:row>
      <xdr:rowOff>0</xdr:rowOff>
    </xdr:from>
    <xdr:to>
      <xdr:col>6</xdr:col>
      <xdr:colOff>0</xdr:colOff>
      <xdr:row>151</xdr:row>
      <xdr:rowOff>4904</xdr:rowOff>
    </xdr:to>
    <xdr:cxnSp macro="">
      <xdr:nvCxnSpPr>
        <xdr:cNvPr id="139" name="Straight Arrow Connector 138">
          <a:extLst>
            <a:ext uri="{FF2B5EF4-FFF2-40B4-BE49-F238E27FC236}">
              <a16:creationId xmlns:a16="http://schemas.microsoft.com/office/drawing/2014/main" id="{8AECA074-DEF9-FD42-B14D-1B7B258319D2}"/>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149</xdr:row>
      <xdr:rowOff>0</xdr:rowOff>
    </xdr:from>
    <xdr:to>
      <xdr:col>4</xdr:col>
      <xdr:colOff>0</xdr:colOff>
      <xdr:row>150</xdr:row>
      <xdr:rowOff>4137</xdr:rowOff>
    </xdr:to>
    <xdr:cxnSp macro="">
      <xdr:nvCxnSpPr>
        <xdr:cNvPr id="140" name="Straight Arrow Connector 139">
          <a:extLst>
            <a:ext uri="{FF2B5EF4-FFF2-40B4-BE49-F238E27FC236}">
              <a16:creationId xmlns:a16="http://schemas.microsoft.com/office/drawing/2014/main" id="{A253EE06-0BF4-2D46-B680-13063FF72060}"/>
            </a:ext>
          </a:extLst>
        </xdr:cNvPr>
        <xdr:cNvCxnSpPr/>
      </xdr:nvCxnSpPr>
      <xdr:spPr>
        <a:xfrm flipV="1">
          <a:off x="8110175"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174</xdr:row>
      <xdr:rowOff>0</xdr:rowOff>
    </xdr:from>
    <xdr:to>
      <xdr:col>3</xdr:col>
      <xdr:colOff>0</xdr:colOff>
      <xdr:row>174</xdr:row>
      <xdr:rowOff>4904</xdr:rowOff>
    </xdr:to>
    <xdr:cxnSp macro="">
      <xdr:nvCxnSpPr>
        <xdr:cNvPr id="141" name="Straight Arrow Connector 140">
          <a:extLst>
            <a:ext uri="{FF2B5EF4-FFF2-40B4-BE49-F238E27FC236}">
              <a16:creationId xmlns:a16="http://schemas.microsoft.com/office/drawing/2014/main" id="{022B324E-9449-2247-941C-330473CA6F6C}"/>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174</xdr:row>
      <xdr:rowOff>0</xdr:rowOff>
    </xdr:from>
    <xdr:to>
      <xdr:col>6</xdr:col>
      <xdr:colOff>0</xdr:colOff>
      <xdr:row>174</xdr:row>
      <xdr:rowOff>4904</xdr:rowOff>
    </xdr:to>
    <xdr:cxnSp macro="">
      <xdr:nvCxnSpPr>
        <xdr:cNvPr id="142" name="Straight Arrow Connector 141">
          <a:extLst>
            <a:ext uri="{FF2B5EF4-FFF2-40B4-BE49-F238E27FC236}">
              <a16:creationId xmlns:a16="http://schemas.microsoft.com/office/drawing/2014/main" id="{764E7DA6-F238-5546-B516-190B1E20CA91}"/>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329617</xdr:colOff>
      <xdr:row>174</xdr:row>
      <xdr:rowOff>204367</xdr:rowOff>
    </xdr:from>
    <xdr:to>
      <xdr:col>4</xdr:col>
      <xdr:colOff>329617</xdr:colOff>
      <xdr:row>175</xdr:row>
      <xdr:rowOff>204368</xdr:rowOff>
    </xdr:to>
    <xdr:cxnSp macro="">
      <xdr:nvCxnSpPr>
        <xdr:cNvPr id="143" name="Straight Arrow Connector 142">
          <a:extLst>
            <a:ext uri="{FF2B5EF4-FFF2-40B4-BE49-F238E27FC236}">
              <a16:creationId xmlns:a16="http://schemas.microsoft.com/office/drawing/2014/main" id="{57E5C51F-7009-6C43-9B3D-A4986BAA8CD8}"/>
            </a:ext>
          </a:extLst>
        </xdr:cNvPr>
        <xdr:cNvCxnSpPr/>
      </xdr:nvCxnSpPr>
      <xdr:spPr>
        <a:xfrm>
          <a:off x="2357161" y="25299864"/>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174</xdr:row>
      <xdr:rowOff>204367</xdr:rowOff>
    </xdr:from>
    <xdr:to>
      <xdr:col>3</xdr:col>
      <xdr:colOff>329617</xdr:colOff>
      <xdr:row>175</xdr:row>
      <xdr:rowOff>204368</xdr:rowOff>
    </xdr:to>
    <xdr:cxnSp macro="">
      <xdr:nvCxnSpPr>
        <xdr:cNvPr id="144" name="Straight Arrow Connector 143">
          <a:extLst>
            <a:ext uri="{FF2B5EF4-FFF2-40B4-BE49-F238E27FC236}">
              <a16:creationId xmlns:a16="http://schemas.microsoft.com/office/drawing/2014/main" id="{3A8336C1-04D7-6E4A-98D9-CDB87C34220F}"/>
            </a:ext>
          </a:extLst>
        </xdr:cNvPr>
        <xdr:cNvCxnSpPr/>
      </xdr:nvCxnSpPr>
      <xdr:spPr>
        <a:xfrm>
          <a:off x="3708857" y="35355887"/>
          <a:ext cx="0" cy="20052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197</xdr:row>
      <xdr:rowOff>0</xdr:rowOff>
    </xdr:from>
    <xdr:to>
      <xdr:col>3</xdr:col>
      <xdr:colOff>0</xdr:colOff>
      <xdr:row>197</xdr:row>
      <xdr:rowOff>4904</xdr:rowOff>
    </xdr:to>
    <xdr:cxnSp macro="">
      <xdr:nvCxnSpPr>
        <xdr:cNvPr id="145" name="Straight Arrow Connector 144">
          <a:extLst>
            <a:ext uri="{FF2B5EF4-FFF2-40B4-BE49-F238E27FC236}">
              <a16:creationId xmlns:a16="http://schemas.microsoft.com/office/drawing/2014/main" id="{089F5C95-3FF2-A74B-8733-A3EA2894C8C9}"/>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197</xdr:row>
      <xdr:rowOff>0</xdr:rowOff>
    </xdr:from>
    <xdr:to>
      <xdr:col>6</xdr:col>
      <xdr:colOff>0</xdr:colOff>
      <xdr:row>197</xdr:row>
      <xdr:rowOff>4904</xdr:rowOff>
    </xdr:to>
    <xdr:cxnSp macro="">
      <xdr:nvCxnSpPr>
        <xdr:cNvPr id="146" name="Straight Arrow Connector 145">
          <a:extLst>
            <a:ext uri="{FF2B5EF4-FFF2-40B4-BE49-F238E27FC236}">
              <a16:creationId xmlns:a16="http://schemas.microsoft.com/office/drawing/2014/main" id="{558479A4-7956-C444-9320-09062A07F309}"/>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197</xdr:row>
      <xdr:rowOff>202919</xdr:rowOff>
    </xdr:from>
    <xdr:to>
      <xdr:col>4</xdr:col>
      <xdr:colOff>0</xdr:colOff>
      <xdr:row>199</xdr:row>
      <xdr:rowOff>0</xdr:rowOff>
    </xdr:to>
    <xdr:cxnSp macro="">
      <xdr:nvCxnSpPr>
        <xdr:cNvPr id="147" name="Straight Arrow Connector 146">
          <a:extLst>
            <a:ext uri="{FF2B5EF4-FFF2-40B4-BE49-F238E27FC236}">
              <a16:creationId xmlns:a16="http://schemas.microsoft.com/office/drawing/2014/main" id="{AF2E29D8-13D7-1341-B999-4C8B90DC90C9}"/>
            </a:ext>
          </a:extLst>
        </xdr:cNvPr>
        <xdr:cNvCxnSpPr/>
      </xdr:nvCxnSpPr>
      <xdr:spPr>
        <a:xfrm>
          <a:off x="12165263" y="8223972"/>
          <a:ext cx="0" cy="19813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220</xdr:row>
      <xdr:rowOff>0</xdr:rowOff>
    </xdr:from>
    <xdr:to>
      <xdr:col>3</xdr:col>
      <xdr:colOff>0</xdr:colOff>
      <xdr:row>220</xdr:row>
      <xdr:rowOff>4904</xdr:rowOff>
    </xdr:to>
    <xdr:cxnSp macro="">
      <xdr:nvCxnSpPr>
        <xdr:cNvPr id="148" name="Straight Arrow Connector 147">
          <a:extLst>
            <a:ext uri="{FF2B5EF4-FFF2-40B4-BE49-F238E27FC236}">
              <a16:creationId xmlns:a16="http://schemas.microsoft.com/office/drawing/2014/main" id="{902878CB-4518-A044-B67D-1CFE193E6F65}"/>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220</xdr:row>
      <xdr:rowOff>0</xdr:rowOff>
    </xdr:from>
    <xdr:to>
      <xdr:col>6</xdr:col>
      <xdr:colOff>0</xdr:colOff>
      <xdr:row>220</xdr:row>
      <xdr:rowOff>4904</xdr:rowOff>
    </xdr:to>
    <xdr:cxnSp macro="">
      <xdr:nvCxnSpPr>
        <xdr:cNvPr id="149" name="Straight Arrow Connector 148">
          <a:extLst>
            <a:ext uri="{FF2B5EF4-FFF2-40B4-BE49-F238E27FC236}">
              <a16:creationId xmlns:a16="http://schemas.microsoft.com/office/drawing/2014/main" id="{C14A4066-E3DC-4448-82B5-5641FE439A3D}"/>
            </a:ext>
          </a:extLst>
        </xdr:cNvPr>
        <xdr:cNvCxnSpPr/>
      </xdr:nvCxnSpPr>
      <xdr:spPr>
        <a:xfrm flipV="1">
          <a:off x="14868655"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128</xdr:row>
      <xdr:rowOff>0</xdr:rowOff>
    </xdr:from>
    <xdr:to>
      <xdr:col>21</xdr:col>
      <xdr:colOff>671776</xdr:colOff>
      <xdr:row>128</xdr:row>
      <xdr:rowOff>4904</xdr:rowOff>
    </xdr:to>
    <xdr:cxnSp macro="">
      <xdr:nvCxnSpPr>
        <xdr:cNvPr id="156" name="Straight Arrow Connector 155">
          <a:extLst>
            <a:ext uri="{FF2B5EF4-FFF2-40B4-BE49-F238E27FC236}">
              <a16:creationId xmlns:a16="http://schemas.microsoft.com/office/drawing/2014/main" id="{8DCB51FA-643D-504B-849C-77C2B20C8D9E}"/>
            </a:ext>
          </a:extLst>
        </xdr:cNvPr>
        <xdr:cNvCxnSpPr/>
      </xdr:nvCxnSpPr>
      <xdr:spPr>
        <a:xfrm flipV="1">
          <a:off x="4741333" y="790222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671776</xdr:colOff>
      <xdr:row>128</xdr:row>
      <xdr:rowOff>0</xdr:rowOff>
    </xdr:from>
    <xdr:to>
      <xdr:col>24</xdr:col>
      <xdr:colOff>671776</xdr:colOff>
      <xdr:row>128</xdr:row>
      <xdr:rowOff>4904</xdr:rowOff>
    </xdr:to>
    <xdr:cxnSp macro="">
      <xdr:nvCxnSpPr>
        <xdr:cNvPr id="157" name="Straight Arrow Connector 156">
          <a:extLst>
            <a:ext uri="{FF2B5EF4-FFF2-40B4-BE49-F238E27FC236}">
              <a16:creationId xmlns:a16="http://schemas.microsoft.com/office/drawing/2014/main" id="{64D599E9-D24D-4C4C-BDBD-29D491BD3C90}"/>
            </a:ext>
          </a:extLst>
        </xdr:cNvPr>
        <xdr:cNvCxnSpPr/>
      </xdr:nvCxnSpPr>
      <xdr:spPr>
        <a:xfrm flipV="1">
          <a:off x="6767776" y="7902222"/>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0</xdr:colOff>
      <xdr:row>128</xdr:row>
      <xdr:rowOff>0</xdr:rowOff>
    </xdr:from>
    <xdr:to>
      <xdr:col>28</xdr:col>
      <xdr:colOff>0</xdr:colOff>
      <xdr:row>128</xdr:row>
      <xdr:rowOff>4904</xdr:rowOff>
    </xdr:to>
    <xdr:cxnSp macro="">
      <xdr:nvCxnSpPr>
        <xdr:cNvPr id="158" name="Straight Arrow Connector 157">
          <a:extLst>
            <a:ext uri="{FF2B5EF4-FFF2-40B4-BE49-F238E27FC236}">
              <a16:creationId xmlns:a16="http://schemas.microsoft.com/office/drawing/2014/main" id="{308A6AAC-AF93-D84E-9A0B-09F9D1095629}"/>
            </a:ext>
          </a:extLst>
        </xdr:cNvPr>
        <xdr:cNvCxnSpPr/>
      </xdr:nvCxnSpPr>
      <xdr:spPr>
        <a:xfrm flipV="1">
          <a:off x="8805333" y="7902222"/>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126</xdr:row>
      <xdr:rowOff>0</xdr:rowOff>
    </xdr:from>
    <xdr:to>
      <xdr:col>26</xdr:col>
      <xdr:colOff>0</xdr:colOff>
      <xdr:row>127</xdr:row>
      <xdr:rowOff>4137</xdr:rowOff>
    </xdr:to>
    <xdr:cxnSp macro="">
      <xdr:nvCxnSpPr>
        <xdr:cNvPr id="159" name="Straight Arrow Connector 158">
          <a:extLst>
            <a:ext uri="{FF2B5EF4-FFF2-40B4-BE49-F238E27FC236}">
              <a16:creationId xmlns:a16="http://schemas.microsoft.com/office/drawing/2014/main" id="{351901F6-E4DE-D949-8A0D-CF81C7CA1D6A}"/>
            </a:ext>
          </a:extLst>
        </xdr:cNvPr>
        <xdr:cNvCxnSpPr/>
      </xdr:nvCxnSpPr>
      <xdr:spPr>
        <a:xfrm flipV="1">
          <a:off x="8128000"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335750</xdr:colOff>
      <xdr:row>129</xdr:row>
      <xdr:rowOff>1421</xdr:rowOff>
    </xdr:from>
    <xdr:to>
      <xdr:col>28</xdr:col>
      <xdr:colOff>336553</xdr:colOff>
      <xdr:row>132</xdr:row>
      <xdr:rowOff>1422</xdr:rowOff>
    </xdr:to>
    <xdr:sp macro="" textlink="">
      <xdr:nvSpPr>
        <xdr:cNvPr id="160" name="Left Bracket 159">
          <a:extLst>
            <a:ext uri="{FF2B5EF4-FFF2-40B4-BE49-F238E27FC236}">
              <a16:creationId xmlns:a16="http://schemas.microsoft.com/office/drawing/2014/main" id="{02761484-F1FB-2F45-A591-A7AE3EF7BA9D}"/>
            </a:ext>
          </a:extLst>
        </xdr:cNvPr>
        <xdr:cNvSpPr/>
      </xdr:nvSpPr>
      <xdr:spPr>
        <a:xfrm rot="16200000">
          <a:off x="7829151" y="6703798"/>
          <a:ext cx="592667" cy="3387470"/>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23</xdr:col>
      <xdr:colOff>340618</xdr:colOff>
      <xdr:row>126</xdr:row>
      <xdr:rowOff>0</xdr:rowOff>
    </xdr:from>
    <xdr:to>
      <xdr:col>23</xdr:col>
      <xdr:colOff>340618</xdr:colOff>
      <xdr:row>127</xdr:row>
      <xdr:rowOff>4137</xdr:rowOff>
    </xdr:to>
    <xdr:cxnSp macro="">
      <xdr:nvCxnSpPr>
        <xdr:cNvPr id="161" name="Straight Arrow Connector 160">
          <a:extLst>
            <a:ext uri="{FF2B5EF4-FFF2-40B4-BE49-F238E27FC236}">
              <a16:creationId xmlns:a16="http://schemas.microsoft.com/office/drawing/2014/main" id="{1F819576-D5E1-B146-B11A-B6397023D90F}"/>
            </a:ext>
          </a:extLst>
        </xdr:cNvPr>
        <xdr:cNvCxnSpPr/>
      </xdr:nvCxnSpPr>
      <xdr:spPr>
        <a:xfrm flipV="1">
          <a:off x="6436618"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337970</xdr:colOff>
      <xdr:row>128</xdr:row>
      <xdr:rowOff>204367</xdr:rowOff>
    </xdr:from>
    <xdr:to>
      <xdr:col>22</xdr:col>
      <xdr:colOff>337970</xdr:colOff>
      <xdr:row>130</xdr:row>
      <xdr:rowOff>4137</xdr:rowOff>
    </xdr:to>
    <xdr:cxnSp macro="">
      <xdr:nvCxnSpPr>
        <xdr:cNvPr id="162" name="Straight Arrow Connector 161">
          <a:extLst>
            <a:ext uri="{FF2B5EF4-FFF2-40B4-BE49-F238E27FC236}">
              <a16:creationId xmlns:a16="http://schemas.microsoft.com/office/drawing/2014/main" id="{5E389E03-2B62-A34A-92C8-5A6AE5389656}"/>
            </a:ext>
          </a:extLst>
        </xdr:cNvPr>
        <xdr:cNvCxnSpPr/>
      </xdr:nvCxnSpPr>
      <xdr:spPr>
        <a:xfrm flipV="1">
          <a:off x="5756637" y="8106589"/>
          <a:ext cx="0" cy="19488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329617</xdr:colOff>
      <xdr:row>125</xdr:row>
      <xdr:rowOff>204367</xdr:rowOff>
    </xdr:from>
    <xdr:to>
      <xdr:col>22</xdr:col>
      <xdr:colOff>329617</xdr:colOff>
      <xdr:row>126</xdr:row>
      <xdr:rowOff>204368</xdr:rowOff>
    </xdr:to>
    <xdr:cxnSp macro="">
      <xdr:nvCxnSpPr>
        <xdr:cNvPr id="163" name="Straight Arrow Connector 162">
          <a:extLst>
            <a:ext uri="{FF2B5EF4-FFF2-40B4-BE49-F238E27FC236}">
              <a16:creationId xmlns:a16="http://schemas.microsoft.com/office/drawing/2014/main" id="{A01D5CAA-F368-8043-9703-6B9CC0848A92}"/>
            </a:ext>
          </a:extLst>
        </xdr:cNvPr>
        <xdr:cNvCxnSpPr/>
      </xdr:nvCxnSpPr>
      <xdr:spPr>
        <a:xfrm>
          <a:off x="5748284" y="7513923"/>
          <a:ext cx="0" cy="19755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128</xdr:row>
      <xdr:rowOff>0</xdr:rowOff>
    </xdr:from>
    <xdr:to>
      <xdr:col>31</xdr:col>
      <xdr:colOff>0</xdr:colOff>
      <xdr:row>128</xdr:row>
      <xdr:rowOff>4904</xdr:rowOff>
    </xdr:to>
    <xdr:cxnSp macro="">
      <xdr:nvCxnSpPr>
        <xdr:cNvPr id="164" name="Straight Arrow Connector 163">
          <a:extLst>
            <a:ext uri="{FF2B5EF4-FFF2-40B4-BE49-F238E27FC236}">
              <a16:creationId xmlns:a16="http://schemas.microsoft.com/office/drawing/2014/main" id="{D5ACA9A2-4733-9643-BE78-B41DC5DA628A}"/>
            </a:ext>
          </a:extLst>
        </xdr:cNvPr>
        <xdr:cNvCxnSpPr/>
      </xdr:nvCxnSpPr>
      <xdr:spPr>
        <a:xfrm flipV="1">
          <a:off x="3349451" y="36425275"/>
          <a:ext cx="66989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329617</xdr:colOff>
      <xdr:row>128</xdr:row>
      <xdr:rowOff>204367</xdr:rowOff>
    </xdr:from>
    <xdr:to>
      <xdr:col>29</xdr:col>
      <xdr:colOff>329617</xdr:colOff>
      <xdr:row>129</xdr:row>
      <xdr:rowOff>204368</xdr:rowOff>
    </xdr:to>
    <xdr:cxnSp macro="">
      <xdr:nvCxnSpPr>
        <xdr:cNvPr id="165" name="Straight Arrow Connector 164">
          <a:extLst>
            <a:ext uri="{FF2B5EF4-FFF2-40B4-BE49-F238E27FC236}">
              <a16:creationId xmlns:a16="http://schemas.microsoft.com/office/drawing/2014/main" id="{FAAA9C20-7ED9-9048-8037-1DAF04AC7E40}"/>
            </a:ext>
          </a:extLst>
        </xdr:cNvPr>
        <xdr:cNvCxnSpPr/>
      </xdr:nvCxnSpPr>
      <xdr:spPr>
        <a:xfrm>
          <a:off x="3009177" y="36629642"/>
          <a:ext cx="0" cy="20934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80964</xdr:colOff>
      <xdr:row>131</xdr:row>
      <xdr:rowOff>179041</xdr:rowOff>
    </xdr:from>
    <xdr:ext cx="6883063" cy="252826"/>
    <mc:AlternateContent xmlns:mc="http://schemas.openxmlformats.org/markup-compatibility/2006" xmlns:a14="http://schemas.microsoft.com/office/drawing/2010/main">
      <mc:Choice Requires="a14">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600" b="0" i="1">
                        <a:latin typeface="Cambria Math" panose="02040503050406030204" pitchFamily="18" charset="0"/>
                      </a:rPr>
                      <m:t>1.08 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3</m:t>
                        </m:r>
                      </m:sub>
                    </m:sSub>
                    <m:r>
                      <a:rPr lang="es-ES" sz="1600" b="0" i="1">
                        <a:latin typeface="Cambria Math" panose="02040503050406030204" pitchFamily="18" charset="0"/>
                      </a:rPr>
                      <m:t>𝑂𝐻</m:t>
                    </m:r>
                    <m:r>
                      <a:rPr lang="es-ES" sz="1600" b="0" i="1">
                        <a:latin typeface="Cambria Math" panose="02040503050406030204" pitchFamily="18" charset="0"/>
                      </a:rPr>
                      <m:t>+</m:t>
                    </m:r>
                    <m:r>
                      <a:rPr lang="es-ES" sz="1600" b="0" i="1">
                        <a:latin typeface="Cambria Math" panose="02040503050406030204" pitchFamily="18" charset="0"/>
                      </a:rPr>
                      <m:t>𝑁</m:t>
                    </m:r>
                    <m:sSubSup>
                      <m:sSubSupPr>
                        <m:ctrlPr>
                          <a:rPr lang="es-ES" sz="1600" b="0" i="1">
                            <a:latin typeface="Cambria Math" panose="02040503050406030204" pitchFamily="18" charset="0"/>
                          </a:rPr>
                        </m:ctrlPr>
                      </m:sSubSupPr>
                      <m:e>
                        <m:r>
                          <a:rPr lang="es-ES" sz="1600" b="0" i="1">
                            <a:latin typeface="Cambria Math" panose="02040503050406030204" pitchFamily="18" charset="0"/>
                          </a:rPr>
                          <m:t>𝑂</m:t>
                        </m:r>
                      </m:e>
                      <m:sub>
                        <m:r>
                          <a:rPr lang="es-ES" sz="1600" b="0" i="1">
                            <a:latin typeface="Cambria Math" panose="02040503050406030204" pitchFamily="18" charset="0"/>
                          </a:rPr>
                          <m:t>3</m:t>
                        </m:r>
                      </m:sub>
                      <m:sup>
                        <m:r>
                          <a:rPr lang="es-ES" sz="1600" b="0" i="1">
                            <a:latin typeface="Cambria Math" panose="02040503050406030204" pitchFamily="18" charset="0"/>
                          </a:rPr>
                          <m:t>−</m:t>
                        </m:r>
                      </m:sup>
                    </m:sSubSup>
                    <m:r>
                      <a:rPr lang="es-ES" sz="1600" b="0" i="1">
                        <a:latin typeface="Cambria Math" panose="02040503050406030204" pitchFamily="18" charset="0"/>
                      </a:rPr>
                      <m:t>+</m:t>
                    </m:r>
                    <m:sSup>
                      <m:sSupPr>
                        <m:ctrlPr>
                          <a:rPr lang="es-ES" sz="1600" b="0" i="1">
                            <a:latin typeface="Cambria Math" panose="02040503050406030204" pitchFamily="18" charset="0"/>
                          </a:rPr>
                        </m:ctrlPr>
                      </m:sSupPr>
                      <m:e>
                        <m:r>
                          <a:rPr lang="es-ES" sz="1600" b="0" i="1">
                            <a:latin typeface="Cambria Math" panose="02040503050406030204" pitchFamily="18" charset="0"/>
                          </a:rPr>
                          <m:t>𝐻</m:t>
                        </m:r>
                      </m:e>
                      <m:sup>
                        <m:r>
                          <a:rPr lang="es-ES" sz="1600" b="0" i="1">
                            <a:latin typeface="Cambria Math" panose="02040503050406030204" pitchFamily="18" charset="0"/>
                          </a:rPr>
                          <m:t>+</m:t>
                        </m:r>
                      </m:sup>
                    </m:sSup>
                    <m:r>
                      <a:rPr lang="es-ES" sz="1600" b="0" i="1">
                        <a:latin typeface="Cambria Math" panose="02040503050406030204" pitchFamily="18" charset="0"/>
                      </a:rPr>
                      <m:t>→0.065</m:t>
                    </m:r>
                    <m:sSub>
                      <m:sSubPr>
                        <m:ctrlPr>
                          <a:rPr lang="es-ES" sz="1600" b="0" i="1">
                            <a:latin typeface="Cambria Math" panose="02040503050406030204" pitchFamily="18" charset="0"/>
                          </a:rPr>
                        </m:ctrlPr>
                      </m:sSubPr>
                      <m:e>
                        <m:r>
                          <a:rPr lang="es-ES" sz="1600" b="0" i="1">
                            <a:latin typeface="Cambria Math" panose="02040503050406030204" pitchFamily="18" charset="0"/>
                          </a:rPr>
                          <m:t> </m:t>
                        </m:r>
                        <m:r>
                          <a:rPr lang="es-ES" sz="1600" b="0" i="1">
                            <a:latin typeface="Cambria Math" panose="02040503050406030204" pitchFamily="18" charset="0"/>
                          </a:rPr>
                          <m:t>𝐶</m:t>
                        </m:r>
                      </m:e>
                      <m:sub>
                        <m:r>
                          <a:rPr lang="es-ES" sz="1600" b="0" i="1">
                            <a:latin typeface="Cambria Math" panose="02040503050406030204" pitchFamily="18" charset="0"/>
                          </a:rPr>
                          <m:t>5</m:t>
                        </m:r>
                      </m:sub>
                    </m:sSub>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7</m:t>
                        </m:r>
                      </m:sub>
                    </m:sSub>
                    <m:r>
                      <a:rPr lang="es-ES" sz="1600" b="0" i="1">
                        <a:latin typeface="Cambria Math" panose="02040503050406030204" pitchFamily="18" charset="0"/>
                      </a:rPr>
                      <m:t>𝑁</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+0.47 </m:t>
                    </m:r>
                    <m:sSub>
                      <m:sSubPr>
                        <m:ctrlPr>
                          <a:rPr lang="es-ES" sz="1600" b="0" i="1">
                            <a:latin typeface="Cambria Math" panose="02040503050406030204" pitchFamily="18" charset="0"/>
                          </a:rPr>
                        </m:ctrlPr>
                      </m:sSubPr>
                      <m:e>
                        <m:r>
                          <a:rPr lang="es-ES" sz="1600" b="0" i="1">
                            <a:latin typeface="Cambria Math" panose="02040503050406030204" pitchFamily="18" charset="0"/>
                          </a:rPr>
                          <m:t>𝑁</m:t>
                        </m:r>
                      </m:e>
                      <m:sub>
                        <m:r>
                          <a:rPr lang="es-ES" sz="1600" b="0" i="1">
                            <a:latin typeface="Cambria Math" panose="02040503050406030204" pitchFamily="18" charset="0"/>
                          </a:rPr>
                          <m:t>2</m:t>
                        </m:r>
                      </m:sub>
                    </m:sSub>
                    <m:r>
                      <a:rPr lang="es-ES" sz="1600" b="0" i="1">
                        <a:latin typeface="Cambria Math" panose="02040503050406030204" pitchFamily="18" charset="0"/>
                      </a:rPr>
                      <m:t>+0.76 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+2.44 </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2</m:t>
                        </m:r>
                      </m:sub>
                    </m:sSub>
                    <m:r>
                      <a:rPr lang="es-ES" sz="1600" b="0" i="1">
                        <a:latin typeface="Cambria Math" panose="02040503050406030204" pitchFamily="18" charset="0"/>
                      </a:rPr>
                      <m:t>𝑂</m:t>
                    </m:r>
                  </m:oMath>
                </m:oMathPara>
              </a14:m>
              <a:endParaRPr lang="en-GB" sz="1600"/>
            </a:p>
          </xdr:txBody>
        </xdr:sp>
      </mc:Choice>
      <mc:Fallback xmlns="">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600" b="0" i="0">
                  <a:latin typeface="Cambria Math" panose="02040503050406030204" pitchFamily="18" charset="0"/>
                </a:rPr>
                <a:t>1.08 𝐶𝐻_3 𝑂𝐻+𝑁𝑂_3^−+𝐻^+→0.065〖 𝐶〗_5 𝐻_7 𝑁𝑂_2+0.47 𝑁_2+0.76 𝐶𝑂_2+2.44 𝐻_2 𝑂</a:t>
              </a:r>
              <a:endParaRPr lang="en-GB" sz="1600"/>
            </a:p>
          </xdr:txBody>
        </xdr:sp>
      </mc:Fallback>
    </mc:AlternateContent>
    <xdr:clientData/>
  </xdr:oneCellAnchor>
  <xdr:oneCellAnchor>
    <xdr:from>
      <xdr:col>32</xdr:col>
      <xdr:colOff>395724</xdr:colOff>
      <xdr:row>146</xdr:row>
      <xdr:rowOff>184058</xdr:rowOff>
    </xdr:from>
    <xdr:ext cx="6883063" cy="252826"/>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55E3B8BC-B2E6-7D48-8817-91DE1FD5B2F7}"/>
                </a:ext>
              </a:extLst>
            </xdr:cNvPr>
            <xdr:cNvSpPr txBox="1"/>
          </xdr:nvSpPr>
          <xdr:spPr>
            <a:xfrm>
              <a:off x="22832391" y="29771377"/>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600" b="0" i="1">
                        <a:latin typeface="Cambria Math" panose="02040503050406030204" pitchFamily="18" charset="0"/>
                      </a:rPr>
                      <m:t>1.08 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3</m:t>
                        </m:r>
                      </m:sub>
                    </m:sSub>
                    <m:r>
                      <a:rPr lang="es-ES" sz="1600" b="0" i="1">
                        <a:latin typeface="Cambria Math" panose="02040503050406030204" pitchFamily="18" charset="0"/>
                      </a:rPr>
                      <m:t>𝑂𝐻</m:t>
                    </m:r>
                    <m:r>
                      <a:rPr lang="es-ES" sz="1600" b="0" i="1">
                        <a:latin typeface="Cambria Math" panose="02040503050406030204" pitchFamily="18" charset="0"/>
                      </a:rPr>
                      <m:t>+</m:t>
                    </m:r>
                    <m:r>
                      <a:rPr lang="es-ES" sz="1600" b="0" i="1">
                        <a:latin typeface="Cambria Math" panose="02040503050406030204" pitchFamily="18" charset="0"/>
                      </a:rPr>
                      <m:t>𝑁</m:t>
                    </m:r>
                    <m:sSubSup>
                      <m:sSubSupPr>
                        <m:ctrlPr>
                          <a:rPr lang="es-ES" sz="1600" b="0" i="1">
                            <a:latin typeface="Cambria Math" panose="02040503050406030204" pitchFamily="18" charset="0"/>
                          </a:rPr>
                        </m:ctrlPr>
                      </m:sSubSupPr>
                      <m:e>
                        <m:r>
                          <a:rPr lang="es-ES" sz="1600" b="0" i="1">
                            <a:latin typeface="Cambria Math" panose="02040503050406030204" pitchFamily="18" charset="0"/>
                          </a:rPr>
                          <m:t>𝑂</m:t>
                        </m:r>
                      </m:e>
                      <m:sub>
                        <m:r>
                          <a:rPr lang="es-ES" sz="1600" b="0" i="1">
                            <a:latin typeface="Cambria Math" panose="02040503050406030204" pitchFamily="18" charset="0"/>
                          </a:rPr>
                          <m:t>3</m:t>
                        </m:r>
                      </m:sub>
                      <m:sup>
                        <m:r>
                          <a:rPr lang="es-ES" sz="1600" b="0" i="1">
                            <a:latin typeface="Cambria Math" panose="02040503050406030204" pitchFamily="18" charset="0"/>
                          </a:rPr>
                          <m:t>−</m:t>
                        </m:r>
                      </m:sup>
                    </m:sSubSup>
                    <m:r>
                      <a:rPr lang="es-ES" sz="1600" b="0" i="1">
                        <a:latin typeface="Cambria Math" panose="02040503050406030204" pitchFamily="18" charset="0"/>
                      </a:rPr>
                      <m:t>+</m:t>
                    </m:r>
                    <m:sSup>
                      <m:sSupPr>
                        <m:ctrlPr>
                          <a:rPr lang="es-ES" sz="1600" b="0" i="1">
                            <a:latin typeface="Cambria Math" panose="02040503050406030204" pitchFamily="18" charset="0"/>
                          </a:rPr>
                        </m:ctrlPr>
                      </m:sSupPr>
                      <m:e>
                        <m:r>
                          <a:rPr lang="es-ES" sz="1600" b="0" i="1">
                            <a:latin typeface="Cambria Math" panose="02040503050406030204" pitchFamily="18" charset="0"/>
                          </a:rPr>
                          <m:t>𝐻</m:t>
                        </m:r>
                      </m:e>
                      <m:sup>
                        <m:r>
                          <a:rPr lang="es-ES" sz="1600" b="0" i="1">
                            <a:latin typeface="Cambria Math" panose="02040503050406030204" pitchFamily="18" charset="0"/>
                          </a:rPr>
                          <m:t>+</m:t>
                        </m:r>
                      </m:sup>
                    </m:sSup>
                    <m:r>
                      <a:rPr lang="es-ES" sz="1600" b="0" i="1">
                        <a:latin typeface="Cambria Math" panose="02040503050406030204" pitchFamily="18" charset="0"/>
                      </a:rPr>
                      <m:t>→0.065</m:t>
                    </m:r>
                    <m:sSub>
                      <m:sSubPr>
                        <m:ctrlPr>
                          <a:rPr lang="es-ES" sz="1600" b="0" i="1">
                            <a:latin typeface="Cambria Math" panose="02040503050406030204" pitchFamily="18" charset="0"/>
                          </a:rPr>
                        </m:ctrlPr>
                      </m:sSubPr>
                      <m:e>
                        <m:r>
                          <a:rPr lang="es-ES" sz="1600" b="0" i="1">
                            <a:latin typeface="Cambria Math" panose="02040503050406030204" pitchFamily="18" charset="0"/>
                          </a:rPr>
                          <m:t> </m:t>
                        </m:r>
                        <m:r>
                          <a:rPr lang="es-ES" sz="1600" b="0" i="1">
                            <a:latin typeface="Cambria Math" panose="02040503050406030204" pitchFamily="18" charset="0"/>
                          </a:rPr>
                          <m:t>𝐶</m:t>
                        </m:r>
                      </m:e>
                      <m:sub>
                        <m:r>
                          <a:rPr lang="es-ES" sz="1600" b="0" i="1">
                            <a:latin typeface="Cambria Math" panose="02040503050406030204" pitchFamily="18" charset="0"/>
                          </a:rPr>
                          <m:t>5</m:t>
                        </m:r>
                      </m:sub>
                    </m:sSub>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7</m:t>
                        </m:r>
                      </m:sub>
                    </m:sSub>
                    <m:r>
                      <a:rPr lang="es-ES" sz="1600" b="0" i="1">
                        <a:latin typeface="Cambria Math" panose="02040503050406030204" pitchFamily="18" charset="0"/>
                      </a:rPr>
                      <m:t>𝑁</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+0.47 </m:t>
                    </m:r>
                    <m:sSub>
                      <m:sSubPr>
                        <m:ctrlPr>
                          <a:rPr lang="es-ES" sz="1600" b="0" i="1">
                            <a:latin typeface="Cambria Math" panose="02040503050406030204" pitchFamily="18" charset="0"/>
                          </a:rPr>
                        </m:ctrlPr>
                      </m:sSubPr>
                      <m:e>
                        <m:r>
                          <a:rPr lang="es-ES" sz="1600" b="0" i="1">
                            <a:latin typeface="Cambria Math" panose="02040503050406030204" pitchFamily="18" charset="0"/>
                          </a:rPr>
                          <m:t>𝑁</m:t>
                        </m:r>
                      </m:e>
                      <m:sub>
                        <m:r>
                          <a:rPr lang="es-ES" sz="1600" b="0" i="1">
                            <a:latin typeface="Cambria Math" panose="02040503050406030204" pitchFamily="18" charset="0"/>
                          </a:rPr>
                          <m:t>2</m:t>
                        </m:r>
                      </m:sub>
                    </m:sSub>
                    <m:r>
                      <a:rPr lang="es-ES" sz="1600" b="0" i="1">
                        <a:latin typeface="Cambria Math" panose="02040503050406030204" pitchFamily="18" charset="0"/>
                      </a:rPr>
                      <m:t>+0.76 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+2.44 </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2</m:t>
                        </m:r>
                      </m:sub>
                    </m:sSub>
                    <m:r>
                      <a:rPr lang="es-ES" sz="1600" b="0" i="1">
                        <a:latin typeface="Cambria Math" panose="02040503050406030204" pitchFamily="18" charset="0"/>
                      </a:rPr>
                      <m:t>𝑂</m:t>
                    </m:r>
                  </m:oMath>
                </m:oMathPara>
              </a14:m>
              <a:endParaRPr lang="en-GB" sz="1600"/>
            </a:p>
          </xdr:txBody>
        </xdr:sp>
      </mc:Choice>
      <mc:Fallback xmlns="">
        <xdr:sp macro="" textlink="">
          <xdr:nvSpPr>
            <xdr:cNvPr id="25" name="TextBox 24">
              <a:extLst>
                <a:ext uri="{FF2B5EF4-FFF2-40B4-BE49-F238E27FC236}">
                  <a16:creationId xmlns:a16="http://schemas.microsoft.com/office/drawing/2014/main" id="{55E3B8BC-B2E6-7D48-8817-91DE1FD5B2F7}"/>
                </a:ext>
              </a:extLst>
            </xdr:cNvPr>
            <xdr:cNvSpPr txBox="1"/>
          </xdr:nvSpPr>
          <xdr:spPr>
            <a:xfrm>
              <a:off x="22832391" y="29771377"/>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600" b="0" i="0">
                  <a:latin typeface="Cambria Math" panose="02040503050406030204" pitchFamily="18" charset="0"/>
                </a:rPr>
                <a:t>1.08 𝐶𝐻_3 𝑂𝐻+𝑁𝑂_3^−+𝐻^+→0.065〖 𝐶〗_5 𝐻_7 𝑁𝑂_2+0.47 𝑁_2+0.76 𝐶𝑂_2+2.44 𝐻_2 𝑂</a:t>
              </a:r>
              <a:endParaRPr lang="en-GB" sz="1600"/>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CE94-4BA1-F54A-B931-36FEE5CA35E9}">
  <dimension ref="B3:V80"/>
  <sheetViews>
    <sheetView topLeftCell="B2" zoomScale="142" zoomScaleNormal="173" workbookViewId="0">
      <selection activeCell="M70" sqref="M70"/>
    </sheetView>
  </sheetViews>
  <sheetFormatPr baseColWidth="10" defaultRowHeight="15.75" x14ac:dyDescent="0.25"/>
  <cols>
    <col min="2" max="2" width="10.875" customWidth="1"/>
    <col min="4" max="4" width="10.875" customWidth="1"/>
    <col min="8" max="8" width="11.875" customWidth="1"/>
    <col min="13" max="13" width="12.875" bestFit="1" customWidth="1"/>
  </cols>
  <sheetData>
    <row r="3" spans="5:22" x14ac:dyDescent="0.25">
      <c r="E3" s="411" t="s">
        <v>19</v>
      </c>
      <c r="F3" s="411"/>
      <c r="G3" s="411"/>
      <c r="H3" s="411"/>
      <c r="I3" s="411"/>
      <c r="K3" s="406" t="s">
        <v>176</v>
      </c>
      <c r="L3" s="406"/>
      <c r="M3" s="406"/>
      <c r="N3" s="406" t="s">
        <v>200</v>
      </c>
      <c r="O3" s="406"/>
      <c r="S3" s="406" t="s">
        <v>199</v>
      </c>
      <c r="T3" s="406"/>
      <c r="U3" s="406"/>
      <c r="V3" s="406"/>
    </row>
    <row r="4" spans="5:22" x14ac:dyDescent="0.25">
      <c r="E4" s="465" t="s">
        <v>1</v>
      </c>
      <c r="F4" s="465"/>
      <c r="G4" s="466"/>
      <c r="H4" s="419" t="s">
        <v>17</v>
      </c>
      <c r="I4" s="419" t="s">
        <v>18</v>
      </c>
      <c r="K4" s="419" t="s">
        <v>163</v>
      </c>
      <c r="L4" s="419" t="s">
        <v>17</v>
      </c>
      <c r="M4" s="419" t="s">
        <v>18</v>
      </c>
      <c r="N4" s="419" t="s">
        <v>17</v>
      </c>
      <c r="O4" s="419" t="s">
        <v>18</v>
      </c>
      <c r="S4" s="81" t="s">
        <v>23</v>
      </c>
      <c r="T4" s="80" t="s">
        <v>29</v>
      </c>
      <c r="U4" s="80" t="s">
        <v>131</v>
      </c>
      <c r="V4" s="80" t="s">
        <v>132</v>
      </c>
    </row>
    <row r="5" spans="5:22" x14ac:dyDescent="0.25">
      <c r="E5" s="467"/>
      <c r="F5" s="467"/>
      <c r="G5" s="468"/>
      <c r="H5" s="419"/>
      <c r="I5" s="419"/>
      <c r="K5" s="419"/>
      <c r="L5" s="419"/>
      <c r="M5" s="419"/>
      <c r="N5" s="419"/>
      <c r="O5" s="419"/>
      <c r="S5" s="29" t="s">
        <v>31</v>
      </c>
      <c r="T5" s="102" t="s">
        <v>33</v>
      </c>
      <c r="U5" s="1">
        <v>198</v>
      </c>
      <c r="V5" s="1">
        <v>5.26</v>
      </c>
    </row>
    <row r="6" spans="5:22" x14ac:dyDescent="0.25">
      <c r="E6" s="458" t="s">
        <v>24</v>
      </c>
      <c r="F6" s="458"/>
      <c r="G6" s="3" t="s">
        <v>6</v>
      </c>
      <c r="H6" s="2">
        <v>25</v>
      </c>
      <c r="I6" s="2">
        <v>25</v>
      </c>
      <c r="K6" s="5" t="s">
        <v>150</v>
      </c>
      <c r="L6" s="6">
        <v>16868</v>
      </c>
      <c r="M6" s="6">
        <v>652</v>
      </c>
      <c r="N6" s="68">
        <f>L6/31</f>
        <v>544.12903225806451</v>
      </c>
      <c r="O6" s="51">
        <f>M6/31</f>
        <v>21.032258064516128</v>
      </c>
      <c r="S6" s="29" t="s">
        <v>32</v>
      </c>
      <c r="T6" s="102" t="s">
        <v>33</v>
      </c>
      <c r="U6" s="1">
        <v>600</v>
      </c>
      <c r="V6" s="1">
        <v>15.15</v>
      </c>
    </row>
    <row r="7" spans="5:22" x14ac:dyDescent="0.25">
      <c r="E7" s="458" t="s">
        <v>25</v>
      </c>
      <c r="F7" s="458"/>
      <c r="G7" s="3" t="s">
        <v>6</v>
      </c>
      <c r="H7" s="1">
        <v>125</v>
      </c>
      <c r="I7" s="1">
        <v>125</v>
      </c>
      <c r="K7" s="5" t="s">
        <v>151</v>
      </c>
      <c r="L7" s="6">
        <v>18759</v>
      </c>
      <c r="M7" s="6">
        <v>641</v>
      </c>
      <c r="N7" s="68">
        <f>L7/29</f>
        <v>646.86206896551721</v>
      </c>
      <c r="O7" s="51">
        <f>M7/29</f>
        <v>22.103448275862068</v>
      </c>
      <c r="S7" s="29" t="s">
        <v>24</v>
      </c>
      <c r="T7" s="102" t="s">
        <v>36</v>
      </c>
      <c r="U7" s="1">
        <v>1425</v>
      </c>
      <c r="V7" s="1">
        <v>30</v>
      </c>
    </row>
    <row r="8" spans="5:22" x14ac:dyDescent="0.25">
      <c r="E8" s="458" t="s">
        <v>26</v>
      </c>
      <c r="F8" s="458"/>
      <c r="G8" s="3" t="s">
        <v>6</v>
      </c>
      <c r="H8" s="1">
        <v>35</v>
      </c>
      <c r="I8" s="1">
        <v>35</v>
      </c>
      <c r="K8" s="5" t="s">
        <v>152</v>
      </c>
      <c r="L8" s="6">
        <v>20556</v>
      </c>
      <c r="M8" s="6">
        <v>846</v>
      </c>
      <c r="N8" s="68">
        <f>L8/31</f>
        <v>663.09677419354841</v>
      </c>
      <c r="O8" s="51">
        <f>M8/31</f>
        <v>27.29032258064516</v>
      </c>
      <c r="S8" s="29" t="s">
        <v>25</v>
      </c>
      <c r="T8" s="102" t="s">
        <v>36</v>
      </c>
      <c r="U8" s="12" t="s">
        <v>107</v>
      </c>
      <c r="V8" s="1">
        <v>67.5</v>
      </c>
    </row>
    <row r="9" spans="5:22" x14ac:dyDescent="0.25">
      <c r="E9" s="458" t="s">
        <v>27</v>
      </c>
      <c r="F9" s="458"/>
      <c r="G9" s="3" t="s">
        <v>6</v>
      </c>
      <c r="H9" s="1">
        <v>15</v>
      </c>
      <c r="I9" s="1">
        <v>15</v>
      </c>
      <c r="K9" s="5" t="s">
        <v>153</v>
      </c>
      <c r="L9" s="6">
        <v>13190</v>
      </c>
      <c r="M9" s="6">
        <v>451</v>
      </c>
      <c r="N9" s="68">
        <f>L9/30</f>
        <v>439.66666666666669</v>
      </c>
      <c r="O9" s="51">
        <f>M9/30</f>
        <v>15.033333333333333</v>
      </c>
      <c r="S9" s="29" t="s">
        <v>35</v>
      </c>
      <c r="T9" s="102" t="s">
        <v>36</v>
      </c>
      <c r="U9" s="1">
        <v>1710</v>
      </c>
      <c r="V9" s="1">
        <v>45</v>
      </c>
    </row>
    <row r="10" spans="5:22" x14ac:dyDescent="0.25">
      <c r="E10" s="458" t="s">
        <v>28</v>
      </c>
      <c r="F10" s="458"/>
      <c r="G10" s="3" t="s">
        <v>6</v>
      </c>
      <c r="H10" s="1">
        <v>2</v>
      </c>
      <c r="I10" s="1">
        <v>2</v>
      </c>
      <c r="K10" s="5" t="s">
        <v>154</v>
      </c>
      <c r="L10" s="6">
        <v>17228</v>
      </c>
      <c r="M10" s="6">
        <v>515</v>
      </c>
      <c r="N10" s="68">
        <f>L10/31</f>
        <v>555.74193548387098</v>
      </c>
      <c r="O10" s="51">
        <f>M10/31</f>
        <v>16.612903225806452</v>
      </c>
      <c r="S10" s="29" t="s">
        <v>27</v>
      </c>
      <c r="T10" s="102" t="s">
        <v>36</v>
      </c>
      <c r="U10" s="1">
        <v>285</v>
      </c>
      <c r="V10" s="1">
        <v>5.0999999999999996</v>
      </c>
    </row>
    <row r="11" spans="5:22" x14ac:dyDescent="0.25">
      <c r="E11" s="458" t="s">
        <v>4</v>
      </c>
      <c r="F11" s="458"/>
      <c r="G11" s="3" t="s">
        <v>7</v>
      </c>
      <c r="H11" s="1" t="s">
        <v>16</v>
      </c>
      <c r="I11" s="1" t="s">
        <v>16</v>
      </c>
      <c r="K11" s="5" t="s">
        <v>155</v>
      </c>
      <c r="L11" s="6">
        <v>11596</v>
      </c>
      <c r="M11" s="6">
        <v>376</v>
      </c>
      <c r="N11" s="68">
        <f>L11/30</f>
        <v>386.53333333333336</v>
      </c>
      <c r="O11" s="51">
        <f>M11/30</f>
        <v>12.533333333333333</v>
      </c>
      <c r="S11" s="29" t="s">
        <v>28</v>
      </c>
      <c r="T11" s="102" t="s">
        <v>36</v>
      </c>
      <c r="U11" s="7">
        <v>76</v>
      </c>
      <c r="V11" s="7">
        <v>1.3</v>
      </c>
    </row>
    <row r="12" spans="5:22" x14ac:dyDescent="0.25">
      <c r="E12" s="458" t="s">
        <v>8</v>
      </c>
      <c r="F12" s="458"/>
      <c r="G12" s="3" t="s">
        <v>6</v>
      </c>
      <c r="H12" s="1">
        <v>2</v>
      </c>
      <c r="I12" s="1" t="s">
        <v>9</v>
      </c>
      <c r="K12" s="5" t="s">
        <v>156</v>
      </c>
      <c r="L12" s="6">
        <v>12347</v>
      </c>
      <c r="M12" s="6">
        <v>299</v>
      </c>
      <c r="N12" s="68">
        <f t="shared" ref="N12:O17" si="0">L12/31</f>
        <v>398.29032258064518</v>
      </c>
      <c r="O12" s="51">
        <f t="shared" si="0"/>
        <v>9.6451612903225801</v>
      </c>
      <c r="S12" s="29" t="s">
        <v>30</v>
      </c>
      <c r="T12" s="102" t="s">
        <v>36</v>
      </c>
      <c r="U12" s="6" t="s">
        <v>107</v>
      </c>
      <c r="V12" s="6">
        <v>3.2</v>
      </c>
    </row>
    <row r="13" spans="5:22" x14ac:dyDescent="0.25">
      <c r="E13" s="458" t="s">
        <v>10</v>
      </c>
      <c r="F13" s="458"/>
      <c r="G13" s="3" t="s">
        <v>6</v>
      </c>
      <c r="H13" s="1" t="s">
        <v>9</v>
      </c>
      <c r="I13" s="1">
        <v>25</v>
      </c>
      <c r="K13" s="5" t="s">
        <v>157</v>
      </c>
      <c r="L13" s="6">
        <v>12114</v>
      </c>
      <c r="M13" s="6">
        <v>198</v>
      </c>
      <c r="N13" s="68">
        <f t="shared" si="0"/>
        <v>390.77419354838707</v>
      </c>
      <c r="O13" s="51">
        <f t="shared" si="0"/>
        <v>6.387096774193548</v>
      </c>
      <c r="S13" s="29" t="s">
        <v>119</v>
      </c>
      <c r="T13" s="102" t="s">
        <v>36</v>
      </c>
      <c r="U13" s="6" t="s">
        <v>107</v>
      </c>
      <c r="V13" s="6">
        <v>0.4</v>
      </c>
    </row>
    <row r="14" spans="5:22" x14ac:dyDescent="0.25">
      <c r="E14" s="458" t="s">
        <v>11</v>
      </c>
      <c r="F14" s="458"/>
      <c r="G14" s="3" t="s">
        <v>6</v>
      </c>
      <c r="H14" s="1" t="s">
        <v>9</v>
      </c>
      <c r="I14" s="1">
        <v>3</v>
      </c>
      <c r="K14" s="5" t="s">
        <v>158</v>
      </c>
      <c r="L14" s="6">
        <v>10654</v>
      </c>
      <c r="M14" s="7" t="s">
        <v>9</v>
      </c>
      <c r="N14" s="105">
        <f>L14/30</f>
        <v>355.13333333333333</v>
      </c>
      <c r="O14" s="7" t="s">
        <v>9</v>
      </c>
    </row>
    <row r="15" spans="5:22" x14ac:dyDescent="0.25">
      <c r="E15" s="458" t="s">
        <v>12</v>
      </c>
      <c r="F15" s="458"/>
      <c r="G15" s="79" t="s">
        <v>13</v>
      </c>
      <c r="H15" s="1">
        <v>500</v>
      </c>
      <c r="I15" s="1">
        <v>500</v>
      </c>
      <c r="K15" s="5" t="s">
        <v>159</v>
      </c>
      <c r="L15" s="6">
        <v>22561</v>
      </c>
      <c r="M15" s="7" t="s">
        <v>9</v>
      </c>
      <c r="N15" s="68">
        <f t="shared" si="0"/>
        <v>727.77419354838707</v>
      </c>
      <c r="O15" s="7" t="s">
        <v>9</v>
      </c>
    </row>
    <row r="16" spans="5:22" x14ac:dyDescent="0.25">
      <c r="E16" s="458" t="s">
        <v>14</v>
      </c>
      <c r="F16" s="458"/>
      <c r="G16" s="79" t="s">
        <v>13</v>
      </c>
      <c r="H16" s="1">
        <v>100</v>
      </c>
      <c r="I16" s="1">
        <v>100</v>
      </c>
      <c r="K16" s="5" t="s">
        <v>160</v>
      </c>
      <c r="L16" s="6">
        <v>9963</v>
      </c>
      <c r="M16" s="6">
        <v>485</v>
      </c>
      <c r="N16" s="105">
        <f>L16/30</f>
        <v>332.1</v>
      </c>
      <c r="O16" s="104">
        <f>M16/30</f>
        <v>16.166666666666668</v>
      </c>
    </row>
    <row r="17" spans="3:16" x14ac:dyDescent="0.25">
      <c r="E17" s="458" t="s">
        <v>15</v>
      </c>
      <c r="F17" s="458"/>
      <c r="G17" s="79" t="s">
        <v>13</v>
      </c>
      <c r="H17" s="1">
        <v>100</v>
      </c>
      <c r="I17" s="1" t="s">
        <v>9</v>
      </c>
      <c r="K17" s="5" t="s">
        <v>161</v>
      </c>
      <c r="L17" s="6">
        <v>11633</v>
      </c>
      <c r="M17" s="6">
        <v>523</v>
      </c>
      <c r="N17" s="68">
        <f t="shared" si="0"/>
        <v>375.25806451612902</v>
      </c>
      <c r="O17" s="51">
        <f t="shared" si="0"/>
        <v>16.870967741935484</v>
      </c>
    </row>
    <row r="19" spans="3:16" x14ac:dyDescent="0.25">
      <c r="C19" s="464" t="s">
        <v>179</v>
      </c>
      <c r="D19" s="464"/>
      <c r="E19" s="464"/>
      <c r="F19" s="464"/>
      <c r="G19" s="464"/>
      <c r="J19" s="82"/>
      <c r="L19" s="464" t="s">
        <v>180</v>
      </c>
      <c r="M19" s="464"/>
      <c r="N19" s="464"/>
      <c r="O19" s="464"/>
      <c r="P19" s="464"/>
    </row>
    <row r="20" spans="3:16" x14ac:dyDescent="0.25">
      <c r="C20" s="464"/>
      <c r="D20" s="464"/>
      <c r="E20" s="464"/>
      <c r="F20" s="464"/>
      <c r="G20" s="464"/>
      <c r="J20" s="82"/>
      <c r="L20" s="464"/>
      <c r="M20" s="464"/>
      <c r="N20" s="464"/>
      <c r="O20" s="464"/>
      <c r="P20" s="464"/>
    </row>
    <row r="21" spans="3:16" x14ac:dyDescent="0.25">
      <c r="J21" s="82"/>
    </row>
    <row r="22" spans="3:16" x14ac:dyDescent="0.25">
      <c r="J22" s="82"/>
      <c r="M22" s="459" t="s">
        <v>181</v>
      </c>
      <c r="N22" s="460"/>
      <c r="O22" s="461"/>
    </row>
    <row r="23" spans="3:16" x14ac:dyDescent="0.25">
      <c r="D23" s="459" t="s">
        <v>178</v>
      </c>
      <c r="E23" s="460"/>
      <c r="F23" s="461"/>
      <c r="J23" s="82"/>
      <c r="M23" s="81" t="s">
        <v>23</v>
      </c>
      <c r="N23" s="81" t="s">
        <v>34</v>
      </c>
      <c r="O23" s="81" t="s">
        <v>29</v>
      </c>
    </row>
    <row r="24" spans="3:16" x14ac:dyDescent="0.25">
      <c r="D24" s="81" t="s">
        <v>23</v>
      </c>
      <c r="E24" s="81" t="s">
        <v>34</v>
      </c>
      <c r="F24" s="81" t="s">
        <v>29</v>
      </c>
      <c r="J24" s="82"/>
      <c r="M24" s="22" t="s">
        <v>31</v>
      </c>
      <c r="N24" s="1">
        <v>5.26</v>
      </c>
      <c r="O24" s="1" t="s">
        <v>33</v>
      </c>
    </row>
    <row r="25" spans="3:16" ht="15.95" customHeight="1" x14ac:dyDescent="0.25">
      <c r="D25" s="22" t="s">
        <v>31</v>
      </c>
      <c r="E25" s="1">
        <v>198</v>
      </c>
      <c r="F25" s="1" t="s">
        <v>33</v>
      </c>
      <c r="J25" s="82"/>
      <c r="M25" s="22" t="s">
        <v>32</v>
      </c>
      <c r="N25" s="1">
        <v>15.15</v>
      </c>
      <c r="O25" s="1" t="s">
        <v>33</v>
      </c>
    </row>
    <row r="26" spans="3:16" x14ac:dyDescent="0.25">
      <c r="D26" s="22" t="s">
        <v>32</v>
      </c>
      <c r="E26" s="1">
        <v>600</v>
      </c>
      <c r="F26" s="1" t="s">
        <v>33</v>
      </c>
      <c r="J26" s="82"/>
      <c r="M26" s="22" t="s">
        <v>24</v>
      </c>
      <c r="N26" s="1">
        <v>30</v>
      </c>
      <c r="O26" s="1" t="s">
        <v>36</v>
      </c>
    </row>
    <row r="27" spans="3:16" x14ac:dyDescent="0.25">
      <c r="D27" s="22" t="s">
        <v>24</v>
      </c>
      <c r="E27" s="1">
        <v>1425</v>
      </c>
      <c r="F27" s="1" t="s">
        <v>36</v>
      </c>
      <c r="J27" s="82"/>
      <c r="M27" s="22" t="s">
        <v>25</v>
      </c>
      <c r="N27" s="1">
        <v>67.5</v>
      </c>
      <c r="O27" s="1" t="s">
        <v>36</v>
      </c>
    </row>
    <row r="28" spans="3:16" x14ac:dyDescent="0.25">
      <c r="D28" s="22" t="s">
        <v>35</v>
      </c>
      <c r="E28" s="1">
        <v>1710</v>
      </c>
      <c r="F28" s="1" t="s">
        <v>36</v>
      </c>
      <c r="J28" s="82"/>
      <c r="M28" s="22" t="s">
        <v>35</v>
      </c>
      <c r="N28" s="1">
        <v>45</v>
      </c>
      <c r="O28" s="1" t="s">
        <v>36</v>
      </c>
    </row>
    <row r="29" spans="3:16" x14ac:dyDescent="0.25">
      <c r="D29" s="22" t="s">
        <v>27</v>
      </c>
      <c r="E29" s="1">
        <v>285</v>
      </c>
      <c r="F29" s="1" t="s">
        <v>36</v>
      </c>
      <c r="J29" s="82"/>
      <c r="M29" s="22" t="s">
        <v>27</v>
      </c>
      <c r="N29" s="1">
        <v>5.0999999999999996</v>
      </c>
      <c r="O29" s="1" t="s">
        <v>36</v>
      </c>
    </row>
    <row r="30" spans="3:16" x14ac:dyDescent="0.25">
      <c r="D30" s="22" t="s">
        <v>28</v>
      </c>
      <c r="E30" s="7">
        <v>76</v>
      </c>
      <c r="F30" s="1" t="s">
        <v>36</v>
      </c>
      <c r="J30" s="82"/>
      <c r="M30" s="22" t="s">
        <v>28</v>
      </c>
      <c r="N30" s="7">
        <v>1.3</v>
      </c>
      <c r="O30" s="1" t="s">
        <v>36</v>
      </c>
    </row>
    <row r="31" spans="3:16" x14ac:dyDescent="0.25">
      <c r="J31" s="82"/>
      <c r="M31" s="22" t="s">
        <v>30</v>
      </c>
      <c r="N31" s="6">
        <v>3.2</v>
      </c>
      <c r="O31" s="1" t="s">
        <v>36</v>
      </c>
    </row>
    <row r="32" spans="3:16" x14ac:dyDescent="0.25">
      <c r="J32" s="82"/>
      <c r="M32" s="22" t="s">
        <v>119</v>
      </c>
      <c r="N32" s="6">
        <v>0.4</v>
      </c>
      <c r="O32" s="1" t="s">
        <v>36</v>
      </c>
    </row>
    <row r="33" spans="2:17" x14ac:dyDescent="0.25">
      <c r="J33" s="82"/>
    </row>
    <row r="34" spans="2:17" x14ac:dyDescent="0.25">
      <c r="C34" s="406" t="s">
        <v>244</v>
      </c>
      <c r="D34" s="406"/>
      <c r="E34" s="406"/>
      <c r="F34" s="406"/>
      <c r="G34" s="406"/>
      <c r="J34" s="82"/>
      <c r="L34" s="406" t="s">
        <v>182</v>
      </c>
      <c r="M34" s="406"/>
      <c r="N34" s="406"/>
      <c r="O34" s="406"/>
      <c r="P34" s="406"/>
    </row>
    <row r="35" spans="2:17" x14ac:dyDescent="0.25">
      <c r="C35" s="80" t="s">
        <v>23</v>
      </c>
      <c r="D35" s="23" t="s">
        <v>39</v>
      </c>
      <c r="E35" s="23" t="s">
        <v>29</v>
      </c>
      <c r="F35" s="406" t="s">
        <v>130</v>
      </c>
      <c r="G35" s="406"/>
      <c r="J35" s="82"/>
      <c r="L35" s="80" t="s">
        <v>23</v>
      </c>
      <c r="M35" s="23" t="s">
        <v>39</v>
      </c>
      <c r="N35" s="23" t="s">
        <v>29</v>
      </c>
      <c r="O35" s="406" t="s">
        <v>130</v>
      </c>
      <c r="P35" s="406"/>
    </row>
    <row r="36" spans="2:17" x14ac:dyDescent="0.25">
      <c r="C36" s="22" t="s">
        <v>31</v>
      </c>
      <c r="D36" s="1">
        <v>198</v>
      </c>
      <c r="E36" s="1" t="s">
        <v>33</v>
      </c>
      <c r="F36" s="1" t="s">
        <v>107</v>
      </c>
      <c r="G36" s="1" t="s">
        <v>107</v>
      </c>
      <c r="J36" s="82"/>
      <c r="L36" s="22" t="s">
        <v>31</v>
      </c>
      <c r="M36" s="1">
        <f>N24</f>
        <v>5.26</v>
      </c>
      <c r="N36" s="1" t="s">
        <v>33</v>
      </c>
      <c r="O36" s="1" t="s">
        <v>107</v>
      </c>
      <c r="P36" s="1" t="s">
        <v>107</v>
      </c>
    </row>
    <row r="37" spans="2:17" x14ac:dyDescent="0.25">
      <c r="C37" s="22" t="s">
        <v>32</v>
      </c>
      <c r="D37" s="1">
        <v>627</v>
      </c>
      <c r="E37" s="1" t="s">
        <v>33</v>
      </c>
      <c r="F37" s="1" t="s">
        <v>107</v>
      </c>
      <c r="G37" s="1" t="s">
        <v>107</v>
      </c>
      <c r="J37" s="82"/>
      <c r="L37" s="22" t="s">
        <v>32</v>
      </c>
      <c r="M37" s="1">
        <f>N25</f>
        <v>15.15</v>
      </c>
      <c r="N37" s="1" t="s">
        <v>33</v>
      </c>
      <c r="O37" s="1" t="s">
        <v>107</v>
      </c>
      <c r="P37" s="1" t="s">
        <v>107</v>
      </c>
    </row>
    <row r="38" spans="2:17" x14ac:dyDescent="0.25">
      <c r="C38" s="22" t="s">
        <v>24</v>
      </c>
      <c r="D38" s="1">
        <v>25</v>
      </c>
      <c r="E38" s="1" t="s">
        <v>3</v>
      </c>
      <c r="F38" s="34">
        <f>D38*$D$36*24/1000</f>
        <v>118.8</v>
      </c>
      <c r="G38" s="22" t="s">
        <v>36</v>
      </c>
      <c r="J38" s="82"/>
      <c r="L38" s="22" t="s">
        <v>24</v>
      </c>
      <c r="M38" s="2">
        <f>I6</f>
        <v>25</v>
      </c>
      <c r="N38" s="52" t="s">
        <v>3</v>
      </c>
      <c r="O38" s="83">
        <f>M38 * (1000) * (1/1000000) * $M$36 * (24)</f>
        <v>3.1559999999999997</v>
      </c>
      <c r="P38" s="6" t="s">
        <v>36</v>
      </c>
    </row>
    <row r="39" spans="2:17" x14ac:dyDescent="0.25">
      <c r="C39" s="22" t="s">
        <v>35</v>
      </c>
      <c r="D39" s="1">
        <v>35</v>
      </c>
      <c r="E39" s="1" t="s">
        <v>3</v>
      </c>
      <c r="F39" s="34">
        <f>D39*$D$36*24/1000</f>
        <v>166.32</v>
      </c>
      <c r="G39" s="22" t="s">
        <v>36</v>
      </c>
      <c r="J39" s="82"/>
      <c r="L39" s="22" t="s">
        <v>25</v>
      </c>
      <c r="M39" s="2">
        <f>I7</f>
        <v>125</v>
      </c>
      <c r="N39" s="52" t="s">
        <v>3</v>
      </c>
      <c r="O39" s="83">
        <f t="shared" ref="O39:O44" si="1">M39 * (1000) * (1/1000000) * $M$36 * (24)</f>
        <v>15.78</v>
      </c>
      <c r="P39" s="6" t="s">
        <v>36</v>
      </c>
    </row>
    <row r="40" spans="2:17" x14ac:dyDescent="0.25">
      <c r="C40" s="22" t="s">
        <v>8</v>
      </c>
      <c r="D40" s="1">
        <v>2</v>
      </c>
      <c r="E40" s="1" t="s">
        <v>3</v>
      </c>
      <c r="F40" s="34">
        <f>D40*$D$36*24/1000</f>
        <v>9.5039999999999996</v>
      </c>
      <c r="G40" s="22" t="s">
        <v>36</v>
      </c>
      <c r="J40" s="82"/>
      <c r="L40" s="22" t="s">
        <v>35</v>
      </c>
      <c r="M40" s="2">
        <f>I8</f>
        <v>35</v>
      </c>
      <c r="N40" s="52" t="s">
        <v>3</v>
      </c>
      <c r="O40" s="83">
        <f t="shared" si="1"/>
        <v>4.4184000000000001</v>
      </c>
      <c r="P40" s="6" t="s">
        <v>36</v>
      </c>
    </row>
    <row r="41" spans="2:17" x14ac:dyDescent="0.25">
      <c r="C41" s="22" t="s">
        <v>27</v>
      </c>
      <c r="D41" s="7">
        <v>15</v>
      </c>
      <c r="E41" s="1" t="s">
        <v>3</v>
      </c>
      <c r="F41" s="34">
        <f>D41*$D$36*24/1000</f>
        <v>71.28</v>
      </c>
      <c r="G41" s="22" t="s">
        <v>36</v>
      </c>
      <c r="J41" s="82"/>
      <c r="L41" s="22" t="s">
        <v>27</v>
      </c>
      <c r="M41" s="2">
        <f>I9</f>
        <v>15</v>
      </c>
      <c r="N41" s="52" t="s">
        <v>3</v>
      </c>
      <c r="O41" s="83">
        <f t="shared" si="1"/>
        <v>1.8935999999999999</v>
      </c>
      <c r="P41" s="6" t="s">
        <v>36</v>
      </c>
    </row>
    <row r="42" spans="2:17" x14ac:dyDescent="0.25">
      <c r="C42" s="22" t="s">
        <v>28</v>
      </c>
      <c r="D42" s="1">
        <v>2</v>
      </c>
      <c r="E42" s="1" t="s">
        <v>3</v>
      </c>
      <c r="F42" s="34">
        <f>D42*$D$36*24/1000</f>
        <v>9.5039999999999996</v>
      </c>
      <c r="G42" s="22" t="s">
        <v>36</v>
      </c>
      <c r="J42" s="82"/>
      <c r="L42" s="22" t="s">
        <v>28</v>
      </c>
      <c r="M42" s="2">
        <f>I10</f>
        <v>2</v>
      </c>
      <c r="N42" s="52" t="s">
        <v>3</v>
      </c>
      <c r="O42" s="83">
        <f t="shared" si="1"/>
        <v>0.25247999999999998</v>
      </c>
      <c r="P42" s="6" t="s">
        <v>36</v>
      </c>
    </row>
    <row r="43" spans="2:17" x14ac:dyDescent="0.25">
      <c r="J43" s="82"/>
      <c r="L43" s="22" t="s">
        <v>30</v>
      </c>
      <c r="M43" s="1">
        <f>I13</f>
        <v>25</v>
      </c>
      <c r="N43" s="52" t="s">
        <v>3</v>
      </c>
      <c r="O43" s="83">
        <f t="shared" si="1"/>
        <v>3.1559999999999997</v>
      </c>
      <c r="P43" s="6" t="s">
        <v>36</v>
      </c>
    </row>
    <row r="44" spans="2:17" x14ac:dyDescent="0.25">
      <c r="J44" s="82"/>
      <c r="L44" s="22" t="s">
        <v>119</v>
      </c>
      <c r="M44" s="1">
        <f>I14</f>
        <v>3</v>
      </c>
      <c r="N44" s="52" t="s">
        <v>3</v>
      </c>
      <c r="O44" s="83">
        <f t="shared" si="1"/>
        <v>0.37871999999999995</v>
      </c>
      <c r="P44" s="6" t="s">
        <v>36</v>
      </c>
    </row>
    <row r="46" spans="2:17" x14ac:dyDescent="0.25">
      <c r="B46" s="84"/>
      <c r="C46" s="84"/>
      <c r="D46" s="84"/>
      <c r="E46" s="84"/>
      <c r="F46" s="462" t="s">
        <v>183</v>
      </c>
      <c r="G46" s="462"/>
      <c r="H46" s="462"/>
      <c r="I46" s="462"/>
      <c r="J46" s="462"/>
      <c r="K46" s="462"/>
      <c r="L46" s="462"/>
      <c r="M46" s="462"/>
      <c r="N46" s="84"/>
      <c r="O46" s="84"/>
      <c r="P46" s="84"/>
      <c r="Q46" s="84"/>
    </row>
    <row r="47" spans="2:17" x14ac:dyDescent="0.25">
      <c r="B47" s="84"/>
      <c r="C47" s="84"/>
      <c r="D47" s="84"/>
      <c r="E47" s="84"/>
      <c r="F47" s="462"/>
      <c r="G47" s="462"/>
      <c r="H47" s="462"/>
      <c r="I47" s="462"/>
      <c r="J47" s="462"/>
      <c r="K47" s="462"/>
      <c r="L47" s="462"/>
      <c r="M47" s="462"/>
      <c r="N47" s="84"/>
      <c r="O47" s="84"/>
      <c r="P47" s="84"/>
      <c r="Q47" s="84"/>
    </row>
    <row r="49" spans="2:17" x14ac:dyDescent="0.25">
      <c r="C49" s="457" t="s">
        <v>143</v>
      </c>
      <c r="D49" s="457"/>
      <c r="E49" s="457"/>
      <c r="G49" s="406" t="s">
        <v>144</v>
      </c>
      <c r="H49" s="406"/>
      <c r="I49" s="406"/>
    </row>
    <row r="50" spans="2:17" x14ac:dyDescent="0.25">
      <c r="C50" s="22" t="s">
        <v>25</v>
      </c>
      <c r="D50" s="425">
        <v>2.1999999999999999E-2</v>
      </c>
      <c r="E50" s="425"/>
      <c r="G50" s="24"/>
      <c r="H50" s="24" t="s">
        <v>131</v>
      </c>
      <c r="I50" s="24" t="s">
        <v>132</v>
      </c>
      <c r="K50" t="s">
        <v>187</v>
      </c>
    </row>
    <row r="51" spans="2:17" x14ac:dyDescent="0.25">
      <c r="C51" s="22" t="s">
        <v>27</v>
      </c>
      <c r="D51" s="425">
        <v>0.42</v>
      </c>
      <c r="E51" s="425"/>
      <c r="G51" s="22" t="s">
        <v>145</v>
      </c>
      <c r="H51" s="85">
        <f>E27 * (1/'Cerceda tabla'!P82) * D50 + E29 * D51 + E30 * D52</f>
        <v>424.56987406956739</v>
      </c>
      <c r="I51" s="34">
        <f xml:space="preserve"> N27 * D50 + N29 * D51 + N30 * D52</f>
        <v>7.6180000000000003</v>
      </c>
      <c r="K51" t="s">
        <v>184</v>
      </c>
    </row>
    <row r="52" spans="2:17" x14ac:dyDescent="0.25">
      <c r="C52" s="22" t="s">
        <v>28</v>
      </c>
      <c r="D52" s="425">
        <v>3.07</v>
      </c>
      <c r="E52" s="425"/>
      <c r="G52" s="22" t="s">
        <v>146</v>
      </c>
      <c r="H52" s="85">
        <f>F38 * (1/'Cerceda tabla'!P121) * D50 +F41* D51 +F42* D52</f>
        <v>65.079880027694458</v>
      </c>
      <c r="I52" s="34">
        <f xml:space="preserve"> O39 * D50+ O41 * D51 + O42 *D52</f>
        <v>1.9175855999999998</v>
      </c>
    </row>
    <row r="53" spans="2:17" x14ac:dyDescent="0.25">
      <c r="G53" s="22" t="s">
        <v>147</v>
      </c>
      <c r="H53" s="85">
        <f>H51-H52</f>
        <v>359.48999404187293</v>
      </c>
      <c r="I53" s="34">
        <f>I51-I52</f>
        <v>5.7004144000000005</v>
      </c>
    </row>
    <row r="54" spans="2:17" x14ac:dyDescent="0.25">
      <c r="G54" s="22" t="s">
        <v>198</v>
      </c>
      <c r="H54" s="86">
        <f>H53/H51</f>
        <v>0.84671573749711959</v>
      </c>
      <c r="I54" s="86">
        <f>I53/I51</f>
        <v>0.74828227881333687</v>
      </c>
    </row>
    <row r="57" spans="2:17" x14ac:dyDescent="0.25">
      <c r="G57" s="406" t="s">
        <v>168</v>
      </c>
      <c r="H57" s="406"/>
      <c r="I57" s="406"/>
      <c r="K57" t="s">
        <v>185</v>
      </c>
    </row>
    <row r="58" spans="2:17" x14ac:dyDescent="0.25">
      <c r="G58" s="24" t="s">
        <v>133</v>
      </c>
      <c r="H58" s="24" t="s">
        <v>131</v>
      </c>
      <c r="I58" s="24" t="s">
        <v>132</v>
      </c>
      <c r="K58" t="s">
        <v>186</v>
      </c>
    </row>
    <row r="59" spans="2:17" x14ac:dyDescent="0.25">
      <c r="G59" s="22" t="s">
        <v>134</v>
      </c>
      <c r="H59" s="68">
        <f>E27 *1000/60</f>
        <v>23750</v>
      </c>
      <c r="I59" s="68">
        <f>N26 * 1000 / 60</f>
        <v>500</v>
      </c>
    </row>
    <row r="60" spans="2:17" x14ac:dyDescent="0.25">
      <c r="G60" s="22" t="s">
        <v>135</v>
      </c>
      <c r="H60" s="68">
        <f>H53</f>
        <v>359.48999404187293</v>
      </c>
      <c r="I60" s="51">
        <f>I53</f>
        <v>5.7004144000000005</v>
      </c>
    </row>
    <row r="63" spans="2:17" x14ac:dyDescent="0.25">
      <c r="B63" s="463" t="s">
        <v>189</v>
      </c>
      <c r="C63" s="463"/>
      <c r="D63" s="463"/>
      <c r="E63" s="463"/>
      <c r="F63" s="463"/>
      <c r="G63" s="463"/>
      <c r="H63" s="463"/>
      <c r="I63" s="463"/>
      <c r="J63" s="463"/>
      <c r="K63" s="463"/>
      <c r="L63" s="463"/>
      <c r="M63" s="463"/>
      <c r="N63" s="463"/>
      <c r="O63" s="463"/>
      <c r="P63" s="463"/>
      <c r="Q63" s="463"/>
    </row>
    <row r="64" spans="2:17" x14ac:dyDescent="0.25">
      <c r="B64" s="463"/>
      <c r="C64" s="463"/>
      <c r="D64" s="463"/>
      <c r="E64" s="463"/>
      <c r="F64" s="463"/>
      <c r="G64" s="463"/>
      <c r="H64" s="463"/>
      <c r="I64" s="463"/>
      <c r="J64" s="463"/>
      <c r="K64" s="463"/>
      <c r="L64" s="463"/>
      <c r="M64" s="463"/>
      <c r="N64" s="463"/>
      <c r="O64" s="463"/>
      <c r="P64" s="463"/>
      <c r="Q64" s="463"/>
    </row>
    <row r="65" spans="3:16" x14ac:dyDescent="0.25">
      <c r="I65" s="87"/>
    </row>
    <row r="66" spans="3:16" x14ac:dyDescent="0.25">
      <c r="I66" s="87"/>
    </row>
    <row r="67" spans="3:16" x14ac:dyDescent="0.25">
      <c r="I67" s="87"/>
    </row>
    <row r="68" spans="3:16" x14ac:dyDescent="0.25">
      <c r="C68" s="410" t="s">
        <v>167</v>
      </c>
      <c r="D68" s="411"/>
      <c r="E68" s="411"/>
      <c r="F68" s="411"/>
      <c r="G68" s="411"/>
      <c r="H68" s="411"/>
      <c r="I68" s="87"/>
      <c r="K68" s="410" t="s">
        <v>167</v>
      </c>
      <c r="L68" s="411"/>
      <c r="M68" s="411"/>
      <c r="N68" s="411"/>
      <c r="O68" s="411"/>
      <c r="P68" s="411"/>
    </row>
    <row r="69" spans="3:16" x14ac:dyDescent="0.25">
      <c r="C69" s="24" t="str">
        <f>'Cerceda tabla'!R142</f>
        <v>Parámetros</v>
      </c>
      <c r="D69" s="23" t="str">
        <f>'Cerceda tabla'!T142</f>
        <v>Unidades</v>
      </c>
      <c r="E69" s="24" t="str">
        <f>'Cerceda tabla'!U142</f>
        <v>Media IN</v>
      </c>
      <c r="F69" s="24" t="str">
        <f>'Cerceda tabla'!V142</f>
        <v>Media OUT</v>
      </c>
      <c r="G69" s="24" t="str">
        <f>'Cerceda tabla'!W142</f>
        <v>Diferencia</v>
      </c>
      <c r="H69" s="24" t="str">
        <f>'Cerceda tabla'!X142</f>
        <v>% eliminación</v>
      </c>
      <c r="I69" s="87"/>
      <c r="K69" s="24" t="str">
        <f>'Vedra tabla'!S107</f>
        <v>Parámetros</v>
      </c>
      <c r="L69" s="23" t="str">
        <f>'Vedra tabla'!T107</f>
        <v>Unidades</v>
      </c>
      <c r="M69" s="24" t="str">
        <f>'Vedra tabla'!U107</f>
        <v>Media IN</v>
      </c>
      <c r="N69" s="24" t="str">
        <f>'Vedra tabla'!V107</f>
        <v>Media OUT</v>
      </c>
      <c r="O69" s="24" t="str">
        <f>'Vedra tabla'!W107</f>
        <v>Diferencia</v>
      </c>
      <c r="P69" s="24" t="str">
        <f>'Vedra tabla'!X107</f>
        <v>% eliminación</v>
      </c>
    </row>
    <row r="70" spans="3:16" x14ac:dyDescent="0.25">
      <c r="C70" s="5" t="str">
        <f>'Cerceda tabla'!R143</f>
        <v>DBO5</v>
      </c>
      <c r="D70" s="8" t="str">
        <f>'Cerceda tabla'!T143</f>
        <v>kg/d</v>
      </c>
      <c r="E70" s="30">
        <f>'Cerceda tabla'!U143</f>
        <v>65.324408008898786</v>
      </c>
      <c r="F70" s="30">
        <f>'Cerceda tabla'!V143</f>
        <v>4.9103430879990118</v>
      </c>
      <c r="G70" s="30">
        <f>'Cerceda tabla'!W143</f>
        <v>60.414064920899776</v>
      </c>
      <c r="H70" s="32">
        <f>'Cerceda tabla'!X143</f>
        <v>0.92483141849015915</v>
      </c>
      <c r="I70" s="87"/>
      <c r="K70" s="5" t="str">
        <f>'Vedra tabla'!S108</f>
        <v>DBO5</v>
      </c>
      <c r="L70" s="55" t="str">
        <f>'Vedra tabla'!T108</f>
        <v>kg/d</v>
      </c>
      <c r="M70" s="78">
        <f>'Vedra tabla'!U108</f>
        <v>3.785216137271866</v>
      </c>
      <c r="N70" s="78">
        <f>'Vedra tabla'!V108</f>
        <v>0.37872360235652786</v>
      </c>
      <c r="O70" s="78">
        <f>'Vedra tabla'!W108</f>
        <v>3.4064925349153383</v>
      </c>
      <c r="P70" s="32">
        <f>'Vedra tabla'!X108</f>
        <v>0.89994663749122483</v>
      </c>
    </row>
    <row r="71" spans="3:16" x14ac:dyDescent="0.25">
      <c r="C71" s="5" t="str">
        <f>'Cerceda tabla'!R144</f>
        <v>DQO</v>
      </c>
      <c r="D71" s="8" t="str">
        <f>'Cerceda tabla'!T144</f>
        <v>kg/d</v>
      </c>
      <c r="E71" s="30">
        <f>'Cerceda tabla'!U144</f>
        <v>240.16921827956989</v>
      </c>
      <c r="F71" s="30">
        <f>'Cerceda tabla'!V144</f>
        <v>11.350872086268692</v>
      </c>
      <c r="G71" s="30">
        <f>'Cerceda tabla'!W144</f>
        <v>228.81834619330121</v>
      </c>
      <c r="H71" s="32">
        <f>'Cerceda tabla'!X144</f>
        <v>0.95273802293408116</v>
      </c>
      <c r="I71" s="87"/>
      <c r="K71" s="5" t="str">
        <f>'Vedra tabla'!S109</f>
        <v>DQO</v>
      </c>
      <c r="L71" s="55" t="str">
        <f>'Vedra tabla'!T109</f>
        <v>kg/d</v>
      </c>
      <c r="M71" s="78">
        <f>'Vedra tabla'!U109</f>
        <v>8.6030674082313663</v>
      </c>
      <c r="N71" s="78">
        <f>'Vedra tabla'!V109</f>
        <v>0.9165388868289871</v>
      </c>
      <c r="O71" s="78">
        <f>'Vedra tabla'!W109</f>
        <v>7.6865285214023791</v>
      </c>
      <c r="P71" s="32">
        <f>'Vedra tabla'!X109</f>
        <v>0.89346370970520961</v>
      </c>
    </row>
    <row r="72" spans="3:16" x14ac:dyDescent="0.25">
      <c r="C72" s="5" t="str">
        <f>'Cerceda tabla'!R145</f>
        <v>SST</v>
      </c>
      <c r="D72" s="8" t="str">
        <f>'Cerceda tabla'!T145</f>
        <v>kg/d</v>
      </c>
      <c r="E72" s="30">
        <f>'Cerceda tabla'!U145</f>
        <v>99.152714595229284</v>
      </c>
      <c r="F72" s="30">
        <f>'Cerceda tabla'!V145</f>
        <v>3.6218395253985904</v>
      </c>
      <c r="G72" s="30">
        <f>'Cerceda tabla'!W145</f>
        <v>95.530875069830699</v>
      </c>
      <c r="H72" s="32">
        <f>'Cerceda tabla'!X145</f>
        <v>0.96347210925909588</v>
      </c>
      <c r="I72" s="87"/>
      <c r="K72" s="5" t="str">
        <f>'Vedra tabla'!S110</f>
        <v>SST</v>
      </c>
      <c r="L72" s="55" t="str">
        <f>'Vedra tabla'!T110</f>
        <v>kg/d</v>
      </c>
      <c r="M72" s="78">
        <f>'Vedra tabla'!U110</f>
        <v>2.1897219923371645</v>
      </c>
      <c r="N72" s="78">
        <f>'Vedra tabla'!V110</f>
        <v>0.31097377250442876</v>
      </c>
      <c r="O72" s="78">
        <f>'Vedra tabla'!W110</f>
        <v>1.8787482198327357</v>
      </c>
      <c r="P72" s="32">
        <f>'Vedra tabla'!X110</f>
        <v>0.85798481561007844</v>
      </c>
    </row>
    <row r="73" spans="3:16" x14ac:dyDescent="0.25">
      <c r="C73" s="5" t="str">
        <f>'Cerceda tabla'!R146</f>
        <v>NT</v>
      </c>
      <c r="D73" s="8" t="str">
        <f>'Cerceda tabla'!T146</f>
        <v>kg/d</v>
      </c>
      <c r="E73" s="30">
        <f>'Cerceda tabla'!U146</f>
        <v>13.405562942775925</v>
      </c>
      <c r="F73" s="30">
        <f>'Cerceda tabla'!V146</f>
        <v>1.7176654498825858</v>
      </c>
      <c r="G73" s="30">
        <f>'Cerceda tabla'!W146</f>
        <v>11.687897492893338</v>
      </c>
      <c r="H73" s="32">
        <f>'Cerceda tabla'!X146</f>
        <v>0.87186920405992996</v>
      </c>
      <c r="I73" s="87"/>
      <c r="K73" s="5" t="str">
        <f>'Vedra tabla'!S111</f>
        <v>NT</v>
      </c>
      <c r="L73" s="55" t="str">
        <f>'Vedra tabla'!T111</f>
        <v>kg/d</v>
      </c>
      <c r="M73" s="78">
        <f>'Vedra tabla'!U111</f>
        <v>1.1892832175668435</v>
      </c>
      <c r="N73" s="78">
        <f>'Vedra tabla'!V111</f>
        <v>0.19912722819593787</v>
      </c>
      <c r="O73" s="78">
        <f>'Vedra tabla'!W111</f>
        <v>0.99015598937090565</v>
      </c>
      <c r="P73" s="32">
        <f>'Vedra tabla'!X111</f>
        <v>0.83256534250661285</v>
      </c>
    </row>
    <row r="74" spans="3:16" x14ac:dyDescent="0.25">
      <c r="C74" s="5" t="str">
        <f>'Cerceda tabla'!R147</f>
        <v>PT</v>
      </c>
      <c r="D74" s="8" t="str">
        <f>'Cerceda tabla'!T147</f>
        <v>kg/d</v>
      </c>
      <c r="E74" s="30">
        <f>'Cerceda tabla'!U147</f>
        <v>1.9937454252255593</v>
      </c>
      <c r="F74" s="30">
        <f>'Cerceda tabla'!V147</f>
        <v>0.46363717649239894</v>
      </c>
      <c r="G74" s="30">
        <f>'Cerceda tabla'!W147</f>
        <v>1.5301082487331603</v>
      </c>
      <c r="H74" s="32">
        <f>'Cerceda tabla'!X147</f>
        <v>0.76745417412559269</v>
      </c>
      <c r="I74" s="87"/>
      <c r="K74" s="5" t="str">
        <f>'Vedra tabla'!S112</f>
        <v>PT</v>
      </c>
      <c r="L74" s="55" t="str">
        <f>'Vedra tabla'!T112</f>
        <v>kg/d</v>
      </c>
      <c r="M74" s="78">
        <f>'Vedra tabla'!U112</f>
        <v>0.44876615333910103</v>
      </c>
      <c r="N74" s="78">
        <f>'Vedra tabla'!V112</f>
        <v>2.0401188151443993E-2</v>
      </c>
      <c r="O74" s="78">
        <f>'Vedra tabla'!W112</f>
        <v>0.42836496518765704</v>
      </c>
      <c r="P74" s="32">
        <f>'Vedra tabla'!X112</f>
        <v>0.95453937869501437</v>
      </c>
    </row>
    <row r="75" spans="3:16" x14ac:dyDescent="0.25">
      <c r="C75" s="5" t="str">
        <f>'Cerceda tabla'!R149</f>
        <v>FOG</v>
      </c>
      <c r="D75" s="8" t="str">
        <f>'Cerceda tabla'!T149</f>
        <v>kg/d</v>
      </c>
      <c r="E75" s="6">
        <f>'Cerceda tabla'!U149</f>
        <v>6.8984503170189093</v>
      </c>
      <c r="F75" s="30">
        <f>'Cerceda tabla'!V149</f>
        <v>3.8947282650475845</v>
      </c>
      <c r="G75" s="30">
        <f>'Cerceda tabla'!W149</f>
        <v>3.0037220519713248</v>
      </c>
      <c r="H75" s="30">
        <f>'Cerceda tabla'!X149</f>
        <v>0.43541982821286024</v>
      </c>
      <c r="I75" s="87"/>
      <c r="K75" s="5" t="str">
        <f>'Vedra tabla'!S113</f>
        <v>A y G</v>
      </c>
      <c r="L75" s="55" t="str">
        <f>'Vedra tabla'!T113</f>
        <v>kg/d</v>
      </c>
      <c r="M75" s="6" t="str">
        <f>'Vedra tabla'!U113</f>
        <v>–</v>
      </c>
      <c r="N75" s="78">
        <f>'Vedra tabla'!V113</f>
        <v>7.7500596032628863E-2</v>
      </c>
      <c r="O75" s="30" t="str">
        <f>'Vedra tabla'!W113</f>
        <v>–</v>
      </c>
      <c r="P75" s="30" t="str">
        <f>'Vedra tabla'!X113</f>
        <v>–</v>
      </c>
    </row>
    <row r="76" spans="3:16" x14ac:dyDescent="0.25">
      <c r="C76" s="5" t="str">
        <f>'Cerceda tabla'!R150</f>
        <v>Det. Anion.</v>
      </c>
      <c r="D76" s="8" t="str">
        <f>'Cerceda tabla'!T150</f>
        <v>kg/d</v>
      </c>
      <c r="E76" s="6">
        <f>'Cerceda tabla'!U150</f>
        <v>0.94651098875293549</v>
      </c>
      <c r="F76" s="30">
        <f>'Cerceda tabla'!V150</f>
        <v>0.22292367939686072</v>
      </c>
      <c r="G76" s="30">
        <f>'Cerceda tabla'!W150</f>
        <v>0.72358730935607474</v>
      </c>
      <c r="H76" s="30">
        <f>'Cerceda tabla'!X150</f>
        <v>0.76447850891771341</v>
      </c>
      <c r="I76" s="87"/>
      <c r="K76" s="5" t="str">
        <f>'Vedra tabla'!S114</f>
        <v>Det. Anion.</v>
      </c>
      <c r="L76" s="55" t="str">
        <f>'Vedra tabla'!T114</f>
        <v>kg/d</v>
      </c>
      <c r="M76" s="6" t="str">
        <f>'Vedra tabla'!U114</f>
        <v>–</v>
      </c>
      <c r="N76" s="78">
        <f>'Vedra tabla'!V114</f>
        <v>7.4419062847608458E-3</v>
      </c>
      <c r="O76" s="30" t="str">
        <f>'Vedra tabla'!W114</f>
        <v>–</v>
      </c>
      <c r="P76" s="30" t="str">
        <f>'Vedra tabla'!X114</f>
        <v>–</v>
      </c>
    </row>
    <row r="77" spans="3:16" x14ac:dyDescent="0.25">
      <c r="I77" s="87"/>
    </row>
    <row r="78" spans="3:16" x14ac:dyDescent="0.25">
      <c r="I78" s="87"/>
    </row>
    <row r="79" spans="3:16" x14ac:dyDescent="0.25">
      <c r="I79" s="87"/>
    </row>
    <row r="80" spans="3:16" x14ac:dyDescent="0.25">
      <c r="I80" s="87"/>
    </row>
  </sheetData>
  <mergeCells count="42">
    <mergeCell ref="E13:F13"/>
    <mergeCell ref="K3:M3"/>
    <mergeCell ref="N4:N5"/>
    <mergeCell ref="O4:O5"/>
    <mergeCell ref="N3:O3"/>
    <mergeCell ref="S3:V3"/>
    <mergeCell ref="E3:I3"/>
    <mergeCell ref="E4:G5"/>
    <mergeCell ref="E9:F9"/>
    <mergeCell ref="E10:F10"/>
    <mergeCell ref="K68:P68"/>
    <mergeCell ref="L4:L5"/>
    <mergeCell ref="M4:M5"/>
    <mergeCell ref="M22:O22"/>
    <mergeCell ref="D23:F23"/>
    <mergeCell ref="L34:P34"/>
    <mergeCell ref="O35:P35"/>
    <mergeCell ref="F46:M47"/>
    <mergeCell ref="B63:Q64"/>
    <mergeCell ref="C68:H68"/>
    <mergeCell ref="C19:G20"/>
    <mergeCell ref="L19:P20"/>
    <mergeCell ref="E14:F14"/>
    <mergeCell ref="E15:F15"/>
    <mergeCell ref="E16:F16"/>
    <mergeCell ref="K4:K5"/>
    <mergeCell ref="C34:G34"/>
    <mergeCell ref="F35:G35"/>
    <mergeCell ref="G57:I57"/>
    <mergeCell ref="H4:H5"/>
    <mergeCell ref="I4:I5"/>
    <mergeCell ref="D50:E50"/>
    <mergeCell ref="D51:E51"/>
    <mergeCell ref="D52:E52"/>
    <mergeCell ref="C49:E49"/>
    <mergeCell ref="G49:I49"/>
    <mergeCell ref="E6:F6"/>
    <mergeCell ref="E7:F7"/>
    <mergeCell ref="E8:F8"/>
    <mergeCell ref="E12:F12"/>
    <mergeCell ref="E17:F17"/>
    <mergeCell ref="E11:F11"/>
  </mergeCells>
  <phoneticPr fontId="5" type="noConversion"/>
  <pageMargins left="0.7" right="0.7" top="0.75" bottom="0.75" header="0.3" footer="0.3"/>
  <ignoredErrors>
    <ignoredError sqref="N7:O16"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F1D4-4191-834D-89DD-35DB1311DF31}">
  <dimension ref="B2:AM343"/>
  <sheetViews>
    <sheetView topLeftCell="A147" zoomScaleNormal="125" workbookViewId="0">
      <pane xSplit="2" topLeftCell="D1" activePane="topRight" state="frozen"/>
      <selection pane="topRight" activeCell="U180" sqref="U180"/>
    </sheetView>
  </sheetViews>
  <sheetFormatPr baseColWidth="10" defaultRowHeight="15.75" x14ac:dyDescent="0.25"/>
  <cols>
    <col min="2" max="2" width="13.5" customWidth="1"/>
    <col min="3" max="3" width="12.125" customWidth="1"/>
    <col min="4" max="15" width="7.875" customWidth="1"/>
    <col min="16" max="17" width="11" bestFit="1" customWidth="1"/>
    <col min="18" max="19" width="7.875" customWidth="1"/>
    <col min="20" max="20" width="8.875" customWidth="1"/>
    <col min="21" max="21" width="8.375" bestFit="1" customWidth="1"/>
    <col min="22" max="23" width="9.875" bestFit="1" customWidth="1"/>
    <col min="24" max="24" width="12.875" bestFit="1" customWidth="1"/>
    <col min="25" max="25" width="11.125" customWidth="1"/>
    <col min="26" max="38" width="6.875" customWidth="1"/>
  </cols>
  <sheetData>
    <row r="2" spans="2:12" x14ac:dyDescent="0.25">
      <c r="B2" s="406" t="s">
        <v>19</v>
      </c>
      <c r="C2" s="406"/>
      <c r="D2" s="406"/>
      <c r="E2" s="406"/>
      <c r="F2" s="406"/>
      <c r="J2" s="406" t="s">
        <v>162</v>
      </c>
      <c r="K2" s="406"/>
      <c r="L2" s="406"/>
    </row>
    <row r="3" spans="2:12" ht="15.95" customHeight="1" x14ac:dyDescent="0.25">
      <c r="B3" s="465" t="s">
        <v>1</v>
      </c>
      <c r="C3" s="465"/>
      <c r="D3" s="466"/>
      <c r="E3" s="471" t="s">
        <v>17</v>
      </c>
      <c r="F3" s="471" t="s">
        <v>18</v>
      </c>
      <c r="J3" s="419" t="s">
        <v>163</v>
      </c>
      <c r="K3" s="420" t="s">
        <v>194</v>
      </c>
      <c r="L3" s="421"/>
    </row>
    <row r="4" spans="2:12" x14ac:dyDescent="0.25">
      <c r="B4" s="467"/>
      <c r="C4" s="467"/>
      <c r="D4" s="468"/>
      <c r="E4" s="472"/>
      <c r="F4" s="472"/>
      <c r="J4" s="419"/>
      <c r="K4" s="422"/>
      <c r="L4" s="423"/>
    </row>
    <row r="5" spans="2:12" x14ac:dyDescent="0.25">
      <c r="B5" s="473" t="s">
        <v>24</v>
      </c>
      <c r="C5" s="474"/>
      <c r="D5" s="3" t="s">
        <v>6</v>
      </c>
      <c r="E5" s="2">
        <v>25</v>
      </c>
      <c r="F5" s="2">
        <v>25</v>
      </c>
      <c r="J5" s="8" t="s">
        <v>150</v>
      </c>
      <c r="K5" s="413">
        <f>'Ambas EDAR'!L6</f>
        <v>16868</v>
      </c>
      <c r="L5" s="414"/>
    </row>
    <row r="6" spans="2:12" x14ac:dyDescent="0.25">
      <c r="B6" s="473" t="s">
        <v>25</v>
      </c>
      <c r="C6" s="474"/>
      <c r="D6" s="3" t="s">
        <v>6</v>
      </c>
      <c r="E6" s="1">
        <v>125</v>
      </c>
      <c r="F6" s="1">
        <v>125</v>
      </c>
      <c r="J6" s="8" t="s">
        <v>151</v>
      </c>
      <c r="K6" s="413">
        <f>'Ambas EDAR'!L7</f>
        <v>18759</v>
      </c>
      <c r="L6" s="414"/>
    </row>
    <row r="7" spans="2:12" x14ac:dyDescent="0.25">
      <c r="B7" s="473" t="s">
        <v>26</v>
      </c>
      <c r="C7" s="474"/>
      <c r="D7" s="3" t="s">
        <v>6</v>
      </c>
      <c r="E7" s="1">
        <v>35</v>
      </c>
      <c r="F7" s="1">
        <v>35</v>
      </c>
      <c r="J7" s="8" t="s">
        <v>152</v>
      </c>
      <c r="K7" s="413">
        <f>'Ambas EDAR'!L8</f>
        <v>20556</v>
      </c>
      <c r="L7" s="414"/>
    </row>
    <row r="8" spans="2:12" x14ac:dyDescent="0.25">
      <c r="B8" s="473" t="s">
        <v>27</v>
      </c>
      <c r="C8" s="474"/>
      <c r="D8" s="3" t="s">
        <v>6</v>
      </c>
      <c r="E8" s="1">
        <v>15</v>
      </c>
      <c r="F8" s="1">
        <v>15</v>
      </c>
      <c r="J8" s="8" t="s">
        <v>153</v>
      </c>
      <c r="K8" s="413">
        <f>'Ambas EDAR'!L9</f>
        <v>13190</v>
      </c>
      <c r="L8" s="414"/>
    </row>
    <row r="9" spans="2:12" x14ac:dyDescent="0.25">
      <c r="B9" s="473" t="s">
        <v>28</v>
      </c>
      <c r="C9" s="474"/>
      <c r="D9" s="3" t="s">
        <v>6</v>
      </c>
      <c r="E9" s="1">
        <v>2</v>
      </c>
      <c r="F9" s="1">
        <v>2</v>
      </c>
      <c r="J9" s="8" t="s">
        <v>154</v>
      </c>
      <c r="K9" s="413">
        <f>'Ambas EDAR'!L10</f>
        <v>17228</v>
      </c>
      <c r="L9" s="414"/>
    </row>
    <row r="10" spans="2:12" x14ac:dyDescent="0.25">
      <c r="B10" s="473" t="s">
        <v>4</v>
      </c>
      <c r="C10" s="474"/>
      <c r="D10" s="3" t="s">
        <v>7</v>
      </c>
      <c r="E10" s="1" t="s">
        <v>16</v>
      </c>
      <c r="F10" s="1" t="s">
        <v>16</v>
      </c>
      <c r="J10" s="8" t="s">
        <v>155</v>
      </c>
      <c r="K10" s="413">
        <f>'Ambas EDAR'!L11</f>
        <v>11596</v>
      </c>
      <c r="L10" s="414"/>
    </row>
    <row r="11" spans="2:12" x14ac:dyDescent="0.25">
      <c r="B11" s="473" t="s">
        <v>8</v>
      </c>
      <c r="C11" s="474"/>
      <c r="D11" s="3" t="s">
        <v>6</v>
      </c>
      <c r="E11" s="1">
        <v>2</v>
      </c>
      <c r="F11" s="1" t="s">
        <v>9</v>
      </c>
      <c r="J11" s="8" t="s">
        <v>156</v>
      </c>
      <c r="K11" s="413">
        <f>'Ambas EDAR'!L12</f>
        <v>12347</v>
      </c>
      <c r="L11" s="414"/>
    </row>
    <row r="12" spans="2:12" x14ac:dyDescent="0.25">
      <c r="B12" s="473" t="s">
        <v>10</v>
      </c>
      <c r="C12" s="474"/>
      <c r="D12" s="3" t="s">
        <v>6</v>
      </c>
      <c r="E12" s="1" t="s">
        <v>9</v>
      </c>
      <c r="F12" s="1">
        <v>25</v>
      </c>
      <c r="J12" s="8" t="s">
        <v>157</v>
      </c>
      <c r="K12" s="413">
        <f>'Ambas EDAR'!L13</f>
        <v>12114</v>
      </c>
      <c r="L12" s="414"/>
    </row>
    <row r="13" spans="2:12" x14ac:dyDescent="0.25">
      <c r="B13" s="473" t="s">
        <v>11</v>
      </c>
      <c r="C13" s="474"/>
      <c r="D13" s="3" t="s">
        <v>6</v>
      </c>
      <c r="E13" s="1" t="s">
        <v>9</v>
      </c>
      <c r="F13" s="1">
        <v>3</v>
      </c>
      <c r="J13" s="8" t="s">
        <v>158</v>
      </c>
      <c r="K13" s="413">
        <f>'Ambas EDAR'!L14</f>
        <v>10654</v>
      </c>
      <c r="L13" s="414"/>
    </row>
    <row r="14" spans="2:12" x14ac:dyDescent="0.25">
      <c r="B14" s="473" t="s">
        <v>12</v>
      </c>
      <c r="C14" s="474"/>
      <c r="D14" s="79" t="s">
        <v>13</v>
      </c>
      <c r="E14" s="1">
        <v>500</v>
      </c>
      <c r="F14" s="1">
        <v>500</v>
      </c>
      <c r="J14" s="8" t="s">
        <v>159</v>
      </c>
      <c r="K14" s="413">
        <f>'Ambas EDAR'!L15</f>
        <v>22561</v>
      </c>
      <c r="L14" s="414"/>
    </row>
    <row r="15" spans="2:12" x14ac:dyDescent="0.25">
      <c r="B15" s="473" t="s">
        <v>14</v>
      </c>
      <c r="C15" s="474"/>
      <c r="D15" s="79" t="s">
        <v>13</v>
      </c>
      <c r="E15" s="1">
        <v>100</v>
      </c>
      <c r="F15" s="1">
        <v>100</v>
      </c>
      <c r="J15" s="8" t="s">
        <v>160</v>
      </c>
      <c r="K15" s="413">
        <f>'Ambas EDAR'!L16</f>
        <v>9963</v>
      </c>
      <c r="L15" s="414"/>
    </row>
    <row r="16" spans="2:12" x14ac:dyDescent="0.25">
      <c r="B16" s="473" t="s">
        <v>15</v>
      </c>
      <c r="C16" s="474"/>
      <c r="D16" s="79" t="s">
        <v>13</v>
      </c>
      <c r="E16" s="1">
        <v>100</v>
      </c>
      <c r="F16" s="1" t="s">
        <v>9</v>
      </c>
      <c r="J16" s="8" t="s">
        <v>161</v>
      </c>
      <c r="K16" s="413">
        <f>'Ambas EDAR'!L17</f>
        <v>11633</v>
      </c>
      <c r="L16" s="414"/>
    </row>
    <row r="20" spans="2:16" x14ac:dyDescent="0.25">
      <c r="B20" s="406" t="s">
        <v>0</v>
      </c>
      <c r="C20" s="406"/>
      <c r="D20" s="406"/>
      <c r="E20" s="406"/>
      <c r="F20" s="406"/>
      <c r="G20" s="406"/>
      <c r="H20" s="406"/>
      <c r="I20" s="406"/>
      <c r="J20" s="406"/>
      <c r="K20" s="406"/>
      <c r="L20" s="406"/>
      <c r="M20" s="406"/>
      <c r="N20" s="406"/>
      <c r="O20" s="406"/>
      <c r="P20" s="406"/>
    </row>
    <row r="21" spans="2:16" x14ac:dyDescent="0.25">
      <c r="B21" s="24" t="s">
        <v>1</v>
      </c>
      <c r="C21" s="24" t="s">
        <v>2</v>
      </c>
      <c r="D21" s="23">
        <v>1.24</v>
      </c>
      <c r="E21" s="23">
        <v>2.2400000000000002</v>
      </c>
      <c r="F21" s="23">
        <v>3.24</v>
      </c>
      <c r="G21" s="23">
        <v>4.24</v>
      </c>
      <c r="H21" s="23">
        <v>5.24</v>
      </c>
      <c r="I21" s="23">
        <v>6.24</v>
      </c>
      <c r="J21" s="23">
        <v>7.24</v>
      </c>
      <c r="K21" s="23">
        <v>8.24</v>
      </c>
      <c r="L21" s="23">
        <v>9.24</v>
      </c>
      <c r="M21" s="23">
        <v>10.24</v>
      </c>
      <c r="N21" s="23">
        <v>11.24</v>
      </c>
      <c r="O21" s="23">
        <v>12.24</v>
      </c>
      <c r="P21" s="23" t="s">
        <v>117</v>
      </c>
    </row>
    <row r="22" spans="2:16" x14ac:dyDescent="0.25">
      <c r="B22" s="5" t="s">
        <v>24</v>
      </c>
      <c r="C22" s="8" t="s">
        <v>3</v>
      </c>
      <c r="D22" s="6">
        <v>81</v>
      </c>
      <c r="E22" s="6">
        <v>53</v>
      </c>
      <c r="F22" s="6">
        <v>32</v>
      </c>
      <c r="G22" s="6">
        <v>318</v>
      </c>
      <c r="H22" s="6">
        <v>53</v>
      </c>
      <c r="I22" s="6">
        <v>184</v>
      </c>
      <c r="J22" s="6">
        <v>148</v>
      </c>
      <c r="K22" s="6">
        <v>301</v>
      </c>
      <c r="L22" s="6">
        <v>47</v>
      </c>
      <c r="M22" s="167">
        <v>252</v>
      </c>
      <c r="N22" s="6">
        <v>50</v>
      </c>
      <c r="O22" s="6">
        <v>135</v>
      </c>
      <c r="P22" s="14">
        <f>AVERAGE(D22:O22)</f>
        <v>137.83333333333334</v>
      </c>
    </row>
    <row r="23" spans="2:16" x14ac:dyDescent="0.25">
      <c r="B23" s="5" t="s">
        <v>25</v>
      </c>
      <c r="C23" s="8" t="s">
        <v>3</v>
      </c>
      <c r="D23" s="6">
        <v>300</v>
      </c>
      <c r="E23" s="6">
        <v>232</v>
      </c>
      <c r="F23" s="6">
        <v>54</v>
      </c>
      <c r="G23" s="6">
        <v>1500</v>
      </c>
      <c r="H23" s="6">
        <v>144</v>
      </c>
      <c r="I23" s="6">
        <v>336</v>
      </c>
      <c r="J23" s="6">
        <v>256</v>
      </c>
      <c r="K23" s="6">
        <v>600</v>
      </c>
      <c r="L23" s="6">
        <v>90</v>
      </c>
      <c r="M23" s="167">
        <v>400</v>
      </c>
      <c r="N23" s="6">
        <v>2830</v>
      </c>
      <c r="O23" s="6">
        <v>171</v>
      </c>
      <c r="P23" s="14">
        <f t="shared" ref="P23:P33" si="0">AVERAGE(D23:O23)</f>
        <v>576.08333333333337</v>
      </c>
    </row>
    <row r="24" spans="2:16" x14ac:dyDescent="0.25">
      <c r="B24" s="5" t="s">
        <v>26</v>
      </c>
      <c r="C24" s="8" t="s">
        <v>3</v>
      </c>
      <c r="D24" s="6">
        <v>106.4</v>
      </c>
      <c r="E24" s="6">
        <v>115.7</v>
      </c>
      <c r="F24" s="6">
        <v>21.6</v>
      </c>
      <c r="G24" s="15">
        <v>500</v>
      </c>
      <c r="H24" s="6">
        <v>18.899999999999999</v>
      </c>
      <c r="I24" s="6">
        <v>43.6</v>
      </c>
      <c r="J24" s="6">
        <v>96.8</v>
      </c>
      <c r="K24" s="6">
        <v>103.8</v>
      </c>
      <c r="L24" s="6">
        <v>26.7</v>
      </c>
      <c r="M24" s="167">
        <v>78.2</v>
      </c>
      <c r="N24" s="6">
        <v>1910</v>
      </c>
      <c r="O24" s="6">
        <v>42</v>
      </c>
      <c r="P24" s="17">
        <f t="shared" si="0"/>
        <v>255.30833333333331</v>
      </c>
    </row>
    <row r="25" spans="2:16" x14ac:dyDescent="0.25">
      <c r="B25" s="5" t="s">
        <v>27</v>
      </c>
      <c r="C25" s="8" t="s">
        <v>3</v>
      </c>
      <c r="D25" s="6">
        <v>11.2</v>
      </c>
      <c r="E25" s="6">
        <v>10</v>
      </c>
      <c r="F25" s="6">
        <v>9.4</v>
      </c>
      <c r="G25" s="6">
        <v>72</v>
      </c>
      <c r="H25" s="6">
        <v>5.9</v>
      </c>
      <c r="I25" s="6">
        <v>19.2</v>
      </c>
      <c r="J25" s="6">
        <v>52.8</v>
      </c>
      <c r="K25" s="6">
        <v>42.6</v>
      </c>
      <c r="L25" s="6">
        <v>6.4</v>
      </c>
      <c r="M25" s="167">
        <v>31</v>
      </c>
      <c r="N25" s="6">
        <v>91.8</v>
      </c>
      <c r="O25" s="6">
        <v>17.899999999999999</v>
      </c>
      <c r="P25" s="17">
        <f t="shared" si="0"/>
        <v>30.849999999999998</v>
      </c>
    </row>
    <row r="26" spans="2:16" x14ac:dyDescent="0.25">
      <c r="B26" s="5" t="s">
        <v>28</v>
      </c>
      <c r="C26" s="8" t="s">
        <v>3</v>
      </c>
      <c r="D26" s="6">
        <v>1.3</v>
      </c>
      <c r="E26" s="6">
        <v>2.2999999999999998</v>
      </c>
      <c r="F26" s="6">
        <v>1.3</v>
      </c>
      <c r="G26" s="6">
        <v>19.899999999999999</v>
      </c>
      <c r="H26" s="6">
        <v>0.5</v>
      </c>
      <c r="I26" s="6">
        <v>1.3</v>
      </c>
      <c r="J26" s="6">
        <v>4</v>
      </c>
      <c r="K26" s="6">
        <v>4.7</v>
      </c>
      <c r="L26" s="6">
        <v>0.5</v>
      </c>
      <c r="M26" s="167">
        <v>0.8</v>
      </c>
      <c r="N26" s="6">
        <v>18.96</v>
      </c>
      <c r="O26" s="6">
        <v>2.27</v>
      </c>
      <c r="P26" s="17">
        <f t="shared" si="0"/>
        <v>4.8191666666666668</v>
      </c>
    </row>
    <row r="27" spans="2:16" x14ac:dyDescent="0.25">
      <c r="B27" s="5" t="s">
        <v>4</v>
      </c>
      <c r="C27" s="8" t="s">
        <v>5</v>
      </c>
      <c r="D27" s="6">
        <v>6.5</v>
      </c>
      <c r="E27" s="6">
        <v>6.8</v>
      </c>
      <c r="F27" s="6">
        <v>6.8</v>
      </c>
      <c r="G27" s="6">
        <v>6.7</v>
      </c>
      <c r="H27" s="6">
        <v>6.5</v>
      </c>
      <c r="I27" s="6">
        <v>7</v>
      </c>
      <c r="J27" s="6">
        <v>7.3</v>
      </c>
      <c r="K27" s="6">
        <v>7.4</v>
      </c>
      <c r="L27" s="6">
        <v>6.6</v>
      </c>
      <c r="M27" s="167">
        <v>6.9</v>
      </c>
      <c r="N27" s="6">
        <v>6.6</v>
      </c>
      <c r="O27" s="6">
        <v>6.7</v>
      </c>
      <c r="P27" s="17">
        <f>AVERAGE(D27:O27)</f>
        <v>6.8166666666666664</v>
      </c>
    </row>
    <row r="28" spans="2:16" x14ac:dyDescent="0.25">
      <c r="B28" s="5" t="s">
        <v>30</v>
      </c>
      <c r="C28" s="8" t="s">
        <v>3</v>
      </c>
      <c r="D28" s="6">
        <v>14.6</v>
      </c>
      <c r="E28" s="15">
        <v>14</v>
      </c>
      <c r="F28" s="15">
        <v>14</v>
      </c>
      <c r="G28" s="15">
        <v>14</v>
      </c>
      <c r="H28" s="6">
        <v>13.5</v>
      </c>
      <c r="I28" s="6">
        <v>25.8</v>
      </c>
      <c r="J28" s="6">
        <v>7.1</v>
      </c>
      <c r="K28" s="6">
        <v>61</v>
      </c>
      <c r="L28" s="15">
        <v>5</v>
      </c>
      <c r="M28" s="168">
        <v>5</v>
      </c>
      <c r="N28" s="6">
        <v>1.4</v>
      </c>
      <c r="O28" s="6">
        <v>0.86</v>
      </c>
      <c r="P28" s="17">
        <f t="shared" si="0"/>
        <v>14.688333333333334</v>
      </c>
    </row>
    <row r="29" spans="2:16" ht="16.5" thickBot="1" x14ac:dyDescent="0.3">
      <c r="B29" s="38" t="s">
        <v>119</v>
      </c>
      <c r="C29" s="39" t="s">
        <v>3</v>
      </c>
      <c r="D29" s="40">
        <v>1.2</v>
      </c>
      <c r="E29" s="40">
        <v>0.6</v>
      </c>
      <c r="F29" s="40">
        <v>0.9</v>
      </c>
      <c r="G29" s="40">
        <v>9.1999999999999993</v>
      </c>
      <c r="H29" s="40">
        <v>0.7</v>
      </c>
      <c r="I29" s="40">
        <v>2.7</v>
      </c>
      <c r="J29" s="40">
        <v>2</v>
      </c>
      <c r="K29" s="40">
        <v>4.2</v>
      </c>
      <c r="L29" s="40">
        <v>1.2</v>
      </c>
      <c r="M29" s="169">
        <v>1.7</v>
      </c>
      <c r="N29" s="41">
        <v>0.2</v>
      </c>
      <c r="O29" s="41">
        <v>0.2</v>
      </c>
      <c r="P29" s="42">
        <f t="shared" si="0"/>
        <v>2.066666666666666</v>
      </c>
    </row>
    <row r="30" spans="2:16" x14ac:dyDescent="0.25">
      <c r="B30" s="35" t="s">
        <v>136</v>
      </c>
      <c r="C30" s="36" t="s">
        <v>138</v>
      </c>
      <c r="D30" s="37">
        <f>D22/D23</f>
        <v>0.27</v>
      </c>
      <c r="E30" s="37">
        <f t="shared" ref="E30:O30" si="1">E22/E23</f>
        <v>0.22844827586206898</v>
      </c>
      <c r="F30" s="37">
        <f t="shared" si="1"/>
        <v>0.59259259259259256</v>
      </c>
      <c r="G30" s="37">
        <f t="shared" si="1"/>
        <v>0.21199999999999999</v>
      </c>
      <c r="H30" s="37">
        <f t="shared" si="1"/>
        <v>0.36805555555555558</v>
      </c>
      <c r="I30" s="37">
        <f t="shared" si="1"/>
        <v>0.54761904761904767</v>
      </c>
      <c r="J30" s="37">
        <f t="shared" si="1"/>
        <v>0.578125</v>
      </c>
      <c r="K30" s="37">
        <f t="shared" si="1"/>
        <v>0.50166666666666671</v>
      </c>
      <c r="L30" s="37">
        <f t="shared" si="1"/>
        <v>0.52222222222222225</v>
      </c>
      <c r="M30" s="170">
        <f t="shared" si="1"/>
        <v>0.63</v>
      </c>
      <c r="N30" s="37">
        <f t="shared" si="1"/>
        <v>1.7667844522968199E-2</v>
      </c>
      <c r="O30" s="37">
        <f t="shared" si="1"/>
        <v>0.78947368421052633</v>
      </c>
      <c r="P30" s="43">
        <f t="shared" si="0"/>
        <v>0.43815590743763738</v>
      </c>
    </row>
    <row r="31" spans="2:16" x14ac:dyDescent="0.25">
      <c r="B31" s="5" t="s">
        <v>139</v>
      </c>
      <c r="C31" s="8" t="s">
        <v>3</v>
      </c>
      <c r="D31" s="34">
        <f t="shared" ref="D31:O31" si="2">D24*1.42</f>
        <v>151.08799999999999</v>
      </c>
      <c r="E31" s="34">
        <f t="shared" si="2"/>
        <v>164.29399999999998</v>
      </c>
      <c r="F31" s="34">
        <f t="shared" si="2"/>
        <v>30.672000000000001</v>
      </c>
      <c r="G31" s="45">
        <f t="shared" si="2"/>
        <v>710</v>
      </c>
      <c r="H31" s="34">
        <f t="shared" si="2"/>
        <v>26.837999999999997</v>
      </c>
      <c r="I31" s="34">
        <f t="shared" si="2"/>
        <v>61.911999999999999</v>
      </c>
      <c r="J31" s="34">
        <f t="shared" si="2"/>
        <v>137.45599999999999</v>
      </c>
      <c r="K31" s="34">
        <f t="shared" si="2"/>
        <v>147.39599999999999</v>
      </c>
      <c r="L31" s="34">
        <f t="shared" si="2"/>
        <v>37.913999999999994</v>
      </c>
      <c r="M31" s="171">
        <f t="shared" si="2"/>
        <v>111.044</v>
      </c>
      <c r="N31" s="34">
        <f t="shared" si="2"/>
        <v>2712.2</v>
      </c>
      <c r="O31" s="34">
        <f t="shared" si="2"/>
        <v>59.64</v>
      </c>
      <c r="P31" s="17">
        <f t="shared" si="0"/>
        <v>362.53783333333337</v>
      </c>
    </row>
    <row r="32" spans="2:16" x14ac:dyDescent="0.25">
      <c r="B32" s="5" t="s">
        <v>140</v>
      </c>
      <c r="C32" s="8" t="s">
        <v>138</v>
      </c>
      <c r="D32" s="33">
        <f>D24/D23</f>
        <v>0.35466666666666669</v>
      </c>
      <c r="E32" s="33">
        <f t="shared" ref="E32:O32" si="3">E24/E23</f>
        <v>0.49870689655172418</v>
      </c>
      <c r="F32" s="33">
        <f t="shared" si="3"/>
        <v>0.4</v>
      </c>
      <c r="G32" s="46">
        <f t="shared" si="3"/>
        <v>0.33333333333333331</v>
      </c>
      <c r="H32" s="33">
        <f t="shared" si="3"/>
        <v>0.13124999999999998</v>
      </c>
      <c r="I32" s="33">
        <f t="shared" si="3"/>
        <v>0.12976190476190477</v>
      </c>
      <c r="J32" s="33">
        <f t="shared" si="3"/>
        <v>0.37812499999999999</v>
      </c>
      <c r="K32" s="33">
        <f t="shared" si="3"/>
        <v>0.17299999999999999</v>
      </c>
      <c r="L32" s="33">
        <f t="shared" si="3"/>
        <v>0.29666666666666663</v>
      </c>
      <c r="M32" s="172">
        <f t="shared" si="3"/>
        <v>0.19550000000000001</v>
      </c>
      <c r="N32" s="33">
        <f t="shared" si="3"/>
        <v>0.67491166077738518</v>
      </c>
      <c r="O32" s="33">
        <f t="shared" si="3"/>
        <v>0.24561403508771928</v>
      </c>
      <c r="P32" s="18">
        <f t="shared" si="0"/>
        <v>0.31762801365378329</v>
      </c>
    </row>
    <row r="33" spans="2:16" x14ac:dyDescent="0.25">
      <c r="B33" s="5" t="s">
        <v>141</v>
      </c>
      <c r="C33" s="8" t="s">
        <v>138</v>
      </c>
      <c r="D33" s="33">
        <f>D24/D22</f>
        <v>1.3135802469135802</v>
      </c>
      <c r="E33" s="33">
        <f t="shared" ref="E33:O33" si="4">E24/E22</f>
        <v>2.1830188679245284</v>
      </c>
      <c r="F33" s="33">
        <f t="shared" si="4"/>
        <v>0.67500000000000004</v>
      </c>
      <c r="G33" s="46">
        <f t="shared" si="4"/>
        <v>1.5723270440251573</v>
      </c>
      <c r="H33" s="33">
        <f t="shared" si="4"/>
        <v>0.35660377358490564</v>
      </c>
      <c r="I33" s="33">
        <f t="shared" si="4"/>
        <v>0.23695652173913045</v>
      </c>
      <c r="J33" s="33">
        <f t="shared" si="4"/>
        <v>0.65405405405405403</v>
      </c>
      <c r="K33" s="33">
        <f t="shared" si="4"/>
        <v>0.34485049833887044</v>
      </c>
      <c r="L33" s="33">
        <f t="shared" si="4"/>
        <v>0.56808510638297871</v>
      </c>
      <c r="M33" s="172">
        <f t="shared" si="4"/>
        <v>0.31031746031746033</v>
      </c>
      <c r="N33" s="33">
        <f t="shared" si="4"/>
        <v>38.200000000000003</v>
      </c>
      <c r="O33" s="33">
        <f t="shared" si="4"/>
        <v>0.31111111111111112</v>
      </c>
      <c r="P33" s="18">
        <f t="shared" si="0"/>
        <v>3.8938253903659814</v>
      </c>
    </row>
    <row r="35" spans="2:16" x14ac:dyDescent="0.25">
      <c r="D35" t="s">
        <v>188</v>
      </c>
    </row>
    <row r="36" spans="2:16" x14ac:dyDescent="0.25">
      <c r="D36" t="s">
        <v>412</v>
      </c>
    </row>
    <row r="38" spans="2:16" x14ac:dyDescent="0.25">
      <c r="D38">
        <f t="shared" ref="D38:O38" si="5">D22/D25</f>
        <v>7.2321428571428577</v>
      </c>
      <c r="E38">
        <f t="shared" si="5"/>
        <v>5.3</v>
      </c>
      <c r="F38">
        <f t="shared" si="5"/>
        <v>3.4042553191489362</v>
      </c>
      <c r="G38">
        <f t="shared" si="5"/>
        <v>4.416666666666667</v>
      </c>
      <c r="H38">
        <f t="shared" si="5"/>
        <v>8.9830508474576263</v>
      </c>
      <c r="I38">
        <f>I22/I25</f>
        <v>9.5833333333333339</v>
      </c>
      <c r="J38">
        <f t="shared" si="5"/>
        <v>2.8030303030303032</v>
      </c>
      <c r="K38">
        <f t="shared" si="5"/>
        <v>7.065727699530516</v>
      </c>
      <c r="L38">
        <f t="shared" si="5"/>
        <v>7.34375</v>
      </c>
      <c r="M38">
        <f t="shared" si="5"/>
        <v>8.129032258064516</v>
      </c>
      <c r="N38">
        <f t="shared" si="5"/>
        <v>0.54466230936819171</v>
      </c>
      <c r="O38">
        <f t="shared" si="5"/>
        <v>7.5418994413407825</v>
      </c>
      <c r="P38">
        <f>AVERAGE(D38:O38)</f>
        <v>6.028962586256978</v>
      </c>
    </row>
    <row r="40" spans="2:16" x14ac:dyDescent="0.25">
      <c r="B40" s="476" t="s">
        <v>20</v>
      </c>
      <c r="C40" s="476"/>
      <c r="D40" s="476"/>
      <c r="E40" s="476"/>
      <c r="F40" s="476"/>
      <c r="G40" s="476"/>
      <c r="H40" s="476"/>
      <c r="I40" s="476"/>
      <c r="J40" s="476"/>
      <c r="K40" s="476"/>
      <c r="L40" s="476"/>
      <c r="M40" s="476"/>
      <c r="N40" s="476"/>
      <c r="O40" s="476"/>
      <c r="P40" s="476"/>
    </row>
    <row r="41" spans="2:16" x14ac:dyDescent="0.25">
      <c r="B41" s="98" t="s">
        <v>1</v>
      </c>
      <c r="C41" s="98" t="s">
        <v>2</v>
      </c>
      <c r="D41" s="99">
        <v>1.24</v>
      </c>
      <c r="E41" s="99">
        <v>2.2400000000000002</v>
      </c>
      <c r="F41" s="99">
        <v>3.24</v>
      </c>
      <c r="G41" s="99">
        <v>4.24</v>
      </c>
      <c r="H41" s="99">
        <v>5.24</v>
      </c>
      <c r="I41" s="99">
        <v>6.24</v>
      </c>
      <c r="J41" s="99">
        <v>7.24</v>
      </c>
      <c r="K41" s="99">
        <v>8.24</v>
      </c>
      <c r="L41" s="99">
        <v>9.24</v>
      </c>
      <c r="M41" s="99">
        <v>10.24</v>
      </c>
      <c r="N41" s="99">
        <v>11.24</v>
      </c>
      <c r="O41" s="99">
        <v>12.24</v>
      </c>
      <c r="P41" s="88" t="s">
        <v>117</v>
      </c>
    </row>
    <row r="42" spans="2:16" x14ac:dyDescent="0.25">
      <c r="B42" s="5" t="s">
        <v>24</v>
      </c>
      <c r="C42" s="8" t="s">
        <v>3</v>
      </c>
      <c r="D42" s="15">
        <v>15</v>
      </c>
      <c r="E42" s="15">
        <v>15</v>
      </c>
      <c r="F42" s="15">
        <v>15</v>
      </c>
      <c r="G42" s="15">
        <v>15</v>
      </c>
      <c r="H42" s="6">
        <v>4</v>
      </c>
      <c r="I42" s="6">
        <v>6</v>
      </c>
      <c r="J42" s="6">
        <v>9</v>
      </c>
      <c r="K42" s="6">
        <v>7</v>
      </c>
      <c r="L42" s="6">
        <v>8</v>
      </c>
      <c r="M42" s="6">
        <v>10</v>
      </c>
      <c r="N42" s="15">
        <v>5</v>
      </c>
      <c r="O42" s="15">
        <v>5</v>
      </c>
      <c r="P42" s="14">
        <f>AVERAGE(D42:O42)</f>
        <v>9.5</v>
      </c>
    </row>
    <row r="43" spans="2:16" x14ac:dyDescent="0.25">
      <c r="B43" s="5" t="s">
        <v>25</v>
      </c>
      <c r="C43" s="8" t="s">
        <v>3</v>
      </c>
      <c r="D43" s="15">
        <v>20</v>
      </c>
      <c r="E43" s="15">
        <v>20</v>
      </c>
      <c r="F43" s="15">
        <v>20</v>
      </c>
      <c r="G43" s="15">
        <v>20</v>
      </c>
      <c r="H43" s="6">
        <v>14</v>
      </c>
      <c r="I43" s="6">
        <v>18</v>
      </c>
      <c r="J43" s="6">
        <v>22</v>
      </c>
      <c r="K43" s="6">
        <v>23</v>
      </c>
      <c r="L43" s="6">
        <v>30</v>
      </c>
      <c r="M43" s="6">
        <v>46</v>
      </c>
      <c r="N43" s="6">
        <v>30</v>
      </c>
      <c r="O43" s="6">
        <v>10</v>
      </c>
      <c r="P43" s="14">
        <f>AVERAGE(D43:O43)</f>
        <v>22.75</v>
      </c>
    </row>
    <row r="44" spans="2:16" x14ac:dyDescent="0.25">
      <c r="B44" s="5" t="s">
        <v>26</v>
      </c>
      <c r="C44" s="8" t="s">
        <v>3</v>
      </c>
      <c r="D44" s="15">
        <v>5</v>
      </c>
      <c r="E44" s="6">
        <v>7.6</v>
      </c>
      <c r="F44" s="15">
        <v>5</v>
      </c>
      <c r="G44" s="15">
        <v>5</v>
      </c>
      <c r="H44" s="15">
        <v>2</v>
      </c>
      <c r="I44" s="15">
        <v>2</v>
      </c>
      <c r="J44" s="15">
        <v>2</v>
      </c>
      <c r="K44" s="6">
        <v>20.5</v>
      </c>
      <c r="L44" s="6">
        <v>15</v>
      </c>
      <c r="M44" s="6">
        <v>9.6999999999999993</v>
      </c>
      <c r="N44" s="6">
        <v>15</v>
      </c>
      <c r="O44" s="6">
        <v>6</v>
      </c>
      <c r="P44" s="17">
        <f t="shared" ref="P44:P52" si="6">AVERAGE(D44:O44)</f>
        <v>7.8999999999999995</v>
      </c>
    </row>
    <row r="45" spans="2:16" x14ac:dyDescent="0.25">
      <c r="B45" s="5" t="s">
        <v>27</v>
      </c>
      <c r="C45" s="8" t="s">
        <v>3</v>
      </c>
      <c r="D45" s="15">
        <v>5</v>
      </c>
      <c r="E45" s="15">
        <v>5</v>
      </c>
      <c r="F45" s="15">
        <v>5</v>
      </c>
      <c r="G45" s="15">
        <v>5</v>
      </c>
      <c r="H45" s="6">
        <v>1.9</v>
      </c>
      <c r="I45" s="6">
        <v>2.2000000000000002</v>
      </c>
      <c r="J45" s="6">
        <v>2.1</v>
      </c>
      <c r="K45" s="6">
        <v>2.8</v>
      </c>
      <c r="L45" s="6">
        <v>3.3</v>
      </c>
      <c r="M45" s="6">
        <v>2.4</v>
      </c>
      <c r="N45" s="6">
        <v>3.8</v>
      </c>
      <c r="O45" s="6">
        <v>3</v>
      </c>
      <c r="P45" s="17">
        <f t="shared" si="6"/>
        <v>3.4583333333333326</v>
      </c>
    </row>
    <row r="46" spans="2:16" x14ac:dyDescent="0.25">
      <c r="B46" s="5" t="s">
        <v>28</v>
      </c>
      <c r="C46" s="8" t="s">
        <v>3</v>
      </c>
      <c r="D46" s="6">
        <v>0.5</v>
      </c>
      <c r="E46" s="6">
        <v>0.4</v>
      </c>
      <c r="F46" s="6">
        <v>0.8</v>
      </c>
      <c r="G46" s="6">
        <v>0.4</v>
      </c>
      <c r="H46" s="6">
        <v>0.5</v>
      </c>
      <c r="I46" s="6">
        <v>0.7</v>
      </c>
      <c r="J46" s="6">
        <v>0.7</v>
      </c>
      <c r="K46" s="6">
        <v>1.9</v>
      </c>
      <c r="L46" s="6">
        <v>1.5</v>
      </c>
      <c r="M46" s="6">
        <v>2</v>
      </c>
      <c r="N46" s="6">
        <v>0.8</v>
      </c>
      <c r="O46" s="6">
        <v>1.34</v>
      </c>
      <c r="P46" s="17">
        <f t="shared" si="6"/>
        <v>0.96166666666666678</v>
      </c>
    </row>
    <row r="47" spans="2:16" x14ac:dyDescent="0.25">
      <c r="B47" s="5" t="s">
        <v>4</v>
      </c>
      <c r="C47" s="8" t="s">
        <v>5</v>
      </c>
      <c r="D47" s="6">
        <v>6.6</v>
      </c>
      <c r="E47" s="6">
        <v>7</v>
      </c>
      <c r="F47" s="6">
        <v>6.8</v>
      </c>
      <c r="G47" s="6">
        <v>6.8</v>
      </c>
      <c r="H47" s="6">
        <v>7</v>
      </c>
      <c r="I47" s="6">
        <v>7.1</v>
      </c>
      <c r="J47" s="6">
        <v>7.3</v>
      </c>
      <c r="K47" s="6">
        <v>7.3</v>
      </c>
      <c r="L47" s="6">
        <v>7.2</v>
      </c>
      <c r="M47" s="6">
        <v>6.8</v>
      </c>
      <c r="N47" s="6">
        <v>6.8</v>
      </c>
      <c r="O47" s="6">
        <v>7</v>
      </c>
      <c r="P47" s="17">
        <f t="shared" si="6"/>
        <v>6.9750000000000005</v>
      </c>
    </row>
    <row r="48" spans="2:16" x14ac:dyDescent="0.25">
      <c r="B48" s="5" t="s">
        <v>8</v>
      </c>
      <c r="C48" s="8" t="s">
        <v>3</v>
      </c>
      <c r="D48" s="15">
        <v>0.5</v>
      </c>
      <c r="E48" s="15">
        <v>0.56999999999999995</v>
      </c>
      <c r="F48" s="6">
        <v>1.54</v>
      </c>
      <c r="G48" s="15">
        <v>0.5</v>
      </c>
      <c r="H48" s="6">
        <v>0.42</v>
      </c>
      <c r="I48" s="6">
        <v>0.31</v>
      </c>
      <c r="J48" s="6">
        <v>0.62</v>
      </c>
      <c r="K48" s="6">
        <v>0.32</v>
      </c>
      <c r="L48" s="6">
        <v>0.46</v>
      </c>
      <c r="M48" s="6">
        <v>0.45</v>
      </c>
      <c r="N48" s="7" t="s">
        <v>9</v>
      </c>
      <c r="O48" s="6">
        <v>0.76</v>
      </c>
      <c r="P48" s="18">
        <f>AVERAGE(D48:O48)</f>
        <v>0.58636363636363642</v>
      </c>
    </row>
    <row r="49" spans="2:39" x14ac:dyDescent="0.25">
      <c r="B49" s="5" t="s">
        <v>30</v>
      </c>
      <c r="C49" s="8" t="s">
        <v>3</v>
      </c>
      <c r="D49" s="15">
        <v>14</v>
      </c>
      <c r="E49" s="15">
        <v>14</v>
      </c>
      <c r="F49" s="15">
        <v>14</v>
      </c>
      <c r="G49" s="15">
        <v>14</v>
      </c>
      <c r="H49" s="15">
        <v>5</v>
      </c>
      <c r="I49" s="15">
        <v>5</v>
      </c>
      <c r="J49" s="15">
        <v>5</v>
      </c>
      <c r="K49" s="15">
        <v>5</v>
      </c>
      <c r="L49" s="15">
        <v>5</v>
      </c>
      <c r="M49" s="15">
        <v>5</v>
      </c>
      <c r="N49" s="6">
        <v>1.1000000000000001</v>
      </c>
      <c r="O49" s="15">
        <v>0.5</v>
      </c>
      <c r="P49" s="17">
        <f t="shared" si="6"/>
        <v>7.3</v>
      </c>
    </row>
    <row r="50" spans="2:39" ht="16.5" thickBot="1" x14ac:dyDescent="0.3">
      <c r="B50" s="38" t="s">
        <v>119</v>
      </c>
      <c r="C50" s="39" t="s">
        <v>3</v>
      </c>
      <c r="D50" s="41">
        <v>0.5</v>
      </c>
      <c r="E50" s="41">
        <v>0.5</v>
      </c>
      <c r="F50" s="41">
        <v>0.5</v>
      </c>
      <c r="G50" s="41">
        <v>0.5</v>
      </c>
      <c r="H50" s="40">
        <v>0.4</v>
      </c>
      <c r="I50" s="40">
        <v>0.4</v>
      </c>
      <c r="J50" s="40">
        <v>0.4</v>
      </c>
      <c r="K50" s="40">
        <v>0.7</v>
      </c>
      <c r="L50" s="40">
        <v>0.6</v>
      </c>
      <c r="M50" s="40">
        <v>0.5</v>
      </c>
      <c r="N50" s="41">
        <v>0.2</v>
      </c>
      <c r="O50" s="41">
        <v>0.2</v>
      </c>
      <c r="P50" s="42">
        <f t="shared" si="6"/>
        <v>0.44999999999999996</v>
      </c>
    </row>
    <row r="51" spans="2:39" x14ac:dyDescent="0.25">
      <c r="B51" s="35" t="s">
        <v>136</v>
      </c>
      <c r="C51" s="36" t="s">
        <v>138</v>
      </c>
      <c r="D51" s="44">
        <f>D42/D43</f>
        <v>0.75</v>
      </c>
      <c r="E51" s="44">
        <f t="shared" ref="E51:O51" si="7">E42/E43</f>
        <v>0.75</v>
      </c>
      <c r="F51" s="44">
        <f t="shared" si="7"/>
        <v>0.75</v>
      </c>
      <c r="G51" s="44">
        <f t="shared" si="7"/>
        <v>0.75</v>
      </c>
      <c r="H51" s="37">
        <f t="shared" si="7"/>
        <v>0.2857142857142857</v>
      </c>
      <c r="I51" s="37">
        <f t="shared" si="7"/>
        <v>0.33333333333333331</v>
      </c>
      <c r="J51" s="37">
        <f t="shared" si="7"/>
        <v>0.40909090909090912</v>
      </c>
      <c r="K51" s="37">
        <f t="shared" si="7"/>
        <v>0.30434782608695654</v>
      </c>
      <c r="L51" s="37">
        <f t="shared" si="7"/>
        <v>0.26666666666666666</v>
      </c>
      <c r="M51" s="37">
        <f t="shared" si="7"/>
        <v>0.21739130434782608</v>
      </c>
      <c r="N51" s="44">
        <f t="shared" si="7"/>
        <v>0.16666666666666666</v>
      </c>
      <c r="O51" s="44">
        <f t="shared" si="7"/>
        <v>0.5</v>
      </c>
      <c r="P51" s="43">
        <f>AVERAGE(D51:O51)</f>
        <v>0.45693424932555365</v>
      </c>
    </row>
    <row r="52" spans="2:39" x14ac:dyDescent="0.25">
      <c r="B52" s="5" t="s">
        <v>139</v>
      </c>
      <c r="C52" s="8" t="s">
        <v>3</v>
      </c>
      <c r="D52" s="45">
        <f>D44*1.42</f>
        <v>7.1</v>
      </c>
      <c r="E52" s="47">
        <f t="shared" ref="E52:O52" si="8">E44*1.42</f>
        <v>10.792</v>
      </c>
      <c r="F52" s="45">
        <f t="shared" si="8"/>
        <v>7.1</v>
      </c>
      <c r="G52" s="45">
        <f t="shared" si="8"/>
        <v>7.1</v>
      </c>
      <c r="H52" s="45">
        <f t="shared" si="8"/>
        <v>2.84</v>
      </c>
      <c r="I52" s="45">
        <f t="shared" si="8"/>
        <v>2.84</v>
      </c>
      <c r="J52" s="45">
        <f t="shared" si="8"/>
        <v>2.84</v>
      </c>
      <c r="K52" s="34">
        <f>K44*1.42</f>
        <v>29.11</v>
      </c>
      <c r="L52" s="34">
        <f t="shared" si="8"/>
        <v>21.299999999999997</v>
      </c>
      <c r="M52" s="34">
        <f t="shared" si="8"/>
        <v>13.773999999999999</v>
      </c>
      <c r="N52" s="34">
        <f t="shared" si="8"/>
        <v>21.299999999999997</v>
      </c>
      <c r="O52" s="34">
        <f t="shared" si="8"/>
        <v>8.52</v>
      </c>
      <c r="P52" s="17">
        <f t="shared" si="6"/>
        <v>11.218000000000002</v>
      </c>
    </row>
    <row r="53" spans="2:39" x14ac:dyDescent="0.25">
      <c r="B53" s="5" t="s">
        <v>140</v>
      </c>
      <c r="C53" s="8" t="s">
        <v>138</v>
      </c>
      <c r="D53" s="46">
        <f>D43/D44</f>
        <v>4</v>
      </c>
      <c r="E53" s="46">
        <f t="shared" ref="E53:O53" si="9">E43/E44</f>
        <v>2.6315789473684212</v>
      </c>
      <c r="F53" s="46">
        <f t="shared" si="9"/>
        <v>4</v>
      </c>
      <c r="G53" s="46">
        <f t="shared" si="9"/>
        <v>4</v>
      </c>
      <c r="H53" s="46">
        <f t="shared" si="9"/>
        <v>7</v>
      </c>
      <c r="I53" s="46">
        <f t="shared" si="9"/>
        <v>9</v>
      </c>
      <c r="J53" s="46">
        <f>J43/J44</f>
        <v>11</v>
      </c>
      <c r="K53" s="67">
        <f t="shared" si="9"/>
        <v>1.1219512195121952</v>
      </c>
      <c r="L53" s="67">
        <f t="shared" si="9"/>
        <v>2</v>
      </c>
      <c r="M53" s="67">
        <f t="shared" si="9"/>
        <v>4.7422680412371134</v>
      </c>
      <c r="N53" s="67">
        <f t="shared" si="9"/>
        <v>2</v>
      </c>
      <c r="O53" s="67">
        <f t="shared" si="9"/>
        <v>1.6666666666666667</v>
      </c>
      <c r="P53" s="18">
        <f>AVERAGE(D53:O53)</f>
        <v>4.4302054062320328</v>
      </c>
    </row>
    <row r="54" spans="2:39" x14ac:dyDescent="0.25">
      <c r="B54" s="5" t="s">
        <v>141</v>
      </c>
      <c r="C54" s="8" t="s">
        <v>138</v>
      </c>
      <c r="D54" s="46">
        <f>D42/D44</f>
        <v>3</v>
      </c>
      <c r="E54" s="46">
        <f t="shared" ref="E54:O54" si="10">E42/E44</f>
        <v>1.9736842105263159</v>
      </c>
      <c r="F54" s="46">
        <f t="shared" si="10"/>
        <v>3</v>
      </c>
      <c r="G54" s="46">
        <f t="shared" si="10"/>
        <v>3</v>
      </c>
      <c r="H54" s="46">
        <f t="shared" si="10"/>
        <v>2</v>
      </c>
      <c r="I54" s="46">
        <f t="shared" si="10"/>
        <v>3</v>
      </c>
      <c r="J54" s="46">
        <f t="shared" si="10"/>
        <v>4.5</v>
      </c>
      <c r="K54" s="67">
        <f t="shared" si="10"/>
        <v>0.34146341463414637</v>
      </c>
      <c r="L54" s="67">
        <f t="shared" si="10"/>
        <v>0.53333333333333333</v>
      </c>
      <c r="M54" s="67">
        <f t="shared" si="10"/>
        <v>1.0309278350515465</v>
      </c>
      <c r="N54" s="46">
        <f t="shared" si="10"/>
        <v>0.33333333333333331</v>
      </c>
      <c r="O54" s="46">
        <f t="shared" si="10"/>
        <v>0.83333333333333337</v>
      </c>
      <c r="P54" s="18">
        <f>AVERAGE(D54:O54)</f>
        <v>1.9621729550176672</v>
      </c>
    </row>
    <row r="56" spans="2:39" x14ac:dyDescent="0.25">
      <c r="B56" s="16" t="s">
        <v>118</v>
      </c>
    </row>
    <row r="57" spans="2:39" x14ac:dyDescent="0.25">
      <c r="B57" t="s">
        <v>137</v>
      </c>
      <c r="W57" s="89"/>
      <c r="X57" s="90"/>
      <c r="Y57" s="90"/>
      <c r="Z57" s="90"/>
      <c r="AA57" s="90"/>
      <c r="AB57" s="90"/>
      <c r="AC57" s="90"/>
      <c r="AD57" s="90"/>
      <c r="AE57" s="90"/>
      <c r="AF57" s="90"/>
      <c r="AG57" s="90"/>
      <c r="AH57" s="90"/>
      <c r="AI57" s="90"/>
      <c r="AJ57" s="90"/>
      <c r="AK57" s="90"/>
      <c r="AL57" s="90"/>
      <c r="AM57" s="91"/>
    </row>
    <row r="58" spans="2:39" x14ac:dyDescent="0.25">
      <c r="B58" t="s">
        <v>142</v>
      </c>
      <c r="W58" s="82"/>
      <c r="X58" s="470" t="s">
        <v>193</v>
      </c>
      <c r="Y58" s="470"/>
      <c r="Z58" s="470"/>
      <c r="AA58" s="470"/>
      <c r="AB58" s="470"/>
      <c r="AC58" s="470"/>
      <c r="AD58" s="470"/>
      <c r="AE58" s="470"/>
      <c r="AF58" s="470"/>
      <c r="AG58" s="470"/>
      <c r="AH58" s="470"/>
      <c r="AI58" s="470"/>
      <c r="AJ58" s="470"/>
      <c r="AK58" s="470"/>
      <c r="AL58" s="470"/>
      <c r="AM58" s="87"/>
    </row>
    <row r="59" spans="2:39" x14ac:dyDescent="0.25">
      <c r="B59" t="s">
        <v>191</v>
      </c>
      <c r="W59" s="82"/>
      <c r="AM59" s="87"/>
    </row>
    <row r="60" spans="2:39" x14ac:dyDescent="0.25">
      <c r="B60" t="s">
        <v>192</v>
      </c>
      <c r="W60" s="82"/>
      <c r="X60" s="406" t="s">
        <v>0</v>
      </c>
      <c r="Y60" s="406"/>
      <c r="Z60" s="406"/>
      <c r="AA60" s="406"/>
      <c r="AB60" s="406"/>
      <c r="AC60" s="406"/>
      <c r="AD60" s="406"/>
      <c r="AE60" s="406"/>
      <c r="AF60" s="406"/>
      <c r="AG60" s="406"/>
      <c r="AH60" s="406"/>
      <c r="AI60" s="406"/>
      <c r="AJ60" s="406"/>
      <c r="AK60" s="406"/>
      <c r="AL60" s="406"/>
      <c r="AM60" s="87"/>
    </row>
    <row r="61" spans="2:39" x14ac:dyDescent="0.25">
      <c r="W61" s="82"/>
      <c r="X61" s="23" t="s">
        <v>1</v>
      </c>
      <c r="Y61" s="23" t="s">
        <v>2</v>
      </c>
      <c r="Z61" s="23">
        <v>1.24</v>
      </c>
      <c r="AA61" s="23">
        <v>2.2400000000000002</v>
      </c>
      <c r="AB61" s="23">
        <v>3.24</v>
      </c>
      <c r="AC61" s="23">
        <v>4.24</v>
      </c>
      <c r="AD61" s="23">
        <v>5.24</v>
      </c>
      <c r="AE61" s="23">
        <v>6.24</v>
      </c>
      <c r="AF61" s="23">
        <v>7.24</v>
      </c>
      <c r="AG61" s="23">
        <v>8.24</v>
      </c>
      <c r="AH61" s="23">
        <v>9.24</v>
      </c>
      <c r="AI61" s="23">
        <v>10.24</v>
      </c>
      <c r="AJ61" s="23">
        <v>11.24</v>
      </c>
      <c r="AK61" s="23">
        <v>12.24</v>
      </c>
      <c r="AL61" s="23" t="s">
        <v>117</v>
      </c>
      <c r="AM61" s="87"/>
    </row>
    <row r="62" spans="2:39" x14ac:dyDescent="0.25">
      <c r="W62" s="82"/>
      <c r="X62" s="5" t="s">
        <v>24</v>
      </c>
      <c r="Y62" s="8" t="s">
        <v>3</v>
      </c>
      <c r="Z62" s="6">
        <v>81</v>
      </c>
      <c r="AA62" s="6">
        <v>53</v>
      </c>
      <c r="AB62" s="6">
        <v>32</v>
      </c>
      <c r="AC62" s="62">
        <v>318</v>
      </c>
      <c r="AD62" s="6">
        <v>53</v>
      </c>
      <c r="AE62" s="6">
        <v>184</v>
      </c>
      <c r="AF62" s="6">
        <v>148</v>
      </c>
      <c r="AG62" s="6">
        <v>301</v>
      </c>
      <c r="AH62" s="6">
        <v>47</v>
      </c>
      <c r="AI62" s="6">
        <v>252</v>
      </c>
      <c r="AJ62" s="6">
        <v>50</v>
      </c>
      <c r="AK62" s="6">
        <v>135</v>
      </c>
      <c r="AL62" s="14">
        <f>AVERAGE(Z62:AK62)</f>
        <v>137.83333333333334</v>
      </c>
      <c r="AM62" s="87"/>
    </row>
    <row r="63" spans="2:39" ht="15.95" customHeight="1" x14ac:dyDescent="0.25">
      <c r="B63" s="469" t="s">
        <v>205</v>
      </c>
      <c r="C63" s="469"/>
      <c r="D63" s="469"/>
      <c r="E63" s="469"/>
      <c r="F63" s="469"/>
      <c r="G63" s="469"/>
      <c r="H63" s="469"/>
      <c r="I63" s="469"/>
      <c r="J63" s="469"/>
      <c r="K63" s="469"/>
      <c r="L63" s="469"/>
      <c r="M63" s="469"/>
      <c r="N63" s="469"/>
      <c r="O63" s="469"/>
      <c r="P63" s="469"/>
      <c r="W63" s="82"/>
      <c r="X63" s="5" t="s">
        <v>25</v>
      </c>
      <c r="Y63" s="8" t="s">
        <v>3</v>
      </c>
      <c r="Z63" s="6">
        <v>300</v>
      </c>
      <c r="AA63" s="6">
        <v>232</v>
      </c>
      <c r="AB63" s="6">
        <v>54</v>
      </c>
      <c r="AC63" s="6">
        <v>1500</v>
      </c>
      <c r="AD63" s="6">
        <v>144</v>
      </c>
      <c r="AE63" s="6">
        <v>336</v>
      </c>
      <c r="AF63" s="6">
        <v>256</v>
      </c>
      <c r="AG63" s="6">
        <v>600</v>
      </c>
      <c r="AH63" s="6">
        <v>90</v>
      </c>
      <c r="AI63" s="6">
        <v>400</v>
      </c>
      <c r="AJ63" s="62">
        <v>2830</v>
      </c>
      <c r="AK63" s="6">
        <v>171</v>
      </c>
      <c r="AL63" s="14">
        <f t="shared" ref="AL63:AL73" si="11">AVERAGE(Z63:AK63)</f>
        <v>576.08333333333337</v>
      </c>
      <c r="AM63" s="87"/>
    </row>
    <row r="64" spans="2:39" ht="15.95" customHeight="1" x14ac:dyDescent="0.25">
      <c r="B64" s="469"/>
      <c r="C64" s="469"/>
      <c r="D64" s="469"/>
      <c r="E64" s="469"/>
      <c r="F64" s="469"/>
      <c r="G64" s="469"/>
      <c r="H64" s="469"/>
      <c r="I64" s="469"/>
      <c r="J64" s="469"/>
      <c r="K64" s="469"/>
      <c r="L64" s="469"/>
      <c r="M64" s="469"/>
      <c r="N64" s="469"/>
      <c r="O64" s="469"/>
      <c r="P64" s="469"/>
      <c r="W64" s="82"/>
      <c r="X64" s="5" t="s">
        <v>26</v>
      </c>
      <c r="Y64" s="8" t="s">
        <v>3</v>
      </c>
      <c r="Z64" s="6">
        <v>106.4</v>
      </c>
      <c r="AA64" s="6">
        <v>115.7</v>
      </c>
      <c r="AB64" s="6">
        <v>21.6</v>
      </c>
      <c r="AC64" s="15">
        <v>500</v>
      </c>
      <c r="AD64" s="6">
        <v>18.899999999999999</v>
      </c>
      <c r="AE64" s="6">
        <v>43.6</v>
      </c>
      <c r="AF64" s="6">
        <v>96.8</v>
      </c>
      <c r="AG64" s="6">
        <v>103.8</v>
      </c>
      <c r="AH64" s="6">
        <v>26.7</v>
      </c>
      <c r="AI64" s="6">
        <v>78.2</v>
      </c>
      <c r="AJ64" s="62">
        <v>1910</v>
      </c>
      <c r="AK64" s="6">
        <v>42</v>
      </c>
      <c r="AL64" s="17">
        <f t="shared" si="11"/>
        <v>255.30833333333331</v>
      </c>
      <c r="AM64" s="87"/>
    </row>
    <row r="65" spans="2:39" x14ac:dyDescent="0.25">
      <c r="W65" s="82"/>
      <c r="X65" s="5" t="s">
        <v>27</v>
      </c>
      <c r="Y65" s="8" t="s">
        <v>3</v>
      </c>
      <c r="Z65" s="6">
        <v>11.2</v>
      </c>
      <c r="AA65" s="6">
        <v>10</v>
      </c>
      <c r="AB65" s="6">
        <v>9.4</v>
      </c>
      <c r="AC65" s="6">
        <v>72</v>
      </c>
      <c r="AD65" s="6">
        <v>5.9</v>
      </c>
      <c r="AE65" s="6">
        <v>19.2</v>
      </c>
      <c r="AF65" s="6">
        <v>52.8</v>
      </c>
      <c r="AG65" s="6">
        <v>42.6</v>
      </c>
      <c r="AH65" s="6">
        <v>6.4</v>
      </c>
      <c r="AI65" s="6">
        <v>31</v>
      </c>
      <c r="AJ65" s="62">
        <v>91.8</v>
      </c>
      <c r="AK65" s="6">
        <v>17.899999999999999</v>
      </c>
      <c r="AL65" s="17">
        <f t="shared" si="11"/>
        <v>30.849999999999998</v>
      </c>
      <c r="AM65" s="87"/>
    </row>
    <row r="66" spans="2:39" x14ac:dyDescent="0.25">
      <c r="W66" s="82"/>
      <c r="X66" s="5" t="s">
        <v>28</v>
      </c>
      <c r="Y66" s="8" t="s">
        <v>3</v>
      </c>
      <c r="Z66" s="6">
        <v>1.3</v>
      </c>
      <c r="AA66" s="6">
        <v>2.2999999999999998</v>
      </c>
      <c r="AB66" s="6">
        <v>1.3</v>
      </c>
      <c r="AC66" s="62">
        <v>19.899999999999999</v>
      </c>
      <c r="AD66" s="6">
        <v>0.5</v>
      </c>
      <c r="AE66" s="6">
        <v>1.3</v>
      </c>
      <c r="AF66" s="6">
        <v>4</v>
      </c>
      <c r="AG66" s="6">
        <v>4.7</v>
      </c>
      <c r="AH66" s="6">
        <v>0.5</v>
      </c>
      <c r="AI66" s="6">
        <v>0.8</v>
      </c>
      <c r="AJ66" s="6">
        <v>18.96</v>
      </c>
      <c r="AK66" s="6">
        <v>2.27</v>
      </c>
      <c r="AL66" s="17">
        <f t="shared" si="11"/>
        <v>4.8191666666666668</v>
      </c>
      <c r="AM66" s="87"/>
    </row>
    <row r="67" spans="2:39" x14ac:dyDescent="0.25">
      <c r="W67" s="82"/>
      <c r="X67" s="5" t="s">
        <v>4</v>
      </c>
      <c r="Y67" s="8" t="s">
        <v>5</v>
      </c>
      <c r="Z67" s="6">
        <v>6.5</v>
      </c>
      <c r="AA67" s="6">
        <v>6.8</v>
      </c>
      <c r="AB67" s="6">
        <v>6.8</v>
      </c>
      <c r="AC67" s="6">
        <v>6.7</v>
      </c>
      <c r="AD67" s="6">
        <v>6.5</v>
      </c>
      <c r="AE67" s="6">
        <v>7</v>
      </c>
      <c r="AF67" s="6">
        <v>7.3</v>
      </c>
      <c r="AG67" s="62">
        <v>7.4</v>
      </c>
      <c r="AH67" s="6">
        <v>6.6</v>
      </c>
      <c r="AI67" s="6">
        <v>6.9</v>
      </c>
      <c r="AJ67" s="6">
        <v>6.6</v>
      </c>
      <c r="AK67" s="6">
        <v>6.7</v>
      </c>
      <c r="AL67" s="17">
        <f t="shared" si="11"/>
        <v>6.8166666666666664</v>
      </c>
      <c r="AM67" s="87"/>
    </row>
    <row r="68" spans="2:39" x14ac:dyDescent="0.25">
      <c r="W68" s="82"/>
      <c r="X68" s="5" t="s">
        <v>30</v>
      </c>
      <c r="Y68" s="8" t="s">
        <v>3</v>
      </c>
      <c r="Z68" s="6">
        <v>14.6</v>
      </c>
      <c r="AA68" s="15">
        <v>14</v>
      </c>
      <c r="AB68" s="15">
        <v>14</v>
      </c>
      <c r="AC68" s="15">
        <v>14</v>
      </c>
      <c r="AD68" s="6">
        <v>13.5</v>
      </c>
      <c r="AE68" s="62">
        <v>25.8</v>
      </c>
      <c r="AF68" s="6">
        <v>7.1</v>
      </c>
      <c r="AG68" s="6">
        <v>61</v>
      </c>
      <c r="AH68" s="15">
        <v>5</v>
      </c>
      <c r="AI68" s="15">
        <v>5</v>
      </c>
      <c r="AJ68" s="6">
        <v>1.4</v>
      </c>
      <c r="AK68" s="6">
        <v>0.86</v>
      </c>
      <c r="AL68" s="17">
        <f t="shared" si="11"/>
        <v>14.688333333333334</v>
      </c>
      <c r="AM68" s="87"/>
    </row>
    <row r="69" spans="2:39" ht="16.5" thickBot="1" x14ac:dyDescent="0.3">
      <c r="W69" s="82"/>
      <c r="X69" s="38" t="s">
        <v>119</v>
      </c>
      <c r="Y69" s="39" t="s">
        <v>3</v>
      </c>
      <c r="Z69" s="40">
        <v>1.2</v>
      </c>
      <c r="AA69" s="40">
        <v>0.6</v>
      </c>
      <c r="AB69" s="40">
        <v>0.9</v>
      </c>
      <c r="AC69" s="63">
        <v>9.1999999999999993</v>
      </c>
      <c r="AD69" s="40">
        <v>0.7</v>
      </c>
      <c r="AE69" s="40">
        <v>2.7</v>
      </c>
      <c r="AF69" s="40">
        <v>2</v>
      </c>
      <c r="AG69" s="40">
        <v>4.2</v>
      </c>
      <c r="AH69" s="40">
        <v>1.2</v>
      </c>
      <c r="AI69" s="40">
        <v>1.7</v>
      </c>
      <c r="AJ69" s="41">
        <v>0.2</v>
      </c>
      <c r="AK69" s="41">
        <v>0.2</v>
      </c>
      <c r="AL69" s="42">
        <f t="shared" si="11"/>
        <v>2.066666666666666</v>
      </c>
      <c r="AM69" s="87"/>
    </row>
    <row r="70" spans="2:39" x14ac:dyDescent="0.25">
      <c r="W70" s="82"/>
      <c r="X70" s="35" t="s">
        <v>136</v>
      </c>
      <c r="Y70" s="36" t="s">
        <v>138</v>
      </c>
      <c r="Z70" s="50">
        <f t="shared" ref="Z70:AK70" si="12">Z62/Z63</f>
        <v>0.27</v>
      </c>
      <c r="AA70" s="50">
        <f t="shared" si="12"/>
        <v>0.22844827586206898</v>
      </c>
      <c r="AB70" s="50">
        <f t="shared" si="12"/>
        <v>0.59259259259259256</v>
      </c>
      <c r="AC70" s="50">
        <f t="shared" si="12"/>
        <v>0.21199999999999999</v>
      </c>
      <c r="AD70" s="50">
        <f t="shared" si="12"/>
        <v>0.36805555555555558</v>
      </c>
      <c r="AE70" s="50">
        <f t="shared" si="12"/>
        <v>0.54761904761904767</v>
      </c>
      <c r="AF70" s="50">
        <f t="shared" si="12"/>
        <v>0.578125</v>
      </c>
      <c r="AG70" s="50">
        <f t="shared" si="12"/>
        <v>0.50166666666666671</v>
      </c>
      <c r="AH70" s="50">
        <f t="shared" si="12"/>
        <v>0.52222222222222225</v>
      </c>
      <c r="AI70" s="50">
        <f t="shared" si="12"/>
        <v>0.63</v>
      </c>
      <c r="AJ70" s="50">
        <f t="shared" si="12"/>
        <v>1.7667844522968199E-2</v>
      </c>
      <c r="AK70" s="64">
        <f t="shared" si="12"/>
        <v>0.78947368421052633</v>
      </c>
      <c r="AL70" s="43">
        <f>AVERAGE(Z70:AK70)</f>
        <v>0.43815590743763738</v>
      </c>
      <c r="AM70" s="87"/>
    </row>
    <row r="71" spans="2:39" ht="15.95" customHeight="1" x14ac:dyDescent="0.25">
      <c r="B71" s="475" t="s">
        <v>190</v>
      </c>
      <c r="C71" s="475"/>
      <c r="D71" s="475"/>
      <c r="E71" s="475"/>
      <c r="F71" s="475"/>
      <c r="G71" s="475"/>
      <c r="H71" s="475"/>
      <c r="I71" s="475"/>
      <c r="J71" s="475"/>
      <c r="K71" s="475"/>
      <c r="L71" s="475"/>
      <c r="M71" s="475"/>
      <c r="N71" s="475"/>
      <c r="O71" s="475"/>
      <c r="P71" s="475"/>
      <c r="W71" s="82"/>
      <c r="X71" s="5" t="s">
        <v>139</v>
      </c>
      <c r="Y71" s="8" t="s">
        <v>3</v>
      </c>
      <c r="Z71" s="51">
        <f t="shared" ref="Z71:AK71" si="13">Z64*1.42</f>
        <v>151.08799999999999</v>
      </c>
      <c r="AA71" s="51">
        <f t="shared" si="13"/>
        <v>164.29399999999998</v>
      </c>
      <c r="AB71" s="51">
        <f t="shared" si="13"/>
        <v>30.672000000000001</v>
      </c>
      <c r="AC71" s="60">
        <f t="shared" si="13"/>
        <v>710</v>
      </c>
      <c r="AD71" s="51">
        <f t="shared" si="13"/>
        <v>26.837999999999997</v>
      </c>
      <c r="AE71" s="51">
        <f t="shared" si="13"/>
        <v>61.911999999999999</v>
      </c>
      <c r="AF71" s="51">
        <f t="shared" si="13"/>
        <v>137.45599999999999</v>
      </c>
      <c r="AG71" s="51">
        <f t="shared" si="13"/>
        <v>147.39599999999999</v>
      </c>
      <c r="AH71" s="51">
        <f t="shared" si="13"/>
        <v>37.913999999999994</v>
      </c>
      <c r="AI71" s="51">
        <f t="shared" si="13"/>
        <v>111.044</v>
      </c>
      <c r="AJ71" s="65">
        <f t="shared" si="13"/>
        <v>2712.2</v>
      </c>
      <c r="AK71" s="51">
        <f t="shared" si="13"/>
        <v>59.64</v>
      </c>
      <c r="AL71" s="17">
        <f t="shared" si="11"/>
        <v>362.53783333333337</v>
      </c>
      <c r="AM71" s="87"/>
    </row>
    <row r="72" spans="2:39" x14ac:dyDescent="0.25">
      <c r="B72" s="115" t="s">
        <v>1</v>
      </c>
      <c r="C72" s="116" t="s">
        <v>2</v>
      </c>
      <c r="D72" s="116">
        <f>D$21</f>
        <v>1.24</v>
      </c>
      <c r="E72" s="116">
        <f t="shared" ref="E72:O72" si="14">E$21</f>
        <v>2.2400000000000002</v>
      </c>
      <c r="F72" s="116">
        <f t="shared" si="14"/>
        <v>3.24</v>
      </c>
      <c r="G72" s="116">
        <f t="shared" si="14"/>
        <v>4.24</v>
      </c>
      <c r="H72" s="116">
        <f t="shared" si="14"/>
        <v>5.24</v>
      </c>
      <c r="I72" s="116">
        <f t="shared" si="14"/>
        <v>6.24</v>
      </c>
      <c r="J72" s="116">
        <f t="shared" si="14"/>
        <v>7.24</v>
      </c>
      <c r="K72" s="116">
        <f t="shared" si="14"/>
        <v>8.24</v>
      </c>
      <c r="L72" s="116">
        <f t="shared" si="14"/>
        <v>9.24</v>
      </c>
      <c r="M72" s="116">
        <f t="shared" si="14"/>
        <v>10.24</v>
      </c>
      <c r="N72" s="116">
        <f t="shared" si="14"/>
        <v>11.24</v>
      </c>
      <c r="O72" s="116">
        <f t="shared" si="14"/>
        <v>12.24</v>
      </c>
      <c r="P72" s="116" t="s">
        <v>117</v>
      </c>
      <c r="W72" s="82"/>
      <c r="X72" s="5" t="s">
        <v>140</v>
      </c>
      <c r="Y72" s="8" t="s">
        <v>138</v>
      </c>
      <c r="Z72" s="52">
        <f t="shared" ref="Z72:AK72" si="15">Z64/Z63</f>
        <v>0.35466666666666669</v>
      </c>
      <c r="AA72" s="52">
        <f t="shared" si="15"/>
        <v>0.49870689655172418</v>
      </c>
      <c r="AB72" s="52">
        <f t="shared" si="15"/>
        <v>0.4</v>
      </c>
      <c r="AC72" s="61">
        <f t="shared" si="15"/>
        <v>0.33333333333333331</v>
      </c>
      <c r="AD72" s="52">
        <f t="shared" si="15"/>
        <v>0.13124999999999998</v>
      </c>
      <c r="AE72" s="52">
        <f t="shared" si="15"/>
        <v>0.12976190476190477</v>
      </c>
      <c r="AF72" s="52">
        <f t="shared" si="15"/>
        <v>0.37812499999999999</v>
      </c>
      <c r="AG72" s="52">
        <f t="shared" si="15"/>
        <v>0.17299999999999999</v>
      </c>
      <c r="AH72" s="52">
        <f t="shared" si="15"/>
        <v>0.29666666666666663</v>
      </c>
      <c r="AI72" s="52">
        <f t="shared" si="15"/>
        <v>0.19550000000000001</v>
      </c>
      <c r="AJ72" s="66">
        <f t="shared" si="15"/>
        <v>0.67491166077738518</v>
      </c>
      <c r="AK72" s="52">
        <f t="shared" si="15"/>
        <v>0.24561403508771928</v>
      </c>
      <c r="AL72" s="18">
        <f t="shared" si="11"/>
        <v>0.31762801365378329</v>
      </c>
      <c r="AM72" s="87"/>
    </row>
    <row r="73" spans="2:39" x14ac:dyDescent="0.25">
      <c r="B73" s="54" t="s">
        <v>164</v>
      </c>
      <c r="C73" s="55" t="s">
        <v>203</v>
      </c>
      <c r="D73" s="1" cm="1">
        <f t="array" ref="D73:O73">TRANSPOSE($K$5:$K$16)</f>
        <v>16868</v>
      </c>
      <c r="E73" s="1">
        <v>18759</v>
      </c>
      <c r="F73" s="1">
        <v>20556</v>
      </c>
      <c r="G73" s="1">
        <v>13190</v>
      </c>
      <c r="H73" s="1">
        <v>17228</v>
      </c>
      <c r="I73" s="1">
        <v>11596</v>
      </c>
      <c r="J73" s="1">
        <v>12347</v>
      </c>
      <c r="K73" s="1">
        <v>12114</v>
      </c>
      <c r="L73" s="1">
        <v>10654</v>
      </c>
      <c r="M73" s="1">
        <v>22561</v>
      </c>
      <c r="N73" s="1">
        <v>9963</v>
      </c>
      <c r="O73" s="1">
        <v>11633</v>
      </c>
      <c r="P73" s="70">
        <f>AVERAGE(_xlfn.ANCHORARRAY(D73))</f>
        <v>14789.083333333334</v>
      </c>
      <c r="W73" s="82"/>
      <c r="X73" s="5" t="s">
        <v>141</v>
      </c>
      <c r="Y73" s="8" t="s">
        <v>138</v>
      </c>
      <c r="Z73" s="52">
        <f t="shared" ref="Z73:AK73" si="16">Z64/Z62</f>
        <v>1.3135802469135802</v>
      </c>
      <c r="AA73" s="52">
        <f t="shared" si="16"/>
        <v>2.1830188679245284</v>
      </c>
      <c r="AB73" s="52">
        <f t="shared" si="16"/>
        <v>0.67500000000000004</v>
      </c>
      <c r="AC73" s="61">
        <f t="shared" si="16"/>
        <v>1.5723270440251573</v>
      </c>
      <c r="AD73" s="52">
        <f t="shared" si="16"/>
        <v>0.35660377358490564</v>
      </c>
      <c r="AE73" s="52">
        <f t="shared" si="16"/>
        <v>0.23695652173913045</v>
      </c>
      <c r="AF73" s="52">
        <f t="shared" si="16"/>
        <v>0.65405405405405403</v>
      </c>
      <c r="AG73" s="52">
        <f t="shared" si="16"/>
        <v>0.34485049833887044</v>
      </c>
      <c r="AH73" s="52">
        <f t="shared" si="16"/>
        <v>0.56808510638297871</v>
      </c>
      <c r="AI73" s="52">
        <f t="shared" si="16"/>
        <v>0.31031746031746033</v>
      </c>
      <c r="AJ73" s="66">
        <f t="shared" si="16"/>
        <v>38.200000000000003</v>
      </c>
      <c r="AK73" s="52">
        <f t="shared" si="16"/>
        <v>0.31111111111111112</v>
      </c>
      <c r="AL73" s="18">
        <f t="shared" si="11"/>
        <v>3.8938253903659814</v>
      </c>
      <c r="AM73" s="87"/>
    </row>
    <row r="74" spans="2:39" x14ac:dyDescent="0.25">
      <c r="B74" s="54" t="s">
        <v>24</v>
      </c>
      <c r="C74" s="55" t="s">
        <v>3</v>
      </c>
      <c r="D74" s="117">
        <f>D22</f>
        <v>81</v>
      </c>
      <c r="E74" s="117">
        <f t="shared" ref="E74:O74" si="17">E22</f>
        <v>53</v>
      </c>
      <c r="F74" s="117">
        <f t="shared" si="17"/>
        <v>32</v>
      </c>
      <c r="G74" s="117">
        <f t="shared" si="17"/>
        <v>318</v>
      </c>
      <c r="H74" s="117">
        <f t="shared" si="17"/>
        <v>53</v>
      </c>
      <c r="I74" s="117">
        <f t="shared" si="17"/>
        <v>184</v>
      </c>
      <c r="J74" s="117">
        <f t="shared" si="17"/>
        <v>148</v>
      </c>
      <c r="K74" s="117">
        <f t="shared" si="17"/>
        <v>301</v>
      </c>
      <c r="L74" s="117">
        <f t="shared" si="17"/>
        <v>47</v>
      </c>
      <c r="M74" s="117">
        <f t="shared" si="17"/>
        <v>252</v>
      </c>
      <c r="N74" s="117">
        <f t="shared" si="17"/>
        <v>50</v>
      </c>
      <c r="O74" s="117">
        <f t="shared" si="17"/>
        <v>135</v>
      </c>
      <c r="P74" s="70">
        <f>AVERAGE(D74:O74)</f>
        <v>137.83333333333334</v>
      </c>
      <c r="W74" s="82"/>
      <c r="AM74" s="87"/>
    </row>
    <row r="75" spans="2:39" ht="15.95" customHeight="1" x14ac:dyDescent="0.25">
      <c r="B75" s="54" t="s">
        <v>25</v>
      </c>
      <c r="C75" s="55" t="s">
        <v>3</v>
      </c>
      <c r="D75" s="117">
        <f t="shared" ref="D75:O75" si="18">D23</f>
        <v>300</v>
      </c>
      <c r="E75" s="117">
        <f t="shared" si="18"/>
        <v>232</v>
      </c>
      <c r="F75" s="117">
        <f t="shared" si="18"/>
        <v>54</v>
      </c>
      <c r="G75" s="117">
        <f>G23</f>
        <v>1500</v>
      </c>
      <c r="H75" s="117">
        <f t="shared" si="18"/>
        <v>144</v>
      </c>
      <c r="I75" s="117">
        <f t="shared" si="18"/>
        <v>336</v>
      </c>
      <c r="J75" s="117">
        <f t="shared" si="18"/>
        <v>256</v>
      </c>
      <c r="K75" s="117">
        <f t="shared" si="18"/>
        <v>600</v>
      </c>
      <c r="L75" s="117">
        <f t="shared" si="18"/>
        <v>90</v>
      </c>
      <c r="M75" s="117">
        <f t="shared" si="18"/>
        <v>400</v>
      </c>
      <c r="N75" s="117">
        <f t="shared" si="18"/>
        <v>2830</v>
      </c>
      <c r="O75" s="117">
        <f t="shared" si="18"/>
        <v>171</v>
      </c>
      <c r="P75" s="70">
        <f t="shared" ref="P75:P85" si="19">AVERAGE(D75:O75)</f>
        <v>576.08333333333337</v>
      </c>
      <c r="W75" s="82"/>
      <c r="AM75" s="87"/>
    </row>
    <row r="76" spans="2:39" x14ac:dyDescent="0.25">
      <c r="B76" s="54" t="s">
        <v>26</v>
      </c>
      <c r="C76" s="55" t="s">
        <v>3</v>
      </c>
      <c r="D76" s="117">
        <f t="shared" ref="D76:O76" si="20">D24</f>
        <v>106.4</v>
      </c>
      <c r="E76" s="117">
        <f t="shared" si="20"/>
        <v>115.7</v>
      </c>
      <c r="F76" s="117">
        <f t="shared" si="20"/>
        <v>21.6</v>
      </c>
      <c r="G76" s="117">
        <f t="shared" si="20"/>
        <v>500</v>
      </c>
      <c r="H76" s="117">
        <f t="shared" si="20"/>
        <v>18.899999999999999</v>
      </c>
      <c r="I76" s="117">
        <f t="shared" si="20"/>
        <v>43.6</v>
      </c>
      <c r="J76" s="117">
        <f t="shared" si="20"/>
        <v>96.8</v>
      </c>
      <c r="K76" s="117">
        <f t="shared" si="20"/>
        <v>103.8</v>
      </c>
      <c r="L76" s="117">
        <f t="shared" si="20"/>
        <v>26.7</v>
      </c>
      <c r="M76" s="117">
        <f t="shared" si="20"/>
        <v>78.2</v>
      </c>
      <c r="N76" s="117">
        <f t="shared" si="20"/>
        <v>1910</v>
      </c>
      <c r="O76" s="117">
        <f t="shared" si="20"/>
        <v>42</v>
      </c>
      <c r="P76" s="70">
        <f t="shared" si="19"/>
        <v>255.30833333333331</v>
      </c>
      <c r="W76" s="82"/>
      <c r="AM76" s="87"/>
    </row>
    <row r="77" spans="2:39" x14ac:dyDescent="0.25">
      <c r="B77" s="54" t="s">
        <v>27</v>
      </c>
      <c r="C77" s="55" t="s">
        <v>3</v>
      </c>
      <c r="D77" s="117">
        <f t="shared" ref="D77:O77" si="21">D25</f>
        <v>11.2</v>
      </c>
      <c r="E77" s="117">
        <f t="shared" si="21"/>
        <v>10</v>
      </c>
      <c r="F77" s="117">
        <f t="shared" si="21"/>
        <v>9.4</v>
      </c>
      <c r="G77" s="117">
        <f t="shared" si="21"/>
        <v>72</v>
      </c>
      <c r="H77" s="117">
        <f t="shared" si="21"/>
        <v>5.9</v>
      </c>
      <c r="I77" s="117">
        <f t="shared" si="21"/>
        <v>19.2</v>
      </c>
      <c r="J77" s="117">
        <f t="shared" si="21"/>
        <v>52.8</v>
      </c>
      <c r="K77" s="117">
        <f t="shared" si="21"/>
        <v>42.6</v>
      </c>
      <c r="L77" s="117">
        <f t="shared" si="21"/>
        <v>6.4</v>
      </c>
      <c r="M77" s="117">
        <f t="shared" si="21"/>
        <v>31</v>
      </c>
      <c r="N77" s="117">
        <f t="shared" si="21"/>
        <v>91.8</v>
      </c>
      <c r="O77" s="117">
        <f t="shared" si="21"/>
        <v>17.899999999999999</v>
      </c>
      <c r="P77" s="97">
        <f t="shared" si="19"/>
        <v>30.849999999999998</v>
      </c>
      <c r="W77" s="82"/>
      <c r="X77" s="476" t="s">
        <v>20</v>
      </c>
      <c r="Y77" s="476"/>
      <c r="Z77" s="476"/>
      <c r="AA77" s="476"/>
      <c r="AB77" s="476"/>
      <c r="AC77" s="476"/>
      <c r="AD77" s="476"/>
      <c r="AE77" s="476"/>
      <c r="AF77" s="476"/>
      <c r="AG77" s="476"/>
      <c r="AH77" s="476"/>
      <c r="AI77" s="476"/>
      <c r="AJ77" s="476"/>
      <c r="AK77" s="476"/>
      <c r="AL77" s="476"/>
      <c r="AM77" s="87"/>
    </row>
    <row r="78" spans="2:39" ht="15.95" customHeight="1" x14ac:dyDescent="0.25">
      <c r="B78" s="54" t="s">
        <v>28</v>
      </c>
      <c r="C78" s="55" t="s">
        <v>3</v>
      </c>
      <c r="D78" s="117">
        <f>D26</f>
        <v>1.3</v>
      </c>
      <c r="E78" s="117">
        <f t="shared" ref="E78:O78" si="22">E26</f>
        <v>2.2999999999999998</v>
      </c>
      <c r="F78" s="117">
        <f t="shared" si="22"/>
        <v>1.3</v>
      </c>
      <c r="G78" s="117">
        <f t="shared" si="22"/>
        <v>19.899999999999999</v>
      </c>
      <c r="H78" s="117">
        <f t="shared" si="22"/>
        <v>0.5</v>
      </c>
      <c r="I78" s="117">
        <f t="shared" si="22"/>
        <v>1.3</v>
      </c>
      <c r="J78" s="117">
        <f t="shared" si="22"/>
        <v>4</v>
      </c>
      <c r="K78" s="117">
        <f t="shared" si="22"/>
        <v>4.7</v>
      </c>
      <c r="L78" s="117">
        <f t="shared" si="22"/>
        <v>0.5</v>
      </c>
      <c r="M78" s="117">
        <f t="shared" si="22"/>
        <v>0.8</v>
      </c>
      <c r="N78" s="117">
        <f t="shared" si="22"/>
        <v>18.96</v>
      </c>
      <c r="O78" s="117">
        <f t="shared" si="22"/>
        <v>2.27</v>
      </c>
      <c r="P78" s="53">
        <f>AVERAGE(D78:O78)</f>
        <v>4.8191666666666668</v>
      </c>
      <c r="W78" s="82"/>
      <c r="X78" s="98" t="s">
        <v>1</v>
      </c>
      <c r="Y78" s="98" t="s">
        <v>2</v>
      </c>
      <c r="Z78" s="99">
        <v>1.24</v>
      </c>
      <c r="AA78" s="99">
        <v>2.2400000000000002</v>
      </c>
      <c r="AB78" s="99">
        <v>3.24</v>
      </c>
      <c r="AC78" s="99">
        <v>4.24</v>
      </c>
      <c r="AD78" s="99">
        <v>5.24</v>
      </c>
      <c r="AE78" s="99">
        <v>6.24</v>
      </c>
      <c r="AF78" s="99">
        <v>7.24</v>
      </c>
      <c r="AG78" s="99">
        <v>8.24</v>
      </c>
      <c r="AH78" s="99">
        <v>9.24</v>
      </c>
      <c r="AI78" s="99">
        <v>10.24</v>
      </c>
      <c r="AJ78" s="99">
        <v>11.24</v>
      </c>
      <c r="AK78" s="99">
        <v>12.24</v>
      </c>
      <c r="AL78" s="88" t="s">
        <v>117</v>
      </c>
      <c r="AM78" s="87"/>
    </row>
    <row r="79" spans="2:39" ht="15.95" customHeight="1" x14ac:dyDescent="0.25">
      <c r="B79" s="54" t="s">
        <v>4</v>
      </c>
      <c r="C79" s="8" t="s">
        <v>5</v>
      </c>
      <c r="D79" s="117">
        <f t="shared" ref="D79:O79" si="23">D27</f>
        <v>6.5</v>
      </c>
      <c r="E79" s="117">
        <f t="shared" si="23"/>
        <v>6.8</v>
      </c>
      <c r="F79" s="117">
        <f t="shared" si="23"/>
        <v>6.8</v>
      </c>
      <c r="G79" s="117">
        <f t="shared" si="23"/>
        <v>6.7</v>
      </c>
      <c r="H79" s="117">
        <f t="shared" si="23"/>
        <v>6.5</v>
      </c>
      <c r="I79" s="117">
        <f t="shared" si="23"/>
        <v>7</v>
      </c>
      <c r="J79" s="117">
        <f t="shared" si="23"/>
        <v>7.3</v>
      </c>
      <c r="K79" s="117">
        <f t="shared" si="23"/>
        <v>7.4</v>
      </c>
      <c r="L79" s="117">
        <f t="shared" si="23"/>
        <v>6.6</v>
      </c>
      <c r="M79" s="117">
        <f t="shared" si="23"/>
        <v>6.9</v>
      </c>
      <c r="N79" s="117">
        <f t="shared" si="23"/>
        <v>6.6</v>
      </c>
      <c r="O79" s="117">
        <f t="shared" si="23"/>
        <v>6.7</v>
      </c>
      <c r="P79" s="97">
        <f>AVERAGE(D79:O79)</f>
        <v>6.8166666666666664</v>
      </c>
      <c r="W79" s="82"/>
      <c r="X79" s="98"/>
      <c r="Y79" s="98"/>
      <c r="Z79" s="99"/>
      <c r="AA79" s="99"/>
      <c r="AB79" s="99"/>
      <c r="AC79" s="99"/>
      <c r="AD79" s="99"/>
      <c r="AE79" s="99"/>
      <c r="AF79" s="99"/>
      <c r="AG79" s="99"/>
      <c r="AH79" s="99"/>
      <c r="AI79" s="99"/>
      <c r="AJ79" s="99"/>
      <c r="AK79" s="99"/>
      <c r="AL79" s="88"/>
      <c r="AM79" s="87"/>
    </row>
    <row r="80" spans="2:39" ht="15.95" customHeight="1" x14ac:dyDescent="0.25">
      <c r="B80" s="127" t="s">
        <v>30</v>
      </c>
      <c r="C80" s="8" t="s">
        <v>3</v>
      </c>
      <c r="D80" s="117">
        <f t="shared" ref="D80:O80" si="24">D28</f>
        <v>14.6</v>
      </c>
      <c r="E80" s="117">
        <f t="shared" si="24"/>
        <v>14</v>
      </c>
      <c r="F80" s="117">
        <f t="shared" si="24"/>
        <v>14</v>
      </c>
      <c r="G80" s="117">
        <f t="shared" si="24"/>
        <v>14</v>
      </c>
      <c r="H80" s="117">
        <f t="shared" si="24"/>
        <v>13.5</v>
      </c>
      <c r="I80" s="117">
        <f t="shared" si="24"/>
        <v>25.8</v>
      </c>
      <c r="J80" s="117">
        <f t="shared" si="24"/>
        <v>7.1</v>
      </c>
      <c r="K80" s="117">
        <f t="shared" si="24"/>
        <v>61</v>
      </c>
      <c r="L80" s="117">
        <f t="shared" si="24"/>
        <v>5</v>
      </c>
      <c r="M80" s="117">
        <f t="shared" si="24"/>
        <v>5</v>
      </c>
      <c r="N80" s="117">
        <f t="shared" si="24"/>
        <v>1.4</v>
      </c>
      <c r="O80" s="117">
        <f t="shared" si="24"/>
        <v>0.86</v>
      </c>
      <c r="P80" s="97">
        <f>AVERAGE(D80:O80)</f>
        <v>14.688333333333334</v>
      </c>
      <c r="W80" s="82"/>
      <c r="X80" s="98"/>
      <c r="Y80" s="98"/>
      <c r="Z80" s="99"/>
      <c r="AA80" s="99"/>
      <c r="AB80" s="99"/>
      <c r="AC80" s="99"/>
      <c r="AD80" s="99"/>
      <c r="AE80" s="99"/>
      <c r="AF80" s="99"/>
      <c r="AG80" s="99"/>
      <c r="AH80" s="99"/>
      <c r="AI80" s="99"/>
      <c r="AJ80" s="99"/>
      <c r="AK80" s="99"/>
      <c r="AL80" s="88"/>
      <c r="AM80" s="87"/>
    </row>
    <row r="81" spans="2:39" ht="15.95" customHeight="1" thickBot="1" x14ac:dyDescent="0.3">
      <c r="B81" s="56" t="s">
        <v>119</v>
      </c>
      <c r="C81" s="39" t="s">
        <v>3</v>
      </c>
      <c r="D81" s="119">
        <f t="shared" ref="D81:O81" si="25">D29</f>
        <v>1.2</v>
      </c>
      <c r="E81" s="119">
        <f t="shared" si="25"/>
        <v>0.6</v>
      </c>
      <c r="F81" s="119">
        <f t="shared" si="25"/>
        <v>0.9</v>
      </c>
      <c r="G81" s="119">
        <f t="shared" si="25"/>
        <v>9.1999999999999993</v>
      </c>
      <c r="H81" s="119">
        <f t="shared" si="25"/>
        <v>0.7</v>
      </c>
      <c r="I81" s="119">
        <f t="shared" si="25"/>
        <v>2.7</v>
      </c>
      <c r="J81" s="119">
        <f t="shared" si="25"/>
        <v>2</v>
      </c>
      <c r="K81" s="119">
        <f t="shared" si="25"/>
        <v>4.2</v>
      </c>
      <c r="L81" s="119">
        <f t="shared" si="25"/>
        <v>1.2</v>
      </c>
      <c r="M81" s="119">
        <f t="shared" si="25"/>
        <v>1.7</v>
      </c>
      <c r="N81" s="119">
        <f t="shared" si="25"/>
        <v>0.2</v>
      </c>
      <c r="O81" s="119">
        <f t="shared" si="25"/>
        <v>0.2</v>
      </c>
      <c r="P81" s="95">
        <f>AVERAGE(D81:O81)</f>
        <v>2.066666666666666</v>
      </c>
      <c r="W81" s="82"/>
      <c r="X81" s="98"/>
      <c r="Y81" s="98"/>
      <c r="Z81" s="99"/>
      <c r="AA81" s="99"/>
      <c r="AB81" s="99"/>
      <c r="AC81" s="99"/>
      <c r="AD81" s="99"/>
      <c r="AE81" s="99"/>
      <c r="AF81" s="99"/>
      <c r="AG81" s="99"/>
      <c r="AH81" s="99"/>
      <c r="AI81" s="99"/>
      <c r="AJ81" s="99"/>
      <c r="AK81" s="99"/>
      <c r="AL81" s="88"/>
      <c r="AM81" s="87"/>
    </row>
    <row r="82" spans="2:39" ht="15.95" customHeight="1" x14ac:dyDescent="0.25">
      <c r="B82" s="58" t="s">
        <v>136</v>
      </c>
      <c r="C82" s="59" t="s">
        <v>138</v>
      </c>
      <c r="D82" s="118">
        <f t="shared" ref="D82:O82" si="26">D74/D75</f>
        <v>0.27</v>
      </c>
      <c r="E82" s="126">
        <f t="shared" si="26"/>
        <v>0.22844827586206898</v>
      </c>
      <c r="F82" s="126">
        <f t="shared" si="26"/>
        <v>0.59259259259259256</v>
      </c>
      <c r="G82" s="126">
        <f t="shared" si="26"/>
        <v>0.21199999999999999</v>
      </c>
      <c r="H82" s="126">
        <f t="shared" si="26"/>
        <v>0.36805555555555558</v>
      </c>
      <c r="I82" s="126">
        <f t="shared" si="26"/>
        <v>0.54761904761904767</v>
      </c>
      <c r="J82" s="126">
        <f t="shared" si="26"/>
        <v>0.578125</v>
      </c>
      <c r="K82" s="126">
        <f t="shared" si="26"/>
        <v>0.50166666666666671</v>
      </c>
      <c r="L82" s="126">
        <f t="shared" si="26"/>
        <v>0.52222222222222225</v>
      </c>
      <c r="M82" s="126">
        <f t="shared" si="26"/>
        <v>0.63</v>
      </c>
      <c r="N82" s="126">
        <f t="shared" si="26"/>
        <v>1.7667844522968199E-2</v>
      </c>
      <c r="O82" s="126">
        <f t="shared" si="26"/>
        <v>0.78947368421052633</v>
      </c>
      <c r="P82" s="71">
        <f t="shared" si="19"/>
        <v>0.43815590743763738</v>
      </c>
      <c r="W82" s="82"/>
      <c r="X82" s="5" t="s">
        <v>24</v>
      </c>
      <c r="Y82" s="8" t="s">
        <v>3</v>
      </c>
      <c r="Z82" s="15">
        <v>15</v>
      </c>
      <c r="AA82" s="15">
        <v>15</v>
      </c>
      <c r="AB82" s="15">
        <v>15</v>
      </c>
      <c r="AC82" s="15">
        <v>15</v>
      </c>
      <c r="AD82" s="6">
        <v>4</v>
      </c>
      <c r="AE82" s="6">
        <v>6</v>
      </c>
      <c r="AF82" s="6">
        <v>9</v>
      </c>
      <c r="AG82" s="6">
        <v>7</v>
      </c>
      <c r="AH82" s="6">
        <v>8</v>
      </c>
      <c r="AI82" s="6">
        <v>10</v>
      </c>
      <c r="AJ82" s="15">
        <v>5</v>
      </c>
      <c r="AK82" s="15">
        <v>5</v>
      </c>
      <c r="AL82" s="14">
        <f t="shared" ref="AL82:AL94" si="27">AVERAGE(Z82:AK82)</f>
        <v>9.5</v>
      </c>
      <c r="AM82" s="87"/>
    </row>
    <row r="83" spans="2:39" x14ac:dyDescent="0.25">
      <c r="B83" s="54" t="s">
        <v>139</v>
      </c>
      <c r="C83" s="55" t="s">
        <v>3</v>
      </c>
      <c r="D83" s="125">
        <f t="shared" ref="D83:O83" si="28">D76*1.42</f>
        <v>151.08799999999999</v>
      </c>
      <c r="E83" s="125">
        <f t="shared" si="28"/>
        <v>164.29399999999998</v>
      </c>
      <c r="F83" s="125">
        <f t="shared" si="28"/>
        <v>30.672000000000001</v>
      </c>
      <c r="G83" s="125">
        <f t="shared" si="28"/>
        <v>710</v>
      </c>
      <c r="H83" s="125">
        <f t="shared" si="28"/>
        <v>26.837999999999997</v>
      </c>
      <c r="I83" s="125">
        <f t="shared" si="28"/>
        <v>61.911999999999999</v>
      </c>
      <c r="J83" s="125">
        <f t="shared" si="28"/>
        <v>137.45599999999999</v>
      </c>
      <c r="K83" s="125">
        <f t="shared" si="28"/>
        <v>147.39599999999999</v>
      </c>
      <c r="L83" s="125">
        <f t="shared" si="28"/>
        <v>37.913999999999994</v>
      </c>
      <c r="M83" s="125">
        <f t="shared" si="28"/>
        <v>111.044</v>
      </c>
      <c r="N83" s="125">
        <f t="shared" si="28"/>
        <v>2712.2</v>
      </c>
      <c r="O83" s="125">
        <f t="shared" si="28"/>
        <v>59.64</v>
      </c>
      <c r="P83" s="70">
        <f t="shared" si="19"/>
        <v>362.53783333333337</v>
      </c>
      <c r="W83" s="82"/>
      <c r="X83" s="5" t="s">
        <v>25</v>
      </c>
      <c r="Y83" s="8" t="s">
        <v>3</v>
      </c>
      <c r="Z83" s="15">
        <v>20</v>
      </c>
      <c r="AA83" s="15">
        <v>20</v>
      </c>
      <c r="AB83" s="15">
        <v>20</v>
      </c>
      <c r="AC83" s="15">
        <v>20</v>
      </c>
      <c r="AD83" s="6">
        <v>14</v>
      </c>
      <c r="AE83" s="6">
        <v>18</v>
      </c>
      <c r="AF83" s="6">
        <v>22</v>
      </c>
      <c r="AG83" s="6">
        <v>23</v>
      </c>
      <c r="AH83" s="6">
        <v>30</v>
      </c>
      <c r="AI83" s="6">
        <v>46</v>
      </c>
      <c r="AJ83" s="6">
        <v>30</v>
      </c>
      <c r="AK83" s="6">
        <v>10</v>
      </c>
      <c r="AL83" s="14">
        <f t="shared" si="27"/>
        <v>22.75</v>
      </c>
      <c r="AM83" s="87"/>
    </row>
    <row r="84" spans="2:39" x14ac:dyDescent="0.25">
      <c r="B84" s="54" t="s">
        <v>140</v>
      </c>
      <c r="C84" s="55" t="s">
        <v>138</v>
      </c>
      <c r="D84" s="120">
        <f t="shared" ref="D84:O84" si="29">D76/D75</f>
        <v>0.35466666666666669</v>
      </c>
      <c r="E84" s="120">
        <f t="shared" si="29"/>
        <v>0.49870689655172418</v>
      </c>
      <c r="F84" s="120">
        <f t="shared" si="29"/>
        <v>0.4</v>
      </c>
      <c r="G84" s="120">
        <f t="shared" si="29"/>
        <v>0.33333333333333331</v>
      </c>
      <c r="H84" s="120">
        <f t="shared" si="29"/>
        <v>0.13124999999999998</v>
      </c>
      <c r="I84" s="120">
        <f t="shared" si="29"/>
        <v>0.12976190476190477</v>
      </c>
      <c r="J84" s="120">
        <f t="shared" si="29"/>
        <v>0.37812499999999999</v>
      </c>
      <c r="K84" s="120">
        <f t="shared" si="29"/>
        <v>0.17299999999999999</v>
      </c>
      <c r="L84" s="120">
        <f t="shared" si="29"/>
        <v>0.29666666666666663</v>
      </c>
      <c r="M84" s="120">
        <f t="shared" si="29"/>
        <v>0.19550000000000001</v>
      </c>
      <c r="N84" s="120">
        <f t="shared" si="29"/>
        <v>0.67491166077738518</v>
      </c>
      <c r="O84" s="120">
        <f t="shared" si="29"/>
        <v>0.24561403508771928</v>
      </c>
      <c r="P84" s="53">
        <f t="shared" si="19"/>
        <v>0.31762801365378329</v>
      </c>
      <c r="W84" s="82"/>
      <c r="X84" s="5" t="s">
        <v>26</v>
      </c>
      <c r="Y84" s="8" t="s">
        <v>3</v>
      </c>
      <c r="Z84" s="15">
        <v>5</v>
      </c>
      <c r="AA84" s="6">
        <v>7.6</v>
      </c>
      <c r="AB84" s="15">
        <v>5</v>
      </c>
      <c r="AC84" s="15">
        <v>5</v>
      </c>
      <c r="AD84" s="15">
        <v>2</v>
      </c>
      <c r="AE84" s="15">
        <v>2</v>
      </c>
      <c r="AF84" s="15">
        <v>2</v>
      </c>
      <c r="AG84" s="6">
        <v>20.5</v>
      </c>
      <c r="AH84" s="6">
        <v>15</v>
      </c>
      <c r="AI84" s="6">
        <v>9.6999999999999993</v>
      </c>
      <c r="AJ84" s="6">
        <v>15</v>
      </c>
      <c r="AK84" s="6">
        <v>6</v>
      </c>
      <c r="AL84" s="17">
        <f t="shared" si="27"/>
        <v>7.8999999999999995</v>
      </c>
      <c r="AM84" s="87"/>
    </row>
    <row r="85" spans="2:39" x14ac:dyDescent="0.25">
      <c r="B85" s="54" t="s">
        <v>141</v>
      </c>
      <c r="C85" s="55" t="s">
        <v>138</v>
      </c>
      <c r="D85" s="120">
        <f t="shared" ref="D85:O85" si="30">D76/D74</f>
        <v>1.3135802469135802</v>
      </c>
      <c r="E85" s="120">
        <f t="shared" si="30"/>
        <v>2.1830188679245284</v>
      </c>
      <c r="F85" s="120">
        <f t="shared" si="30"/>
        <v>0.67500000000000004</v>
      </c>
      <c r="G85" s="120">
        <f t="shared" si="30"/>
        <v>1.5723270440251573</v>
      </c>
      <c r="H85" s="120">
        <f t="shared" si="30"/>
        <v>0.35660377358490564</v>
      </c>
      <c r="I85" s="120">
        <f t="shared" si="30"/>
        <v>0.23695652173913045</v>
      </c>
      <c r="J85" s="120">
        <f t="shared" si="30"/>
        <v>0.65405405405405403</v>
      </c>
      <c r="K85" s="120">
        <f t="shared" si="30"/>
        <v>0.34485049833887044</v>
      </c>
      <c r="L85" s="120">
        <f t="shared" si="30"/>
        <v>0.56808510638297871</v>
      </c>
      <c r="M85" s="120">
        <f t="shared" si="30"/>
        <v>0.31031746031746033</v>
      </c>
      <c r="N85" s="120">
        <f t="shared" si="30"/>
        <v>38.200000000000003</v>
      </c>
      <c r="O85" s="120">
        <f t="shared" si="30"/>
        <v>0.31111111111111112</v>
      </c>
      <c r="P85" s="97">
        <f t="shared" si="19"/>
        <v>3.8938253903659814</v>
      </c>
      <c r="W85" s="82"/>
      <c r="X85" s="5" t="s">
        <v>27</v>
      </c>
      <c r="Y85" s="8" t="s">
        <v>3</v>
      </c>
      <c r="Z85" s="15">
        <v>5</v>
      </c>
      <c r="AA85" s="15">
        <v>5</v>
      </c>
      <c r="AB85" s="15">
        <v>5</v>
      </c>
      <c r="AC85" s="15">
        <v>5</v>
      </c>
      <c r="AD85" s="6">
        <v>1.9</v>
      </c>
      <c r="AE85" s="6">
        <v>2.2000000000000002</v>
      </c>
      <c r="AF85" s="6">
        <v>2.1</v>
      </c>
      <c r="AG85" s="6">
        <v>2.8</v>
      </c>
      <c r="AH85" s="6">
        <v>3.3</v>
      </c>
      <c r="AI85" s="6">
        <v>2.4</v>
      </c>
      <c r="AJ85" s="6">
        <v>3.8</v>
      </c>
      <c r="AK85" s="6">
        <v>3</v>
      </c>
      <c r="AL85" s="17">
        <f t="shared" si="27"/>
        <v>3.4583333333333326</v>
      </c>
      <c r="AM85" s="87"/>
    </row>
    <row r="86" spans="2:39" x14ac:dyDescent="0.25">
      <c r="L86" s="114"/>
      <c r="M86" s="114"/>
      <c r="N86" s="114"/>
      <c r="O86" s="114"/>
      <c r="P86" s="114"/>
      <c r="W86" s="82"/>
      <c r="X86" s="5" t="s">
        <v>28</v>
      </c>
      <c r="Y86" s="8" t="s">
        <v>3</v>
      </c>
      <c r="Z86" s="6">
        <v>0.5</v>
      </c>
      <c r="AA86" s="6">
        <v>0.4</v>
      </c>
      <c r="AB86" s="6">
        <v>0.8</v>
      </c>
      <c r="AC86" s="6">
        <v>0.4</v>
      </c>
      <c r="AD86" s="6">
        <v>0.5</v>
      </c>
      <c r="AE86" s="6">
        <v>0.7</v>
      </c>
      <c r="AF86" s="6">
        <v>0.7</v>
      </c>
      <c r="AG86" s="6">
        <v>1.9</v>
      </c>
      <c r="AH86" s="6">
        <v>1.5</v>
      </c>
      <c r="AI86" s="6">
        <v>2</v>
      </c>
      <c r="AJ86" s="6">
        <v>0.8</v>
      </c>
      <c r="AK86" s="6">
        <v>1.34</v>
      </c>
      <c r="AL86" s="17">
        <f t="shared" si="27"/>
        <v>0.96166666666666678</v>
      </c>
      <c r="AM86" s="87"/>
    </row>
    <row r="87" spans="2:39" x14ac:dyDescent="0.25">
      <c r="L87" s="114"/>
      <c r="M87" s="114"/>
      <c r="N87" s="114"/>
      <c r="O87" s="114"/>
      <c r="P87" s="114"/>
      <c r="W87" s="82"/>
      <c r="X87" s="5" t="s">
        <v>4</v>
      </c>
      <c r="Y87" s="8" t="s">
        <v>5</v>
      </c>
      <c r="Z87" s="6">
        <v>6.6</v>
      </c>
      <c r="AA87" s="6">
        <v>7</v>
      </c>
      <c r="AB87" s="6">
        <v>6.8</v>
      </c>
      <c r="AC87" s="6">
        <v>6.8</v>
      </c>
      <c r="AD87" s="6">
        <v>7</v>
      </c>
      <c r="AE87" s="6">
        <v>7.1</v>
      </c>
      <c r="AF87" s="6">
        <v>7.3</v>
      </c>
      <c r="AG87" s="6">
        <v>7.3</v>
      </c>
      <c r="AH87" s="6">
        <v>7.2</v>
      </c>
      <c r="AI87" s="6">
        <v>6.8</v>
      </c>
      <c r="AJ87" s="6">
        <v>6.8</v>
      </c>
      <c r="AK87" s="6">
        <v>7</v>
      </c>
      <c r="AL87" s="17">
        <f t="shared" si="27"/>
        <v>6.9750000000000005</v>
      </c>
      <c r="AM87" s="87"/>
    </row>
    <row r="88" spans="2:39" x14ac:dyDescent="0.25">
      <c r="L88" s="114"/>
      <c r="M88" s="114"/>
      <c r="N88" s="114"/>
      <c r="O88" s="114"/>
      <c r="P88" s="114"/>
      <c r="W88" s="82"/>
      <c r="X88" s="5" t="s">
        <v>8</v>
      </c>
      <c r="Y88" s="8" t="s">
        <v>3</v>
      </c>
      <c r="Z88" s="15">
        <v>0.5</v>
      </c>
      <c r="AA88" s="15">
        <v>0.56999999999999995</v>
      </c>
      <c r="AB88" s="6">
        <v>1.54</v>
      </c>
      <c r="AC88" s="15">
        <v>0.5</v>
      </c>
      <c r="AD88" s="6">
        <v>0.42</v>
      </c>
      <c r="AE88" s="6">
        <v>0.31</v>
      </c>
      <c r="AF88" s="6">
        <v>0.62</v>
      </c>
      <c r="AG88" s="6">
        <v>0.32</v>
      </c>
      <c r="AH88" s="6">
        <v>0.46</v>
      </c>
      <c r="AI88" s="6">
        <v>0.45</v>
      </c>
      <c r="AJ88" s="7" t="s">
        <v>9</v>
      </c>
      <c r="AK88" s="6">
        <v>0.76</v>
      </c>
      <c r="AL88" s="18">
        <f t="shared" si="27"/>
        <v>0.58636363636363642</v>
      </c>
      <c r="AM88" s="87"/>
    </row>
    <row r="89" spans="2:39" ht="15.95" customHeight="1" x14ac:dyDescent="0.25">
      <c r="B89" s="478" t="s">
        <v>195</v>
      </c>
      <c r="C89" s="478"/>
      <c r="D89" s="478"/>
      <c r="E89" s="478"/>
      <c r="F89" s="478"/>
      <c r="G89" s="478"/>
      <c r="H89" s="478"/>
      <c r="I89" s="478"/>
      <c r="J89" s="478"/>
      <c r="K89" s="478"/>
      <c r="L89" s="478"/>
      <c r="M89" s="478"/>
      <c r="N89" s="478"/>
      <c r="O89" s="478"/>
      <c r="P89" s="478"/>
      <c r="W89" s="82"/>
      <c r="X89" s="5" t="s">
        <v>30</v>
      </c>
      <c r="Y89" s="8" t="s">
        <v>3</v>
      </c>
      <c r="Z89" s="15">
        <v>14</v>
      </c>
      <c r="AA89" s="15">
        <v>14</v>
      </c>
      <c r="AB89" s="15">
        <v>14</v>
      </c>
      <c r="AC89" s="15">
        <v>14</v>
      </c>
      <c r="AD89" s="15">
        <v>5</v>
      </c>
      <c r="AE89" s="15">
        <v>5</v>
      </c>
      <c r="AF89" s="15">
        <v>5</v>
      </c>
      <c r="AG89" s="15">
        <v>5</v>
      </c>
      <c r="AH89" s="15">
        <v>5</v>
      </c>
      <c r="AI89" s="15">
        <v>5</v>
      </c>
      <c r="AJ89" s="6">
        <v>1.1000000000000001</v>
      </c>
      <c r="AK89" s="15">
        <v>0.5</v>
      </c>
      <c r="AL89" s="17">
        <f t="shared" si="27"/>
        <v>7.3</v>
      </c>
      <c r="AM89" s="87"/>
    </row>
    <row r="90" spans="2:39" ht="16.5" thickBot="1" x14ac:dyDescent="0.3">
      <c r="B90" s="98" t="s">
        <v>1</v>
      </c>
      <c r="C90" s="99" t="s">
        <v>2</v>
      </c>
      <c r="D90" s="99">
        <f>D$41</f>
        <v>1.24</v>
      </c>
      <c r="E90" s="99">
        <f>E$41</f>
        <v>2.2400000000000002</v>
      </c>
      <c r="F90" s="99">
        <f>F$41</f>
        <v>3.24</v>
      </c>
      <c r="G90" s="99">
        <f>G$41</f>
        <v>4.24</v>
      </c>
      <c r="H90" s="99">
        <f t="shared" ref="H90:M90" si="31">H$41</f>
        <v>5.24</v>
      </c>
      <c r="I90" s="99">
        <f t="shared" si="31"/>
        <v>6.24</v>
      </c>
      <c r="J90" s="99">
        <f t="shared" si="31"/>
        <v>7.24</v>
      </c>
      <c r="K90" s="99">
        <f t="shared" si="31"/>
        <v>8.24</v>
      </c>
      <c r="L90" s="99">
        <f t="shared" si="31"/>
        <v>9.24</v>
      </c>
      <c r="M90" s="99">
        <f t="shared" si="31"/>
        <v>10.24</v>
      </c>
      <c r="N90" s="99">
        <f>N$41</f>
        <v>11.24</v>
      </c>
      <c r="O90" s="99">
        <f>O$41</f>
        <v>12.24</v>
      </c>
      <c r="P90" s="99" t="s">
        <v>117</v>
      </c>
      <c r="W90" s="82"/>
      <c r="X90" s="38" t="s">
        <v>119</v>
      </c>
      <c r="Y90" s="39" t="s">
        <v>3</v>
      </c>
      <c r="Z90" s="41">
        <v>0.5</v>
      </c>
      <c r="AA90" s="41">
        <v>0.5</v>
      </c>
      <c r="AB90" s="41">
        <v>0.5</v>
      </c>
      <c r="AC90" s="41">
        <v>0.5</v>
      </c>
      <c r="AD90" s="40">
        <v>0.4</v>
      </c>
      <c r="AE90" s="40">
        <v>0.4</v>
      </c>
      <c r="AF90" s="40">
        <v>0.4</v>
      </c>
      <c r="AG90" s="40">
        <v>0.7</v>
      </c>
      <c r="AH90" s="40">
        <v>0.6</v>
      </c>
      <c r="AI90" s="40">
        <v>0.5</v>
      </c>
      <c r="AJ90" s="41">
        <v>0.2</v>
      </c>
      <c r="AK90" s="41">
        <v>0.2</v>
      </c>
      <c r="AL90" s="42">
        <f t="shared" si="27"/>
        <v>0.44999999999999996</v>
      </c>
      <c r="AM90" s="87"/>
    </row>
    <row r="91" spans="2:39" x14ac:dyDescent="0.25">
      <c r="B91" s="54" t="s">
        <v>164</v>
      </c>
      <c r="C91" s="55" t="s">
        <v>203</v>
      </c>
      <c r="D91" s="6" cm="1">
        <f t="array" ref="D91:O91">TRANSPOSE($K$5:$K$16)</f>
        <v>16868</v>
      </c>
      <c r="E91" s="22">
        <v>18759</v>
      </c>
      <c r="F91" s="22">
        <v>20556</v>
      </c>
      <c r="G91" s="22">
        <v>13190</v>
      </c>
      <c r="H91" s="6">
        <v>17228</v>
      </c>
      <c r="I91" s="6">
        <v>11596</v>
      </c>
      <c r="J91" s="6">
        <v>12347</v>
      </c>
      <c r="K91" s="6">
        <v>12114</v>
      </c>
      <c r="L91" s="6">
        <v>10654</v>
      </c>
      <c r="M91" s="6">
        <v>22561</v>
      </c>
      <c r="N91" s="22">
        <v>9963</v>
      </c>
      <c r="O91" s="22">
        <v>11633</v>
      </c>
      <c r="P91" s="70">
        <f>AVERAGE(_xlfn.ANCHORARRAY(D91))</f>
        <v>14789.083333333334</v>
      </c>
      <c r="W91" s="82"/>
      <c r="X91" s="35" t="s">
        <v>136</v>
      </c>
      <c r="Y91" s="36" t="s">
        <v>138</v>
      </c>
      <c r="Z91" s="44">
        <f>Z82/Z83</f>
        <v>0.75</v>
      </c>
      <c r="AA91" s="44">
        <f t="shared" ref="AA91:AK91" si="32">AA82/AA83</f>
        <v>0.75</v>
      </c>
      <c r="AB91" s="44">
        <f t="shared" si="32"/>
        <v>0.75</v>
      </c>
      <c r="AC91" s="44">
        <f t="shared" si="32"/>
        <v>0.75</v>
      </c>
      <c r="AD91" s="37">
        <f t="shared" si="32"/>
        <v>0.2857142857142857</v>
      </c>
      <c r="AE91" s="37">
        <f t="shared" si="32"/>
        <v>0.33333333333333331</v>
      </c>
      <c r="AF91" s="37">
        <f t="shared" si="32"/>
        <v>0.40909090909090912</v>
      </c>
      <c r="AG91" s="37">
        <f t="shared" si="32"/>
        <v>0.30434782608695654</v>
      </c>
      <c r="AH91" s="37">
        <f t="shared" si="32"/>
        <v>0.26666666666666666</v>
      </c>
      <c r="AI91" s="37">
        <f t="shared" si="32"/>
        <v>0.21739130434782608</v>
      </c>
      <c r="AJ91" s="44">
        <f t="shared" si="32"/>
        <v>0.16666666666666666</v>
      </c>
      <c r="AK91" s="44">
        <f t="shared" si="32"/>
        <v>0.5</v>
      </c>
      <c r="AL91" s="43">
        <f t="shared" si="27"/>
        <v>0.45693424932555365</v>
      </c>
      <c r="AM91" s="87"/>
    </row>
    <row r="92" spans="2:39" x14ac:dyDescent="0.25">
      <c r="B92" s="54" t="s">
        <v>24</v>
      </c>
      <c r="C92" s="55" t="s">
        <v>3</v>
      </c>
      <c r="D92" s="6">
        <f t="shared" ref="D92:O92" si="33">D42</f>
        <v>15</v>
      </c>
      <c r="E92" s="6">
        <f t="shared" si="33"/>
        <v>15</v>
      </c>
      <c r="F92" s="6">
        <f t="shared" si="33"/>
        <v>15</v>
      </c>
      <c r="G92" s="6">
        <f t="shared" si="33"/>
        <v>15</v>
      </c>
      <c r="H92" s="6">
        <f t="shared" si="33"/>
        <v>4</v>
      </c>
      <c r="I92" s="6">
        <f t="shared" si="33"/>
        <v>6</v>
      </c>
      <c r="J92" s="6">
        <f t="shared" si="33"/>
        <v>9</v>
      </c>
      <c r="K92" s="6">
        <f t="shared" si="33"/>
        <v>7</v>
      </c>
      <c r="L92" s="6">
        <f t="shared" si="33"/>
        <v>8</v>
      </c>
      <c r="M92" s="6">
        <f t="shared" si="33"/>
        <v>10</v>
      </c>
      <c r="N92" s="6">
        <f t="shared" si="33"/>
        <v>5</v>
      </c>
      <c r="O92" s="6">
        <f t="shared" si="33"/>
        <v>5</v>
      </c>
      <c r="P92" s="70">
        <f>AVERAGE(D92:O92)</f>
        <v>9.5</v>
      </c>
      <c r="W92" s="82"/>
      <c r="X92" s="5" t="s">
        <v>139</v>
      </c>
      <c r="Y92" s="8" t="s">
        <v>3</v>
      </c>
      <c r="Z92" s="45">
        <f>Z84*1.42</f>
        <v>7.1</v>
      </c>
      <c r="AA92" s="47">
        <f t="shared" ref="AA92:AK92" si="34">AA84*1.42</f>
        <v>10.792</v>
      </c>
      <c r="AB92" s="45">
        <f t="shared" si="34"/>
        <v>7.1</v>
      </c>
      <c r="AC92" s="45">
        <f t="shared" si="34"/>
        <v>7.1</v>
      </c>
      <c r="AD92" s="45">
        <f t="shared" si="34"/>
        <v>2.84</v>
      </c>
      <c r="AE92" s="45">
        <f t="shared" si="34"/>
        <v>2.84</v>
      </c>
      <c r="AF92" s="45">
        <f t="shared" si="34"/>
        <v>2.84</v>
      </c>
      <c r="AG92" s="34">
        <f t="shared" si="34"/>
        <v>29.11</v>
      </c>
      <c r="AH92" s="34">
        <f t="shared" si="34"/>
        <v>21.299999999999997</v>
      </c>
      <c r="AI92" s="34">
        <f t="shared" si="34"/>
        <v>13.773999999999999</v>
      </c>
      <c r="AJ92" s="34">
        <f t="shared" si="34"/>
        <v>21.299999999999997</v>
      </c>
      <c r="AK92" s="34">
        <f t="shared" si="34"/>
        <v>8.52</v>
      </c>
      <c r="AL92" s="17">
        <f t="shared" si="27"/>
        <v>11.218000000000002</v>
      </c>
      <c r="AM92" s="87"/>
    </row>
    <row r="93" spans="2:39" x14ac:dyDescent="0.25">
      <c r="B93" s="54" t="s">
        <v>25</v>
      </c>
      <c r="C93" s="55" t="s">
        <v>3</v>
      </c>
      <c r="D93" s="6">
        <f t="shared" ref="D93:O93" si="35">D43</f>
        <v>20</v>
      </c>
      <c r="E93" s="6">
        <f t="shared" si="35"/>
        <v>20</v>
      </c>
      <c r="F93" s="6">
        <f t="shared" si="35"/>
        <v>20</v>
      </c>
      <c r="G93" s="6">
        <f t="shared" si="35"/>
        <v>20</v>
      </c>
      <c r="H93" s="6">
        <f t="shared" si="35"/>
        <v>14</v>
      </c>
      <c r="I93" s="6">
        <f t="shared" si="35"/>
        <v>18</v>
      </c>
      <c r="J93" s="6">
        <f t="shared" si="35"/>
        <v>22</v>
      </c>
      <c r="K93" s="6">
        <f t="shared" si="35"/>
        <v>23</v>
      </c>
      <c r="L93" s="6">
        <f t="shared" si="35"/>
        <v>30</v>
      </c>
      <c r="M93" s="6">
        <f t="shared" si="35"/>
        <v>46</v>
      </c>
      <c r="N93" s="6">
        <f t="shared" si="35"/>
        <v>30</v>
      </c>
      <c r="O93" s="6">
        <f t="shared" si="35"/>
        <v>10</v>
      </c>
      <c r="P93" s="70">
        <f>AVERAGE(D93:O93)</f>
        <v>22.75</v>
      </c>
      <c r="W93" s="82"/>
      <c r="X93" s="5" t="s">
        <v>140</v>
      </c>
      <c r="Y93" s="8" t="s">
        <v>138</v>
      </c>
      <c r="Z93" s="46">
        <f>Z84/Z83</f>
        <v>0.25</v>
      </c>
      <c r="AA93" s="46">
        <f t="shared" ref="AA93:AK93" si="36">AA84/AA83</f>
        <v>0.38</v>
      </c>
      <c r="AB93" s="46">
        <f t="shared" si="36"/>
        <v>0.25</v>
      </c>
      <c r="AC93" s="46">
        <f t="shared" si="36"/>
        <v>0.25</v>
      </c>
      <c r="AD93" s="46">
        <f t="shared" si="36"/>
        <v>0.14285714285714285</v>
      </c>
      <c r="AE93" s="46">
        <f t="shared" si="36"/>
        <v>0.1111111111111111</v>
      </c>
      <c r="AF93" s="46">
        <f t="shared" si="36"/>
        <v>9.0909090909090912E-2</v>
      </c>
      <c r="AG93" s="33">
        <f t="shared" si="36"/>
        <v>0.89130434782608692</v>
      </c>
      <c r="AH93" s="33">
        <f t="shared" si="36"/>
        <v>0.5</v>
      </c>
      <c r="AI93" s="33">
        <f t="shared" si="36"/>
        <v>0.21086956521739128</v>
      </c>
      <c r="AJ93" s="33">
        <f t="shared" si="36"/>
        <v>0.5</v>
      </c>
      <c r="AK93" s="33">
        <f t="shared" si="36"/>
        <v>0.6</v>
      </c>
      <c r="AL93" s="18">
        <f t="shared" si="27"/>
        <v>0.34808760482673523</v>
      </c>
      <c r="AM93" s="87"/>
    </row>
    <row r="94" spans="2:39" x14ac:dyDescent="0.25">
      <c r="B94" s="54" t="s">
        <v>26</v>
      </c>
      <c r="C94" s="55" t="s">
        <v>3</v>
      </c>
      <c r="D94" s="6">
        <f t="shared" ref="D94:O94" si="37">D44</f>
        <v>5</v>
      </c>
      <c r="E94" s="6">
        <f t="shared" si="37"/>
        <v>7.6</v>
      </c>
      <c r="F94" s="6">
        <f t="shared" si="37"/>
        <v>5</v>
      </c>
      <c r="G94" s="6">
        <f t="shared" si="37"/>
        <v>5</v>
      </c>
      <c r="H94" s="6">
        <f t="shared" si="37"/>
        <v>2</v>
      </c>
      <c r="I94" s="6">
        <f t="shared" si="37"/>
        <v>2</v>
      </c>
      <c r="J94" s="6">
        <f t="shared" si="37"/>
        <v>2</v>
      </c>
      <c r="K94" s="6">
        <f t="shared" si="37"/>
        <v>20.5</v>
      </c>
      <c r="L94" s="6">
        <f t="shared" si="37"/>
        <v>15</v>
      </c>
      <c r="M94" s="6">
        <f t="shared" si="37"/>
        <v>9.6999999999999993</v>
      </c>
      <c r="N94" s="6">
        <f t="shared" si="37"/>
        <v>15</v>
      </c>
      <c r="O94" s="6">
        <f t="shared" si="37"/>
        <v>6</v>
      </c>
      <c r="P94" s="70">
        <f t="shared" ref="P94:P104" si="38">AVERAGE(D94:O94)</f>
        <v>7.8999999999999995</v>
      </c>
      <c r="W94" s="82"/>
      <c r="X94" s="5" t="s">
        <v>141</v>
      </c>
      <c r="Y94" s="8" t="s">
        <v>138</v>
      </c>
      <c r="Z94" s="46">
        <f>Z84/Z82</f>
        <v>0.33333333333333331</v>
      </c>
      <c r="AA94" s="46">
        <f t="shared" ref="AA94:AK94" si="39">AA84/AA82</f>
        <v>0.5066666666666666</v>
      </c>
      <c r="AB94" s="46">
        <f t="shared" si="39"/>
        <v>0.33333333333333331</v>
      </c>
      <c r="AC94" s="46">
        <f t="shared" si="39"/>
        <v>0.33333333333333331</v>
      </c>
      <c r="AD94" s="46">
        <f t="shared" si="39"/>
        <v>0.5</v>
      </c>
      <c r="AE94" s="46">
        <f t="shared" si="39"/>
        <v>0.33333333333333331</v>
      </c>
      <c r="AF94" s="46">
        <f t="shared" si="39"/>
        <v>0.22222222222222221</v>
      </c>
      <c r="AG94" s="33">
        <f t="shared" si="39"/>
        <v>2.9285714285714284</v>
      </c>
      <c r="AH94" s="33">
        <f t="shared" si="39"/>
        <v>1.875</v>
      </c>
      <c r="AI94" s="33">
        <f t="shared" si="39"/>
        <v>0.97</v>
      </c>
      <c r="AJ94" s="46">
        <f t="shared" si="39"/>
        <v>3</v>
      </c>
      <c r="AK94" s="46">
        <f t="shared" si="39"/>
        <v>1.2</v>
      </c>
      <c r="AL94" s="18">
        <f t="shared" si="27"/>
        <v>1.0446494708994709</v>
      </c>
      <c r="AM94" s="87"/>
    </row>
    <row r="95" spans="2:39" x14ac:dyDescent="0.25">
      <c r="B95" s="54" t="s">
        <v>27</v>
      </c>
      <c r="C95" s="55" t="s">
        <v>3</v>
      </c>
      <c r="D95" s="6">
        <f t="shared" ref="D95:O95" si="40">D45</f>
        <v>5</v>
      </c>
      <c r="E95" s="6">
        <f t="shared" si="40"/>
        <v>5</v>
      </c>
      <c r="F95" s="6">
        <f t="shared" si="40"/>
        <v>5</v>
      </c>
      <c r="G95" s="6">
        <f t="shared" si="40"/>
        <v>5</v>
      </c>
      <c r="H95" s="6">
        <f t="shared" si="40"/>
        <v>1.9</v>
      </c>
      <c r="I95" s="6">
        <f t="shared" si="40"/>
        <v>2.2000000000000002</v>
      </c>
      <c r="J95" s="6">
        <f t="shared" si="40"/>
        <v>2.1</v>
      </c>
      <c r="K95" s="6">
        <f t="shared" si="40"/>
        <v>2.8</v>
      </c>
      <c r="L95" s="6">
        <f t="shared" si="40"/>
        <v>3.3</v>
      </c>
      <c r="M95" s="6">
        <f t="shared" si="40"/>
        <v>2.4</v>
      </c>
      <c r="N95" s="6">
        <f t="shared" si="40"/>
        <v>3.8</v>
      </c>
      <c r="O95" s="6">
        <f t="shared" si="40"/>
        <v>3</v>
      </c>
      <c r="P95" s="97">
        <f t="shared" si="38"/>
        <v>3.4583333333333326</v>
      </c>
      <c r="W95" s="82"/>
      <c r="AM95" s="87"/>
    </row>
    <row r="96" spans="2:39" x14ac:dyDescent="0.25">
      <c r="B96" s="54" t="s">
        <v>28</v>
      </c>
      <c r="C96" s="55" t="s">
        <v>3</v>
      </c>
      <c r="D96" s="6">
        <f>D46</f>
        <v>0.5</v>
      </c>
      <c r="E96" s="6">
        <f t="shared" ref="E96:O96" si="41">E46</f>
        <v>0.4</v>
      </c>
      <c r="F96" s="6">
        <f t="shared" si="41"/>
        <v>0.8</v>
      </c>
      <c r="G96" s="6">
        <f t="shared" si="41"/>
        <v>0.4</v>
      </c>
      <c r="H96" s="6">
        <f t="shared" si="41"/>
        <v>0.5</v>
      </c>
      <c r="I96" s="6">
        <f t="shared" si="41"/>
        <v>0.7</v>
      </c>
      <c r="J96" s="6">
        <f t="shared" si="41"/>
        <v>0.7</v>
      </c>
      <c r="K96" s="6">
        <f t="shared" si="41"/>
        <v>1.9</v>
      </c>
      <c r="L96" s="6">
        <f t="shared" si="41"/>
        <v>1.5</v>
      </c>
      <c r="M96" s="6">
        <f t="shared" si="41"/>
        <v>2</v>
      </c>
      <c r="N96" s="6">
        <f t="shared" si="41"/>
        <v>0.8</v>
      </c>
      <c r="O96" s="6">
        <f t="shared" si="41"/>
        <v>1.34</v>
      </c>
      <c r="P96" s="53">
        <f>AVERAGE(D96:O96)</f>
        <v>0.96166666666666678</v>
      </c>
      <c r="W96" s="82"/>
      <c r="AM96" s="87"/>
    </row>
    <row r="97" spans="2:39" x14ac:dyDescent="0.25">
      <c r="B97" s="5" t="s">
        <v>4</v>
      </c>
      <c r="C97" s="8" t="s">
        <v>5</v>
      </c>
      <c r="D97" s="6">
        <f t="shared" ref="D97:O97" si="42">D47</f>
        <v>6.6</v>
      </c>
      <c r="E97" s="6">
        <f t="shared" si="42"/>
        <v>7</v>
      </c>
      <c r="F97" s="6">
        <f t="shared" si="42"/>
        <v>6.8</v>
      </c>
      <c r="G97" s="6">
        <f t="shared" si="42"/>
        <v>6.8</v>
      </c>
      <c r="H97" s="6">
        <f t="shared" si="42"/>
        <v>7</v>
      </c>
      <c r="I97" s="6">
        <f t="shared" si="42"/>
        <v>7.1</v>
      </c>
      <c r="J97" s="6">
        <f t="shared" si="42"/>
        <v>7.3</v>
      </c>
      <c r="K97" s="6">
        <f t="shared" si="42"/>
        <v>7.3</v>
      </c>
      <c r="L97" s="6">
        <f t="shared" si="42"/>
        <v>7.2</v>
      </c>
      <c r="M97" s="6">
        <f t="shared" si="42"/>
        <v>6.8</v>
      </c>
      <c r="N97" s="6">
        <f t="shared" si="42"/>
        <v>6.8</v>
      </c>
      <c r="O97" s="6">
        <f t="shared" si="42"/>
        <v>7</v>
      </c>
      <c r="P97" s="97">
        <f>AVERAGE(D97:O97)</f>
        <v>6.9750000000000005</v>
      </c>
      <c r="W97" s="82"/>
      <c r="AM97" s="87"/>
    </row>
    <row r="98" spans="2:39" x14ac:dyDescent="0.25">
      <c r="B98" s="5" t="s">
        <v>8</v>
      </c>
      <c r="C98" s="8" t="s">
        <v>3</v>
      </c>
      <c r="D98" s="6">
        <f t="shared" ref="D98:O98" si="43">D48</f>
        <v>0.5</v>
      </c>
      <c r="E98" s="6">
        <f t="shared" si="43"/>
        <v>0.56999999999999995</v>
      </c>
      <c r="F98" s="6">
        <f t="shared" si="43"/>
        <v>1.54</v>
      </c>
      <c r="G98" s="6">
        <f t="shared" si="43"/>
        <v>0.5</v>
      </c>
      <c r="H98" s="6">
        <f t="shared" si="43"/>
        <v>0.42</v>
      </c>
      <c r="I98" s="6">
        <f t="shared" si="43"/>
        <v>0.31</v>
      </c>
      <c r="J98" s="6">
        <f t="shared" si="43"/>
        <v>0.62</v>
      </c>
      <c r="K98" s="6">
        <f t="shared" si="43"/>
        <v>0.32</v>
      </c>
      <c r="L98" s="6">
        <f t="shared" si="43"/>
        <v>0.46</v>
      </c>
      <c r="M98" s="6">
        <f t="shared" si="43"/>
        <v>0.45</v>
      </c>
      <c r="N98" s="6" t="str">
        <f>N48</f>
        <v>---</v>
      </c>
      <c r="O98" s="6">
        <f t="shared" si="43"/>
        <v>0.76</v>
      </c>
      <c r="P98" s="53">
        <f>AVERAGE(D98:O98)</f>
        <v>0.58636363636363642</v>
      </c>
      <c r="Q98" s="137"/>
      <c r="W98" s="82"/>
      <c r="AM98" s="87"/>
    </row>
    <row r="99" spans="2:39" x14ac:dyDescent="0.25">
      <c r="B99" s="5" t="s">
        <v>30</v>
      </c>
      <c r="C99" s="8" t="s">
        <v>3</v>
      </c>
      <c r="D99" s="6">
        <f t="shared" ref="D99:O99" si="44">D49</f>
        <v>14</v>
      </c>
      <c r="E99" s="6">
        <f t="shared" si="44"/>
        <v>14</v>
      </c>
      <c r="F99" s="6">
        <f t="shared" si="44"/>
        <v>14</v>
      </c>
      <c r="G99" s="6">
        <f t="shared" si="44"/>
        <v>14</v>
      </c>
      <c r="H99" s="6">
        <f t="shared" si="44"/>
        <v>5</v>
      </c>
      <c r="I99" s="6">
        <f t="shared" si="44"/>
        <v>5</v>
      </c>
      <c r="J99" s="6">
        <f t="shared" si="44"/>
        <v>5</v>
      </c>
      <c r="K99" s="6">
        <f t="shared" si="44"/>
        <v>5</v>
      </c>
      <c r="L99" s="6">
        <f t="shared" si="44"/>
        <v>5</v>
      </c>
      <c r="M99" s="6">
        <f t="shared" si="44"/>
        <v>5</v>
      </c>
      <c r="N99" s="6">
        <f t="shared" si="44"/>
        <v>1.1000000000000001</v>
      </c>
      <c r="O99" s="6">
        <f t="shared" si="44"/>
        <v>0.5</v>
      </c>
      <c r="P99" s="97">
        <f>AVERAGE(D99:O99)</f>
        <v>7.3</v>
      </c>
      <c r="W99" s="82"/>
      <c r="AM99" s="87"/>
    </row>
    <row r="100" spans="2:39" ht="16.5" thickBot="1" x14ac:dyDescent="0.3">
      <c r="B100" s="38" t="s">
        <v>119</v>
      </c>
      <c r="C100" s="39" t="s">
        <v>3</v>
      </c>
      <c r="D100" s="40">
        <f t="shared" ref="D100:O100" si="45">D50</f>
        <v>0.5</v>
      </c>
      <c r="E100" s="40">
        <f t="shared" si="45"/>
        <v>0.5</v>
      </c>
      <c r="F100" s="40">
        <f t="shared" si="45"/>
        <v>0.5</v>
      </c>
      <c r="G100" s="40">
        <f t="shared" si="45"/>
        <v>0.5</v>
      </c>
      <c r="H100" s="40">
        <f t="shared" si="45"/>
        <v>0.4</v>
      </c>
      <c r="I100" s="40">
        <f t="shared" si="45"/>
        <v>0.4</v>
      </c>
      <c r="J100" s="40">
        <f t="shared" si="45"/>
        <v>0.4</v>
      </c>
      <c r="K100" s="40">
        <f t="shared" si="45"/>
        <v>0.7</v>
      </c>
      <c r="L100" s="40">
        <f t="shared" si="45"/>
        <v>0.6</v>
      </c>
      <c r="M100" s="40">
        <f t="shared" si="45"/>
        <v>0.5</v>
      </c>
      <c r="N100" s="40">
        <f t="shared" si="45"/>
        <v>0.2</v>
      </c>
      <c r="O100" s="40">
        <f t="shared" si="45"/>
        <v>0.2</v>
      </c>
      <c r="P100" s="101">
        <f>AVERAGE(D100:O100)</f>
        <v>0.44999999999999996</v>
      </c>
      <c r="W100" s="82"/>
      <c r="AM100" s="87"/>
    </row>
    <row r="101" spans="2:39" x14ac:dyDescent="0.25">
      <c r="B101" s="54" t="s">
        <v>136</v>
      </c>
      <c r="C101" s="55" t="s">
        <v>138</v>
      </c>
      <c r="D101" s="118">
        <f t="shared" ref="D101:O101" si="46">D92/D93</f>
        <v>0.75</v>
      </c>
      <c r="E101" s="126">
        <f t="shared" si="46"/>
        <v>0.75</v>
      </c>
      <c r="F101" s="126">
        <f t="shared" si="46"/>
        <v>0.75</v>
      </c>
      <c r="G101" s="126">
        <f t="shared" si="46"/>
        <v>0.75</v>
      </c>
      <c r="H101" s="126">
        <f t="shared" si="46"/>
        <v>0.2857142857142857</v>
      </c>
      <c r="I101" s="126">
        <f t="shared" si="46"/>
        <v>0.33333333333333331</v>
      </c>
      <c r="J101" s="126">
        <f t="shared" si="46"/>
        <v>0.40909090909090912</v>
      </c>
      <c r="K101" s="126">
        <f t="shared" si="46"/>
        <v>0.30434782608695654</v>
      </c>
      <c r="L101" s="126">
        <f t="shared" si="46"/>
        <v>0.26666666666666666</v>
      </c>
      <c r="M101" s="126">
        <f t="shared" si="46"/>
        <v>0.21739130434782608</v>
      </c>
      <c r="N101" s="126">
        <f t="shared" si="46"/>
        <v>0.16666666666666666</v>
      </c>
      <c r="O101" s="126">
        <f t="shared" si="46"/>
        <v>0.5</v>
      </c>
      <c r="P101" s="71">
        <f t="shared" si="38"/>
        <v>0.45693424932555365</v>
      </c>
      <c r="W101" s="92"/>
      <c r="X101" s="93"/>
      <c r="Y101" s="93"/>
      <c r="Z101" s="93"/>
      <c r="AA101" s="93"/>
      <c r="AB101" s="93"/>
      <c r="AC101" s="93"/>
      <c r="AD101" s="93"/>
      <c r="AE101" s="93"/>
      <c r="AF101" s="93"/>
      <c r="AG101" s="93"/>
      <c r="AH101" s="93"/>
      <c r="AI101" s="93"/>
      <c r="AJ101" s="93"/>
      <c r="AK101" s="93"/>
      <c r="AL101" s="93"/>
      <c r="AM101" s="94"/>
    </row>
    <row r="102" spans="2:39" ht="15.95" customHeight="1" x14ac:dyDescent="0.25">
      <c r="B102" s="54" t="s">
        <v>139</v>
      </c>
      <c r="C102" s="55" t="s">
        <v>3</v>
      </c>
      <c r="D102" s="125">
        <f t="shared" ref="D102:O102" si="47">D94*1.42</f>
        <v>7.1</v>
      </c>
      <c r="E102" s="125">
        <f t="shared" si="47"/>
        <v>10.792</v>
      </c>
      <c r="F102" s="125">
        <f t="shared" si="47"/>
        <v>7.1</v>
      </c>
      <c r="G102" s="125">
        <f t="shared" si="47"/>
        <v>7.1</v>
      </c>
      <c r="H102" s="125">
        <f t="shared" si="47"/>
        <v>2.84</v>
      </c>
      <c r="I102" s="125">
        <f t="shared" si="47"/>
        <v>2.84</v>
      </c>
      <c r="J102" s="125">
        <f t="shared" si="47"/>
        <v>2.84</v>
      </c>
      <c r="K102" s="125">
        <f t="shared" si="47"/>
        <v>29.11</v>
      </c>
      <c r="L102" s="125">
        <f t="shared" si="47"/>
        <v>21.299999999999997</v>
      </c>
      <c r="M102" s="125">
        <f t="shared" si="47"/>
        <v>13.773999999999999</v>
      </c>
      <c r="N102" s="125">
        <f t="shared" si="47"/>
        <v>21.299999999999997</v>
      </c>
      <c r="O102" s="125">
        <f t="shared" si="47"/>
        <v>8.52</v>
      </c>
      <c r="P102" s="97">
        <f t="shared" si="38"/>
        <v>11.218000000000002</v>
      </c>
    </row>
    <row r="103" spans="2:39" x14ac:dyDescent="0.25">
      <c r="B103" s="54" t="s">
        <v>140</v>
      </c>
      <c r="C103" s="55" t="s">
        <v>138</v>
      </c>
      <c r="D103" s="120">
        <f t="shared" ref="D103:O103" si="48">D94/D93</f>
        <v>0.25</v>
      </c>
      <c r="E103" s="120">
        <f t="shared" si="48"/>
        <v>0.38</v>
      </c>
      <c r="F103" s="120">
        <f t="shared" si="48"/>
        <v>0.25</v>
      </c>
      <c r="G103" s="120">
        <f t="shared" si="48"/>
        <v>0.25</v>
      </c>
      <c r="H103" s="120">
        <f t="shared" si="48"/>
        <v>0.14285714285714285</v>
      </c>
      <c r="I103" s="120">
        <f t="shared" si="48"/>
        <v>0.1111111111111111</v>
      </c>
      <c r="J103" s="120">
        <f t="shared" si="48"/>
        <v>9.0909090909090912E-2</v>
      </c>
      <c r="K103" s="120">
        <f t="shared" si="48"/>
        <v>0.89130434782608692</v>
      </c>
      <c r="L103" s="120">
        <f t="shared" si="48"/>
        <v>0.5</v>
      </c>
      <c r="M103" s="120">
        <f t="shared" si="48"/>
        <v>0.21086956521739128</v>
      </c>
      <c r="N103" s="120">
        <f t="shared" si="48"/>
        <v>0.5</v>
      </c>
      <c r="O103" s="120">
        <f t="shared" si="48"/>
        <v>0.6</v>
      </c>
      <c r="P103" s="53">
        <f t="shared" si="38"/>
        <v>0.34808760482673523</v>
      </c>
    </row>
    <row r="104" spans="2:39" x14ac:dyDescent="0.25">
      <c r="B104" s="54" t="s">
        <v>141</v>
      </c>
      <c r="C104" s="55" t="s">
        <v>138</v>
      </c>
      <c r="D104" s="120">
        <f t="shared" ref="D104:O104" si="49">D94/D92</f>
        <v>0.33333333333333331</v>
      </c>
      <c r="E104" s="120">
        <f t="shared" si="49"/>
        <v>0.5066666666666666</v>
      </c>
      <c r="F104" s="120">
        <f t="shared" si="49"/>
        <v>0.33333333333333331</v>
      </c>
      <c r="G104" s="120">
        <f t="shared" si="49"/>
        <v>0.33333333333333331</v>
      </c>
      <c r="H104" s="120">
        <f t="shared" si="49"/>
        <v>0.5</v>
      </c>
      <c r="I104" s="120">
        <f t="shared" si="49"/>
        <v>0.33333333333333331</v>
      </c>
      <c r="J104" s="120">
        <f t="shared" si="49"/>
        <v>0.22222222222222221</v>
      </c>
      <c r="K104" s="120">
        <f t="shared" si="49"/>
        <v>2.9285714285714284</v>
      </c>
      <c r="L104" s="120">
        <f t="shared" si="49"/>
        <v>1.875</v>
      </c>
      <c r="M104" s="120">
        <f t="shared" si="49"/>
        <v>0.97</v>
      </c>
      <c r="N104" s="120">
        <f t="shared" si="49"/>
        <v>3</v>
      </c>
      <c r="O104" s="120">
        <f t="shared" si="49"/>
        <v>1.2</v>
      </c>
      <c r="P104" s="53">
        <f t="shared" si="38"/>
        <v>1.0446494708994709</v>
      </c>
    </row>
    <row r="110" spans="2:39" ht="15.95" customHeight="1" x14ac:dyDescent="0.25">
      <c r="B110" s="419" t="s">
        <v>196</v>
      </c>
      <c r="C110" s="419"/>
      <c r="D110" s="419"/>
      <c r="E110" s="419"/>
      <c r="F110" s="419"/>
      <c r="G110" s="419"/>
      <c r="H110" s="419"/>
      <c r="I110" s="419"/>
      <c r="J110" s="419"/>
      <c r="K110" s="419"/>
      <c r="L110" s="419"/>
      <c r="M110" s="419"/>
      <c r="N110" s="419"/>
      <c r="O110" s="419"/>
      <c r="P110" s="419"/>
    </row>
    <row r="111" spans="2:39" x14ac:dyDescent="0.25">
      <c r="B111" s="115" t="s">
        <v>1</v>
      </c>
      <c r="C111" s="116" t="s">
        <v>2</v>
      </c>
      <c r="D111" s="116">
        <f>D$21</f>
        <v>1.24</v>
      </c>
      <c r="E111" s="116">
        <f t="shared" ref="E111:O111" si="50">E$21</f>
        <v>2.2400000000000002</v>
      </c>
      <c r="F111" s="116">
        <f t="shared" si="50"/>
        <v>3.24</v>
      </c>
      <c r="G111" s="116">
        <f t="shared" si="50"/>
        <v>4.24</v>
      </c>
      <c r="H111" s="116">
        <f t="shared" si="50"/>
        <v>5.24</v>
      </c>
      <c r="I111" s="116">
        <f t="shared" si="50"/>
        <v>6.24</v>
      </c>
      <c r="J111" s="116">
        <f t="shared" si="50"/>
        <v>7.24</v>
      </c>
      <c r="K111" s="116">
        <f t="shared" si="50"/>
        <v>8.24</v>
      </c>
      <c r="L111" s="116">
        <f t="shared" si="50"/>
        <v>9.24</v>
      </c>
      <c r="M111" s="116">
        <f t="shared" si="50"/>
        <v>10.24</v>
      </c>
      <c r="N111" s="116">
        <f t="shared" si="50"/>
        <v>11.24</v>
      </c>
      <c r="O111" s="116">
        <f t="shared" si="50"/>
        <v>12.24</v>
      </c>
      <c r="P111" s="116" t="s">
        <v>117</v>
      </c>
    </row>
    <row r="112" spans="2:39" x14ac:dyDescent="0.25">
      <c r="B112" s="54" t="s">
        <v>164</v>
      </c>
      <c r="C112" s="55" t="s">
        <v>204</v>
      </c>
      <c r="D112" s="68">
        <f>D73 * (1/31)</f>
        <v>544.12903225806451</v>
      </c>
      <c r="E112" s="68">
        <f>E73 * (1/29)</f>
        <v>646.86206896551721</v>
      </c>
      <c r="F112" s="68">
        <f>F73 * (1/31)</f>
        <v>663.09677419354841</v>
      </c>
      <c r="G112" s="68">
        <f>G73 * (1/30)</f>
        <v>439.66666666666669</v>
      </c>
      <c r="H112" s="68">
        <f>H73 * (1/31)</f>
        <v>555.74193548387098</v>
      </c>
      <c r="I112" s="68">
        <f>I73 * (1/30)</f>
        <v>386.5333333333333</v>
      </c>
      <c r="J112" s="68">
        <f>J73 * (1/31)</f>
        <v>398.29032258064512</v>
      </c>
      <c r="K112" s="68">
        <f>K73 * (1/31)</f>
        <v>390.77419354838707</v>
      </c>
      <c r="L112" s="68">
        <f>L73 * (1/30)</f>
        <v>355.13333333333333</v>
      </c>
      <c r="M112" s="68">
        <f>M73 * (1/31)</f>
        <v>727.77419354838707</v>
      </c>
      <c r="N112" s="68">
        <f>N73 * (1/30)</f>
        <v>332.1</v>
      </c>
      <c r="O112" s="68">
        <f>O73 * (1/31)</f>
        <v>375.25806451612902</v>
      </c>
      <c r="P112" s="70">
        <f>AVERAGE(D112:O112)</f>
        <v>484.61332653565688</v>
      </c>
    </row>
    <row r="113" spans="2:17" x14ac:dyDescent="0.25">
      <c r="B113" s="54" t="s">
        <v>24</v>
      </c>
      <c r="C113" s="55" t="s">
        <v>36</v>
      </c>
      <c r="D113" s="68">
        <f t="shared" ref="D113:O113" si="51">D74*D$112 *(1/1000)</f>
        <v>44.074451612903225</v>
      </c>
      <c r="E113" s="68">
        <f t="shared" si="51"/>
        <v>34.283689655172417</v>
      </c>
      <c r="F113" s="68">
        <f t="shared" si="51"/>
        <v>21.219096774193549</v>
      </c>
      <c r="G113" s="68">
        <f t="shared" si="51"/>
        <v>139.81399999999999</v>
      </c>
      <c r="H113" s="68">
        <f t="shared" si="51"/>
        <v>29.454322580645165</v>
      </c>
      <c r="I113" s="68">
        <f t="shared" si="51"/>
        <v>71.122133333333338</v>
      </c>
      <c r="J113" s="68">
        <f t="shared" si="51"/>
        <v>58.946967741935481</v>
      </c>
      <c r="K113" s="68">
        <f t="shared" si="51"/>
        <v>117.62303225806451</v>
      </c>
      <c r="L113" s="68">
        <f t="shared" si="51"/>
        <v>16.691266666666667</v>
      </c>
      <c r="M113" s="68">
        <f t="shared" si="51"/>
        <v>183.39909677419354</v>
      </c>
      <c r="N113" s="68">
        <f t="shared" si="51"/>
        <v>16.605</v>
      </c>
      <c r="O113" s="68">
        <f t="shared" si="51"/>
        <v>50.659838709677416</v>
      </c>
      <c r="P113" s="70">
        <f t="shared" ref="P113:P124" si="52">AVERAGE(D113:O113)</f>
        <v>65.324408008898786</v>
      </c>
    </row>
    <row r="114" spans="2:17" x14ac:dyDescent="0.25">
      <c r="B114" s="54" t="s">
        <v>25</v>
      </c>
      <c r="C114" s="55" t="s">
        <v>36</v>
      </c>
      <c r="D114" s="68">
        <f t="shared" ref="D114:O114" si="53">D75*D$112 *(1/1000)</f>
        <v>163.23870967741937</v>
      </c>
      <c r="E114" s="68">
        <f t="shared" si="53"/>
        <v>150.072</v>
      </c>
      <c r="F114" s="68">
        <f t="shared" si="53"/>
        <v>35.807225806451612</v>
      </c>
      <c r="G114" s="68">
        <f t="shared" si="53"/>
        <v>659.5</v>
      </c>
      <c r="H114" s="68">
        <f t="shared" si="53"/>
        <v>80.026838709677421</v>
      </c>
      <c r="I114" s="68">
        <f t="shared" si="53"/>
        <v>129.87519999999998</v>
      </c>
      <c r="J114" s="68">
        <f t="shared" si="53"/>
        <v>101.96232258064515</v>
      </c>
      <c r="K114" s="68">
        <f t="shared" si="53"/>
        <v>234.46451612903226</v>
      </c>
      <c r="L114" s="68">
        <f t="shared" si="53"/>
        <v>31.962</v>
      </c>
      <c r="M114" s="68">
        <f t="shared" si="53"/>
        <v>291.10967741935485</v>
      </c>
      <c r="N114" s="68">
        <f t="shared" si="53"/>
        <v>939.84300000000019</v>
      </c>
      <c r="O114" s="68">
        <f t="shared" si="53"/>
        <v>64.169129032258056</v>
      </c>
      <c r="P114" s="70">
        <f t="shared" si="52"/>
        <v>240.16921827956989</v>
      </c>
    </row>
    <row r="115" spans="2:17" x14ac:dyDescent="0.25">
      <c r="B115" s="54" t="s">
        <v>26</v>
      </c>
      <c r="C115" s="55" t="s">
        <v>36</v>
      </c>
      <c r="D115" s="68">
        <f t="shared" ref="D115:O115" si="54">D76*D$112 *(1/1000)</f>
        <v>57.895329032258068</v>
      </c>
      <c r="E115" s="68">
        <f t="shared" si="54"/>
        <v>74.841941379310342</v>
      </c>
      <c r="F115" s="68">
        <f t="shared" si="54"/>
        <v>14.322890322580646</v>
      </c>
      <c r="G115" s="68">
        <f t="shared" si="54"/>
        <v>219.83333333333334</v>
      </c>
      <c r="H115" s="68">
        <f t="shared" si="54"/>
        <v>10.503522580645161</v>
      </c>
      <c r="I115" s="68">
        <f t="shared" si="54"/>
        <v>16.852853333333332</v>
      </c>
      <c r="J115" s="68">
        <f t="shared" si="54"/>
        <v>38.55450322580645</v>
      </c>
      <c r="K115" s="68">
        <f t="shared" si="54"/>
        <v>40.562361290322578</v>
      </c>
      <c r="L115" s="68">
        <f t="shared" si="54"/>
        <v>9.4820599999999988</v>
      </c>
      <c r="M115" s="68">
        <f t="shared" si="54"/>
        <v>56.911941935483867</v>
      </c>
      <c r="N115" s="68">
        <f t="shared" si="54"/>
        <v>634.31100000000004</v>
      </c>
      <c r="O115" s="68">
        <f t="shared" si="54"/>
        <v>15.760838709677419</v>
      </c>
      <c r="P115" s="70">
        <f t="shared" si="52"/>
        <v>99.152714595229284</v>
      </c>
    </row>
    <row r="116" spans="2:17" x14ac:dyDescent="0.25">
      <c r="B116" s="54" t="s">
        <v>27</v>
      </c>
      <c r="C116" s="55" t="s">
        <v>36</v>
      </c>
      <c r="D116" s="68">
        <f t="shared" ref="D116:O116" si="55">D77*D$112 *(1/1000)</f>
        <v>6.0942451612903223</v>
      </c>
      <c r="E116" s="68">
        <f t="shared" si="55"/>
        <v>6.4686206896551726</v>
      </c>
      <c r="F116" s="68">
        <f t="shared" si="55"/>
        <v>6.233109677419356</v>
      </c>
      <c r="G116" s="68">
        <f t="shared" si="55"/>
        <v>31.656000000000002</v>
      </c>
      <c r="H116" s="68">
        <f t="shared" si="55"/>
        <v>3.2788774193548389</v>
      </c>
      <c r="I116" s="68">
        <f t="shared" si="55"/>
        <v>7.4214399999999987</v>
      </c>
      <c r="J116" s="68">
        <f t="shared" si="55"/>
        <v>21.029729032258064</v>
      </c>
      <c r="K116" s="68">
        <f t="shared" si="55"/>
        <v>16.646980645161289</v>
      </c>
      <c r="L116" s="68">
        <f t="shared" si="55"/>
        <v>2.2728533333333334</v>
      </c>
      <c r="M116" s="68">
        <f t="shared" si="55"/>
        <v>22.561</v>
      </c>
      <c r="N116" s="68">
        <f t="shared" si="55"/>
        <v>30.486780000000003</v>
      </c>
      <c r="O116" s="68">
        <f t="shared" si="55"/>
        <v>6.7171193548387089</v>
      </c>
      <c r="P116" s="97">
        <f t="shared" si="52"/>
        <v>13.405562942775925</v>
      </c>
      <c r="Q116" s="13"/>
    </row>
    <row r="117" spans="2:17" ht="15.95" customHeight="1" x14ac:dyDescent="0.25">
      <c r="B117" s="54" t="s">
        <v>28</v>
      </c>
      <c r="C117" s="55" t="s">
        <v>36</v>
      </c>
      <c r="D117" s="52">
        <f>D78*D$112 *(1/1000)</f>
        <v>0.70736774193548391</v>
      </c>
      <c r="E117" s="52">
        <f t="shared" ref="E117:O117" si="56">E78*E$112 *(1/1000)</f>
        <v>1.4877827586206895</v>
      </c>
      <c r="F117" s="52">
        <f t="shared" si="56"/>
        <v>0.86202580645161297</v>
      </c>
      <c r="G117" s="52">
        <f t="shared" si="56"/>
        <v>8.749366666666667</v>
      </c>
      <c r="H117" s="52">
        <f t="shared" si="56"/>
        <v>0.27787096774193548</v>
      </c>
      <c r="I117" s="52">
        <f t="shared" si="56"/>
        <v>0.50249333333333335</v>
      </c>
      <c r="J117" s="52">
        <f t="shared" si="56"/>
        <v>1.5931612903225805</v>
      </c>
      <c r="K117" s="52">
        <f t="shared" si="56"/>
        <v>1.8366387096774193</v>
      </c>
      <c r="L117" s="52">
        <f t="shared" si="56"/>
        <v>0.17756666666666668</v>
      </c>
      <c r="M117" s="52">
        <f t="shared" si="56"/>
        <v>0.58221935483870968</v>
      </c>
      <c r="N117" s="52">
        <f t="shared" si="56"/>
        <v>6.2966160000000011</v>
      </c>
      <c r="O117" s="52">
        <f t="shared" si="56"/>
        <v>0.85183580645161294</v>
      </c>
      <c r="P117" s="53">
        <f t="shared" si="52"/>
        <v>1.9937454252255593</v>
      </c>
    </row>
    <row r="118" spans="2:17" ht="15.95" customHeight="1" x14ac:dyDescent="0.25">
      <c r="B118" s="54" t="s">
        <v>4</v>
      </c>
      <c r="C118" s="8" t="s">
        <v>5</v>
      </c>
      <c r="D118" s="51">
        <f>D79</f>
        <v>6.5</v>
      </c>
      <c r="E118" s="51">
        <f t="shared" ref="E118:O118" si="57">E79</f>
        <v>6.8</v>
      </c>
      <c r="F118" s="51">
        <f t="shared" si="57"/>
        <v>6.8</v>
      </c>
      <c r="G118" s="51">
        <f t="shared" si="57"/>
        <v>6.7</v>
      </c>
      <c r="H118" s="51">
        <f t="shared" si="57"/>
        <v>6.5</v>
      </c>
      <c r="I118" s="51">
        <f t="shared" si="57"/>
        <v>7</v>
      </c>
      <c r="J118" s="51">
        <f t="shared" si="57"/>
        <v>7.3</v>
      </c>
      <c r="K118" s="51">
        <f t="shared" si="57"/>
        <v>7.4</v>
      </c>
      <c r="L118" s="51">
        <f t="shared" si="57"/>
        <v>6.6</v>
      </c>
      <c r="M118" s="51">
        <f t="shared" si="57"/>
        <v>6.9</v>
      </c>
      <c r="N118" s="51">
        <f t="shared" si="57"/>
        <v>6.6</v>
      </c>
      <c r="O118" s="51">
        <f t="shared" si="57"/>
        <v>6.7</v>
      </c>
      <c r="P118" s="97">
        <f t="shared" si="52"/>
        <v>6.8166666666666664</v>
      </c>
    </row>
    <row r="119" spans="2:17" ht="15.95" customHeight="1" x14ac:dyDescent="0.25">
      <c r="B119" s="127" t="s">
        <v>30</v>
      </c>
      <c r="C119" s="55" t="s">
        <v>36</v>
      </c>
      <c r="D119" s="52">
        <f t="shared" ref="D119:O119" si="58">D80*D$112 *(1/1000)</f>
        <v>7.9442838709677419</v>
      </c>
      <c r="E119" s="52">
        <f t="shared" si="58"/>
        <v>9.0560689655172411</v>
      </c>
      <c r="F119" s="52">
        <f t="shared" si="58"/>
        <v>9.2833548387096787</v>
      </c>
      <c r="G119" s="52">
        <f t="shared" si="58"/>
        <v>6.155333333333334</v>
      </c>
      <c r="H119" s="52">
        <f t="shared" si="58"/>
        <v>7.5025161290322586</v>
      </c>
      <c r="I119" s="52">
        <f t="shared" si="58"/>
        <v>9.9725599999999996</v>
      </c>
      <c r="J119" s="52">
        <f t="shared" si="58"/>
        <v>2.8278612903225802</v>
      </c>
      <c r="K119" s="52">
        <f t="shared" si="58"/>
        <v>23.83722580645161</v>
      </c>
      <c r="L119" s="52">
        <f t="shared" si="58"/>
        <v>1.7756666666666665</v>
      </c>
      <c r="M119" s="52">
        <f t="shared" si="58"/>
        <v>3.6388709677419357</v>
      </c>
      <c r="N119" s="52">
        <f t="shared" si="58"/>
        <v>0.46494000000000002</v>
      </c>
      <c r="O119" s="52">
        <f t="shared" si="58"/>
        <v>0.32272193548387096</v>
      </c>
      <c r="P119" s="53">
        <f t="shared" si="52"/>
        <v>6.8984503170189093</v>
      </c>
    </row>
    <row r="120" spans="2:17" ht="15.95" customHeight="1" thickBot="1" x14ac:dyDescent="0.3">
      <c r="B120" s="56" t="s">
        <v>119</v>
      </c>
      <c r="C120" s="57" t="s">
        <v>36</v>
      </c>
      <c r="D120" s="100">
        <f t="shared" ref="D120:O120" si="59">D81*D$112 *(1/1000)</f>
        <v>0.65295483870967741</v>
      </c>
      <c r="E120" s="100">
        <f t="shared" si="59"/>
        <v>0.38811724137931031</v>
      </c>
      <c r="F120" s="100">
        <f t="shared" si="59"/>
        <v>0.59678709677419362</v>
      </c>
      <c r="G120" s="100">
        <f t="shared" si="59"/>
        <v>4.0449333333333337</v>
      </c>
      <c r="H120" s="100">
        <f t="shared" si="59"/>
        <v>0.38901935483870964</v>
      </c>
      <c r="I120" s="100">
        <f t="shared" si="59"/>
        <v>1.0436400000000001</v>
      </c>
      <c r="J120" s="100">
        <f t="shared" si="59"/>
        <v>0.79658064516129024</v>
      </c>
      <c r="K120" s="100">
        <f t="shared" si="59"/>
        <v>1.6412516129032257</v>
      </c>
      <c r="L120" s="100">
        <f t="shared" si="59"/>
        <v>0.42615999999999998</v>
      </c>
      <c r="M120" s="100">
        <f t="shared" si="59"/>
        <v>1.2372161290322581</v>
      </c>
      <c r="N120" s="100">
        <f t="shared" si="59"/>
        <v>6.6420000000000007E-2</v>
      </c>
      <c r="O120" s="100">
        <f t="shared" si="59"/>
        <v>7.5051612903225803E-2</v>
      </c>
      <c r="P120" s="101">
        <f t="shared" si="52"/>
        <v>0.94651098875293549</v>
      </c>
    </row>
    <row r="121" spans="2:17" x14ac:dyDescent="0.25">
      <c r="B121" s="54" t="s">
        <v>136</v>
      </c>
      <c r="C121" s="59" t="s">
        <v>138</v>
      </c>
      <c r="D121" s="50">
        <f>D113/D114</f>
        <v>0.26999999999999996</v>
      </c>
      <c r="E121" s="50">
        <f t="shared" ref="E121:O121" si="60">E113/E114</f>
        <v>0.22844827586206898</v>
      </c>
      <c r="F121" s="50">
        <f t="shared" si="60"/>
        <v>0.59259259259259267</v>
      </c>
      <c r="G121" s="50">
        <f t="shared" si="60"/>
        <v>0.21199999999999999</v>
      </c>
      <c r="H121" s="50">
        <f t="shared" si="60"/>
        <v>0.36805555555555558</v>
      </c>
      <c r="I121" s="50">
        <f t="shared" si="60"/>
        <v>0.54761904761904778</v>
      </c>
      <c r="J121" s="50">
        <f t="shared" si="60"/>
        <v>0.578125</v>
      </c>
      <c r="K121" s="50">
        <f t="shared" si="60"/>
        <v>0.50166666666666659</v>
      </c>
      <c r="L121" s="50">
        <f t="shared" si="60"/>
        <v>0.52222222222222225</v>
      </c>
      <c r="M121" s="50">
        <f t="shared" si="60"/>
        <v>0.62999999999999989</v>
      </c>
      <c r="N121" s="50">
        <f t="shared" si="60"/>
        <v>1.7667844522968195E-2</v>
      </c>
      <c r="O121" s="50">
        <f t="shared" si="60"/>
        <v>0.78947368421052633</v>
      </c>
      <c r="P121" s="71">
        <f t="shared" si="52"/>
        <v>0.43815590743763733</v>
      </c>
    </row>
    <row r="122" spans="2:17" x14ac:dyDescent="0.25">
      <c r="B122" s="54" t="s">
        <v>139</v>
      </c>
      <c r="C122" s="55" t="s">
        <v>36</v>
      </c>
      <c r="D122" s="51">
        <f>D115*1.42</f>
        <v>82.211367225806455</v>
      </c>
      <c r="E122" s="51">
        <f t="shared" ref="E122:O122" si="61">E115*1.42</f>
        <v>106.27555675862068</v>
      </c>
      <c r="F122" s="51">
        <f t="shared" si="61"/>
        <v>20.338504258064518</v>
      </c>
      <c r="G122" s="51">
        <f t="shared" si="61"/>
        <v>312.16333333333336</v>
      </c>
      <c r="H122" s="51">
        <f t="shared" si="61"/>
        <v>14.915002064516127</v>
      </c>
      <c r="I122" s="51">
        <f t="shared" si="61"/>
        <v>23.93105173333333</v>
      </c>
      <c r="J122" s="51">
        <f t="shared" si="61"/>
        <v>54.747394580645157</v>
      </c>
      <c r="K122" s="51">
        <f t="shared" si="61"/>
        <v>57.59855303225806</v>
      </c>
      <c r="L122" s="51">
        <f t="shared" si="61"/>
        <v>13.464525199999997</v>
      </c>
      <c r="M122" s="51">
        <f t="shared" si="61"/>
        <v>80.814957548387085</v>
      </c>
      <c r="N122" s="51">
        <f t="shared" si="61"/>
        <v>900.72162000000003</v>
      </c>
      <c r="O122" s="51">
        <f t="shared" si="61"/>
        <v>22.380390967741935</v>
      </c>
      <c r="P122" s="70">
        <f t="shared" si="52"/>
        <v>140.79685472522559</v>
      </c>
    </row>
    <row r="123" spans="2:17" x14ac:dyDescent="0.25">
      <c r="B123" s="54" t="s">
        <v>140</v>
      </c>
      <c r="C123" s="55" t="s">
        <v>138</v>
      </c>
      <c r="D123" s="52">
        <f>D115/D114</f>
        <v>0.35466666666666669</v>
      </c>
      <c r="E123" s="52">
        <f t="shared" ref="E123:O123" si="62">E115/E114</f>
        <v>0.49870689655172412</v>
      </c>
      <c r="F123" s="52">
        <f t="shared" si="62"/>
        <v>0.4</v>
      </c>
      <c r="G123" s="52">
        <f t="shared" si="62"/>
        <v>0.33333333333333337</v>
      </c>
      <c r="H123" s="52">
        <f t="shared" si="62"/>
        <v>0.13124999999999998</v>
      </c>
      <c r="I123" s="52">
        <f t="shared" si="62"/>
        <v>0.12976190476190477</v>
      </c>
      <c r="J123" s="52">
        <f t="shared" si="62"/>
        <v>0.37812500000000004</v>
      </c>
      <c r="K123" s="52">
        <f t="shared" si="62"/>
        <v>0.17299999999999999</v>
      </c>
      <c r="L123" s="52">
        <f t="shared" si="62"/>
        <v>0.29666666666666663</v>
      </c>
      <c r="M123" s="52">
        <f t="shared" si="62"/>
        <v>0.19549999999999998</v>
      </c>
      <c r="N123" s="52">
        <f t="shared" si="62"/>
        <v>0.67491166077738507</v>
      </c>
      <c r="O123" s="52">
        <f t="shared" si="62"/>
        <v>0.24561403508771931</v>
      </c>
      <c r="P123" s="53">
        <f t="shared" si="52"/>
        <v>0.31762801365378335</v>
      </c>
    </row>
    <row r="124" spans="2:17" x14ac:dyDescent="0.25">
      <c r="B124" s="54" t="s">
        <v>141</v>
      </c>
      <c r="C124" s="55" t="s">
        <v>138</v>
      </c>
      <c r="D124" s="52">
        <f>D115/D113</f>
        <v>1.3135802469135804</v>
      </c>
      <c r="E124" s="52">
        <f t="shared" ref="E124:O124" si="63">E115/E113</f>
        <v>2.1830188679245279</v>
      </c>
      <c r="F124" s="52">
        <f t="shared" si="63"/>
        <v>0.67500000000000004</v>
      </c>
      <c r="G124" s="52">
        <f t="shared" si="63"/>
        <v>1.5723270440251573</v>
      </c>
      <c r="H124" s="52">
        <f t="shared" si="63"/>
        <v>0.35660377358490558</v>
      </c>
      <c r="I124" s="52">
        <f t="shared" si="63"/>
        <v>0.2369565217391304</v>
      </c>
      <c r="J124" s="52">
        <f t="shared" si="63"/>
        <v>0.65405405405405403</v>
      </c>
      <c r="K124" s="52">
        <f t="shared" si="63"/>
        <v>0.34485049833887044</v>
      </c>
      <c r="L124" s="52">
        <f t="shared" si="63"/>
        <v>0.5680851063829786</v>
      </c>
      <c r="M124" s="52">
        <f t="shared" si="63"/>
        <v>0.31031746031746033</v>
      </c>
      <c r="N124" s="52">
        <f t="shared" si="63"/>
        <v>38.200000000000003</v>
      </c>
      <c r="O124" s="52">
        <f t="shared" si="63"/>
        <v>0.31111111111111112</v>
      </c>
      <c r="P124" s="97">
        <f t="shared" si="52"/>
        <v>3.8938253903659814</v>
      </c>
    </row>
    <row r="128" spans="2:17" ht="15.95" customHeight="1" x14ac:dyDescent="0.25">
      <c r="B128" s="479" t="s">
        <v>197</v>
      </c>
      <c r="C128" s="479"/>
      <c r="D128" s="479"/>
      <c r="E128" s="479"/>
      <c r="F128" s="479"/>
      <c r="G128" s="479"/>
      <c r="H128" s="479"/>
      <c r="I128" s="479"/>
      <c r="J128" s="479"/>
      <c r="K128" s="479"/>
      <c r="L128" s="479"/>
      <c r="M128" s="479"/>
      <c r="N128" s="479"/>
      <c r="O128" s="479"/>
      <c r="P128" s="479"/>
    </row>
    <row r="129" spans="2:30" x14ac:dyDescent="0.25">
      <c r="B129" s="98" t="s">
        <v>1</v>
      </c>
      <c r="C129" s="99" t="s">
        <v>2</v>
      </c>
      <c r="D129" s="99">
        <f>D$41</f>
        <v>1.24</v>
      </c>
      <c r="E129" s="99">
        <f>E$41</f>
        <v>2.2400000000000002</v>
      </c>
      <c r="F129" s="99">
        <f>F$41</f>
        <v>3.24</v>
      </c>
      <c r="G129" s="99">
        <f>G$41</f>
        <v>4.24</v>
      </c>
      <c r="H129" s="99">
        <f t="shared" ref="H129:M129" si="64">H$41</f>
        <v>5.24</v>
      </c>
      <c r="I129" s="99">
        <f t="shared" si="64"/>
        <v>6.24</v>
      </c>
      <c r="J129" s="99">
        <f t="shared" si="64"/>
        <v>7.24</v>
      </c>
      <c r="K129" s="99">
        <f t="shared" si="64"/>
        <v>8.24</v>
      </c>
      <c r="L129" s="99">
        <f t="shared" si="64"/>
        <v>9.24</v>
      </c>
      <c r="M129" s="99">
        <f t="shared" si="64"/>
        <v>10.24</v>
      </c>
      <c r="N129" s="99">
        <f>N$41</f>
        <v>11.24</v>
      </c>
      <c r="O129" s="99">
        <f>O$41</f>
        <v>12.24</v>
      </c>
      <c r="P129" s="99" t="s">
        <v>117</v>
      </c>
    </row>
    <row r="130" spans="2:30" x14ac:dyDescent="0.25">
      <c r="B130" s="54" t="s">
        <v>164</v>
      </c>
      <c r="C130" s="55" t="s">
        <v>204</v>
      </c>
      <c r="D130" s="68">
        <f>D91 * (1/31)</f>
        <v>544.12903225806451</v>
      </c>
      <c r="E130" s="68">
        <f>E91 * (1/29)</f>
        <v>646.86206896551721</v>
      </c>
      <c r="F130" s="68">
        <f>F91 * (1/31)</f>
        <v>663.09677419354841</v>
      </c>
      <c r="G130" s="68">
        <f>G91 * (1/30)</f>
        <v>439.66666666666669</v>
      </c>
      <c r="H130" s="68">
        <f>H91 * (1/31)</f>
        <v>555.74193548387098</v>
      </c>
      <c r="I130" s="68">
        <f>I91 * (1/30)</f>
        <v>386.5333333333333</v>
      </c>
      <c r="J130" s="68">
        <f>J91 * (1/31)</f>
        <v>398.29032258064512</v>
      </c>
      <c r="K130" s="68">
        <f>K91 * (1/31)</f>
        <v>390.77419354838707</v>
      </c>
      <c r="L130" s="68">
        <f>L91 * (1/30)</f>
        <v>355.13333333333333</v>
      </c>
      <c r="M130" s="68">
        <f>M91 * (1/31)</f>
        <v>727.77419354838707</v>
      </c>
      <c r="N130" s="68">
        <f>N91 * (1/30)</f>
        <v>332.1</v>
      </c>
      <c r="O130" s="68">
        <f>O91 * (1/31)</f>
        <v>375.25806451612902</v>
      </c>
      <c r="P130" s="70">
        <f t="shared" ref="P130:P135" si="65">AVERAGE(D130:O130)</f>
        <v>484.61332653565688</v>
      </c>
    </row>
    <row r="131" spans="2:30" x14ac:dyDescent="0.25">
      <c r="B131" s="54" t="s">
        <v>24</v>
      </c>
      <c r="C131" s="55" t="s">
        <v>36</v>
      </c>
      <c r="D131" s="51">
        <f t="shared" ref="D131:H135" si="66">D92*D$130 *(1/1000)</f>
        <v>8.1619354838709679</v>
      </c>
      <c r="E131" s="51">
        <f t="shared" si="66"/>
        <v>9.7029310344827575</v>
      </c>
      <c r="F131" s="51">
        <f t="shared" si="66"/>
        <v>9.9464516129032248</v>
      </c>
      <c r="G131" s="51">
        <f t="shared" si="66"/>
        <v>6.5949999999999998</v>
      </c>
      <c r="H131" s="51">
        <f t="shared" si="66"/>
        <v>2.2229677419354839</v>
      </c>
      <c r="I131" s="51">
        <f t="shared" ref="I131:O131" si="67">I92*I$130 *(1/1000)</f>
        <v>2.3191999999999999</v>
      </c>
      <c r="J131" s="51">
        <f t="shared" si="67"/>
        <v>3.5846129032258061</v>
      </c>
      <c r="K131" s="51">
        <f t="shared" si="67"/>
        <v>2.7354193548387093</v>
      </c>
      <c r="L131" s="51">
        <f t="shared" si="67"/>
        <v>2.8410666666666669</v>
      </c>
      <c r="M131" s="51">
        <f t="shared" si="67"/>
        <v>7.2777419354838715</v>
      </c>
      <c r="N131" s="51">
        <f t="shared" si="67"/>
        <v>1.6605000000000001</v>
      </c>
      <c r="O131" s="51">
        <f t="shared" si="67"/>
        <v>1.8762903225806451</v>
      </c>
      <c r="P131" s="97">
        <f t="shared" si="65"/>
        <v>4.9103430879990118</v>
      </c>
    </row>
    <row r="132" spans="2:30" x14ac:dyDescent="0.25">
      <c r="B132" s="54" t="s">
        <v>25</v>
      </c>
      <c r="C132" s="55" t="s">
        <v>36</v>
      </c>
      <c r="D132" s="51">
        <f t="shared" si="66"/>
        <v>10.882580645161291</v>
      </c>
      <c r="E132" s="51">
        <f t="shared" si="66"/>
        <v>12.937241379310345</v>
      </c>
      <c r="F132" s="51">
        <f t="shared" si="66"/>
        <v>13.261935483870968</v>
      </c>
      <c r="G132" s="51">
        <f t="shared" si="66"/>
        <v>8.7933333333333348</v>
      </c>
      <c r="H132" s="51">
        <f t="shared" si="66"/>
        <v>7.7803870967741933</v>
      </c>
      <c r="I132" s="51">
        <f t="shared" ref="I132:O132" si="68">I93*I$130 *(1/1000)</f>
        <v>6.9575999999999993</v>
      </c>
      <c r="J132" s="51">
        <f t="shared" si="68"/>
        <v>8.7623870967741926</v>
      </c>
      <c r="K132" s="51">
        <f t="shared" si="68"/>
        <v>8.9878064516129044</v>
      </c>
      <c r="L132" s="51">
        <f t="shared" si="68"/>
        <v>10.654</v>
      </c>
      <c r="M132" s="51">
        <f t="shared" si="68"/>
        <v>33.477612903225804</v>
      </c>
      <c r="N132" s="51">
        <f t="shared" si="68"/>
        <v>9.963000000000001</v>
      </c>
      <c r="O132" s="51">
        <f t="shared" si="68"/>
        <v>3.7525806451612902</v>
      </c>
      <c r="P132" s="97">
        <f t="shared" si="65"/>
        <v>11.350872086268692</v>
      </c>
    </row>
    <row r="133" spans="2:30" x14ac:dyDescent="0.25">
      <c r="B133" s="54" t="s">
        <v>26</v>
      </c>
      <c r="C133" s="55" t="s">
        <v>36</v>
      </c>
      <c r="D133" s="121">
        <f t="shared" si="66"/>
        <v>2.7206451612903226</v>
      </c>
      <c r="E133" s="121">
        <f t="shared" si="66"/>
        <v>4.9161517241379311</v>
      </c>
      <c r="F133" s="121">
        <f t="shared" si="66"/>
        <v>3.3154838709677419</v>
      </c>
      <c r="G133" s="121">
        <f t="shared" si="66"/>
        <v>2.1983333333333337</v>
      </c>
      <c r="H133" s="121">
        <f t="shared" si="66"/>
        <v>1.1114838709677419</v>
      </c>
      <c r="I133" s="121">
        <f t="shared" ref="I133:O133" si="69">I94*I$130 *(1/1000)</f>
        <v>0.77306666666666657</v>
      </c>
      <c r="J133" s="121">
        <f t="shared" si="69"/>
        <v>0.79658064516129024</v>
      </c>
      <c r="K133" s="121">
        <f t="shared" si="69"/>
        <v>8.0108709677419352</v>
      </c>
      <c r="L133" s="121">
        <f t="shared" si="69"/>
        <v>5.327</v>
      </c>
      <c r="M133" s="121">
        <f t="shared" si="69"/>
        <v>7.059409677419354</v>
      </c>
      <c r="N133" s="121">
        <f t="shared" si="69"/>
        <v>4.9815000000000005</v>
      </c>
      <c r="O133" s="121">
        <f t="shared" si="69"/>
        <v>2.2515483870967743</v>
      </c>
      <c r="P133" s="97">
        <f t="shared" si="65"/>
        <v>3.6218395253985904</v>
      </c>
    </row>
    <row r="134" spans="2:30" x14ac:dyDescent="0.25">
      <c r="B134" s="54" t="s">
        <v>27</v>
      </c>
      <c r="C134" s="55" t="s">
        <v>36</v>
      </c>
      <c r="D134" s="52">
        <f t="shared" si="66"/>
        <v>2.7206451612903226</v>
      </c>
      <c r="E134" s="52">
        <f t="shared" si="66"/>
        <v>3.2343103448275863</v>
      </c>
      <c r="F134" s="52">
        <f t="shared" si="66"/>
        <v>3.3154838709677419</v>
      </c>
      <c r="G134" s="52">
        <f t="shared" si="66"/>
        <v>2.1983333333333337</v>
      </c>
      <c r="H134" s="52">
        <f t="shared" si="66"/>
        <v>1.0559096774193548</v>
      </c>
      <c r="I134" s="52">
        <f t="shared" ref="I134:O134" si="70">I95*I$130 *(1/1000)</f>
        <v>0.85037333333333331</v>
      </c>
      <c r="J134" s="52">
        <f t="shared" si="70"/>
        <v>0.83640967741935479</v>
      </c>
      <c r="K134" s="52">
        <f t="shared" si="70"/>
        <v>1.0941677419354838</v>
      </c>
      <c r="L134" s="52">
        <f t="shared" si="70"/>
        <v>1.1719399999999998</v>
      </c>
      <c r="M134" s="52">
        <f t="shared" si="70"/>
        <v>1.7466580645161289</v>
      </c>
      <c r="N134" s="52">
        <f t="shared" si="70"/>
        <v>1.2619800000000001</v>
      </c>
      <c r="O134" s="52">
        <f t="shared" si="70"/>
        <v>1.1257741935483871</v>
      </c>
      <c r="P134" s="53">
        <f t="shared" si="65"/>
        <v>1.7176654498825858</v>
      </c>
    </row>
    <row r="135" spans="2:30" x14ac:dyDescent="0.25">
      <c r="B135" s="54" t="s">
        <v>28</v>
      </c>
      <c r="C135" s="55" t="s">
        <v>36</v>
      </c>
      <c r="D135" s="52">
        <f t="shared" si="66"/>
        <v>0.27206451612903226</v>
      </c>
      <c r="E135" s="52">
        <f t="shared" si="66"/>
        <v>0.25874482758620693</v>
      </c>
      <c r="F135" s="52">
        <f t="shared" si="66"/>
        <v>0.53047741935483872</v>
      </c>
      <c r="G135" s="52">
        <f t="shared" si="66"/>
        <v>0.17586666666666667</v>
      </c>
      <c r="H135" s="52">
        <f t="shared" si="66"/>
        <v>0.27787096774193548</v>
      </c>
      <c r="I135" s="52">
        <f t="shared" ref="I135:O135" si="71">I96*I$130 *(1/1000)</f>
        <v>0.27057333333333328</v>
      </c>
      <c r="J135" s="52">
        <f t="shared" si="71"/>
        <v>0.27880322580645156</v>
      </c>
      <c r="K135" s="52">
        <f t="shared" si="71"/>
        <v>0.74247096774193544</v>
      </c>
      <c r="L135" s="52">
        <f t="shared" si="71"/>
        <v>0.53270000000000006</v>
      </c>
      <c r="M135" s="52">
        <f t="shared" si="71"/>
        <v>1.4555483870967743</v>
      </c>
      <c r="N135" s="52">
        <f t="shared" si="71"/>
        <v>0.26568000000000003</v>
      </c>
      <c r="O135" s="52">
        <f t="shared" si="71"/>
        <v>0.50284580645161292</v>
      </c>
      <c r="P135" s="53">
        <f t="shared" si="65"/>
        <v>0.46363717649239894</v>
      </c>
    </row>
    <row r="136" spans="2:30" x14ac:dyDescent="0.25">
      <c r="B136" s="5" t="s">
        <v>4</v>
      </c>
      <c r="C136" s="8" t="s">
        <v>5</v>
      </c>
      <c r="D136" s="51">
        <f>D97</f>
        <v>6.6</v>
      </c>
      <c r="E136" s="51">
        <f t="shared" ref="E136:O136" si="72">E97</f>
        <v>7</v>
      </c>
      <c r="F136" s="51">
        <f t="shared" si="72"/>
        <v>6.8</v>
      </c>
      <c r="G136" s="51">
        <f t="shared" si="72"/>
        <v>6.8</v>
      </c>
      <c r="H136" s="51">
        <f t="shared" si="72"/>
        <v>7</v>
      </c>
      <c r="I136" s="51">
        <f t="shared" si="72"/>
        <v>7.1</v>
      </c>
      <c r="J136" s="51">
        <f t="shared" si="72"/>
        <v>7.3</v>
      </c>
      <c r="K136" s="51">
        <f t="shared" si="72"/>
        <v>7.3</v>
      </c>
      <c r="L136" s="51">
        <f t="shared" si="72"/>
        <v>7.2</v>
      </c>
      <c r="M136" s="51">
        <f t="shared" si="72"/>
        <v>6.8</v>
      </c>
      <c r="N136" s="51">
        <f t="shared" si="72"/>
        <v>6.8</v>
      </c>
      <c r="O136" s="51">
        <f t="shared" si="72"/>
        <v>7</v>
      </c>
      <c r="P136" s="53">
        <f t="shared" ref="P136:P143" si="73">AVERAGE(D136:O136)</f>
        <v>6.9750000000000005</v>
      </c>
    </row>
    <row r="137" spans="2:30" x14ac:dyDescent="0.25">
      <c r="B137" s="5" t="s">
        <v>8</v>
      </c>
      <c r="C137" s="55" t="s">
        <v>36</v>
      </c>
      <c r="D137" s="52">
        <f>D98*D$130 *(1/1000)</f>
        <v>0.27206451612903226</v>
      </c>
      <c r="E137" s="52">
        <f t="shared" ref="E137:O137" si="74">E98*E$130 *(1/1000)</f>
        <v>0.36871137931034481</v>
      </c>
      <c r="F137" s="52">
        <f t="shared" si="74"/>
        <v>1.0211690322580647</v>
      </c>
      <c r="G137" s="52">
        <f t="shared" si="74"/>
        <v>0.21983333333333335</v>
      </c>
      <c r="H137" s="52">
        <f t="shared" si="74"/>
        <v>0.23341161290322582</v>
      </c>
      <c r="I137" s="52">
        <f t="shared" si="74"/>
        <v>0.11982533333333333</v>
      </c>
      <c r="J137" s="52">
        <f t="shared" si="74"/>
        <v>0.24693999999999997</v>
      </c>
      <c r="K137" s="52">
        <f t="shared" si="74"/>
        <v>0.12504774193548387</v>
      </c>
      <c r="L137" s="52">
        <f t="shared" si="74"/>
        <v>0.16336133333333333</v>
      </c>
      <c r="M137" s="52">
        <f t="shared" si="74"/>
        <v>0.3274983870967742</v>
      </c>
      <c r="N137" s="128" t="s">
        <v>9</v>
      </c>
      <c r="O137" s="52">
        <f t="shared" si="74"/>
        <v>0.28519612903225805</v>
      </c>
      <c r="P137" s="53">
        <f t="shared" si="73"/>
        <v>0.30755079987865308</v>
      </c>
      <c r="V137">
        <f>U143/U144</f>
        <v>0.27199325740760694</v>
      </c>
    </row>
    <row r="138" spans="2:30" x14ac:dyDescent="0.25">
      <c r="B138" s="5" t="s">
        <v>30</v>
      </c>
      <c r="C138" s="55" t="s">
        <v>36</v>
      </c>
      <c r="D138" s="52">
        <f t="shared" ref="D138:O138" si="75">D99*D$130 *(1/1000)</f>
        <v>7.6178064516129034</v>
      </c>
      <c r="E138" s="52">
        <f t="shared" si="75"/>
        <v>9.0560689655172411</v>
      </c>
      <c r="F138" s="52">
        <f t="shared" si="75"/>
        <v>9.2833548387096787</v>
      </c>
      <c r="G138" s="52">
        <f t="shared" si="75"/>
        <v>6.155333333333334</v>
      </c>
      <c r="H138" s="52">
        <f t="shared" si="75"/>
        <v>2.7787096774193554</v>
      </c>
      <c r="I138" s="52">
        <f t="shared" si="75"/>
        <v>1.9326666666666665</v>
      </c>
      <c r="J138" s="52">
        <f t="shared" si="75"/>
        <v>1.9914516129032256</v>
      </c>
      <c r="K138" s="52">
        <f t="shared" si="75"/>
        <v>1.9538709677419355</v>
      </c>
      <c r="L138" s="52">
        <f t="shared" si="75"/>
        <v>1.7756666666666665</v>
      </c>
      <c r="M138" s="52">
        <f t="shared" si="75"/>
        <v>3.6388709677419357</v>
      </c>
      <c r="N138" s="52">
        <f t="shared" si="75"/>
        <v>0.36531000000000008</v>
      </c>
      <c r="O138" s="52">
        <f t="shared" si="75"/>
        <v>0.18762903225806452</v>
      </c>
      <c r="P138" s="53">
        <f t="shared" si="73"/>
        <v>3.8947282650475845</v>
      </c>
    </row>
    <row r="139" spans="2:30" ht="16.5" thickBot="1" x14ac:dyDescent="0.3">
      <c r="B139" s="38" t="s">
        <v>119</v>
      </c>
      <c r="C139" s="57" t="s">
        <v>36</v>
      </c>
      <c r="D139" s="100">
        <f t="shared" ref="D139:O139" si="76">D100*D$130 *(1/1000)</f>
        <v>0.27206451612903226</v>
      </c>
      <c r="E139" s="100">
        <f t="shared" si="76"/>
        <v>0.32343103448275862</v>
      </c>
      <c r="F139" s="100">
        <f t="shared" si="76"/>
        <v>0.3315483870967742</v>
      </c>
      <c r="G139" s="100">
        <f t="shared" si="76"/>
        <v>0.21983333333333335</v>
      </c>
      <c r="H139" s="100">
        <f t="shared" si="76"/>
        <v>0.2222967741935484</v>
      </c>
      <c r="I139" s="100">
        <f t="shared" si="76"/>
        <v>0.15461333333333335</v>
      </c>
      <c r="J139" s="100">
        <f t="shared" si="76"/>
        <v>0.15931612903225806</v>
      </c>
      <c r="K139" s="100">
        <f t="shared" si="76"/>
        <v>0.27354193548387096</v>
      </c>
      <c r="L139" s="100">
        <f t="shared" si="76"/>
        <v>0.21307999999999999</v>
      </c>
      <c r="M139" s="100">
        <f t="shared" si="76"/>
        <v>0.36388709677419356</v>
      </c>
      <c r="N139" s="100">
        <f t="shared" si="76"/>
        <v>6.6420000000000007E-2</v>
      </c>
      <c r="O139" s="100">
        <f t="shared" si="76"/>
        <v>7.5051612903225803E-2</v>
      </c>
      <c r="P139" s="101">
        <f t="shared" si="73"/>
        <v>0.22292367939686072</v>
      </c>
    </row>
    <row r="140" spans="2:30" x14ac:dyDescent="0.25">
      <c r="B140" s="54" t="s">
        <v>136</v>
      </c>
      <c r="C140" s="59" t="s">
        <v>138</v>
      </c>
      <c r="D140" s="50">
        <f>D131/D132</f>
        <v>0.75</v>
      </c>
      <c r="E140" s="50">
        <f>E131/E132</f>
        <v>0.74999999999999989</v>
      </c>
      <c r="F140" s="50">
        <f>F131/F132</f>
        <v>0.74999999999999989</v>
      </c>
      <c r="G140" s="50">
        <f>G131/G132</f>
        <v>0.74999999999999989</v>
      </c>
      <c r="H140" s="50">
        <f>H131/H132</f>
        <v>0.2857142857142857</v>
      </c>
      <c r="I140" s="50">
        <f t="shared" ref="I140:O140" si="77">I131/I132</f>
        <v>0.33333333333333337</v>
      </c>
      <c r="J140" s="50">
        <f t="shared" si="77"/>
        <v>0.40909090909090912</v>
      </c>
      <c r="K140" s="50">
        <f t="shared" si="77"/>
        <v>0.30434782608695643</v>
      </c>
      <c r="L140" s="50">
        <f t="shared" si="77"/>
        <v>0.26666666666666666</v>
      </c>
      <c r="M140" s="50">
        <f t="shared" si="77"/>
        <v>0.21739130434782611</v>
      </c>
      <c r="N140" s="50">
        <f t="shared" si="77"/>
        <v>0.16666666666666666</v>
      </c>
      <c r="O140" s="50">
        <f t="shared" si="77"/>
        <v>0.5</v>
      </c>
      <c r="P140" s="71">
        <f t="shared" si="73"/>
        <v>0.45693424932555365</v>
      </c>
      <c r="S140" t="s">
        <v>411</v>
      </c>
    </row>
    <row r="141" spans="2:30" x14ac:dyDescent="0.25">
      <c r="B141" s="54" t="s">
        <v>139</v>
      </c>
      <c r="C141" s="55" t="s">
        <v>36</v>
      </c>
      <c r="D141" s="51">
        <f t="shared" ref="D141:O141" si="78">D133*1.42</f>
        <v>3.863316129032258</v>
      </c>
      <c r="E141" s="51">
        <f t="shared" si="78"/>
        <v>6.9809354482758614</v>
      </c>
      <c r="F141" s="51">
        <f t="shared" si="78"/>
        <v>4.7079870967741932</v>
      </c>
      <c r="G141" s="51">
        <f t="shared" si="78"/>
        <v>3.1216333333333335</v>
      </c>
      <c r="H141" s="51">
        <f t="shared" si="78"/>
        <v>1.5783070967741935</v>
      </c>
      <c r="I141" s="51">
        <f t="shared" si="78"/>
        <v>1.0977546666666664</v>
      </c>
      <c r="J141" s="51">
        <f t="shared" si="78"/>
        <v>1.1311445161290321</v>
      </c>
      <c r="K141" s="51">
        <f t="shared" si="78"/>
        <v>11.375436774193547</v>
      </c>
      <c r="L141" s="51">
        <f t="shared" si="78"/>
        <v>7.5643399999999996</v>
      </c>
      <c r="M141" s="51">
        <f t="shared" si="78"/>
        <v>10.024361741935483</v>
      </c>
      <c r="N141" s="51">
        <f t="shared" si="78"/>
        <v>7.0737300000000003</v>
      </c>
      <c r="O141" s="51">
        <f t="shared" si="78"/>
        <v>3.1971987096774193</v>
      </c>
      <c r="P141" s="53">
        <f t="shared" si="73"/>
        <v>5.143012126066</v>
      </c>
      <c r="R141" s="410" t="s">
        <v>207</v>
      </c>
      <c r="S141" s="411"/>
      <c r="T141" s="411"/>
      <c r="U141" s="411"/>
      <c r="V141" s="411"/>
      <c r="W141" s="411"/>
      <c r="X141" s="411"/>
    </row>
    <row r="142" spans="2:30" x14ac:dyDescent="0.25">
      <c r="B142" s="54" t="s">
        <v>140</v>
      </c>
      <c r="C142" s="55" t="s">
        <v>138</v>
      </c>
      <c r="D142" s="52">
        <f t="shared" ref="D142:O142" si="79">D133/D132</f>
        <v>0.25</v>
      </c>
      <c r="E142" s="52">
        <f t="shared" si="79"/>
        <v>0.38</v>
      </c>
      <c r="F142" s="52">
        <f t="shared" si="79"/>
        <v>0.25</v>
      </c>
      <c r="G142" s="52">
        <f t="shared" si="79"/>
        <v>0.25</v>
      </c>
      <c r="H142" s="52">
        <f t="shared" si="79"/>
        <v>0.14285714285714285</v>
      </c>
      <c r="I142" s="52">
        <f t="shared" si="79"/>
        <v>0.1111111111111111</v>
      </c>
      <c r="J142" s="52">
        <f t="shared" si="79"/>
        <v>9.0909090909090912E-2</v>
      </c>
      <c r="K142" s="52">
        <f t="shared" si="79"/>
        <v>0.89130434782608681</v>
      </c>
      <c r="L142" s="52">
        <f t="shared" si="79"/>
        <v>0.5</v>
      </c>
      <c r="M142" s="52">
        <f t="shared" si="79"/>
        <v>0.21086956521739128</v>
      </c>
      <c r="N142" s="52">
        <f t="shared" si="79"/>
        <v>0.5</v>
      </c>
      <c r="O142" s="52">
        <f t="shared" si="79"/>
        <v>0.60000000000000009</v>
      </c>
      <c r="P142" s="53">
        <f t="shared" si="73"/>
        <v>0.34808760482673523</v>
      </c>
      <c r="R142" s="480" t="s">
        <v>1</v>
      </c>
      <c r="S142" s="480"/>
      <c r="T142" s="23" t="s">
        <v>2</v>
      </c>
      <c r="U142" s="24" t="s">
        <v>120</v>
      </c>
      <c r="V142" s="24" t="s">
        <v>121</v>
      </c>
      <c r="W142" s="24" t="s">
        <v>116</v>
      </c>
      <c r="X142" s="24" t="s">
        <v>128</v>
      </c>
    </row>
    <row r="143" spans="2:30" x14ac:dyDescent="0.25">
      <c r="B143" s="54" t="s">
        <v>141</v>
      </c>
      <c r="C143" s="55" t="s">
        <v>138</v>
      </c>
      <c r="D143" s="52">
        <f t="shared" ref="D143:O143" si="80">D133/D131</f>
        <v>0.33333333333333331</v>
      </c>
      <c r="E143" s="52">
        <f t="shared" si="80"/>
        <v>0.50666666666666671</v>
      </c>
      <c r="F143" s="52">
        <f t="shared" si="80"/>
        <v>0.33333333333333337</v>
      </c>
      <c r="G143" s="52">
        <f t="shared" si="80"/>
        <v>0.33333333333333343</v>
      </c>
      <c r="H143" s="52">
        <f t="shared" si="80"/>
        <v>0.5</v>
      </c>
      <c r="I143" s="52">
        <f t="shared" si="80"/>
        <v>0.33333333333333331</v>
      </c>
      <c r="J143" s="52">
        <f t="shared" si="80"/>
        <v>0.22222222222222221</v>
      </c>
      <c r="K143" s="52">
        <f t="shared" si="80"/>
        <v>2.9285714285714288</v>
      </c>
      <c r="L143" s="52">
        <f t="shared" si="80"/>
        <v>1.8749999999999998</v>
      </c>
      <c r="M143" s="52">
        <f t="shared" si="80"/>
        <v>0.96999999999999986</v>
      </c>
      <c r="N143" s="52">
        <f t="shared" si="80"/>
        <v>3</v>
      </c>
      <c r="O143" s="52">
        <f t="shared" si="80"/>
        <v>1.2000000000000002</v>
      </c>
      <c r="P143" s="53">
        <f t="shared" si="73"/>
        <v>1.0446494708994711</v>
      </c>
      <c r="R143" s="477" t="s">
        <v>24</v>
      </c>
      <c r="S143" s="477"/>
      <c r="T143" s="55" t="s">
        <v>36</v>
      </c>
      <c r="U143" s="122">
        <f>P113</f>
        <v>65.324408008898786</v>
      </c>
      <c r="V143" s="122">
        <f>P131</f>
        <v>4.9103430879990118</v>
      </c>
      <c r="W143" s="122">
        <f>U143-V143</f>
        <v>60.414064920899776</v>
      </c>
      <c r="X143" s="32">
        <f>W143/U143</f>
        <v>0.92483141849015915</v>
      </c>
    </row>
    <row r="144" spans="2:30" ht="15.95" customHeight="1" x14ac:dyDescent="0.25">
      <c r="R144" s="477" t="s">
        <v>25</v>
      </c>
      <c r="S144" s="477"/>
      <c r="T144" s="55" t="s">
        <v>36</v>
      </c>
      <c r="U144" s="122">
        <f t="shared" ref="U144:U147" si="81">P114</f>
        <v>240.16921827956989</v>
      </c>
      <c r="V144" s="122">
        <f t="shared" ref="V144:V147" si="82">P132</f>
        <v>11.350872086268692</v>
      </c>
      <c r="W144" s="123">
        <f>U144-V144</f>
        <v>228.81834619330121</v>
      </c>
      <c r="X144" s="32">
        <f>W144/U144</f>
        <v>0.95273802293408116</v>
      </c>
      <c r="Z144" s="415" t="s">
        <v>430</v>
      </c>
      <c r="AA144" s="415"/>
      <c r="AB144" s="415"/>
      <c r="AC144" s="415"/>
      <c r="AD144" s="415"/>
    </row>
    <row r="145" spans="2:30" x14ac:dyDescent="0.25">
      <c r="R145" s="477" t="s">
        <v>26</v>
      </c>
      <c r="S145" s="477"/>
      <c r="T145" s="55" t="s">
        <v>36</v>
      </c>
      <c r="U145" s="122">
        <f t="shared" si="81"/>
        <v>99.152714595229284</v>
      </c>
      <c r="V145" s="122">
        <f t="shared" si="82"/>
        <v>3.6218395253985904</v>
      </c>
      <c r="W145" s="122">
        <f>U145-V145</f>
        <v>95.530875069830699</v>
      </c>
      <c r="X145" s="32">
        <f>W145/U145</f>
        <v>0.96347210925909588</v>
      </c>
      <c r="Z145" s="415"/>
      <c r="AA145" s="415"/>
      <c r="AB145" s="415"/>
      <c r="AC145" s="415"/>
      <c r="AD145" s="415"/>
    </row>
    <row r="146" spans="2:30" x14ac:dyDescent="0.25">
      <c r="R146" s="477" t="s">
        <v>27</v>
      </c>
      <c r="S146" s="477"/>
      <c r="T146" s="55" t="s">
        <v>36</v>
      </c>
      <c r="U146" s="122">
        <f t="shared" si="81"/>
        <v>13.405562942775925</v>
      </c>
      <c r="V146" s="122">
        <f t="shared" si="82"/>
        <v>1.7176654498825858</v>
      </c>
      <c r="W146" s="122">
        <f>U146-V146</f>
        <v>11.687897492893338</v>
      </c>
      <c r="X146" s="32">
        <f>W146/U146</f>
        <v>0.87186920405992996</v>
      </c>
      <c r="Z146" s="415"/>
      <c r="AA146" s="415"/>
      <c r="AB146" s="415"/>
      <c r="AC146" s="415"/>
      <c r="AD146" s="415"/>
    </row>
    <row r="147" spans="2:30" x14ac:dyDescent="0.25">
      <c r="R147" s="477" t="s">
        <v>28</v>
      </c>
      <c r="S147" s="477"/>
      <c r="T147" s="55" t="s">
        <v>36</v>
      </c>
      <c r="U147" s="122">
        <f t="shared" si="81"/>
        <v>1.9937454252255593</v>
      </c>
      <c r="V147" s="122">
        <f t="shared" si="82"/>
        <v>0.46363717649239894</v>
      </c>
      <c r="W147" s="30">
        <f>U147-V147</f>
        <v>1.5301082487331603</v>
      </c>
      <c r="X147" s="32">
        <f>W147/U147</f>
        <v>0.76745417412559269</v>
      </c>
      <c r="Z147" s="415"/>
      <c r="AA147" s="415"/>
      <c r="AB147" s="415"/>
      <c r="AC147" s="415"/>
      <c r="AD147" s="415"/>
    </row>
    <row r="148" spans="2:30" x14ac:dyDescent="0.25">
      <c r="R148" s="477" t="s">
        <v>8</v>
      </c>
      <c r="S148" s="477"/>
      <c r="T148" s="55" t="s">
        <v>36</v>
      </c>
      <c r="U148" s="122" t="s">
        <v>107</v>
      </c>
      <c r="V148" s="122">
        <f>P137</f>
        <v>0.30755079987865308</v>
      </c>
      <c r="W148" s="131" t="s">
        <v>9</v>
      </c>
      <c r="X148" s="132" t="s">
        <v>9</v>
      </c>
      <c r="Z148" s="415"/>
      <c r="AA148" s="415"/>
      <c r="AB148" s="415"/>
      <c r="AC148" s="415"/>
      <c r="AD148" s="415"/>
    </row>
    <row r="149" spans="2:30" x14ac:dyDescent="0.25">
      <c r="R149" s="477" t="s">
        <v>351</v>
      </c>
      <c r="S149" s="477"/>
      <c r="T149" s="55" t="s">
        <v>36</v>
      </c>
      <c r="U149" s="122">
        <f>P119</f>
        <v>6.8984503170189093</v>
      </c>
      <c r="V149" s="122">
        <f>P138</f>
        <v>3.8947282650475845</v>
      </c>
      <c r="W149" s="30">
        <f>U149-V149</f>
        <v>3.0037220519713248</v>
      </c>
      <c r="X149" s="32">
        <f>W149/U149</f>
        <v>0.43541982821286024</v>
      </c>
      <c r="Z149" s="415"/>
      <c r="AA149" s="415"/>
      <c r="AB149" s="415"/>
      <c r="AC149" s="415"/>
      <c r="AD149" s="415"/>
    </row>
    <row r="150" spans="2:30" x14ac:dyDescent="0.25">
      <c r="R150" s="477" t="s">
        <v>119</v>
      </c>
      <c r="S150" s="477"/>
      <c r="T150" s="55" t="s">
        <v>36</v>
      </c>
      <c r="U150" s="122">
        <f>P120</f>
        <v>0.94651098875293549</v>
      </c>
      <c r="V150" s="122">
        <f>P139</f>
        <v>0.22292367939686072</v>
      </c>
      <c r="W150" s="30">
        <f>U150-V150</f>
        <v>0.72358730935607474</v>
      </c>
      <c r="X150" s="32">
        <f>W150/U150</f>
        <v>0.76447850891771341</v>
      </c>
    </row>
    <row r="151" spans="2:30" x14ac:dyDescent="0.25">
      <c r="B151" s="469" t="s">
        <v>206</v>
      </c>
      <c r="C151" s="469"/>
      <c r="D151" s="469"/>
      <c r="E151" s="469"/>
      <c r="F151" s="469"/>
      <c r="G151" s="469"/>
      <c r="H151" s="469"/>
      <c r="I151" s="469"/>
      <c r="J151" s="469"/>
      <c r="K151" s="469"/>
      <c r="L151" s="469"/>
      <c r="M151" s="469"/>
      <c r="N151" s="469"/>
      <c r="O151" s="469"/>
      <c r="P151" s="469"/>
      <c r="R151" s="477" t="s">
        <v>164</v>
      </c>
      <c r="S151" s="477"/>
      <c r="T151" s="55" t="s">
        <v>204</v>
      </c>
      <c r="U151" s="123">
        <f>P130</f>
        <v>484.61332653565688</v>
      </c>
      <c r="V151" s="123">
        <f>U151</f>
        <v>484.61332653565688</v>
      </c>
      <c r="W151" s="131" t="s">
        <v>9</v>
      </c>
      <c r="X151" s="132" t="s">
        <v>9</v>
      </c>
    </row>
    <row r="152" spans="2:30" x14ac:dyDescent="0.25">
      <c r="B152" s="469"/>
      <c r="C152" s="469"/>
      <c r="D152" s="469"/>
      <c r="E152" s="469"/>
      <c r="F152" s="469"/>
      <c r="G152" s="469"/>
      <c r="H152" s="469"/>
      <c r="I152" s="469"/>
      <c r="J152" s="469"/>
      <c r="K152" s="469"/>
      <c r="L152" s="469"/>
      <c r="M152" s="469"/>
      <c r="N152" s="469"/>
      <c r="O152" s="469"/>
      <c r="P152" s="469"/>
    </row>
    <row r="155" spans="2:30" x14ac:dyDescent="0.25">
      <c r="R155" s="410" t="s">
        <v>429</v>
      </c>
      <c r="S155" s="411"/>
      <c r="T155" s="411"/>
      <c r="U155" s="411"/>
      <c r="V155" s="411"/>
      <c r="W155" s="411"/>
      <c r="X155" s="411"/>
    </row>
    <row r="156" spans="2:30" x14ac:dyDescent="0.25">
      <c r="R156" s="480" t="s">
        <v>1</v>
      </c>
      <c r="S156" s="480"/>
      <c r="T156" s="23" t="s">
        <v>2</v>
      </c>
      <c r="U156" s="24" t="s">
        <v>120</v>
      </c>
      <c r="V156" s="24" t="s">
        <v>121</v>
      </c>
      <c r="W156" s="24" t="s">
        <v>116</v>
      </c>
      <c r="X156" s="24" t="s">
        <v>128</v>
      </c>
    </row>
    <row r="157" spans="2:30" x14ac:dyDescent="0.25">
      <c r="R157" s="477" t="s">
        <v>24</v>
      </c>
      <c r="S157" s="477"/>
      <c r="T157" s="55" t="s">
        <v>36</v>
      </c>
      <c r="U157" s="122">
        <f>P201</f>
        <v>65.324408008898786</v>
      </c>
      <c r="V157" s="122">
        <f>P219</f>
        <v>3.582430643101389</v>
      </c>
      <c r="W157" s="122">
        <f>U157-V157</f>
        <v>61.741977365797396</v>
      </c>
      <c r="X157" s="32">
        <f>W157/U157</f>
        <v>0.94515938601979566</v>
      </c>
    </row>
    <row r="158" spans="2:30" x14ac:dyDescent="0.25">
      <c r="R158" s="477" t="s">
        <v>25</v>
      </c>
      <c r="S158" s="477"/>
      <c r="T158" s="55" t="s">
        <v>36</v>
      </c>
      <c r="U158" s="123">
        <f>P202</f>
        <v>240.16921827956989</v>
      </c>
      <c r="V158" s="123">
        <f>P220</f>
        <v>12.139350210109997</v>
      </c>
      <c r="W158" s="123">
        <f>U158-V158</f>
        <v>228.02986806945989</v>
      </c>
      <c r="X158" s="32">
        <f>W158/U158</f>
        <v>0.94945501219069994</v>
      </c>
    </row>
    <row r="159" spans="2:30" x14ac:dyDescent="0.25">
      <c r="B159" s="475" t="s">
        <v>190</v>
      </c>
      <c r="C159" s="475"/>
      <c r="D159" s="475"/>
      <c r="E159" s="475"/>
      <c r="F159" s="475"/>
      <c r="G159" s="475"/>
      <c r="H159" s="475"/>
      <c r="I159" s="475"/>
      <c r="J159" s="475"/>
      <c r="K159" s="475"/>
      <c r="L159" s="475"/>
      <c r="M159" s="475"/>
      <c r="N159" s="475"/>
      <c r="O159" s="475"/>
      <c r="P159" s="475"/>
      <c r="R159" s="477" t="s">
        <v>26</v>
      </c>
      <c r="S159" s="477"/>
      <c r="T159" s="55" t="s">
        <v>36</v>
      </c>
      <c r="U159" s="122">
        <f>P203</f>
        <v>89.372462827552511</v>
      </c>
      <c r="V159" s="122">
        <f>P221</f>
        <v>5.7743512458286972</v>
      </c>
      <c r="W159" s="122">
        <f>U159-V159</f>
        <v>83.598111581723813</v>
      </c>
      <c r="X159" s="32">
        <f>W159/U159</f>
        <v>0.93539004002865489</v>
      </c>
    </row>
    <row r="160" spans="2:30" x14ac:dyDescent="0.25">
      <c r="B160" s="115" t="s">
        <v>1</v>
      </c>
      <c r="C160" s="116" t="s">
        <v>2</v>
      </c>
      <c r="D160" s="116">
        <f>D$21</f>
        <v>1.24</v>
      </c>
      <c r="E160" s="116">
        <f t="shared" ref="E160:O160" si="83">E$21</f>
        <v>2.2400000000000002</v>
      </c>
      <c r="F160" s="116">
        <f t="shared" si="83"/>
        <v>3.24</v>
      </c>
      <c r="G160" s="116">
        <f t="shared" si="83"/>
        <v>4.24</v>
      </c>
      <c r="H160" s="116">
        <f t="shared" si="83"/>
        <v>5.24</v>
      </c>
      <c r="I160" s="116">
        <f t="shared" si="83"/>
        <v>6.24</v>
      </c>
      <c r="J160" s="116">
        <f t="shared" si="83"/>
        <v>7.24</v>
      </c>
      <c r="K160" s="116">
        <f t="shared" si="83"/>
        <v>8.24</v>
      </c>
      <c r="L160" s="116">
        <f t="shared" si="83"/>
        <v>9.24</v>
      </c>
      <c r="M160" s="116">
        <f t="shared" si="83"/>
        <v>10.24</v>
      </c>
      <c r="N160" s="116">
        <f t="shared" si="83"/>
        <v>11.24</v>
      </c>
      <c r="O160" s="116">
        <f t="shared" si="83"/>
        <v>12.24</v>
      </c>
      <c r="P160" s="116" t="s">
        <v>117</v>
      </c>
      <c r="R160" s="477" t="s">
        <v>27</v>
      </c>
      <c r="S160" s="477"/>
      <c r="T160" s="55" t="s">
        <v>36</v>
      </c>
      <c r="U160" s="122">
        <f>P204</f>
        <v>13.405562942775925</v>
      </c>
      <c r="V160" s="122">
        <f>P222</f>
        <v>1.2756398350018539</v>
      </c>
      <c r="W160" s="122">
        <f>U160-V160</f>
        <v>12.12992310777407</v>
      </c>
      <c r="X160" s="32">
        <f>W160/U160</f>
        <v>0.90484250154602575</v>
      </c>
    </row>
    <row r="161" spans="2:24" x14ac:dyDescent="0.25">
      <c r="B161" s="54" t="s">
        <v>164</v>
      </c>
      <c r="C161" s="55" t="s">
        <v>203</v>
      </c>
      <c r="D161" s="1">
        <f t="shared" ref="D161:O161" si="84">D73</f>
        <v>16868</v>
      </c>
      <c r="E161" s="1">
        <f t="shared" si="84"/>
        <v>18759</v>
      </c>
      <c r="F161" s="1">
        <f t="shared" si="84"/>
        <v>20556</v>
      </c>
      <c r="G161" s="1">
        <f t="shared" si="84"/>
        <v>13190</v>
      </c>
      <c r="H161" s="1">
        <f t="shared" si="84"/>
        <v>17228</v>
      </c>
      <c r="I161" s="1">
        <f t="shared" si="84"/>
        <v>11596</v>
      </c>
      <c r="J161" s="1">
        <f t="shared" si="84"/>
        <v>12347</v>
      </c>
      <c r="K161" s="1">
        <f t="shared" si="84"/>
        <v>12114</v>
      </c>
      <c r="L161" s="1">
        <f t="shared" si="84"/>
        <v>10654</v>
      </c>
      <c r="M161" s="1">
        <f t="shared" si="84"/>
        <v>22561</v>
      </c>
      <c r="N161" s="1">
        <f t="shared" si="84"/>
        <v>9963</v>
      </c>
      <c r="O161" s="1">
        <f t="shared" si="84"/>
        <v>11633</v>
      </c>
      <c r="P161" s="70">
        <f>AVERAGE(_xlfn.ANCHORARRAY(D161))</f>
        <v>16868</v>
      </c>
      <c r="R161" s="477" t="s">
        <v>28</v>
      </c>
      <c r="S161" s="477"/>
      <c r="T161" s="55" t="s">
        <v>36</v>
      </c>
      <c r="U161" s="30">
        <f>P205</f>
        <v>1.9937454252255593</v>
      </c>
      <c r="V161" s="30">
        <f>P223</f>
        <v>0.46363717649239894</v>
      </c>
      <c r="W161" s="30">
        <f>U161-V161</f>
        <v>1.5301082487331603</v>
      </c>
      <c r="X161" s="32">
        <f>W161/U161</f>
        <v>0.76745417412559269</v>
      </c>
    </row>
    <row r="162" spans="2:24" x14ac:dyDescent="0.25">
      <c r="B162" s="54" t="s">
        <v>24</v>
      </c>
      <c r="C162" s="55" t="s">
        <v>3</v>
      </c>
      <c r="D162" s="1">
        <f t="shared" ref="D162:O162" si="85">D74</f>
        <v>81</v>
      </c>
      <c r="E162" s="1">
        <f t="shared" si="85"/>
        <v>53</v>
      </c>
      <c r="F162" s="1">
        <f t="shared" si="85"/>
        <v>32</v>
      </c>
      <c r="G162" s="1">
        <f t="shared" si="85"/>
        <v>318</v>
      </c>
      <c r="H162" s="1">
        <f t="shared" si="85"/>
        <v>53</v>
      </c>
      <c r="I162" s="1">
        <f t="shared" si="85"/>
        <v>184</v>
      </c>
      <c r="J162" s="1">
        <f t="shared" si="85"/>
        <v>148</v>
      </c>
      <c r="K162" s="1">
        <f t="shared" si="85"/>
        <v>301</v>
      </c>
      <c r="L162" s="1">
        <f t="shared" si="85"/>
        <v>47</v>
      </c>
      <c r="M162" s="1">
        <f t="shared" si="85"/>
        <v>252</v>
      </c>
      <c r="N162" s="1">
        <f t="shared" si="85"/>
        <v>50</v>
      </c>
      <c r="O162" s="1">
        <f t="shared" si="85"/>
        <v>135</v>
      </c>
      <c r="P162" s="70">
        <f>AVERAGE(D162:O162)</f>
        <v>137.83333333333334</v>
      </c>
      <c r="R162" s="477" t="s">
        <v>8</v>
      </c>
      <c r="S162" s="477"/>
      <c r="T162" s="55" t="s">
        <v>36</v>
      </c>
      <c r="U162" s="128" t="s">
        <v>9</v>
      </c>
      <c r="V162" s="30">
        <f>P225</f>
        <v>0.31974098257322958</v>
      </c>
      <c r="W162" s="131" t="s">
        <v>9</v>
      </c>
      <c r="X162" s="132" t="s">
        <v>9</v>
      </c>
    </row>
    <row r="163" spans="2:24" x14ac:dyDescent="0.25">
      <c r="B163" s="54" t="s">
        <v>25</v>
      </c>
      <c r="C163" s="55" t="s">
        <v>3</v>
      </c>
      <c r="D163" s="1">
        <f t="shared" ref="D163:O163" si="86">D75</f>
        <v>300</v>
      </c>
      <c r="E163" s="1">
        <f t="shared" si="86"/>
        <v>232</v>
      </c>
      <c r="F163" s="1">
        <f t="shared" si="86"/>
        <v>54</v>
      </c>
      <c r="G163" s="1">
        <f t="shared" si="86"/>
        <v>1500</v>
      </c>
      <c r="H163" s="1">
        <f t="shared" si="86"/>
        <v>144</v>
      </c>
      <c r="I163" s="1">
        <f t="shared" si="86"/>
        <v>336</v>
      </c>
      <c r="J163" s="1">
        <f t="shared" si="86"/>
        <v>256</v>
      </c>
      <c r="K163" s="1">
        <f t="shared" si="86"/>
        <v>600</v>
      </c>
      <c r="L163" s="1">
        <f t="shared" si="86"/>
        <v>90</v>
      </c>
      <c r="M163" s="1">
        <f t="shared" si="86"/>
        <v>400</v>
      </c>
      <c r="N163" s="1">
        <f t="shared" si="86"/>
        <v>2830</v>
      </c>
      <c r="O163" s="1">
        <f t="shared" si="86"/>
        <v>171</v>
      </c>
      <c r="P163" s="70">
        <f t="shared" ref="P163:P173" si="87">AVERAGE(D163:O163)</f>
        <v>576.08333333333337</v>
      </c>
      <c r="R163" s="477" t="s">
        <v>351</v>
      </c>
      <c r="S163" s="477"/>
      <c r="T163" s="55" t="s">
        <v>36</v>
      </c>
      <c r="U163" s="52">
        <f>P207</f>
        <v>8.5961347424651731</v>
      </c>
      <c r="V163" s="30">
        <f>P226</f>
        <v>0.5330746591892227</v>
      </c>
      <c r="W163" s="30">
        <f>U163-V163</f>
        <v>8.0630600832759498</v>
      </c>
      <c r="X163" s="32">
        <f>W163/U163</f>
        <v>0.9379867027263058</v>
      </c>
    </row>
    <row r="164" spans="2:24" x14ac:dyDescent="0.25">
      <c r="B164" s="54" t="s">
        <v>26</v>
      </c>
      <c r="C164" s="55" t="s">
        <v>3</v>
      </c>
      <c r="D164" s="1">
        <f t="shared" ref="D164:F165" si="88">D76</f>
        <v>106.4</v>
      </c>
      <c r="E164" s="1">
        <f t="shared" si="88"/>
        <v>115.7</v>
      </c>
      <c r="F164" s="1">
        <f t="shared" si="88"/>
        <v>21.6</v>
      </c>
      <c r="G164" s="124">
        <f>AVERAGE(D164:F164, H164:O164)</f>
        <v>233.06363636363639</v>
      </c>
      <c r="H164" s="1">
        <f t="shared" ref="H164:O165" si="89">H76</f>
        <v>18.899999999999999</v>
      </c>
      <c r="I164" s="1">
        <f t="shared" si="89"/>
        <v>43.6</v>
      </c>
      <c r="J164" s="1">
        <f t="shared" si="89"/>
        <v>96.8</v>
      </c>
      <c r="K164" s="1">
        <f t="shared" si="89"/>
        <v>103.8</v>
      </c>
      <c r="L164" s="1">
        <f t="shared" si="89"/>
        <v>26.7</v>
      </c>
      <c r="M164" s="1">
        <f t="shared" si="89"/>
        <v>78.2</v>
      </c>
      <c r="N164" s="1">
        <f t="shared" si="89"/>
        <v>1910</v>
      </c>
      <c r="O164" s="1">
        <f t="shared" si="89"/>
        <v>42</v>
      </c>
      <c r="P164" s="70">
        <f t="shared" si="87"/>
        <v>233.06363636363639</v>
      </c>
      <c r="R164" s="477" t="s">
        <v>119</v>
      </c>
      <c r="S164" s="477"/>
      <c r="T164" s="55" t="s">
        <v>36</v>
      </c>
      <c r="U164" s="52">
        <f>P208</f>
        <v>1.0785511607959462</v>
      </c>
      <c r="V164" s="30">
        <f>P227</f>
        <v>0.24060763100976393</v>
      </c>
      <c r="W164" s="30">
        <f>U164-V164</f>
        <v>0.83794352978618225</v>
      </c>
      <c r="X164" s="32">
        <f>W164/U164</f>
        <v>0.77691588516561327</v>
      </c>
    </row>
    <row r="165" spans="2:24" x14ac:dyDescent="0.25">
      <c r="B165" s="54" t="s">
        <v>27</v>
      </c>
      <c r="C165" s="55" t="s">
        <v>3</v>
      </c>
      <c r="D165" s="1">
        <f t="shared" si="88"/>
        <v>11.2</v>
      </c>
      <c r="E165" s="1">
        <f t="shared" si="88"/>
        <v>10</v>
      </c>
      <c r="F165" s="1">
        <f t="shared" si="88"/>
        <v>9.4</v>
      </c>
      <c r="G165" s="1">
        <f>G77</f>
        <v>72</v>
      </c>
      <c r="H165" s="1">
        <f t="shared" si="89"/>
        <v>5.9</v>
      </c>
      <c r="I165" s="1">
        <f t="shared" si="89"/>
        <v>19.2</v>
      </c>
      <c r="J165" s="1">
        <f t="shared" si="89"/>
        <v>52.8</v>
      </c>
      <c r="K165" s="1">
        <f t="shared" si="89"/>
        <v>42.6</v>
      </c>
      <c r="L165" s="1">
        <f t="shared" si="89"/>
        <v>6.4</v>
      </c>
      <c r="M165" s="1">
        <f t="shared" si="89"/>
        <v>31</v>
      </c>
      <c r="N165" s="1">
        <f t="shared" si="89"/>
        <v>91.8</v>
      </c>
      <c r="O165" s="1">
        <f t="shared" si="89"/>
        <v>17.899999999999999</v>
      </c>
      <c r="P165" s="97">
        <f t="shared" si="87"/>
        <v>30.849999999999998</v>
      </c>
    </row>
    <row r="166" spans="2:24" x14ac:dyDescent="0.25">
      <c r="B166" s="54" t="s">
        <v>28</v>
      </c>
      <c r="C166" s="55" t="s">
        <v>3</v>
      </c>
      <c r="D166" s="1">
        <f t="shared" ref="D166:O166" si="90">D78</f>
        <v>1.3</v>
      </c>
      <c r="E166" s="1">
        <f t="shared" si="90"/>
        <v>2.2999999999999998</v>
      </c>
      <c r="F166" s="1">
        <f t="shared" si="90"/>
        <v>1.3</v>
      </c>
      <c r="G166" s="1">
        <f t="shared" si="90"/>
        <v>19.899999999999999</v>
      </c>
      <c r="H166" s="1">
        <f t="shared" si="90"/>
        <v>0.5</v>
      </c>
      <c r="I166" s="1">
        <f t="shared" si="90"/>
        <v>1.3</v>
      </c>
      <c r="J166" s="1">
        <f t="shared" si="90"/>
        <v>4</v>
      </c>
      <c r="K166" s="1">
        <f t="shared" si="90"/>
        <v>4.7</v>
      </c>
      <c r="L166" s="1">
        <f t="shared" si="90"/>
        <v>0.5</v>
      </c>
      <c r="M166" s="1">
        <f t="shared" si="90"/>
        <v>0.8</v>
      </c>
      <c r="N166" s="1">
        <f t="shared" si="90"/>
        <v>18.96</v>
      </c>
      <c r="O166" s="1">
        <f t="shared" si="90"/>
        <v>2.27</v>
      </c>
      <c r="P166" s="53">
        <f>AVERAGE(D166:O166)</f>
        <v>4.8191666666666668</v>
      </c>
    </row>
    <row r="167" spans="2:24" x14ac:dyDescent="0.25">
      <c r="B167" s="54" t="s">
        <v>4</v>
      </c>
      <c r="C167" s="8" t="s">
        <v>5</v>
      </c>
      <c r="D167" s="1">
        <f t="shared" ref="D167:O167" si="91">D79</f>
        <v>6.5</v>
      </c>
      <c r="E167" s="1">
        <f t="shared" si="91"/>
        <v>6.8</v>
      </c>
      <c r="F167" s="1">
        <f t="shared" si="91"/>
        <v>6.8</v>
      </c>
      <c r="G167" s="1">
        <f t="shared" si="91"/>
        <v>6.7</v>
      </c>
      <c r="H167" s="1">
        <f t="shared" si="91"/>
        <v>6.5</v>
      </c>
      <c r="I167" s="1">
        <f t="shared" si="91"/>
        <v>7</v>
      </c>
      <c r="J167" s="1">
        <f t="shared" si="91"/>
        <v>7.3</v>
      </c>
      <c r="K167" s="1">
        <f t="shared" si="91"/>
        <v>7.4</v>
      </c>
      <c r="L167" s="1">
        <f t="shared" si="91"/>
        <v>6.6</v>
      </c>
      <c r="M167" s="1">
        <f t="shared" si="91"/>
        <v>6.9</v>
      </c>
      <c r="N167" s="1">
        <f t="shared" si="91"/>
        <v>6.6</v>
      </c>
      <c r="O167" s="1">
        <f t="shared" si="91"/>
        <v>6.7</v>
      </c>
      <c r="P167" s="97">
        <f>AVERAGE(D167:O167)</f>
        <v>6.8166666666666664</v>
      </c>
    </row>
    <row r="168" spans="2:24" x14ac:dyDescent="0.25">
      <c r="B168" s="127" t="s">
        <v>30</v>
      </c>
      <c r="C168" s="8" t="s">
        <v>3</v>
      </c>
      <c r="D168" s="6">
        <f t="shared" ref="D168:O168" si="92">D80</f>
        <v>14.6</v>
      </c>
      <c r="E168" s="60">
        <f>AVERAGE($D$168,$H$168:$K$168,$N$168:$O$168)</f>
        <v>17.751428571428573</v>
      </c>
      <c r="F168" s="60">
        <f>AVERAGE($D$168,$H$168:$K$168,$N$168:$O$168)</f>
        <v>17.751428571428573</v>
      </c>
      <c r="G168" s="60">
        <f>AVERAGE($D$168,$H$168:$K$168,$N$168:$O$168)</f>
        <v>17.751428571428573</v>
      </c>
      <c r="H168" s="6">
        <f t="shared" si="92"/>
        <v>13.5</v>
      </c>
      <c r="I168" s="6">
        <f t="shared" si="92"/>
        <v>25.8</v>
      </c>
      <c r="J168" s="6">
        <f t="shared" si="92"/>
        <v>7.1</v>
      </c>
      <c r="K168" s="6">
        <f t="shared" si="92"/>
        <v>61</v>
      </c>
      <c r="L168" s="60">
        <f>AVERAGE($D$168,$H$168:$K$168,$N$168:$O$168)</f>
        <v>17.751428571428573</v>
      </c>
      <c r="M168" s="60">
        <f>AVERAGE($D$168,$H$168:$K$168,$N$168:$O$168)</f>
        <v>17.751428571428573</v>
      </c>
      <c r="N168" s="6">
        <f t="shared" si="92"/>
        <v>1.4</v>
      </c>
      <c r="O168" s="6">
        <f t="shared" si="92"/>
        <v>0.86</v>
      </c>
      <c r="P168" s="97">
        <f>AVERAGE(D168:O168)</f>
        <v>17.751428571428573</v>
      </c>
      <c r="R168" s="410" t="s">
        <v>431</v>
      </c>
      <c r="S168" s="411"/>
      <c r="T168" s="411"/>
      <c r="U168" s="411"/>
      <c r="V168" s="411"/>
      <c r="W168" s="411"/>
      <c r="X168" s="411"/>
    </row>
    <row r="169" spans="2:24" ht="16.5" thickBot="1" x14ac:dyDescent="0.3">
      <c r="B169" s="56" t="s">
        <v>119</v>
      </c>
      <c r="C169" s="39" t="s">
        <v>3</v>
      </c>
      <c r="D169" s="40">
        <f t="shared" ref="D169:M169" si="93">D81</f>
        <v>1.2</v>
      </c>
      <c r="E169" s="40">
        <f t="shared" si="93"/>
        <v>0.6</v>
      </c>
      <c r="F169" s="40">
        <f t="shared" si="93"/>
        <v>0.9</v>
      </c>
      <c r="G169" s="40">
        <f t="shared" si="93"/>
        <v>9.1999999999999993</v>
      </c>
      <c r="H169" s="40">
        <f t="shared" si="93"/>
        <v>0.7</v>
      </c>
      <c r="I169" s="40">
        <f t="shared" si="93"/>
        <v>2.7</v>
      </c>
      <c r="J169" s="40">
        <f t="shared" si="93"/>
        <v>2</v>
      </c>
      <c r="K169" s="40">
        <f t="shared" si="93"/>
        <v>4.2</v>
      </c>
      <c r="L169" s="40">
        <f t="shared" si="93"/>
        <v>1.2</v>
      </c>
      <c r="M169" s="40">
        <f t="shared" si="93"/>
        <v>1.7</v>
      </c>
      <c r="N169" s="41">
        <f>AVERAGE($D$169:$M$169)</f>
        <v>2.4399999999999995</v>
      </c>
      <c r="O169" s="41">
        <f>AVERAGE($D$169:$M$169)</f>
        <v>2.4399999999999995</v>
      </c>
      <c r="P169" s="101">
        <f>AVERAGE(D169:O169)</f>
        <v>2.4399999999999995</v>
      </c>
      <c r="R169" s="480" t="s">
        <v>1</v>
      </c>
      <c r="S169" s="480"/>
      <c r="T169" s="23" t="s">
        <v>2</v>
      </c>
      <c r="U169" s="24" t="s">
        <v>120</v>
      </c>
      <c r="V169" s="24" t="s">
        <v>121</v>
      </c>
      <c r="W169" s="24" t="s">
        <v>116</v>
      </c>
      <c r="X169" s="24" t="s">
        <v>128</v>
      </c>
    </row>
    <row r="170" spans="2:24" x14ac:dyDescent="0.25">
      <c r="B170" s="54" t="s">
        <v>136</v>
      </c>
      <c r="C170" s="55" t="s">
        <v>138</v>
      </c>
      <c r="D170" s="118">
        <f>D162/D163</f>
        <v>0.27</v>
      </c>
      <c r="E170" s="126">
        <f t="shared" ref="E170:O170" si="94">E162/E163</f>
        <v>0.22844827586206898</v>
      </c>
      <c r="F170" s="126">
        <f t="shared" si="94"/>
        <v>0.59259259259259256</v>
      </c>
      <c r="G170" s="126">
        <f t="shared" si="94"/>
        <v>0.21199999999999999</v>
      </c>
      <c r="H170" s="126">
        <f t="shared" si="94"/>
        <v>0.36805555555555558</v>
      </c>
      <c r="I170" s="126">
        <f t="shared" si="94"/>
        <v>0.54761904761904767</v>
      </c>
      <c r="J170" s="126">
        <f t="shared" si="94"/>
        <v>0.578125</v>
      </c>
      <c r="K170" s="126">
        <f t="shared" si="94"/>
        <v>0.50166666666666671</v>
      </c>
      <c r="L170" s="126">
        <f t="shared" si="94"/>
        <v>0.52222222222222225</v>
      </c>
      <c r="M170" s="126">
        <f t="shared" si="94"/>
        <v>0.63</v>
      </c>
      <c r="N170" s="126">
        <f t="shared" si="94"/>
        <v>1.7667844522968199E-2</v>
      </c>
      <c r="O170" s="126">
        <f t="shared" si="94"/>
        <v>0.78947368421052633</v>
      </c>
      <c r="P170" s="96">
        <f t="shared" si="87"/>
        <v>0.43815590743763738</v>
      </c>
      <c r="R170" s="477" t="s">
        <v>24</v>
      </c>
      <c r="S170" s="477"/>
      <c r="T170" s="55" t="s">
        <v>36</v>
      </c>
      <c r="U170" s="122">
        <f>P321</f>
        <v>65.324408008898786</v>
      </c>
      <c r="V170" s="122">
        <f>P335</f>
        <v>4.9103430879990109</v>
      </c>
      <c r="W170" s="122">
        <f>U170-V170</f>
        <v>60.414064920899776</v>
      </c>
      <c r="X170" s="32">
        <f>W170/U170</f>
        <v>0.92483141849015915</v>
      </c>
    </row>
    <row r="171" spans="2:24" x14ac:dyDescent="0.25">
      <c r="B171" s="54" t="s">
        <v>139</v>
      </c>
      <c r="C171" s="55" t="s">
        <v>3</v>
      </c>
      <c r="D171" s="125">
        <f>D164*1.42</f>
        <v>151.08799999999999</v>
      </c>
      <c r="E171" s="125">
        <f t="shared" ref="E171:O171" si="95">E164*1.42</f>
        <v>164.29399999999998</v>
      </c>
      <c r="F171" s="125">
        <f t="shared" si="95"/>
        <v>30.672000000000001</v>
      </c>
      <c r="G171" s="125">
        <f t="shared" si="95"/>
        <v>330.95036363636365</v>
      </c>
      <c r="H171" s="125">
        <f t="shared" si="95"/>
        <v>26.837999999999997</v>
      </c>
      <c r="I171" s="125">
        <f t="shared" si="95"/>
        <v>61.911999999999999</v>
      </c>
      <c r="J171" s="125">
        <f t="shared" si="95"/>
        <v>137.45599999999999</v>
      </c>
      <c r="K171" s="125">
        <f t="shared" si="95"/>
        <v>147.39599999999999</v>
      </c>
      <c r="L171" s="125">
        <f t="shared" si="95"/>
        <v>37.913999999999994</v>
      </c>
      <c r="M171" s="125">
        <f t="shared" si="95"/>
        <v>111.044</v>
      </c>
      <c r="N171" s="125">
        <f t="shared" si="95"/>
        <v>2712.2</v>
      </c>
      <c r="O171" s="125">
        <f t="shared" si="95"/>
        <v>59.64</v>
      </c>
      <c r="P171" s="97">
        <f t="shared" si="87"/>
        <v>330.95036363636365</v>
      </c>
      <c r="R171" s="477" t="s">
        <v>25</v>
      </c>
      <c r="S171" s="477"/>
      <c r="T171" s="55" t="s">
        <v>36</v>
      </c>
      <c r="U171" s="123">
        <f>P322</f>
        <v>176.56251085043985</v>
      </c>
      <c r="V171" s="122">
        <f>P336</f>
        <v>9.3393501938180457</v>
      </c>
      <c r="W171" s="123">
        <f>U171-V171</f>
        <v>167.22316065662181</v>
      </c>
      <c r="X171" s="32">
        <f>W171/U171</f>
        <v>0.94710456852457725</v>
      </c>
    </row>
    <row r="172" spans="2:24" x14ac:dyDescent="0.25">
      <c r="B172" s="54" t="s">
        <v>140</v>
      </c>
      <c r="C172" s="55" t="s">
        <v>138</v>
      </c>
      <c r="D172" s="120">
        <f t="shared" ref="D172:O172" si="96">D164/D163</f>
        <v>0.35466666666666669</v>
      </c>
      <c r="E172" s="120">
        <f t="shared" si="96"/>
        <v>0.49870689655172418</v>
      </c>
      <c r="F172" s="120">
        <f t="shared" si="96"/>
        <v>0.4</v>
      </c>
      <c r="G172" s="120">
        <f t="shared" si="96"/>
        <v>0.15537575757575758</v>
      </c>
      <c r="H172" s="120">
        <f t="shared" si="96"/>
        <v>0.13124999999999998</v>
      </c>
      <c r="I172" s="120">
        <f t="shared" si="96"/>
        <v>0.12976190476190477</v>
      </c>
      <c r="J172" s="120">
        <f t="shared" si="96"/>
        <v>0.37812499999999999</v>
      </c>
      <c r="K172" s="120">
        <f t="shared" si="96"/>
        <v>0.17299999999999999</v>
      </c>
      <c r="L172" s="120">
        <f t="shared" si="96"/>
        <v>0.29666666666666663</v>
      </c>
      <c r="M172" s="120">
        <f t="shared" si="96"/>
        <v>0.19550000000000001</v>
      </c>
      <c r="N172" s="120">
        <f t="shared" si="96"/>
        <v>0.67491166077738518</v>
      </c>
      <c r="O172" s="120">
        <f t="shared" si="96"/>
        <v>0.24561403508771928</v>
      </c>
      <c r="P172" s="97">
        <f t="shared" si="87"/>
        <v>0.30279821567398535</v>
      </c>
      <c r="R172" s="477" t="s">
        <v>26</v>
      </c>
      <c r="S172" s="477"/>
      <c r="T172" s="55" t="s">
        <v>36</v>
      </c>
      <c r="U172" s="123">
        <f>P323</f>
        <v>50.501961376613743</v>
      </c>
      <c r="V172" s="122">
        <f>P337</f>
        <v>3.2228366670037416</v>
      </c>
      <c r="W172" s="122">
        <f>U172-V172</f>
        <v>47.279124709610002</v>
      </c>
      <c r="X172" s="32">
        <f>W172/U172</f>
        <v>0.93618393069984485</v>
      </c>
    </row>
    <row r="173" spans="2:24" x14ac:dyDescent="0.25">
      <c r="B173" s="54" t="s">
        <v>141</v>
      </c>
      <c r="C173" s="55" t="s">
        <v>138</v>
      </c>
      <c r="D173" s="120">
        <f>D164/D162</f>
        <v>1.3135802469135802</v>
      </c>
      <c r="E173" s="120">
        <f t="shared" ref="E173:O173" si="97">E164/E162</f>
        <v>2.1830188679245284</v>
      </c>
      <c r="F173" s="120">
        <f t="shared" si="97"/>
        <v>0.67500000000000004</v>
      </c>
      <c r="G173" s="120">
        <f t="shared" si="97"/>
        <v>0.73290451686678115</v>
      </c>
      <c r="H173" s="120">
        <f t="shared" si="97"/>
        <v>0.35660377358490564</v>
      </c>
      <c r="I173" s="120">
        <f t="shared" si="97"/>
        <v>0.23695652173913045</v>
      </c>
      <c r="J173" s="120">
        <f t="shared" si="97"/>
        <v>0.65405405405405403</v>
      </c>
      <c r="K173" s="120">
        <f t="shared" si="97"/>
        <v>0.34485049833887044</v>
      </c>
      <c r="L173" s="120">
        <f t="shared" si="97"/>
        <v>0.56808510638297871</v>
      </c>
      <c r="M173" s="120">
        <f t="shared" si="97"/>
        <v>0.31031746031746033</v>
      </c>
      <c r="N173" s="120">
        <f t="shared" si="97"/>
        <v>38.200000000000003</v>
      </c>
      <c r="O173" s="120">
        <f t="shared" si="97"/>
        <v>0.31111111111111112</v>
      </c>
      <c r="P173" s="53">
        <f t="shared" si="87"/>
        <v>3.8238735131027837</v>
      </c>
      <c r="R173" s="477" t="s">
        <v>27</v>
      </c>
      <c r="S173" s="477"/>
      <c r="T173" s="55" t="s">
        <v>36</v>
      </c>
      <c r="U173" s="122">
        <f>P324</f>
        <v>11.852725028482824</v>
      </c>
      <c r="V173" s="122">
        <f>P338</f>
        <v>1.7176654498825858</v>
      </c>
      <c r="W173" s="122">
        <f>U173-V173</f>
        <v>10.135059578600238</v>
      </c>
      <c r="X173" s="32">
        <f>W173/U173</f>
        <v>0.85508265434700192</v>
      </c>
    </row>
    <row r="174" spans="2:24" x14ac:dyDescent="0.25">
      <c r="L174" s="114"/>
      <c r="M174" s="114"/>
      <c r="N174" s="114"/>
      <c r="O174" s="114"/>
      <c r="P174" s="114"/>
      <c r="R174" s="477" t="s">
        <v>28</v>
      </c>
      <c r="S174" s="477"/>
      <c r="T174" s="55" t="s">
        <v>36</v>
      </c>
      <c r="U174" s="122">
        <f>P325</f>
        <v>0.88789624360400432</v>
      </c>
      <c r="V174" s="122">
        <f>P339</f>
        <v>0.46363717649239894</v>
      </c>
      <c r="W174" s="30">
        <f>U174-V174</f>
        <v>0.42425906711160538</v>
      </c>
      <c r="X174" s="32">
        <f>W174/U174</f>
        <v>0.47782505013144533</v>
      </c>
    </row>
    <row r="175" spans="2:24" x14ac:dyDescent="0.25">
      <c r="L175" s="114"/>
      <c r="M175" s="114"/>
      <c r="N175" s="114"/>
      <c r="O175" s="114"/>
      <c r="P175" s="114"/>
      <c r="R175" s="477" t="s">
        <v>8</v>
      </c>
      <c r="S175" s="477"/>
      <c r="T175" s="55" t="s">
        <v>36</v>
      </c>
      <c r="U175" s="122" t="s">
        <v>107</v>
      </c>
      <c r="V175" s="122">
        <f>P341</f>
        <v>0.23618897664071187</v>
      </c>
      <c r="W175" s="131" t="s">
        <v>9</v>
      </c>
      <c r="X175" s="132" t="s">
        <v>9</v>
      </c>
    </row>
    <row r="176" spans="2:24" x14ac:dyDescent="0.25">
      <c r="L176" s="114"/>
      <c r="M176" s="114"/>
      <c r="N176" s="114"/>
      <c r="O176" s="114"/>
      <c r="P176" s="114"/>
      <c r="R176" s="477" t="s">
        <v>351</v>
      </c>
      <c r="S176" s="477"/>
      <c r="T176" s="55" t="s">
        <v>36</v>
      </c>
      <c r="U176" s="122">
        <f>P327</f>
        <v>5.358561636161391</v>
      </c>
      <c r="V176" s="122">
        <f>P342</f>
        <v>3.8947282650475845</v>
      </c>
      <c r="W176" s="30">
        <f>U176-V176</f>
        <v>1.4638333711138065</v>
      </c>
      <c r="X176" s="32">
        <f>W176/U176</f>
        <v>0.27317654820565329</v>
      </c>
    </row>
    <row r="177" spans="2:24" x14ac:dyDescent="0.25">
      <c r="B177" s="478" t="s">
        <v>195</v>
      </c>
      <c r="C177" s="478"/>
      <c r="D177" s="478"/>
      <c r="E177" s="478"/>
      <c r="F177" s="478"/>
      <c r="G177" s="478"/>
      <c r="H177" s="478"/>
      <c r="I177" s="478"/>
      <c r="J177" s="478"/>
      <c r="K177" s="478"/>
      <c r="L177" s="478"/>
      <c r="M177" s="478"/>
      <c r="N177" s="478"/>
      <c r="O177" s="478"/>
      <c r="P177" s="478"/>
      <c r="R177" s="477" t="s">
        <v>119</v>
      </c>
      <c r="S177" s="477"/>
      <c r="T177" s="55" t="s">
        <v>36</v>
      </c>
      <c r="U177" s="122">
        <f>P328</f>
        <v>0.66483623015471738</v>
      </c>
      <c r="V177" s="122">
        <f>P343</f>
        <v>0.22292367939686072</v>
      </c>
      <c r="W177" s="30">
        <f>U177-V177</f>
        <v>0.44191255075785663</v>
      </c>
      <c r="X177" s="32">
        <f>W177/U177</f>
        <v>0.66469384596416614</v>
      </c>
    </row>
    <row r="178" spans="2:24" x14ac:dyDescent="0.25">
      <c r="B178" s="98" t="s">
        <v>1</v>
      </c>
      <c r="C178" s="99" t="s">
        <v>2</v>
      </c>
      <c r="D178" s="99">
        <f>D$41</f>
        <v>1.24</v>
      </c>
      <c r="E178" s="99">
        <f>E$41</f>
        <v>2.2400000000000002</v>
      </c>
      <c r="F178" s="99">
        <f>F$41</f>
        <v>3.24</v>
      </c>
      <c r="G178" s="99">
        <f>G$41</f>
        <v>4.24</v>
      </c>
      <c r="H178" s="99">
        <f t="shared" ref="H178:M178" si="98">H$41</f>
        <v>5.24</v>
      </c>
      <c r="I178" s="99">
        <f t="shared" si="98"/>
        <v>6.24</v>
      </c>
      <c r="J178" s="99">
        <f t="shared" si="98"/>
        <v>7.24</v>
      </c>
      <c r="K178" s="99">
        <f t="shared" si="98"/>
        <v>8.24</v>
      </c>
      <c r="L178" s="99">
        <f t="shared" si="98"/>
        <v>9.24</v>
      </c>
      <c r="M178" s="99">
        <f t="shared" si="98"/>
        <v>10.24</v>
      </c>
      <c r="N178" s="99">
        <f>N$41</f>
        <v>11.24</v>
      </c>
      <c r="O178" s="99">
        <f>O$41</f>
        <v>12.24</v>
      </c>
      <c r="P178" s="99" t="s">
        <v>117</v>
      </c>
      <c r="R178" s="477" t="s">
        <v>164</v>
      </c>
      <c r="S178" s="477"/>
      <c r="T178" s="55" t="s">
        <v>204</v>
      </c>
      <c r="U178" s="123">
        <f>P320</f>
        <v>484.61332653565688</v>
      </c>
      <c r="V178" s="123">
        <f>P334</f>
        <v>484.61332653565688</v>
      </c>
      <c r="W178" s="131" t="s">
        <v>9</v>
      </c>
      <c r="X178" s="132" t="s">
        <v>9</v>
      </c>
    </row>
    <row r="179" spans="2:24" x14ac:dyDescent="0.25">
      <c r="B179" s="54" t="s">
        <v>164</v>
      </c>
      <c r="C179" s="55" t="s">
        <v>203</v>
      </c>
      <c r="D179" s="6">
        <f>D91</f>
        <v>16868</v>
      </c>
      <c r="E179" s="6">
        <f t="shared" ref="E179:O179" si="99">E91</f>
        <v>18759</v>
      </c>
      <c r="F179" s="6">
        <f t="shared" si="99"/>
        <v>20556</v>
      </c>
      <c r="G179" s="6">
        <f t="shared" si="99"/>
        <v>13190</v>
      </c>
      <c r="H179" s="6">
        <f t="shared" si="99"/>
        <v>17228</v>
      </c>
      <c r="I179" s="6">
        <f t="shared" si="99"/>
        <v>11596</v>
      </c>
      <c r="J179" s="6">
        <f t="shared" si="99"/>
        <v>12347</v>
      </c>
      <c r="K179" s="6">
        <f t="shared" si="99"/>
        <v>12114</v>
      </c>
      <c r="L179" s="6">
        <f t="shared" si="99"/>
        <v>10654</v>
      </c>
      <c r="M179" s="6">
        <f t="shared" si="99"/>
        <v>22561</v>
      </c>
      <c r="N179" s="6">
        <f t="shared" si="99"/>
        <v>9963</v>
      </c>
      <c r="O179" s="6">
        <f t="shared" si="99"/>
        <v>11633</v>
      </c>
      <c r="P179" s="70">
        <f>AVERAGE(_xlfn.ANCHORARRAY(D179))</f>
        <v>16868</v>
      </c>
    </row>
    <row r="180" spans="2:24" x14ac:dyDescent="0.25">
      <c r="B180" s="54" t="s">
        <v>24</v>
      </c>
      <c r="C180" s="55" t="s">
        <v>3</v>
      </c>
      <c r="D180" s="61">
        <f>AVERAGE($H$180:$M$180)</f>
        <v>7.333333333333333</v>
      </c>
      <c r="E180" s="61">
        <f>AVERAGE($H$180:$M$180)</f>
        <v>7.333333333333333</v>
      </c>
      <c r="F180" s="61">
        <f>AVERAGE($H$180:$M$180)</f>
        <v>7.333333333333333</v>
      </c>
      <c r="G180" s="61">
        <f>AVERAGE($H$180:$M$180)</f>
        <v>7.333333333333333</v>
      </c>
      <c r="H180" s="52">
        <f t="shared" ref="H180:M180" si="100">H92</f>
        <v>4</v>
      </c>
      <c r="I180" s="52">
        <f t="shared" si="100"/>
        <v>6</v>
      </c>
      <c r="J180" s="52">
        <f t="shared" si="100"/>
        <v>9</v>
      </c>
      <c r="K180" s="52">
        <f t="shared" si="100"/>
        <v>7</v>
      </c>
      <c r="L180" s="52">
        <f t="shared" si="100"/>
        <v>8</v>
      </c>
      <c r="M180" s="52">
        <f t="shared" si="100"/>
        <v>10</v>
      </c>
      <c r="N180" s="61">
        <f>AVERAGE($H$180:$M$180)</f>
        <v>7.333333333333333</v>
      </c>
      <c r="O180" s="61">
        <f>AVERAGE($H$180:$M$180)</f>
        <v>7.333333333333333</v>
      </c>
      <c r="P180" s="53">
        <f>AVERAGE(D180:O180)</f>
        <v>7.3333333333333321</v>
      </c>
    </row>
    <row r="181" spans="2:24" x14ac:dyDescent="0.25">
      <c r="B181" s="54" t="s">
        <v>25</v>
      </c>
      <c r="C181" s="55" t="s">
        <v>3</v>
      </c>
      <c r="D181" s="60">
        <f>AVERAGE($H$181:$O$181)</f>
        <v>24.125</v>
      </c>
      <c r="E181" s="60">
        <f>AVERAGE($H$181:$O$181)</f>
        <v>24.125</v>
      </c>
      <c r="F181" s="60">
        <f>AVERAGE($H$181:$O$181)</f>
        <v>24.125</v>
      </c>
      <c r="G181" s="60">
        <f>AVERAGE($H$181:$O$181)</f>
        <v>24.125</v>
      </c>
      <c r="H181" s="6">
        <f t="shared" ref="H181:O181" si="101">H93</f>
        <v>14</v>
      </c>
      <c r="I181" s="6">
        <f t="shared" si="101"/>
        <v>18</v>
      </c>
      <c r="J181" s="6">
        <f t="shared" si="101"/>
        <v>22</v>
      </c>
      <c r="K181" s="6">
        <f t="shared" si="101"/>
        <v>23</v>
      </c>
      <c r="L181" s="6">
        <f t="shared" si="101"/>
        <v>30</v>
      </c>
      <c r="M181" s="6">
        <f t="shared" si="101"/>
        <v>46</v>
      </c>
      <c r="N181" s="6">
        <f t="shared" si="101"/>
        <v>30</v>
      </c>
      <c r="O181" s="6">
        <f t="shared" si="101"/>
        <v>10</v>
      </c>
      <c r="P181" s="97">
        <f>AVERAGE(D181:O181)</f>
        <v>24.125</v>
      </c>
    </row>
    <row r="182" spans="2:24" x14ac:dyDescent="0.25">
      <c r="B182" s="54" t="s">
        <v>26</v>
      </c>
      <c r="C182" s="55" t="s">
        <v>3</v>
      </c>
      <c r="D182" s="15">
        <f>AVERAGE($E$182, $K$182:$O$182)</f>
        <v>12.299999999999999</v>
      </c>
      <c r="E182" s="6">
        <f>E94</f>
        <v>7.6</v>
      </c>
      <c r="F182" s="15">
        <f>AVERAGE($E$182, $K$182:$O$182)</f>
        <v>12.299999999999999</v>
      </c>
      <c r="G182" s="15">
        <f>AVERAGE($E$182, $K$182:$O$182)</f>
        <v>12.299999999999999</v>
      </c>
      <c r="H182" s="15">
        <f>AVERAGE($E$182, $K$182:$O$182)</f>
        <v>12.299999999999999</v>
      </c>
      <c r="I182" s="15">
        <f>AVERAGE($E$182, $K$182:$O$182)</f>
        <v>12.299999999999999</v>
      </c>
      <c r="J182" s="15">
        <f>AVERAGE($E$182, $K$182:$O$182)</f>
        <v>12.299999999999999</v>
      </c>
      <c r="K182" s="6">
        <f t="shared" ref="K182:O183" si="102">K94</f>
        <v>20.5</v>
      </c>
      <c r="L182" s="6">
        <f t="shared" si="102"/>
        <v>15</v>
      </c>
      <c r="M182" s="6">
        <f t="shared" si="102"/>
        <v>9.6999999999999993</v>
      </c>
      <c r="N182" s="6">
        <f t="shared" si="102"/>
        <v>15</v>
      </c>
      <c r="O182" s="6">
        <f t="shared" si="102"/>
        <v>6</v>
      </c>
      <c r="P182" s="97">
        <f t="shared" ref="P182:P192" si="103">AVERAGE(D182:O182)</f>
        <v>12.299999999999999</v>
      </c>
    </row>
    <row r="183" spans="2:24" x14ac:dyDescent="0.25">
      <c r="B183" s="54" t="s">
        <v>27</v>
      </c>
      <c r="C183" s="55" t="s">
        <v>3</v>
      </c>
      <c r="D183" s="60">
        <f>AVERAGE($H$183:$O$183)</f>
        <v>2.6875</v>
      </c>
      <c r="E183" s="60">
        <f>AVERAGE($H$183:$O$183)</f>
        <v>2.6875</v>
      </c>
      <c r="F183" s="60">
        <f>AVERAGE($H$183:$O$183)</f>
        <v>2.6875</v>
      </c>
      <c r="G183" s="60">
        <f>AVERAGE($H$183:$O$183)</f>
        <v>2.6875</v>
      </c>
      <c r="H183" s="6">
        <f>H95</f>
        <v>1.9</v>
      </c>
      <c r="I183" s="6">
        <f>I95</f>
        <v>2.2000000000000002</v>
      </c>
      <c r="J183" s="6">
        <f>J95</f>
        <v>2.1</v>
      </c>
      <c r="K183" s="6">
        <f t="shared" si="102"/>
        <v>2.8</v>
      </c>
      <c r="L183" s="6">
        <f t="shared" si="102"/>
        <v>3.3</v>
      </c>
      <c r="M183" s="6">
        <f t="shared" si="102"/>
        <v>2.4</v>
      </c>
      <c r="N183" s="6">
        <f t="shared" si="102"/>
        <v>3.8</v>
      </c>
      <c r="O183" s="6">
        <f t="shared" si="102"/>
        <v>3</v>
      </c>
      <c r="P183" s="97">
        <f t="shared" si="103"/>
        <v>2.6875</v>
      </c>
    </row>
    <row r="184" spans="2:24" x14ac:dyDescent="0.25">
      <c r="B184" s="54" t="s">
        <v>28</v>
      </c>
      <c r="C184" s="55" t="s">
        <v>3</v>
      </c>
      <c r="D184" s="6">
        <f t="shared" ref="D184:O184" si="104">D96</f>
        <v>0.5</v>
      </c>
      <c r="E184" s="6">
        <f t="shared" si="104"/>
        <v>0.4</v>
      </c>
      <c r="F184" s="6">
        <f t="shared" si="104"/>
        <v>0.8</v>
      </c>
      <c r="G184" s="6">
        <f t="shared" si="104"/>
        <v>0.4</v>
      </c>
      <c r="H184" s="6">
        <f t="shared" si="104"/>
        <v>0.5</v>
      </c>
      <c r="I184" s="6">
        <f t="shared" si="104"/>
        <v>0.7</v>
      </c>
      <c r="J184" s="6">
        <f t="shared" si="104"/>
        <v>0.7</v>
      </c>
      <c r="K184" s="6">
        <f t="shared" si="104"/>
        <v>1.9</v>
      </c>
      <c r="L184" s="6">
        <f t="shared" si="104"/>
        <v>1.5</v>
      </c>
      <c r="M184" s="6">
        <f t="shared" si="104"/>
        <v>2</v>
      </c>
      <c r="N184" s="6">
        <f t="shared" si="104"/>
        <v>0.8</v>
      </c>
      <c r="O184" s="6">
        <f t="shared" si="104"/>
        <v>1.34</v>
      </c>
      <c r="P184" s="53">
        <f>AVERAGE(D184:O184)</f>
        <v>0.96166666666666678</v>
      </c>
    </row>
    <row r="185" spans="2:24" x14ac:dyDescent="0.25">
      <c r="B185" s="5" t="s">
        <v>4</v>
      </c>
      <c r="C185" s="8" t="s">
        <v>5</v>
      </c>
      <c r="D185" s="6">
        <f t="shared" ref="D185:O185" si="105">D97</f>
        <v>6.6</v>
      </c>
      <c r="E185" s="6">
        <f t="shared" si="105"/>
        <v>7</v>
      </c>
      <c r="F185" s="6">
        <f t="shared" si="105"/>
        <v>6.8</v>
      </c>
      <c r="G185" s="6">
        <f t="shared" si="105"/>
        <v>6.8</v>
      </c>
      <c r="H185" s="6">
        <f t="shared" si="105"/>
        <v>7</v>
      </c>
      <c r="I185" s="6">
        <f t="shared" si="105"/>
        <v>7.1</v>
      </c>
      <c r="J185" s="6">
        <f t="shared" si="105"/>
        <v>7.3</v>
      </c>
      <c r="K185" s="6">
        <f t="shared" si="105"/>
        <v>7.3</v>
      </c>
      <c r="L185" s="6">
        <f t="shared" si="105"/>
        <v>7.2</v>
      </c>
      <c r="M185" s="6">
        <f t="shared" si="105"/>
        <v>6.8</v>
      </c>
      <c r="N185" s="6">
        <f t="shared" si="105"/>
        <v>6.8</v>
      </c>
      <c r="O185" s="6">
        <f t="shared" si="105"/>
        <v>7</v>
      </c>
      <c r="P185" s="53">
        <f>AVERAGE(D185:O185)</f>
        <v>6.9750000000000005</v>
      </c>
    </row>
    <row r="186" spans="2:24" x14ac:dyDescent="0.25">
      <c r="B186" s="5" t="s">
        <v>8</v>
      </c>
      <c r="C186" s="8" t="s">
        <v>3</v>
      </c>
      <c r="D186" s="60">
        <f>AVERAGE($F$186,$H$186:$O$186)</f>
        <v>0.61</v>
      </c>
      <c r="E186" s="60">
        <f>AVERAGE($F$186,$H$186:$O$186)</f>
        <v>0.61</v>
      </c>
      <c r="F186" s="6">
        <f t="shared" ref="F186:O186" si="106">F98</f>
        <v>1.54</v>
      </c>
      <c r="G186" s="60">
        <f>AVERAGE($F$186,$H$186:$O$186)</f>
        <v>0.61</v>
      </c>
      <c r="H186" s="6">
        <f t="shared" si="106"/>
        <v>0.42</v>
      </c>
      <c r="I186" s="6">
        <f t="shared" si="106"/>
        <v>0.31</v>
      </c>
      <c r="J186" s="6">
        <f t="shared" si="106"/>
        <v>0.62</v>
      </c>
      <c r="K186" s="6">
        <f t="shared" si="106"/>
        <v>0.32</v>
      </c>
      <c r="L186" s="6">
        <f t="shared" si="106"/>
        <v>0.46</v>
      </c>
      <c r="M186" s="6">
        <f t="shared" si="106"/>
        <v>0.45</v>
      </c>
      <c r="N186" s="7" t="str">
        <f t="shared" si="106"/>
        <v>---</v>
      </c>
      <c r="O186" s="6">
        <f t="shared" si="106"/>
        <v>0.76</v>
      </c>
      <c r="P186" s="53">
        <f>AVERAGE(D186:O186)</f>
        <v>0.61</v>
      </c>
    </row>
    <row r="187" spans="2:24" x14ac:dyDescent="0.25">
      <c r="B187" s="5" t="s">
        <v>30</v>
      </c>
      <c r="C187" s="8" t="s">
        <v>3</v>
      </c>
      <c r="D187" s="15">
        <f t="shared" ref="D187:M187" si="107">AVERAGE($N$187)</f>
        <v>1.1000000000000001</v>
      </c>
      <c r="E187" s="15">
        <f t="shared" si="107"/>
        <v>1.1000000000000001</v>
      </c>
      <c r="F187" s="15">
        <f t="shared" si="107"/>
        <v>1.1000000000000001</v>
      </c>
      <c r="G187" s="15">
        <f t="shared" si="107"/>
        <v>1.1000000000000001</v>
      </c>
      <c r="H187" s="15">
        <f t="shared" si="107"/>
        <v>1.1000000000000001</v>
      </c>
      <c r="I187" s="15">
        <f t="shared" si="107"/>
        <v>1.1000000000000001</v>
      </c>
      <c r="J187" s="15">
        <f t="shared" si="107"/>
        <v>1.1000000000000001</v>
      </c>
      <c r="K187" s="15">
        <f t="shared" si="107"/>
        <v>1.1000000000000001</v>
      </c>
      <c r="L187" s="15">
        <f t="shared" si="107"/>
        <v>1.1000000000000001</v>
      </c>
      <c r="M187" s="15">
        <f t="shared" si="107"/>
        <v>1.1000000000000001</v>
      </c>
      <c r="N187" s="6">
        <f>N99</f>
        <v>1.1000000000000001</v>
      </c>
      <c r="O187" s="15">
        <f>AVERAGE($N$187)</f>
        <v>1.1000000000000001</v>
      </c>
      <c r="P187" s="97">
        <f>AVERAGE(D187:O187)</f>
        <v>1.0999999999999999</v>
      </c>
    </row>
    <row r="188" spans="2:24" ht="16.5" thickBot="1" x14ac:dyDescent="0.3">
      <c r="B188" s="38" t="s">
        <v>119</v>
      </c>
      <c r="C188" s="39" t="s">
        <v>3</v>
      </c>
      <c r="D188" s="41">
        <f>AVERAGE(($H$188:$M$188))</f>
        <v>0.5</v>
      </c>
      <c r="E188" s="41">
        <f>AVERAGE(($H$188:$M$188))</f>
        <v>0.5</v>
      </c>
      <c r="F188" s="41">
        <f>AVERAGE(($H$188:$M$188))</f>
        <v>0.5</v>
      </c>
      <c r="G188" s="41">
        <f>AVERAGE(($H$188:$M$188))</f>
        <v>0.5</v>
      </c>
      <c r="H188" s="40">
        <f t="shared" ref="H188:M188" si="108">H100</f>
        <v>0.4</v>
      </c>
      <c r="I188" s="40">
        <f t="shared" si="108"/>
        <v>0.4</v>
      </c>
      <c r="J188" s="40">
        <f t="shared" si="108"/>
        <v>0.4</v>
      </c>
      <c r="K188" s="40">
        <f t="shared" si="108"/>
        <v>0.7</v>
      </c>
      <c r="L188" s="40">
        <f t="shared" si="108"/>
        <v>0.6</v>
      </c>
      <c r="M188" s="40">
        <f t="shared" si="108"/>
        <v>0.5</v>
      </c>
      <c r="N188" s="41">
        <f>AVERAGE(($H$188:$M$188))</f>
        <v>0.5</v>
      </c>
      <c r="O188" s="41">
        <f>AVERAGE(($H$188:$M$188))</f>
        <v>0.5</v>
      </c>
      <c r="P188" s="101">
        <f>AVERAGE(D188:O188)</f>
        <v>0.49999999999999994</v>
      </c>
    </row>
    <row r="189" spans="2:24" x14ac:dyDescent="0.25">
      <c r="B189" s="54" t="s">
        <v>136</v>
      </c>
      <c r="C189" s="55" t="s">
        <v>138</v>
      </c>
      <c r="D189" s="117">
        <f>D180/D181</f>
        <v>0.30397236614853196</v>
      </c>
      <c r="E189" s="120">
        <f>E180/E181</f>
        <v>0.30397236614853196</v>
      </c>
      <c r="F189" s="120">
        <f>F180/F181</f>
        <v>0.30397236614853196</v>
      </c>
      <c r="G189" s="120">
        <f>G180/G181</f>
        <v>0.30397236614853196</v>
      </c>
      <c r="H189" s="120">
        <f t="shared" ref="H189:O189" si="109">H180/H181</f>
        <v>0.2857142857142857</v>
      </c>
      <c r="I189" s="120">
        <f t="shared" si="109"/>
        <v>0.33333333333333331</v>
      </c>
      <c r="J189" s="120">
        <f t="shared" si="109"/>
        <v>0.40909090909090912</v>
      </c>
      <c r="K189" s="120">
        <f t="shared" si="109"/>
        <v>0.30434782608695654</v>
      </c>
      <c r="L189" s="120">
        <f t="shared" si="109"/>
        <v>0.26666666666666666</v>
      </c>
      <c r="M189" s="120">
        <f t="shared" si="109"/>
        <v>0.21739130434782608</v>
      </c>
      <c r="N189" s="120">
        <f t="shared" si="109"/>
        <v>0.24444444444444444</v>
      </c>
      <c r="O189" s="120">
        <f t="shared" si="109"/>
        <v>0.73333333333333328</v>
      </c>
      <c r="P189" s="96">
        <f t="shared" si="103"/>
        <v>0.33418429730099025</v>
      </c>
    </row>
    <row r="190" spans="2:24" x14ac:dyDescent="0.25">
      <c r="B190" s="54" t="s">
        <v>139</v>
      </c>
      <c r="C190" s="55" t="s">
        <v>3</v>
      </c>
      <c r="D190" s="121">
        <f>D182*1.42</f>
        <v>17.465999999999998</v>
      </c>
      <c r="E190" s="121">
        <f>E182*1.42</f>
        <v>10.792</v>
      </c>
      <c r="F190" s="121">
        <f>F182*1.42</f>
        <v>17.465999999999998</v>
      </c>
      <c r="G190" s="121">
        <f>G182*1.42</f>
        <v>17.465999999999998</v>
      </c>
      <c r="H190" s="121">
        <f t="shared" ref="H190:O190" si="110">H182*1.42</f>
        <v>17.465999999999998</v>
      </c>
      <c r="I190" s="121">
        <f t="shared" si="110"/>
        <v>17.465999999999998</v>
      </c>
      <c r="J190" s="121">
        <f t="shared" si="110"/>
        <v>17.465999999999998</v>
      </c>
      <c r="K190" s="121">
        <f t="shared" si="110"/>
        <v>29.11</v>
      </c>
      <c r="L190" s="121">
        <f t="shared" si="110"/>
        <v>21.299999999999997</v>
      </c>
      <c r="M190" s="121">
        <f t="shared" si="110"/>
        <v>13.773999999999999</v>
      </c>
      <c r="N190" s="121">
        <f t="shared" si="110"/>
        <v>21.299999999999997</v>
      </c>
      <c r="O190" s="121">
        <f t="shared" si="110"/>
        <v>8.52</v>
      </c>
      <c r="P190" s="97">
        <f t="shared" si="103"/>
        <v>17.466000000000001</v>
      </c>
    </row>
    <row r="191" spans="2:24" x14ac:dyDescent="0.25">
      <c r="B191" s="54" t="s">
        <v>140</v>
      </c>
      <c r="C191" s="55" t="s">
        <v>138</v>
      </c>
      <c r="D191" s="120">
        <f>D182/D181</f>
        <v>0.50984455958549213</v>
      </c>
      <c r="E191" s="120">
        <f>E182/E181</f>
        <v>0.31502590673575126</v>
      </c>
      <c r="F191" s="120">
        <f>F182/F181</f>
        <v>0.50984455958549213</v>
      </c>
      <c r="G191" s="120">
        <f>G182/G181</f>
        <v>0.50984455958549213</v>
      </c>
      <c r="H191" s="120">
        <f t="shared" ref="H191:O191" si="111">H182/H181</f>
        <v>0.87857142857142845</v>
      </c>
      <c r="I191" s="120">
        <f t="shared" si="111"/>
        <v>0.68333333333333324</v>
      </c>
      <c r="J191" s="120">
        <f t="shared" si="111"/>
        <v>0.55909090909090908</v>
      </c>
      <c r="K191" s="120">
        <f t="shared" si="111"/>
        <v>0.89130434782608692</v>
      </c>
      <c r="L191" s="120">
        <f t="shared" si="111"/>
        <v>0.5</v>
      </c>
      <c r="M191" s="120">
        <f t="shared" si="111"/>
        <v>0.21086956521739128</v>
      </c>
      <c r="N191" s="120">
        <f t="shared" si="111"/>
        <v>0.5</v>
      </c>
      <c r="O191" s="120">
        <f t="shared" si="111"/>
        <v>0.6</v>
      </c>
      <c r="P191" s="97">
        <f t="shared" si="103"/>
        <v>0.55564409746094801</v>
      </c>
    </row>
    <row r="192" spans="2:24" x14ac:dyDescent="0.25">
      <c r="B192" s="54" t="s">
        <v>141</v>
      </c>
      <c r="C192" s="55" t="s">
        <v>138</v>
      </c>
      <c r="D192" s="120">
        <f>D182/D180</f>
        <v>1.6772727272727272</v>
      </c>
      <c r="E192" s="120">
        <f>E182/E180</f>
        <v>1.0363636363636364</v>
      </c>
      <c r="F192" s="120">
        <f>F182/F180</f>
        <v>1.6772727272727272</v>
      </c>
      <c r="G192" s="120">
        <f>G182/G180</f>
        <v>1.6772727272727272</v>
      </c>
      <c r="H192" s="120">
        <f t="shared" ref="H192:O192" si="112">H182/H180</f>
        <v>3.0749999999999997</v>
      </c>
      <c r="I192" s="120">
        <f t="shared" si="112"/>
        <v>2.0499999999999998</v>
      </c>
      <c r="J192" s="120">
        <f t="shared" si="112"/>
        <v>1.3666666666666665</v>
      </c>
      <c r="K192" s="120">
        <f t="shared" si="112"/>
        <v>2.9285714285714284</v>
      </c>
      <c r="L192" s="120">
        <f t="shared" si="112"/>
        <v>1.875</v>
      </c>
      <c r="M192" s="120">
        <f t="shared" si="112"/>
        <v>0.97</v>
      </c>
      <c r="N192" s="120">
        <f t="shared" si="112"/>
        <v>2.0454545454545454</v>
      </c>
      <c r="O192" s="120">
        <f t="shared" si="112"/>
        <v>0.81818181818181823</v>
      </c>
      <c r="P192" s="53">
        <f t="shared" si="103"/>
        <v>1.766421356421356</v>
      </c>
    </row>
    <row r="198" spans="2:16" x14ac:dyDescent="0.25">
      <c r="B198" s="419" t="s">
        <v>196</v>
      </c>
      <c r="C198" s="419"/>
      <c r="D198" s="419"/>
      <c r="E198" s="419"/>
      <c r="F198" s="419"/>
      <c r="G198" s="419"/>
      <c r="H198" s="419"/>
      <c r="I198" s="419"/>
      <c r="J198" s="419"/>
      <c r="K198" s="419"/>
      <c r="L198" s="419"/>
      <c r="M198" s="419"/>
      <c r="N198" s="419"/>
      <c r="O198" s="419"/>
      <c r="P198" s="419"/>
    </row>
    <row r="199" spans="2:16" x14ac:dyDescent="0.25">
      <c r="B199" s="115" t="s">
        <v>1</v>
      </c>
      <c r="C199" s="116" t="s">
        <v>2</v>
      </c>
      <c r="D199" s="116">
        <f>D$21</f>
        <v>1.24</v>
      </c>
      <c r="E199" s="116">
        <f t="shared" ref="E199:O199" si="113">E$21</f>
        <v>2.2400000000000002</v>
      </c>
      <c r="F199" s="116">
        <f t="shared" si="113"/>
        <v>3.24</v>
      </c>
      <c r="G199" s="116">
        <f t="shared" si="113"/>
        <v>4.24</v>
      </c>
      <c r="H199" s="116">
        <f t="shared" si="113"/>
        <v>5.24</v>
      </c>
      <c r="I199" s="116">
        <f t="shared" si="113"/>
        <v>6.24</v>
      </c>
      <c r="J199" s="116">
        <f t="shared" si="113"/>
        <v>7.24</v>
      </c>
      <c r="K199" s="116">
        <f t="shared" si="113"/>
        <v>8.24</v>
      </c>
      <c r="L199" s="116">
        <f t="shared" si="113"/>
        <v>9.24</v>
      </c>
      <c r="M199" s="116">
        <f t="shared" si="113"/>
        <v>10.24</v>
      </c>
      <c r="N199" s="116">
        <f t="shared" si="113"/>
        <v>11.24</v>
      </c>
      <c r="O199" s="116">
        <f t="shared" si="113"/>
        <v>12.24</v>
      </c>
      <c r="P199" s="116" t="s">
        <v>117</v>
      </c>
    </row>
    <row r="200" spans="2:16" x14ac:dyDescent="0.25">
      <c r="B200" s="54" t="s">
        <v>164</v>
      </c>
      <c r="C200" s="55" t="s">
        <v>204</v>
      </c>
      <c r="D200" s="68">
        <f>D161 * (1/31)</f>
        <v>544.12903225806451</v>
      </c>
      <c r="E200" s="68">
        <f>E161 * (1/29)</f>
        <v>646.86206896551721</v>
      </c>
      <c r="F200" s="68">
        <f>F161 * (1/31)</f>
        <v>663.09677419354841</v>
      </c>
      <c r="G200" s="68">
        <f>G161 * (1/30)</f>
        <v>439.66666666666669</v>
      </c>
      <c r="H200" s="68">
        <f>H161 * (1/31)</f>
        <v>555.74193548387098</v>
      </c>
      <c r="I200" s="68">
        <f>I161 * (1/30)</f>
        <v>386.5333333333333</v>
      </c>
      <c r="J200" s="68">
        <f>J161 * (1/31)</f>
        <v>398.29032258064512</v>
      </c>
      <c r="K200" s="68">
        <f>K161 * (1/31)</f>
        <v>390.77419354838707</v>
      </c>
      <c r="L200" s="68">
        <f>L161 * (1/30)</f>
        <v>355.13333333333333</v>
      </c>
      <c r="M200" s="68">
        <f>M161 * (1/31)</f>
        <v>727.77419354838707</v>
      </c>
      <c r="N200" s="68">
        <f>N161 * (1/30)</f>
        <v>332.1</v>
      </c>
      <c r="O200" s="68">
        <f>O161 * (1/31)</f>
        <v>375.25806451612902</v>
      </c>
      <c r="P200" s="70">
        <f>AVERAGE(D200:O200)</f>
        <v>484.61332653565688</v>
      </c>
    </row>
    <row r="201" spans="2:16" x14ac:dyDescent="0.25">
      <c r="B201" s="54" t="s">
        <v>24</v>
      </c>
      <c r="C201" s="55" t="s">
        <v>36</v>
      </c>
      <c r="D201" s="68">
        <f>D162*D$112 *(1/1000)</f>
        <v>44.074451612903225</v>
      </c>
      <c r="E201" s="68">
        <f t="shared" ref="E201:O201" si="114">E162*E$112 *(1/1000)</f>
        <v>34.283689655172417</v>
      </c>
      <c r="F201" s="68">
        <f t="shared" si="114"/>
        <v>21.219096774193549</v>
      </c>
      <c r="G201" s="68">
        <f t="shared" si="114"/>
        <v>139.81399999999999</v>
      </c>
      <c r="H201" s="68">
        <f t="shared" si="114"/>
        <v>29.454322580645165</v>
      </c>
      <c r="I201" s="68">
        <f t="shared" si="114"/>
        <v>71.122133333333338</v>
      </c>
      <c r="J201" s="68">
        <f t="shared" si="114"/>
        <v>58.946967741935481</v>
      </c>
      <c r="K201" s="68">
        <f t="shared" si="114"/>
        <v>117.62303225806451</v>
      </c>
      <c r="L201" s="68">
        <f t="shared" si="114"/>
        <v>16.691266666666667</v>
      </c>
      <c r="M201" s="68">
        <f t="shared" si="114"/>
        <v>183.39909677419354</v>
      </c>
      <c r="N201" s="68">
        <f t="shared" si="114"/>
        <v>16.605</v>
      </c>
      <c r="O201" s="68">
        <f t="shared" si="114"/>
        <v>50.659838709677416</v>
      </c>
      <c r="P201" s="70">
        <f t="shared" ref="P201:P212" si="115">AVERAGE(D201:O201)</f>
        <v>65.324408008898786</v>
      </c>
    </row>
    <row r="202" spans="2:16" x14ac:dyDescent="0.25">
      <c r="B202" s="54" t="s">
        <v>25</v>
      </c>
      <c r="C202" s="55" t="s">
        <v>36</v>
      </c>
      <c r="D202" s="68">
        <f>D163*D$112 *(1/1000)</f>
        <v>163.23870967741937</v>
      </c>
      <c r="E202" s="68">
        <f t="shared" ref="E202:O202" si="116">E163*E$112 *(1/1000)</f>
        <v>150.072</v>
      </c>
      <c r="F202" s="68">
        <f t="shared" si="116"/>
        <v>35.807225806451612</v>
      </c>
      <c r="G202" s="68">
        <f t="shared" si="116"/>
        <v>659.5</v>
      </c>
      <c r="H202" s="68">
        <f t="shared" si="116"/>
        <v>80.026838709677421</v>
      </c>
      <c r="I202" s="68">
        <f t="shared" si="116"/>
        <v>129.87519999999998</v>
      </c>
      <c r="J202" s="68">
        <f t="shared" si="116"/>
        <v>101.96232258064515</v>
      </c>
      <c r="K202" s="68">
        <f t="shared" si="116"/>
        <v>234.46451612903226</v>
      </c>
      <c r="L202" s="68">
        <f t="shared" si="116"/>
        <v>31.962</v>
      </c>
      <c r="M202" s="68">
        <f t="shared" si="116"/>
        <v>291.10967741935485</v>
      </c>
      <c r="N202" s="68">
        <f t="shared" si="116"/>
        <v>939.84300000000019</v>
      </c>
      <c r="O202" s="68">
        <f t="shared" si="116"/>
        <v>64.169129032258056</v>
      </c>
      <c r="P202" s="70">
        <f t="shared" si="115"/>
        <v>240.16921827956989</v>
      </c>
    </row>
    <row r="203" spans="2:16" x14ac:dyDescent="0.25">
      <c r="B203" s="54" t="s">
        <v>26</v>
      </c>
      <c r="C203" s="55" t="s">
        <v>36</v>
      </c>
      <c r="D203" s="68">
        <f t="shared" ref="D203:O203" si="117">D164*D$112 *(1/1000)</f>
        <v>57.895329032258068</v>
      </c>
      <c r="E203" s="68">
        <f t="shared" si="117"/>
        <v>74.841941379310342</v>
      </c>
      <c r="F203" s="68">
        <f t="shared" si="117"/>
        <v>14.322890322580646</v>
      </c>
      <c r="G203" s="129">
        <f t="shared" si="117"/>
        <v>102.47031212121213</v>
      </c>
      <c r="H203" s="68">
        <f t="shared" si="117"/>
        <v>10.503522580645161</v>
      </c>
      <c r="I203" s="68">
        <f t="shared" si="117"/>
        <v>16.852853333333332</v>
      </c>
      <c r="J203" s="68">
        <f t="shared" si="117"/>
        <v>38.55450322580645</v>
      </c>
      <c r="K203" s="68">
        <f t="shared" si="117"/>
        <v>40.562361290322578</v>
      </c>
      <c r="L203" s="68">
        <f t="shared" si="117"/>
        <v>9.4820599999999988</v>
      </c>
      <c r="M203" s="68">
        <f t="shared" si="117"/>
        <v>56.911941935483867</v>
      </c>
      <c r="N203" s="68">
        <f t="shared" si="117"/>
        <v>634.31100000000004</v>
      </c>
      <c r="O203" s="68">
        <f t="shared" si="117"/>
        <v>15.760838709677419</v>
      </c>
      <c r="P203" s="70">
        <f t="shared" si="115"/>
        <v>89.372462827552511</v>
      </c>
    </row>
    <row r="204" spans="2:16" x14ac:dyDescent="0.25">
      <c r="B204" s="54" t="s">
        <v>27</v>
      </c>
      <c r="C204" s="55" t="s">
        <v>36</v>
      </c>
      <c r="D204" s="51">
        <f t="shared" ref="D204:O204" si="118">D165*D$112 *(1/1000)</f>
        <v>6.0942451612903223</v>
      </c>
      <c r="E204" s="51">
        <f t="shared" si="118"/>
        <v>6.4686206896551726</v>
      </c>
      <c r="F204" s="51">
        <f t="shared" si="118"/>
        <v>6.233109677419356</v>
      </c>
      <c r="G204" s="51">
        <f t="shared" si="118"/>
        <v>31.656000000000002</v>
      </c>
      <c r="H204" s="51">
        <f t="shared" si="118"/>
        <v>3.2788774193548389</v>
      </c>
      <c r="I204" s="51">
        <f t="shared" si="118"/>
        <v>7.4214399999999987</v>
      </c>
      <c r="J204" s="51">
        <f t="shared" si="118"/>
        <v>21.029729032258064</v>
      </c>
      <c r="K204" s="51">
        <f t="shared" si="118"/>
        <v>16.646980645161289</v>
      </c>
      <c r="L204" s="51">
        <f t="shared" si="118"/>
        <v>2.2728533333333334</v>
      </c>
      <c r="M204" s="51">
        <f t="shared" si="118"/>
        <v>22.561</v>
      </c>
      <c r="N204" s="51">
        <f t="shared" si="118"/>
        <v>30.486780000000003</v>
      </c>
      <c r="O204" s="51">
        <f t="shared" si="118"/>
        <v>6.7171193548387089</v>
      </c>
      <c r="P204" s="97">
        <f t="shared" si="115"/>
        <v>13.405562942775925</v>
      </c>
    </row>
    <row r="205" spans="2:16" x14ac:dyDescent="0.25">
      <c r="B205" s="54" t="s">
        <v>28</v>
      </c>
      <c r="C205" s="55" t="s">
        <v>36</v>
      </c>
      <c r="D205" s="52">
        <f t="shared" ref="D205:O205" si="119">D166*D$112 *(1/1000)</f>
        <v>0.70736774193548391</v>
      </c>
      <c r="E205" s="52">
        <f t="shared" si="119"/>
        <v>1.4877827586206895</v>
      </c>
      <c r="F205" s="52">
        <f t="shared" si="119"/>
        <v>0.86202580645161297</v>
      </c>
      <c r="G205" s="52">
        <f t="shared" si="119"/>
        <v>8.749366666666667</v>
      </c>
      <c r="H205" s="52">
        <f t="shared" si="119"/>
        <v>0.27787096774193548</v>
      </c>
      <c r="I205" s="52">
        <f t="shared" si="119"/>
        <v>0.50249333333333335</v>
      </c>
      <c r="J205" s="52">
        <f t="shared" si="119"/>
        <v>1.5931612903225805</v>
      </c>
      <c r="K205" s="52">
        <f t="shared" si="119"/>
        <v>1.8366387096774193</v>
      </c>
      <c r="L205" s="52">
        <f t="shared" si="119"/>
        <v>0.17756666666666668</v>
      </c>
      <c r="M205" s="52">
        <f t="shared" si="119"/>
        <v>0.58221935483870968</v>
      </c>
      <c r="N205" s="52">
        <f t="shared" si="119"/>
        <v>6.2966160000000011</v>
      </c>
      <c r="O205" s="52">
        <f t="shared" si="119"/>
        <v>0.85183580645161294</v>
      </c>
      <c r="P205" s="53">
        <f t="shared" si="115"/>
        <v>1.9937454252255593</v>
      </c>
    </row>
    <row r="206" spans="2:16" x14ac:dyDescent="0.25">
      <c r="B206" s="54" t="s">
        <v>4</v>
      </c>
      <c r="C206" s="8" t="s">
        <v>5</v>
      </c>
      <c r="D206" s="51">
        <f>D167</f>
        <v>6.5</v>
      </c>
      <c r="E206" s="51">
        <f t="shared" ref="E206:O206" si="120">E167</f>
        <v>6.8</v>
      </c>
      <c r="F206" s="51">
        <f t="shared" si="120"/>
        <v>6.8</v>
      </c>
      <c r="G206" s="51">
        <f t="shared" si="120"/>
        <v>6.7</v>
      </c>
      <c r="H206" s="51">
        <f t="shared" si="120"/>
        <v>6.5</v>
      </c>
      <c r="I206" s="51">
        <f t="shared" si="120"/>
        <v>7</v>
      </c>
      <c r="J206" s="51">
        <f t="shared" si="120"/>
        <v>7.3</v>
      </c>
      <c r="K206" s="51">
        <f t="shared" si="120"/>
        <v>7.4</v>
      </c>
      <c r="L206" s="51">
        <f t="shared" si="120"/>
        <v>6.6</v>
      </c>
      <c r="M206" s="51">
        <f t="shared" si="120"/>
        <v>6.9</v>
      </c>
      <c r="N206" s="51">
        <f t="shared" si="120"/>
        <v>6.6</v>
      </c>
      <c r="O206" s="51">
        <f t="shared" si="120"/>
        <v>6.7</v>
      </c>
      <c r="P206" s="97">
        <f t="shared" si="115"/>
        <v>6.8166666666666664</v>
      </c>
    </row>
    <row r="207" spans="2:16" x14ac:dyDescent="0.25">
      <c r="B207" s="127" t="s">
        <v>30</v>
      </c>
      <c r="C207" s="55" t="s">
        <v>36</v>
      </c>
      <c r="D207" s="52">
        <f t="shared" ref="D207:O207" si="121">D168*D$112 *(1/1000)</f>
        <v>7.9442838709677419</v>
      </c>
      <c r="E207" s="61">
        <f t="shared" si="121"/>
        <v>11.482725812807884</v>
      </c>
      <c r="F207" s="61">
        <f t="shared" si="121"/>
        <v>11.770915023041477</v>
      </c>
      <c r="G207" s="61">
        <f t="shared" si="121"/>
        <v>7.8047114285714301</v>
      </c>
      <c r="H207" s="52">
        <f t="shared" si="121"/>
        <v>7.5025161290322586</v>
      </c>
      <c r="I207" s="52">
        <f t="shared" si="121"/>
        <v>9.9725599999999996</v>
      </c>
      <c r="J207" s="52">
        <f t="shared" si="121"/>
        <v>2.8278612903225802</v>
      </c>
      <c r="K207" s="52">
        <f t="shared" si="121"/>
        <v>23.83722580645161</v>
      </c>
      <c r="L207" s="61">
        <f t="shared" si="121"/>
        <v>6.3041240000000007</v>
      </c>
      <c r="M207" s="61">
        <f t="shared" si="121"/>
        <v>12.919031612903227</v>
      </c>
      <c r="N207" s="52">
        <f t="shared" si="121"/>
        <v>0.46494000000000002</v>
      </c>
      <c r="O207" s="52">
        <f t="shared" si="121"/>
        <v>0.32272193548387096</v>
      </c>
      <c r="P207" s="53">
        <f t="shared" si="115"/>
        <v>8.5961347424651731</v>
      </c>
    </row>
    <row r="208" spans="2:16" ht="16.5" thickBot="1" x14ac:dyDescent="0.3">
      <c r="B208" s="56" t="s">
        <v>119</v>
      </c>
      <c r="C208" s="57" t="s">
        <v>36</v>
      </c>
      <c r="D208" s="100">
        <f t="shared" ref="D208:O208" si="122">D169*D$112 *(1/1000)</f>
        <v>0.65295483870967741</v>
      </c>
      <c r="E208" s="100">
        <f t="shared" si="122"/>
        <v>0.38811724137931031</v>
      </c>
      <c r="F208" s="100">
        <f t="shared" si="122"/>
        <v>0.59678709677419362</v>
      </c>
      <c r="G208" s="100">
        <f t="shared" si="122"/>
        <v>4.0449333333333337</v>
      </c>
      <c r="H208" s="100">
        <f t="shared" si="122"/>
        <v>0.38901935483870964</v>
      </c>
      <c r="I208" s="100">
        <f t="shared" si="122"/>
        <v>1.0436400000000001</v>
      </c>
      <c r="J208" s="100">
        <f t="shared" si="122"/>
        <v>0.79658064516129024</v>
      </c>
      <c r="K208" s="100">
        <f t="shared" si="122"/>
        <v>1.6412516129032257</v>
      </c>
      <c r="L208" s="100">
        <f t="shared" si="122"/>
        <v>0.42615999999999998</v>
      </c>
      <c r="M208" s="100">
        <f t="shared" si="122"/>
        <v>1.2372161290322581</v>
      </c>
      <c r="N208" s="130">
        <f t="shared" si="122"/>
        <v>0.81032399999999982</v>
      </c>
      <c r="O208" s="130">
        <f t="shared" si="122"/>
        <v>0.91562967741935464</v>
      </c>
      <c r="P208" s="101">
        <f t="shared" si="115"/>
        <v>1.0785511607959462</v>
      </c>
    </row>
    <row r="209" spans="2:16" x14ac:dyDescent="0.25">
      <c r="B209" s="54" t="s">
        <v>136</v>
      </c>
      <c r="C209" s="59" t="s">
        <v>138</v>
      </c>
      <c r="D209" s="50">
        <f>D201/D202</f>
        <v>0.26999999999999996</v>
      </c>
      <c r="E209" s="50">
        <f t="shared" ref="E209:O209" si="123">E201/E202</f>
        <v>0.22844827586206898</v>
      </c>
      <c r="F209" s="50">
        <f t="shared" si="123"/>
        <v>0.59259259259259267</v>
      </c>
      <c r="G209" s="50">
        <f t="shared" si="123"/>
        <v>0.21199999999999999</v>
      </c>
      <c r="H209" s="50">
        <f t="shared" si="123"/>
        <v>0.36805555555555558</v>
      </c>
      <c r="I209" s="50">
        <f t="shared" si="123"/>
        <v>0.54761904761904778</v>
      </c>
      <c r="J209" s="50">
        <f t="shared" si="123"/>
        <v>0.578125</v>
      </c>
      <c r="K209" s="50">
        <f t="shared" si="123"/>
        <v>0.50166666666666659</v>
      </c>
      <c r="L209" s="50">
        <f t="shared" si="123"/>
        <v>0.52222222222222225</v>
      </c>
      <c r="M209" s="50">
        <f t="shared" si="123"/>
        <v>0.62999999999999989</v>
      </c>
      <c r="N209" s="50">
        <f t="shared" si="123"/>
        <v>1.7667844522968195E-2</v>
      </c>
      <c r="O209" s="50">
        <f t="shared" si="123"/>
        <v>0.78947368421052633</v>
      </c>
      <c r="P209" s="71">
        <f t="shared" si="115"/>
        <v>0.43815590743763733</v>
      </c>
    </row>
    <row r="210" spans="2:16" x14ac:dyDescent="0.25">
      <c r="B210" s="54" t="s">
        <v>139</v>
      </c>
      <c r="C210" s="55" t="s">
        <v>36</v>
      </c>
      <c r="D210" s="51">
        <f>D203*1.42</f>
        <v>82.211367225806455</v>
      </c>
      <c r="E210" s="51">
        <f t="shared" ref="E210:O210" si="124">E203*1.42</f>
        <v>106.27555675862068</v>
      </c>
      <c r="F210" s="51">
        <f t="shared" si="124"/>
        <v>20.338504258064518</v>
      </c>
      <c r="G210" s="51">
        <f t="shared" si="124"/>
        <v>145.50784321212123</v>
      </c>
      <c r="H210" s="51">
        <f t="shared" si="124"/>
        <v>14.915002064516127</v>
      </c>
      <c r="I210" s="51">
        <f t="shared" si="124"/>
        <v>23.93105173333333</v>
      </c>
      <c r="J210" s="51">
        <f t="shared" si="124"/>
        <v>54.747394580645157</v>
      </c>
      <c r="K210" s="51">
        <f t="shared" si="124"/>
        <v>57.59855303225806</v>
      </c>
      <c r="L210" s="51">
        <f t="shared" si="124"/>
        <v>13.464525199999997</v>
      </c>
      <c r="M210" s="51">
        <f t="shared" si="124"/>
        <v>80.814957548387085</v>
      </c>
      <c r="N210" s="51">
        <f t="shared" si="124"/>
        <v>900.72162000000003</v>
      </c>
      <c r="O210" s="51">
        <f t="shared" si="124"/>
        <v>22.380390967741935</v>
      </c>
      <c r="P210" s="70">
        <f t="shared" si="115"/>
        <v>126.90889721512455</v>
      </c>
    </row>
    <row r="211" spans="2:16" x14ac:dyDescent="0.25">
      <c r="B211" s="54" t="s">
        <v>140</v>
      </c>
      <c r="C211" s="55" t="s">
        <v>138</v>
      </c>
      <c r="D211" s="52">
        <f>D203/D202</f>
        <v>0.35466666666666669</v>
      </c>
      <c r="E211" s="52">
        <f t="shared" ref="E211:O211" si="125">E203/E202</f>
        <v>0.49870689655172412</v>
      </c>
      <c r="F211" s="52">
        <f t="shared" si="125"/>
        <v>0.4</v>
      </c>
      <c r="G211" s="52">
        <f t="shared" si="125"/>
        <v>0.15537575757575758</v>
      </c>
      <c r="H211" s="52">
        <f t="shared" si="125"/>
        <v>0.13124999999999998</v>
      </c>
      <c r="I211" s="52">
        <f t="shared" si="125"/>
        <v>0.12976190476190477</v>
      </c>
      <c r="J211" s="52">
        <f t="shared" si="125"/>
        <v>0.37812500000000004</v>
      </c>
      <c r="K211" s="52">
        <f t="shared" si="125"/>
        <v>0.17299999999999999</v>
      </c>
      <c r="L211" s="52">
        <f t="shared" si="125"/>
        <v>0.29666666666666663</v>
      </c>
      <c r="M211" s="52">
        <f t="shared" si="125"/>
        <v>0.19549999999999998</v>
      </c>
      <c r="N211" s="52">
        <f t="shared" si="125"/>
        <v>0.67491166077738507</v>
      </c>
      <c r="O211" s="52">
        <f t="shared" si="125"/>
        <v>0.24561403508771931</v>
      </c>
      <c r="P211" s="53">
        <f t="shared" si="115"/>
        <v>0.30279821567398535</v>
      </c>
    </row>
    <row r="212" spans="2:16" x14ac:dyDescent="0.25">
      <c r="B212" s="54" t="s">
        <v>141</v>
      </c>
      <c r="C212" s="55" t="s">
        <v>138</v>
      </c>
      <c r="D212" s="52">
        <f>D203/D201</f>
        <v>1.3135802469135804</v>
      </c>
      <c r="E212" s="52">
        <f t="shared" ref="E212:O212" si="126">E203/E201</f>
        <v>2.1830188679245279</v>
      </c>
      <c r="F212" s="52">
        <f t="shared" si="126"/>
        <v>0.67500000000000004</v>
      </c>
      <c r="G212" s="52">
        <f t="shared" si="126"/>
        <v>0.73290451686678115</v>
      </c>
      <c r="H212" s="52">
        <f t="shared" si="126"/>
        <v>0.35660377358490558</v>
      </c>
      <c r="I212" s="52">
        <f t="shared" si="126"/>
        <v>0.2369565217391304</v>
      </c>
      <c r="J212" s="52">
        <f t="shared" si="126"/>
        <v>0.65405405405405403</v>
      </c>
      <c r="K212" s="52">
        <f t="shared" si="126"/>
        <v>0.34485049833887044</v>
      </c>
      <c r="L212" s="52">
        <f t="shared" si="126"/>
        <v>0.5680851063829786</v>
      </c>
      <c r="M212" s="52">
        <f t="shared" si="126"/>
        <v>0.31031746031746033</v>
      </c>
      <c r="N212" s="52">
        <f t="shared" si="126"/>
        <v>38.200000000000003</v>
      </c>
      <c r="O212" s="52">
        <f t="shared" si="126"/>
        <v>0.31111111111111112</v>
      </c>
      <c r="P212" s="53">
        <f t="shared" si="115"/>
        <v>3.8238735131027837</v>
      </c>
    </row>
    <row r="216" spans="2:16" x14ac:dyDescent="0.25">
      <c r="B216" s="479" t="s">
        <v>197</v>
      </c>
      <c r="C216" s="479"/>
      <c r="D216" s="479"/>
      <c r="E216" s="479"/>
      <c r="F216" s="479"/>
      <c r="G216" s="479"/>
      <c r="H216" s="479"/>
      <c r="I216" s="479"/>
      <c r="J216" s="479"/>
      <c r="K216" s="479"/>
      <c r="L216" s="479"/>
      <c r="M216" s="479"/>
      <c r="N216" s="479"/>
      <c r="O216" s="479"/>
      <c r="P216" s="479"/>
    </row>
    <row r="217" spans="2:16" x14ac:dyDescent="0.25">
      <c r="B217" s="98" t="s">
        <v>1</v>
      </c>
      <c r="C217" s="99" t="s">
        <v>2</v>
      </c>
      <c r="D217" s="99">
        <f>D$41</f>
        <v>1.24</v>
      </c>
      <c r="E217" s="99">
        <f>E$41</f>
        <v>2.2400000000000002</v>
      </c>
      <c r="F217" s="99">
        <f>F$41</f>
        <v>3.24</v>
      </c>
      <c r="G217" s="99">
        <f>G$41</f>
        <v>4.24</v>
      </c>
      <c r="H217" s="99">
        <f t="shared" ref="H217:M217" si="127">H$41</f>
        <v>5.24</v>
      </c>
      <c r="I217" s="99">
        <f t="shared" si="127"/>
        <v>6.24</v>
      </c>
      <c r="J217" s="99">
        <f t="shared" si="127"/>
        <v>7.24</v>
      </c>
      <c r="K217" s="99">
        <f t="shared" si="127"/>
        <v>8.24</v>
      </c>
      <c r="L217" s="99">
        <f t="shared" si="127"/>
        <v>9.24</v>
      </c>
      <c r="M217" s="99">
        <f t="shared" si="127"/>
        <v>10.24</v>
      </c>
      <c r="N217" s="99">
        <f>N$41</f>
        <v>11.24</v>
      </c>
      <c r="O217" s="99">
        <f>O$41</f>
        <v>12.24</v>
      </c>
      <c r="P217" s="99" t="s">
        <v>117</v>
      </c>
    </row>
    <row r="218" spans="2:16" x14ac:dyDescent="0.25">
      <c r="B218" s="54" t="s">
        <v>164</v>
      </c>
      <c r="C218" s="55" t="s">
        <v>204</v>
      </c>
      <c r="D218" s="68">
        <f>D179 * (1/31)</f>
        <v>544.12903225806451</v>
      </c>
      <c r="E218" s="68">
        <f>E179 * (1/29)</f>
        <v>646.86206896551721</v>
      </c>
      <c r="F218" s="68">
        <f>F179 * (1/31)</f>
        <v>663.09677419354841</v>
      </c>
      <c r="G218" s="68">
        <f>G179 * (1/30)</f>
        <v>439.66666666666669</v>
      </c>
      <c r="H218" s="68">
        <f>H179 * (1/31)</f>
        <v>555.74193548387098</v>
      </c>
      <c r="I218" s="68">
        <f>I179 * (1/30)</f>
        <v>386.5333333333333</v>
      </c>
      <c r="J218" s="68">
        <f>J179 * (1/31)</f>
        <v>398.29032258064512</v>
      </c>
      <c r="K218" s="68">
        <f>K179 * (1/31)</f>
        <v>390.77419354838707</v>
      </c>
      <c r="L218" s="68">
        <f>L179 * (1/30)</f>
        <v>355.13333333333333</v>
      </c>
      <c r="M218" s="68">
        <f>M179 * (1/31)</f>
        <v>727.77419354838707</v>
      </c>
      <c r="N218" s="68">
        <f>N179 * (1/30)</f>
        <v>332.1</v>
      </c>
      <c r="O218" s="68">
        <f>O179 * (1/31)</f>
        <v>375.25806451612902</v>
      </c>
      <c r="P218" s="70">
        <f t="shared" ref="P218:P223" si="128">AVERAGE(D218:O218)</f>
        <v>484.61332653565688</v>
      </c>
    </row>
    <row r="219" spans="2:16" x14ac:dyDescent="0.25">
      <c r="B219" s="54" t="s">
        <v>24</v>
      </c>
      <c r="C219" s="55" t="s">
        <v>36</v>
      </c>
      <c r="D219" s="60">
        <f t="shared" ref="D219:H222" si="129">D180*D$130 *(1/1000)</f>
        <v>3.9902795698924729</v>
      </c>
      <c r="E219" s="60">
        <f t="shared" si="129"/>
        <v>4.743655172413793</v>
      </c>
      <c r="F219" s="60">
        <f t="shared" si="129"/>
        <v>4.862709677419355</v>
      </c>
      <c r="G219" s="60">
        <f t="shared" si="129"/>
        <v>3.2242222222222221</v>
      </c>
      <c r="H219" s="51">
        <f t="shared" si="129"/>
        <v>2.2229677419354839</v>
      </c>
      <c r="I219" s="51">
        <f t="shared" ref="I219:O219" si="130">I180*I$130 *(1/1000)</f>
        <v>2.3191999999999999</v>
      </c>
      <c r="J219" s="51">
        <f t="shared" si="130"/>
        <v>3.5846129032258061</v>
      </c>
      <c r="K219" s="51">
        <f t="shared" si="130"/>
        <v>2.7354193548387093</v>
      </c>
      <c r="L219" s="51">
        <f t="shared" si="130"/>
        <v>2.8410666666666669</v>
      </c>
      <c r="M219" s="51">
        <f t="shared" si="130"/>
        <v>7.2777419354838715</v>
      </c>
      <c r="N219" s="60">
        <f t="shared" si="130"/>
        <v>2.4354</v>
      </c>
      <c r="O219" s="60">
        <f t="shared" si="130"/>
        <v>2.7518924731182794</v>
      </c>
      <c r="P219" s="97">
        <f t="shared" si="128"/>
        <v>3.582430643101389</v>
      </c>
    </row>
    <row r="220" spans="2:16" x14ac:dyDescent="0.25">
      <c r="B220" s="54" t="s">
        <v>25</v>
      </c>
      <c r="C220" s="55" t="s">
        <v>36</v>
      </c>
      <c r="D220" s="60">
        <f t="shared" si="129"/>
        <v>13.127112903225807</v>
      </c>
      <c r="E220" s="60">
        <f t="shared" si="129"/>
        <v>15.605547413793104</v>
      </c>
      <c r="F220" s="60">
        <f t="shared" si="129"/>
        <v>15.997209677419356</v>
      </c>
      <c r="G220" s="60">
        <f t="shared" si="129"/>
        <v>10.606958333333335</v>
      </c>
      <c r="H220" s="51">
        <f t="shared" si="129"/>
        <v>7.7803870967741933</v>
      </c>
      <c r="I220" s="51">
        <f t="shared" ref="I220:O220" si="131">I181*I$130 *(1/1000)</f>
        <v>6.9575999999999993</v>
      </c>
      <c r="J220" s="51">
        <f t="shared" si="131"/>
        <v>8.7623870967741926</v>
      </c>
      <c r="K220" s="51">
        <f t="shared" si="131"/>
        <v>8.9878064516129044</v>
      </c>
      <c r="L220" s="51">
        <f t="shared" si="131"/>
        <v>10.654</v>
      </c>
      <c r="M220" s="51">
        <f t="shared" si="131"/>
        <v>33.477612903225804</v>
      </c>
      <c r="N220" s="51">
        <f t="shared" si="131"/>
        <v>9.963000000000001</v>
      </c>
      <c r="O220" s="51">
        <f t="shared" si="131"/>
        <v>3.7525806451612902</v>
      </c>
      <c r="P220" s="97">
        <f t="shared" si="128"/>
        <v>12.139350210109997</v>
      </c>
    </row>
    <row r="221" spans="2:16" x14ac:dyDescent="0.25">
      <c r="B221" s="54" t="s">
        <v>26</v>
      </c>
      <c r="C221" s="55" t="s">
        <v>36</v>
      </c>
      <c r="D221" s="60">
        <f t="shared" si="129"/>
        <v>6.6927870967741931</v>
      </c>
      <c r="E221" s="121">
        <f t="shared" si="129"/>
        <v>4.9161517241379311</v>
      </c>
      <c r="F221" s="60">
        <f t="shared" si="129"/>
        <v>8.1560903225806456</v>
      </c>
      <c r="G221" s="60">
        <f t="shared" si="129"/>
        <v>5.4078999999999997</v>
      </c>
      <c r="H221" s="60">
        <f t="shared" si="129"/>
        <v>6.8356258064516124</v>
      </c>
      <c r="I221" s="60">
        <f t="shared" ref="I221:O221" si="132">I182*I$130 *(1/1000)</f>
        <v>4.7543599999999993</v>
      </c>
      <c r="J221" s="60">
        <f t="shared" si="132"/>
        <v>4.8989709677419349</v>
      </c>
      <c r="K221" s="121">
        <f t="shared" si="132"/>
        <v>8.0108709677419352</v>
      </c>
      <c r="L221" s="121">
        <f t="shared" si="132"/>
        <v>5.327</v>
      </c>
      <c r="M221" s="121">
        <f t="shared" si="132"/>
        <v>7.059409677419354</v>
      </c>
      <c r="N221" s="121">
        <f t="shared" si="132"/>
        <v>4.9815000000000005</v>
      </c>
      <c r="O221" s="121">
        <f t="shared" si="132"/>
        <v>2.2515483870967743</v>
      </c>
      <c r="P221" s="97">
        <f t="shared" si="128"/>
        <v>5.7743512458286972</v>
      </c>
    </row>
    <row r="222" spans="2:16" x14ac:dyDescent="0.25">
      <c r="B222" s="54" t="s">
        <v>27</v>
      </c>
      <c r="C222" s="55" t="s">
        <v>36</v>
      </c>
      <c r="D222" s="61">
        <f t="shared" si="129"/>
        <v>1.4623467741935483</v>
      </c>
      <c r="E222" s="61">
        <f t="shared" si="129"/>
        <v>1.7384418103448276</v>
      </c>
      <c r="F222" s="61">
        <f t="shared" si="129"/>
        <v>1.7820725806451614</v>
      </c>
      <c r="G222" s="61">
        <f t="shared" si="129"/>
        <v>1.1816041666666668</v>
      </c>
      <c r="H222" s="52">
        <f t="shared" si="129"/>
        <v>1.0559096774193548</v>
      </c>
      <c r="I222" s="52">
        <f t="shared" ref="I222:O222" si="133">I183*I$130 *(1/1000)</f>
        <v>0.85037333333333331</v>
      </c>
      <c r="J222" s="52">
        <f t="shared" si="133"/>
        <v>0.83640967741935479</v>
      </c>
      <c r="K222" s="52">
        <f t="shared" si="133"/>
        <v>1.0941677419354838</v>
      </c>
      <c r="L222" s="52">
        <f t="shared" si="133"/>
        <v>1.1719399999999998</v>
      </c>
      <c r="M222" s="52">
        <f t="shared" si="133"/>
        <v>1.7466580645161289</v>
      </c>
      <c r="N222" s="52">
        <f t="shared" si="133"/>
        <v>1.2619800000000001</v>
      </c>
      <c r="O222" s="52">
        <f t="shared" si="133"/>
        <v>1.1257741935483871</v>
      </c>
      <c r="P222" s="53">
        <f t="shared" si="128"/>
        <v>1.2756398350018539</v>
      </c>
    </row>
    <row r="223" spans="2:16" x14ac:dyDescent="0.25">
      <c r="B223" s="54" t="s">
        <v>28</v>
      </c>
      <c r="C223" s="55" t="s">
        <v>36</v>
      </c>
      <c r="D223" s="52">
        <f t="shared" ref="D223:O223" si="134">D184*D$130 *(1/1000)</f>
        <v>0.27206451612903226</v>
      </c>
      <c r="E223" s="52">
        <f t="shared" si="134"/>
        <v>0.25874482758620693</v>
      </c>
      <c r="F223" s="52">
        <f t="shared" si="134"/>
        <v>0.53047741935483872</v>
      </c>
      <c r="G223" s="52">
        <f t="shared" si="134"/>
        <v>0.17586666666666667</v>
      </c>
      <c r="H223" s="52">
        <f t="shared" si="134"/>
        <v>0.27787096774193548</v>
      </c>
      <c r="I223" s="52">
        <f t="shared" si="134"/>
        <v>0.27057333333333328</v>
      </c>
      <c r="J223" s="52">
        <f t="shared" si="134"/>
        <v>0.27880322580645156</v>
      </c>
      <c r="K223" s="52">
        <f t="shared" si="134"/>
        <v>0.74247096774193544</v>
      </c>
      <c r="L223" s="52">
        <f t="shared" si="134"/>
        <v>0.53270000000000006</v>
      </c>
      <c r="M223" s="52">
        <f t="shared" si="134"/>
        <v>1.4555483870967743</v>
      </c>
      <c r="N223" s="52">
        <f t="shared" si="134"/>
        <v>0.26568000000000003</v>
      </c>
      <c r="O223" s="52">
        <f t="shared" si="134"/>
        <v>0.50284580645161292</v>
      </c>
      <c r="P223" s="53">
        <f t="shared" si="128"/>
        <v>0.46363717649239894</v>
      </c>
    </row>
    <row r="224" spans="2:16" x14ac:dyDescent="0.25">
      <c r="B224" s="5" t="s">
        <v>4</v>
      </c>
      <c r="C224" s="8" t="s">
        <v>5</v>
      </c>
      <c r="D224" s="51">
        <f>D185</f>
        <v>6.6</v>
      </c>
      <c r="E224" s="51">
        <f t="shared" ref="E224:O224" si="135">E185</f>
        <v>7</v>
      </c>
      <c r="F224" s="51">
        <f t="shared" si="135"/>
        <v>6.8</v>
      </c>
      <c r="G224" s="51">
        <f t="shared" si="135"/>
        <v>6.8</v>
      </c>
      <c r="H224" s="51">
        <f t="shared" si="135"/>
        <v>7</v>
      </c>
      <c r="I224" s="51">
        <f t="shared" si="135"/>
        <v>7.1</v>
      </c>
      <c r="J224" s="51">
        <f t="shared" si="135"/>
        <v>7.3</v>
      </c>
      <c r="K224" s="51">
        <f t="shared" si="135"/>
        <v>7.3</v>
      </c>
      <c r="L224" s="51">
        <f t="shared" si="135"/>
        <v>7.2</v>
      </c>
      <c r="M224" s="51">
        <f t="shared" si="135"/>
        <v>6.8</v>
      </c>
      <c r="N224" s="51">
        <f t="shared" si="135"/>
        <v>6.8</v>
      </c>
      <c r="O224" s="51">
        <f t="shared" si="135"/>
        <v>7</v>
      </c>
      <c r="P224" s="97">
        <f t="shared" ref="P224:P231" si="136">AVERAGE(D224:O224)</f>
        <v>6.9750000000000005</v>
      </c>
    </row>
    <row r="225" spans="2:16" x14ac:dyDescent="0.25">
      <c r="B225" s="5" t="s">
        <v>8</v>
      </c>
      <c r="C225" s="55" t="s">
        <v>36</v>
      </c>
      <c r="D225" s="61">
        <f t="shared" ref="D225:O225" si="137">D186*D$130 *(1/1000)</f>
        <v>0.33191870967741938</v>
      </c>
      <c r="E225" s="61">
        <f t="shared" si="137"/>
        <v>0.39458586206896545</v>
      </c>
      <c r="F225" s="52">
        <f t="shared" si="137"/>
        <v>1.0211690322580647</v>
      </c>
      <c r="G225" s="61">
        <f t="shared" si="137"/>
        <v>0.26819666666666664</v>
      </c>
      <c r="H225" s="52">
        <f t="shared" si="137"/>
        <v>0.23341161290322582</v>
      </c>
      <c r="I225" s="52">
        <f t="shared" si="137"/>
        <v>0.11982533333333333</v>
      </c>
      <c r="J225" s="52">
        <f t="shared" si="137"/>
        <v>0.24693999999999997</v>
      </c>
      <c r="K225" s="52">
        <f t="shared" si="137"/>
        <v>0.12504774193548387</v>
      </c>
      <c r="L225" s="52">
        <f t="shared" si="137"/>
        <v>0.16336133333333333</v>
      </c>
      <c r="M225" s="52">
        <f t="shared" si="137"/>
        <v>0.3274983870967742</v>
      </c>
      <c r="N225" s="128" t="s">
        <v>9</v>
      </c>
      <c r="O225" s="52">
        <f t="shared" si="137"/>
        <v>0.28519612903225805</v>
      </c>
      <c r="P225" s="53">
        <f t="shared" si="136"/>
        <v>0.31974098257322958</v>
      </c>
    </row>
    <row r="226" spans="2:16" x14ac:dyDescent="0.25">
      <c r="B226" s="5" t="s">
        <v>30</v>
      </c>
      <c r="C226" s="55" t="s">
        <v>36</v>
      </c>
      <c r="D226" s="61">
        <f t="shared" ref="D226:O226" si="138">D187*D$130 *(1/1000)</f>
        <v>0.59854193548387102</v>
      </c>
      <c r="E226" s="61">
        <f t="shared" si="138"/>
        <v>0.71154827586206904</v>
      </c>
      <c r="F226" s="61">
        <f t="shared" si="138"/>
        <v>0.72940645161290329</v>
      </c>
      <c r="G226" s="61">
        <f t="shared" si="138"/>
        <v>0.48363333333333342</v>
      </c>
      <c r="H226" s="61">
        <f t="shared" si="138"/>
        <v>0.61131612903225818</v>
      </c>
      <c r="I226" s="61">
        <f t="shared" si="138"/>
        <v>0.42518666666666666</v>
      </c>
      <c r="J226" s="61">
        <f t="shared" si="138"/>
        <v>0.43811935483870967</v>
      </c>
      <c r="K226" s="61">
        <f t="shared" si="138"/>
        <v>0.42985161290322582</v>
      </c>
      <c r="L226" s="61">
        <f t="shared" si="138"/>
        <v>0.3906466666666667</v>
      </c>
      <c r="M226" s="61">
        <f t="shared" si="138"/>
        <v>0.80055161290322585</v>
      </c>
      <c r="N226" s="52">
        <f t="shared" si="138"/>
        <v>0.36531000000000008</v>
      </c>
      <c r="O226" s="61">
        <f t="shared" si="138"/>
        <v>0.41278387096774199</v>
      </c>
      <c r="P226" s="53">
        <f t="shared" si="136"/>
        <v>0.5330746591892227</v>
      </c>
    </row>
    <row r="227" spans="2:16" ht="16.5" thickBot="1" x14ac:dyDescent="0.3">
      <c r="B227" s="38" t="s">
        <v>119</v>
      </c>
      <c r="C227" s="57" t="s">
        <v>36</v>
      </c>
      <c r="D227" s="130">
        <f t="shared" ref="D227:O227" si="139">D188*D$130 *(1/1000)</f>
        <v>0.27206451612903226</v>
      </c>
      <c r="E227" s="130">
        <f t="shared" si="139"/>
        <v>0.32343103448275862</v>
      </c>
      <c r="F227" s="130">
        <f t="shared" si="139"/>
        <v>0.3315483870967742</v>
      </c>
      <c r="G227" s="130">
        <f t="shared" si="139"/>
        <v>0.21983333333333335</v>
      </c>
      <c r="H227" s="100">
        <f t="shared" si="139"/>
        <v>0.2222967741935484</v>
      </c>
      <c r="I227" s="100">
        <f t="shared" si="139"/>
        <v>0.15461333333333335</v>
      </c>
      <c r="J227" s="100">
        <f t="shared" si="139"/>
        <v>0.15931612903225806</v>
      </c>
      <c r="K227" s="100">
        <f t="shared" si="139"/>
        <v>0.27354193548387096</v>
      </c>
      <c r="L227" s="100">
        <f t="shared" si="139"/>
        <v>0.21307999999999999</v>
      </c>
      <c r="M227" s="100">
        <f t="shared" si="139"/>
        <v>0.36388709677419356</v>
      </c>
      <c r="N227" s="130">
        <f t="shared" si="139"/>
        <v>0.16605</v>
      </c>
      <c r="O227" s="130">
        <f t="shared" si="139"/>
        <v>0.18762903225806452</v>
      </c>
      <c r="P227" s="101">
        <f t="shared" si="136"/>
        <v>0.24060763100976393</v>
      </c>
    </row>
    <row r="228" spans="2:16" x14ac:dyDescent="0.25">
      <c r="B228" s="54" t="s">
        <v>136</v>
      </c>
      <c r="C228" s="59" t="s">
        <v>138</v>
      </c>
      <c r="D228" s="50">
        <f>D219/D220</f>
        <v>0.3039723661485319</v>
      </c>
      <c r="E228" s="50">
        <f>E219/E220</f>
        <v>0.3039723661485319</v>
      </c>
      <c r="F228" s="50">
        <f>F219/F220</f>
        <v>0.30397236614853196</v>
      </c>
      <c r="G228" s="50">
        <f>G219/G220</f>
        <v>0.3039723661485319</v>
      </c>
      <c r="H228" s="50">
        <f>H219/H220</f>
        <v>0.2857142857142857</v>
      </c>
      <c r="I228" s="50">
        <f t="shared" ref="I228:O228" si="140">I219/I220</f>
        <v>0.33333333333333337</v>
      </c>
      <c r="J228" s="50">
        <f t="shared" si="140"/>
        <v>0.40909090909090912</v>
      </c>
      <c r="K228" s="50">
        <f t="shared" si="140"/>
        <v>0.30434782608695643</v>
      </c>
      <c r="L228" s="50">
        <f t="shared" si="140"/>
        <v>0.26666666666666666</v>
      </c>
      <c r="M228" s="50">
        <f t="shared" si="140"/>
        <v>0.21739130434782611</v>
      </c>
      <c r="N228" s="50">
        <f t="shared" si="140"/>
        <v>0.24444444444444441</v>
      </c>
      <c r="O228" s="50">
        <f t="shared" si="140"/>
        <v>0.73333333333333328</v>
      </c>
      <c r="P228" s="71">
        <f t="shared" si="136"/>
        <v>0.33418429730099025</v>
      </c>
    </row>
    <row r="229" spans="2:16" x14ac:dyDescent="0.25">
      <c r="B229" s="54" t="s">
        <v>139</v>
      </c>
      <c r="C229" s="55" t="s">
        <v>36</v>
      </c>
      <c r="D229" s="51">
        <f t="shared" ref="D229:O229" si="141">D221*1.42</f>
        <v>9.5037576774193546</v>
      </c>
      <c r="E229" s="51">
        <f t="shared" si="141"/>
        <v>6.9809354482758614</v>
      </c>
      <c r="F229" s="51">
        <f t="shared" si="141"/>
        <v>11.581648258064517</v>
      </c>
      <c r="G229" s="51">
        <f t="shared" si="141"/>
        <v>7.6792179999999988</v>
      </c>
      <c r="H229" s="51">
        <f t="shared" si="141"/>
        <v>9.7065886451612897</v>
      </c>
      <c r="I229" s="51">
        <f t="shared" si="141"/>
        <v>6.7511911999999983</v>
      </c>
      <c r="J229" s="51">
        <f t="shared" si="141"/>
        <v>6.9565387741935467</v>
      </c>
      <c r="K229" s="51">
        <f t="shared" si="141"/>
        <v>11.375436774193547</v>
      </c>
      <c r="L229" s="51">
        <f t="shared" si="141"/>
        <v>7.5643399999999996</v>
      </c>
      <c r="M229" s="51">
        <f t="shared" si="141"/>
        <v>10.024361741935483</v>
      </c>
      <c r="N229" s="51">
        <f t="shared" si="141"/>
        <v>7.0737300000000003</v>
      </c>
      <c r="O229" s="51">
        <f t="shared" si="141"/>
        <v>3.1971987096774193</v>
      </c>
      <c r="P229" s="53">
        <f t="shared" si="136"/>
        <v>8.1995787690767514</v>
      </c>
    </row>
    <row r="230" spans="2:16" x14ac:dyDescent="0.25">
      <c r="B230" s="54" t="s">
        <v>140</v>
      </c>
      <c r="C230" s="55" t="s">
        <v>138</v>
      </c>
      <c r="D230" s="52">
        <f t="shared" ref="D230:O230" si="142">D221/D220</f>
        <v>0.50984455958549213</v>
      </c>
      <c r="E230" s="52">
        <f t="shared" si="142"/>
        <v>0.31502590673575126</v>
      </c>
      <c r="F230" s="52">
        <f t="shared" si="142"/>
        <v>0.50984455958549224</v>
      </c>
      <c r="G230" s="52">
        <f t="shared" si="142"/>
        <v>0.50984455958549213</v>
      </c>
      <c r="H230" s="52">
        <f t="shared" si="142"/>
        <v>0.87857142857142856</v>
      </c>
      <c r="I230" s="52">
        <f t="shared" si="142"/>
        <v>0.68333333333333324</v>
      </c>
      <c r="J230" s="52">
        <f t="shared" si="142"/>
        <v>0.55909090909090908</v>
      </c>
      <c r="K230" s="52">
        <f t="shared" si="142"/>
        <v>0.89130434782608681</v>
      </c>
      <c r="L230" s="52">
        <f t="shared" si="142"/>
        <v>0.5</v>
      </c>
      <c r="M230" s="52">
        <f t="shared" si="142"/>
        <v>0.21086956521739128</v>
      </c>
      <c r="N230" s="52">
        <f t="shared" si="142"/>
        <v>0.5</v>
      </c>
      <c r="O230" s="52">
        <f t="shared" si="142"/>
        <v>0.60000000000000009</v>
      </c>
      <c r="P230" s="53">
        <f t="shared" si="136"/>
        <v>0.55564409746094812</v>
      </c>
    </row>
    <row r="231" spans="2:16" x14ac:dyDescent="0.25">
      <c r="B231" s="54" t="s">
        <v>141</v>
      </c>
      <c r="C231" s="55" t="s">
        <v>138</v>
      </c>
      <c r="D231" s="52">
        <f t="shared" ref="D231:O231" si="143">D221/D219</f>
        <v>1.6772727272727272</v>
      </c>
      <c r="E231" s="52">
        <f t="shared" si="143"/>
        <v>1.0363636363636364</v>
      </c>
      <c r="F231" s="52">
        <f t="shared" si="143"/>
        <v>1.6772727272727272</v>
      </c>
      <c r="G231" s="52">
        <f t="shared" si="143"/>
        <v>1.6772727272727272</v>
      </c>
      <c r="H231" s="52">
        <f t="shared" si="143"/>
        <v>3.0749999999999997</v>
      </c>
      <c r="I231" s="52">
        <f t="shared" si="143"/>
        <v>2.0499999999999998</v>
      </c>
      <c r="J231" s="52">
        <f t="shared" si="143"/>
        <v>1.3666666666666667</v>
      </c>
      <c r="K231" s="52">
        <f t="shared" si="143"/>
        <v>2.9285714285714288</v>
      </c>
      <c r="L231" s="52">
        <f t="shared" si="143"/>
        <v>1.8749999999999998</v>
      </c>
      <c r="M231" s="52">
        <f t="shared" si="143"/>
        <v>0.96999999999999986</v>
      </c>
      <c r="N231" s="52">
        <f t="shared" si="143"/>
        <v>2.0454545454545459</v>
      </c>
      <c r="O231" s="52">
        <f t="shared" si="143"/>
        <v>0.81818181818181823</v>
      </c>
      <c r="P231" s="53">
        <f t="shared" si="136"/>
        <v>1.766421356421356</v>
      </c>
    </row>
    <row r="235" spans="2:16" x14ac:dyDescent="0.25">
      <c r="B235" s="469" t="s">
        <v>421</v>
      </c>
      <c r="C235" s="469"/>
      <c r="D235" s="469"/>
      <c r="E235" s="469"/>
      <c r="F235" s="469"/>
      <c r="G235" s="469"/>
      <c r="H235" s="469"/>
      <c r="I235" s="469"/>
      <c r="J235" s="469"/>
      <c r="K235" s="469"/>
      <c r="L235" s="469"/>
      <c r="M235" s="469"/>
      <c r="N235" s="469"/>
      <c r="O235" s="469"/>
      <c r="P235" s="469"/>
    </row>
    <row r="236" spans="2:16" x14ac:dyDescent="0.25">
      <c r="B236" s="469"/>
      <c r="C236" s="469"/>
      <c r="D236" s="469"/>
      <c r="E236" s="469"/>
      <c r="F236" s="469"/>
      <c r="G236" s="469"/>
      <c r="H236" s="469"/>
      <c r="I236" s="469"/>
      <c r="J236" s="469"/>
      <c r="K236" s="469"/>
      <c r="L236" s="469"/>
      <c r="M236" s="469"/>
      <c r="N236" s="469"/>
      <c r="O236" s="469"/>
      <c r="P236" s="469"/>
    </row>
    <row r="240" spans="2:16" x14ac:dyDescent="0.25">
      <c r="B240" s="475" t="s">
        <v>190</v>
      </c>
      <c r="C240" s="475"/>
      <c r="D240" s="475"/>
      <c r="E240" s="475"/>
      <c r="F240" s="475"/>
      <c r="G240" s="475"/>
      <c r="H240" s="475"/>
      <c r="I240" s="475"/>
      <c r="J240" s="475"/>
      <c r="K240" s="475"/>
      <c r="L240" s="475"/>
      <c r="M240" s="475"/>
      <c r="N240" s="475"/>
      <c r="O240" s="475"/>
      <c r="P240" s="475"/>
    </row>
    <row r="241" spans="2:20" x14ac:dyDescent="0.25">
      <c r="B241" s="115" t="s">
        <v>1</v>
      </c>
      <c r="C241" s="116" t="s">
        <v>2</v>
      </c>
      <c r="D241" s="116">
        <f>D$21</f>
        <v>1.24</v>
      </c>
      <c r="E241" s="116">
        <f t="shared" ref="E241:O241" si="144">E$21</f>
        <v>2.2400000000000002</v>
      </c>
      <c r="F241" s="116">
        <f t="shared" si="144"/>
        <v>3.24</v>
      </c>
      <c r="G241" s="116">
        <f t="shared" si="144"/>
        <v>4.24</v>
      </c>
      <c r="H241" s="116">
        <f t="shared" si="144"/>
        <v>5.24</v>
      </c>
      <c r="I241" s="116">
        <f t="shared" si="144"/>
        <v>6.24</v>
      </c>
      <c r="J241" s="116">
        <f t="shared" si="144"/>
        <v>7.24</v>
      </c>
      <c r="K241" s="116">
        <f t="shared" si="144"/>
        <v>8.24</v>
      </c>
      <c r="L241" s="116">
        <f t="shared" si="144"/>
        <v>9.24</v>
      </c>
      <c r="M241" s="116">
        <f t="shared" si="144"/>
        <v>10.24</v>
      </c>
      <c r="N241" s="116">
        <f t="shared" si="144"/>
        <v>11.24</v>
      </c>
      <c r="O241" s="116">
        <f t="shared" si="144"/>
        <v>12.24</v>
      </c>
      <c r="P241" s="116" t="s">
        <v>117</v>
      </c>
      <c r="Q241" s="116" t="s">
        <v>422</v>
      </c>
      <c r="R241" s="116" t="s">
        <v>423</v>
      </c>
      <c r="S241" s="11" t="s">
        <v>424</v>
      </c>
    </row>
    <row r="242" spans="2:20" x14ac:dyDescent="0.25">
      <c r="B242" s="54" t="s">
        <v>164</v>
      </c>
      <c r="C242" s="55" t="s">
        <v>203</v>
      </c>
      <c r="D242" s="1">
        <f>D73</f>
        <v>16868</v>
      </c>
      <c r="E242" s="1">
        <f t="shared" ref="E242:P242" si="145">E73</f>
        <v>18759</v>
      </c>
      <c r="F242" s="1">
        <f t="shared" si="145"/>
        <v>20556</v>
      </c>
      <c r="G242" s="1">
        <f t="shared" si="145"/>
        <v>13190</v>
      </c>
      <c r="H242" s="1">
        <f t="shared" si="145"/>
        <v>17228</v>
      </c>
      <c r="I242" s="1">
        <f t="shared" si="145"/>
        <v>11596</v>
      </c>
      <c r="J242" s="1">
        <f t="shared" si="145"/>
        <v>12347</v>
      </c>
      <c r="K242" s="1">
        <f t="shared" si="145"/>
        <v>12114</v>
      </c>
      <c r="L242" s="1">
        <f t="shared" si="145"/>
        <v>10654</v>
      </c>
      <c r="M242" s="1">
        <f t="shared" si="145"/>
        <v>22561</v>
      </c>
      <c r="N242" s="1">
        <f t="shared" si="145"/>
        <v>9963</v>
      </c>
      <c r="O242" s="1">
        <f t="shared" si="145"/>
        <v>11633</v>
      </c>
      <c r="P242" s="70">
        <f t="shared" si="145"/>
        <v>14789.083333333334</v>
      </c>
      <c r="Q242" s="183">
        <f>STDEV(D242:O242)</f>
        <v>4220.2327695031072</v>
      </c>
      <c r="R242" s="144">
        <f>P242-2*Q242</f>
        <v>6348.6177943271196</v>
      </c>
      <c r="S242">
        <f>P242+2*Q242</f>
        <v>23229.548872339547</v>
      </c>
      <c r="T242" t="s">
        <v>425</v>
      </c>
    </row>
    <row r="243" spans="2:20" x14ac:dyDescent="0.25">
      <c r="B243" s="54" t="s">
        <v>24</v>
      </c>
      <c r="C243" s="55" t="s">
        <v>3</v>
      </c>
      <c r="D243" s="117">
        <f t="shared" ref="D243:P243" si="146">D74</f>
        <v>81</v>
      </c>
      <c r="E243" s="117">
        <f t="shared" si="146"/>
        <v>53</v>
      </c>
      <c r="F243" s="117">
        <f t="shared" si="146"/>
        <v>32</v>
      </c>
      <c r="G243" s="117">
        <f t="shared" si="146"/>
        <v>318</v>
      </c>
      <c r="H243" s="117">
        <f t="shared" si="146"/>
        <v>53</v>
      </c>
      <c r="I243" s="117">
        <f t="shared" si="146"/>
        <v>184</v>
      </c>
      <c r="J243" s="117">
        <f t="shared" si="146"/>
        <v>148</v>
      </c>
      <c r="K243" s="117">
        <f t="shared" si="146"/>
        <v>301</v>
      </c>
      <c r="L243" s="117">
        <f t="shared" si="146"/>
        <v>47</v>
      </c>
      <c r="M243" s="117">
        <f t="shared" si="146"/>
        <v>252</v>
      </c>
      <c r="N243" s="117">
        <f t="shared" si="146"/>
        <v>50</v>
      </c>
      <c r="O243" s="117">
        <f t="shared" si="146"/>
        <v>135</v>
      </c>
      <c r="P243" s="70">
        <f t="shared" si="146"/>
        <v>137.83333333333334</v>
      </c>
      <c r="Q243" s="183">
        <f t="shared" ref="Q243:Q250" si="147">STDEV(D243:O243)</f>
        <v>104.07587558501672</v>
      </c>
      <c r="R243" s="144">
        <f t="shared" ref="R243:R250" si="148">P243-2*Q243</f>
        <v>-70.318417836700092</v>
      </c>
      <c r="S243">
        <f t="shared" ref="S243:S250" si="149">P243+2*Q243</f>
        <v>345.98508450336681</v>
      </c>
      <c r="T243" t="s">
        <v>425</v>
      </c>
    </row>
    <row r="244" spans="2:20" x14ac:dyDescent="0.25">
      <c r="B244" s="54" t="s">
        <v>25</v>
      </c>
      <c r="C244" s="55" t="s">
        <v>3</v>
      </c>
      <c r="D244" s="117">
        <f t="shared" ref="D244:P244" si="150">D75</f>
        <v>300</v>
      </c>
      <c r="E244" s="117">
        <f t="shared" si="150"/>
        <v>232</v>
      </c>
      <c r="F244" s="117">
        <f t="shared" si="150"/>
        <v>54</v>
      </c>
      <c r="G244" s="117">
        <f t="shared" si="150"/>
        <v>1500</v>
      </c>
      <c r="H244" s="117">
        <f t="shared" si="150"/>
        <v>144</v>
      </c>
      <c r="I244" s="117">
        <f t="shared" si="150"/>
        <v>336</v>
      </c>
      <c r="J244" s="117">
        <f t="shared" si="150"/>
        <v>256</v>
      </c>
      <c r="K244" s="117">
        <f t="shared" si="150"/>
        <v>600</v>
      </c>
      <c r="L244" s="117">
        <f t="shared" si="150"/>
        <v>90</v>
      </c>
      <c r="M244" s="117">
        <f t="shared" si="150"/>
        <v>400</v>
      </c>
      <c r="N244" s="185">
        <f t="shared" si="150"/>
        <v>2830</v>
      </c>
      <c r="O244" s="117">
        <f t="shared" si="150"/>
        <v>171</v>
      </c>
      <c r="P244" s="70">
        <f t="shared" si="150"/>
        <v>576.08333333333337</v>
      </c>
      <c r="Q244" s="183">
        <f t="shared" si="147"/>
        <v>807.89765984800249</v>
      </c>
      <c r="R244" s="144">
        <f t="shared" si="148"/>
        <v>-1039.7119863626717</v>
      </c>
      <c r="S244">
        <f t="shared" si="149"/>
        <v>2191.8786530293382</v>
      </c>
      <c r="T244" t="s">
        <v>426</v>
      </c>
    </row>
    <row r="245" spans="2:20" x14ac:dyDescent="0.25">
      <c r="B245" s="54" t="s">
        <v>26</v>
      </c>
      <c r="C245" s="55" t="s">
        <v>3</v>
      </c>
      <c r="D245" s="117">
        <f t="shared" ref="D245:P245" si="151">D76</f>
        <v>106.4</v>
      </c>
      <c r="E245" s="117">
        <f t="shared" si="151"/>
        <v>115.7</v>
      </c>
      <c r="F245" s="117">
        <f t="shared" si="151"/>
        <v>21.6</v>
      </c>
      <c r="G245" s="117">
        <f t="shared" si="151"/>
        <v>500</v>
      </c>
      <c r="H245" s="117">
        <f t="shared" si="151"/>
        <v>18.899999999999999</v>
      </c>
      <c r="I245" s="117">
        <f t="shared" si="151"/>
        <v>43.6</v>
      </c>
      <c r="J245" s="117">
        <f t="shared" si="151"/>
        <v>96.8</v>
      </c>
      <c r="K245" s="117">
        <f t="shared" si="151"/>
        <v>103.8</v>
      </c>
      <c r="L245" s="117">
        <f t="shared" si="151"/>
        <v>26.7</v>
      </c>
      <c r="M245" s="117">
        <f t="shared" si="151"/>
        <v>78.2</v>
      </c>
      <c r="N245" s="185">
        <f t="shared" si="151"/>
        <v>1910</v>
      </c>
      <c r="O245" s="117">
        <f t="shared" si="151"/>
        <v>42</v>
      </c>
      <c r="P245" s="70">
        <f t="shared" si="151"/>
        <v>255.30833333333331</v>
      </c>
      <c r="Q245" s="183">
        <f t="shared" si="147"/>
        <v>537.00184942687008</v>
      </c>
      <c r="R245" s="144">
        <f t="shared" si="148"/>
        <v>-818.69536552040688</v>
      </c>
      <c r="S245">
        <f t="shared" si="149"/>
        <v>1329.3120321870736</v>
      </c>
      <c r="T245" t="s">
        <v>426</v>
      </c>
    </row>
    <row r="246" spans="2:20" x14ac:dyDescent="0.25">
      <c r="B246" s="54" t="s">
        <v>27</v>
      </c>
      <c r="C246" s="55" t="s">
        <v>3</v>
      </c>
      <c r="D246" s="117">
        <f t="shared" ref="D246:P246" si="152">D77</f>
        <v>11.2</v>
      </c>
      <c r="E246" s="117">
        <f t="shared" si="152"/>
        <v>10</v>
      </c>
      <c r="F246" s="117">
        <f t="shared" si="152"/>
        <v>9.4</v>
      </c>
      <c r="G246" s="117">
        <f t="shared" si="152"/>
        <v>72</v>
      </c>
      <c r="H246" s="117">
        <f t="shared" si="152"/>
        <v>5.9</v>
      </c>
      <c r="I246" s="117">
        <f t="shared" si="152"/>
        <v>19.2</v>
      </c>
      <c r="J246" s="117">
        <f t="shared" si="152"/>
        <v>52.8</v>
      </c>
      <c r="K246" s="117">
        <f t="shared" si="152"/>
        <v>42.6</v>
      </c>
      <c r="L246" s="117">
        <f t="shared" si="152"/>
        <v>6.4</v>
      </c>
      <c r="M246" s="117">
        <f t="shared" si="152"/>
        <v>31</v>
      </c>
      <c r="N246" s="185">
        <f t="shared" si="152"/>
        <v>91.8</v>
      </c>
      <c r="O246" s="117">
        <f t="shared" si="152"/>
        <v>17.899999999999999</v>
      </c>
      <c r="P246" s="97">
        <f t="shared" si="152"/>
        <v>30.849999999999998</v>
      </c>
      <c r="Q246" s="182">
        <f t="shared" si="147"/>
        <v>28.336917776831502</v>
      </c>
      <c r="R246" s="144">
        <f t="shared" si="148"/>
        <v>-25.823835553663006</v>
      </c>
      <c r="S246" s="13">
        <f t="shared" si="149"/>
        <v>87.523835553663005</v>
      </c>
      <c r="T246" t="s">
        <v>426</v>
      </c>
    </row>
    <row r="247" spans="2:20" x14ac:dyDescent="0.25">
      <c r="B247" s="54" t="s">
        <v>28</v>
      </c>
      <c r="C247" s="55" t="s">
        <v>3</v>
      </c>
      <c r="D247" s="117">
        <f t="shared" ref="D247:P247" si="153">D78</f>
        <v>1.3</v>
      </c>
      <c r="E247" s="117">
        <f t="shared" si="153"/>
        <v>2.2999999999999998</v>
      </c>
      <c r="F247" s="117">
        <f t="shared" si="153"/>
        <v>1.3</v>
      </c>
      <c r="G247" s="185">
        <f t="shared" si="153"/>
        <v>19.899999999999999</v>
      </c>
      <c r="H247" s="117">
        <f t="shared" si="153"/>
        <v>0.5</v>
      </c>
      <c r="I247" s="117">
        <f t="shared" si="153"/>
        <v>1.3</v>
      </c>
      <c r="J247" s="117">
        <f t="shared" si="153"/>
        <v>4</v>
      </c>
      <c r="K247" s="117">
        <f t="shared" si="153"/>
        <v>4.7</v>
      </c>
      <c r="L247" s="117">
        <f t="shared" si="153"/>
        <v>0.5</v>
      </c>
      <c r="M247" s="117">
        <f t="shared" si="153"/>
        <v>0.8</v>
      </c>
      <c r="N247" s="185">
        <f t="shared" si="153"/>
        <v>18.96</v>
      </c>
      <c r="O247" s="117">
        <f t="shared" si="153"/>
        <v>2.27</v>
      </c>
      <c r="P247" s="53">
        <f t="shared" si="153"/>
        <v>4.8191666666666668</v>
      </c>
      <c r="Q247" s="181">
        <f t="shared" si="147"/>
        <v>6.9514033355383242</v>
      </c>
      <c r="R247" s="144">
        <f t="shared" si="148"/>
        <v>-9.0836400044099825</v>
      </c>
      <c r="S247" s="13">
        <f t="shared" si="149"/>
        <v>18.721973337743314</v>
      </c>
      <c r="T247" t="s">
        <v>426</v>
      </c>
    </row>
    <row r="248" spans="2:20" x14ac:dyDescent="0.25">
      <c r="B248" s="54" t="s">
        <v>4</v>
      </c>
      <c r="C248" s="8" t="s">
        <v>5</v>
      </c>
      <c r="D248" s="117">
        <f t="shared" ref="D248:P248" si="154">D79</f>
        <v>6.5</v>
      </c>
      <c r="E248" s="117">
        <f t="shared" si="154"/>
        <v>6.8</v>
      </c>
      <c r="F248" s="117">
        <f t="shared" si="154"/>
        <v>6.8</v>
      </c>
      <c r="G248" s="117">
        <f t="shared" si="154"/>
        <v>6.7</v>
      </c>
      <c r="H248" s="117">
        <f t="shared" si="154"/>
        <v>6.5</v>
      </c>
      <c r="I248" s="117">
        <f t="shared" si="154"/>
        <v>7</v>
      </c>
      <c r="J248" s="117">
        <f t="shared" si="154"/>
        <v>7.3</v>
      </c>
      <c r="K248" s="121">
        <f t="shared" si="154"/>
        <v>7.4</v>
      </c>
      <c r="L248" s="117">
        <f t="shared" si="154"/>
        <v>6.6</v>
      </c>
      <c r="M248" s="117">
        <f t="shared" si="154"/>
        <v>6.9</v>
      </c>
      <c r="N248" s="117">
        <f t="shared" si="154"/>
        <v>6.6</v>
      </c>
      <c r="O248" s="117">
        <f t="shared" si="154"/>
        <v>6.7</v>
      </c>
      <c r="P248" s="97">
        <f t="shared" si="154"/>
        <v>6.8166666666666664</v>
      </c>
      <c r="Q248" s="182">
        <f>STDEV(D248:O248)</f>
        <v>0.29180732539042809</v>
      </c>
      <c r="R248" s="144">
        <f t="shared" si="148"/>
        <v>6.2330520158858107</v>
      </c>
      <c r="S248" s="13">
        <f t="shared" si="149"/>
        <v>7.4002813174475222</v>
      </c>
      <c r="T248" t="s">
        <v>425</v>
      </c>
    </row>
    <row r="249" spans="2:20" x14ac:dyDescent="0.25">
      <c r="B249" s="127" t="s">
        <v>30</v>
      </c>
      <c r="C249" s="8" t="s">
        <v>3</v>
      </c>
      <c r="D249" s="117">
        <f t="shared" ref="D249:P249" si="155">D80</f>
        <v>14.6</v>
      </c>
      <c r="E249" s="117">
        <f t="shared" si="155"/>
        <v>14</v>
      </c>
      <c r="F249" s="117">
        <f t="shared" si="155"/>
        <v>14</v>
      </c>
      <c r="G249" s="117">
        <f t="shared" si="155"/>
        <v>14</v>
      </c>
      <c r="H249" s="117">
        <f t="shared" si="155"/>
        <v>13.5</v>
      </c>
      <c r="I249" s="117">
        <f t="shared" si="155"/>
        <v>25.8</v>
      </c>
      <c r="J249" s="117">
        <f t="shared" si="155"/>
        <v>7.1</v>
      </c>
      <c r="K249" s="185">
        <f t="shared" si="155"/>
        <v>61</v>
      </c>
      <c r="L249" s="117">
        <f t="shared" si="155"/>
        <v>5</v>
      </c>
      <c r="M249" s="117">
        <f t="shared" si="155"/>
        <v>5</v>
      </c>
      <c r="N249" s="117">
        <f t="shared" si="155"/>
        <v>1.4</v>
      </c>
      <c r="O249" s="117">
        <f t="shared" si="155"/>
        <v>0.86</v>
      </c>
      <c r="P249" s="97">
        <f t="shared" si="155"/>
        <v>14.688333333333334</v>
      </c>
      <c r="Q249" s="182">
        <f t="shared" si="147"/>
        <v>16.192573962009604</v>
      </c>
      <c r="R249" s="144">
        <f t="shared" si="148"/>
        <v>-17.696814590685875</v>
      </c>
      <c r="S249" s="13">
        <f t="shared" si="149"/>
        <v>47.07348125735254</v>
      </c>
      <c r="T249" t="s">
        <v>426</v>
      </c>
    </row>
    <row r="250" spans="2:20" ht="16.5" thickBot="1" x14ac:dyDescent="0.3">
      <c r="B250" s="56" t="s">
        <v>119</v>
      </c>
      <c r="C250" s="39" t="s">
        <v>3</v>
      </c>
      <c r="D250" s="119">
        <f t="shared" ref="D250:P250" si="156">D81</f>
        <v>1.2</v>
      </c>
      <c r="E250" s="119">
        <f t="shared" si="156"/>
        <v>0.6</v>
      </c>
      <c r="F250" s="119">
        <f t="shared" si="156"/>
        <v>0.9</v>
      </c>
      <c r="G250" s="186">
        <f t="shared" si="156"/>
        <v>9.1999999999999993</v>
      </c>
      <c r="H250" s="119">
        <f t="shared" si="156"/>
        <v>0.7</v>
      </c>
      <c r="I250" s="119">
        <f t="shared" si="156"/>
        <v>2.7</v>
      </c>
      <c r="J250" s="119">
        <f t="shared" si="156"/>
        <v>2</v>
      </c>
      <c r="K250" s="119">
        <f t="shared" si="156"/>
        <v>4.2</v>
      </c>
      <c r="L250" s="119">
        <f t="shared" si="156"/>
        <v>1.2</v>
      </c>
      <c r="M250" s="119">
        <f t="shared" si="156"/>
        <v>1.7</v>
      </c>
      <c r="N250" s="119">
        <f t="shared" si="156"/>
        <v>0.2</v>
      </c>
      <c r="O250" s="119">
        <f t="shared" si="156"/>
        <v>0.2</v>
      </c>
      <c r="P250" s="95">
        <f t="shared" si="156"/>
        <v>2.066666666666666</v>
      </c>
      <c r="Q250" s="182">
        <f t="shared" si="147"/>
        <v>2.5194997098389971</v>
      </c>
      <c r="R250" s="144">
        <f t="shared" si="148"/>
        <v>-2.9723327530113282</v>
      </c>
      <c r="S250" s="13">
        <f t="shared" si="149"/>
        <v>7.1056660863446606</v>
      </c>
      <c r="T250" t="s">
        <v>426</v>
      </c>
    </row>
    <row r="251" spans="2:20" x14ac:dyDescent="0.25">
      <c r="B251" s="58" t="s">
        <v>136</v>
      </c>
      <c r="C251" s="59" t="s">
        <v>138</v>
      </c>
      <c r="D251" s="118">
        <f t="shared" ref="D251:P251" si="157">D82</f>
        <v>0.27</v>
      </c>
      <c r="E251" s="126">
        <f t="shared" si="157"/>
        <v>0.22844827586206898</v>
      </c>
      <c r="F251" s="126">
        <f t="shared" si="157"/>
        <v>0.59259259259259256</v>
      </c>
      <c r="G251" s="126">
        <f t="shared" si="157"/>
        <v>0.21199999999999999</v>
      </c>
      <c r="H251" s="126">
        <f t="shared" si="157"/>
        <v>0.36805555555555558</v>
      </c>
      <c r="I251" s="126">
        <f t="shared" si="157"/>
        <v>0.54761904761904767</v>
      </c>
      <c r="J251" s="126">
        <f t="shared" si="157"/>
        <v>0.578125</v>
      </c>
      <c r="K251" s="126">
        <f t="shared" si="157"/>
        <v>0.50166666666666671</v>
      </c>
      <c r="L251" s="126">
        <f t="shared" si="157"/>
        <v>0.52222222222222225</v>
      </c>
      <c r="M251" s="126">
        <f t="shared" si="157"/>
        <v>0.63</v>
      </c>
      <c r="N251" s="126">
        <f t="shared" si="157"/>
        <v>1.7667844522968199E-2</v>
      </c>
      <c r="O251" s="126">
        <f t="shared" si="157"/>
        <v>0.78947368421052633</v>
      </c>
      <c r="P251" s="71">
        <f t="shared" si="157"/>
        <v>0.43815590743763738</v>
      </c>
    </row>
    <row r="252" spans="2:20" x14ac:dyDescent="0.25">
      <c r="B252" s="54" t="s">
        <v>139</v>
      </c>
      <c r="C252" s="55" t="s">
        <v>3</v>
      </c>
      <c r="D252" s="125">
        <f t="shared" ref="D252:P252" si="158">D83</f>
        <v>151.08799999999999</v>
      </c>
      <c r="E252" s="125">
        <f t="shared" si="158"/>
        <v>164.29399999999998</v>
      </c>
      <c r="F252" s="125">
        <f t="shared" si="158"/>
        <v>30.672000000000001</v>
      </c>
      <c r="G252" s="125">
        <f t="shared" si="158"/>
        <v>710</v>
      </c>
      <c r="H252" s="125">
        <f t="shared" si="158"/>
        <v>26.837999999999997</v>
      </c>
      <c r="I252" s="125">
        <f t="shared" si="158"/>
        <v>61.911999999999999</v>
      </c>
      <c r="J252" s="125">
        <f t="shared" si="158"/>
        <v>137.45599999999999</v>
      </c>
      <c r="K252" s="125">
        <f t="shared" si="158"/>
        <v>147.39599999999999</v>
      </c>
      <c r="L252" s="125">
        <f t="shared" si="158"/>
        <v>37.913999999999994</v>
      </c>
      <c r="M252" s="125">
        <f t="shared" si="158"/>
        <v>111.044</v>
      </c>
      <c r="N252" s="125">
        <f t="shared" si="158"/>
        <v>2712.2</v>
      </c>
      <c r="O252" s="125">
        <f t="shared" si="158"/>
        <v>59.64</v>
      </c>
      <c r="P252" s="70">
        <f t="shared" si="158"/>
        <v>362.53783333333337</v>
      </c>
    </row>
    <row r="253" spans="2:20" x14ac:dyDescent="0.25">
      <c r="B253" s="54" t="s">
        <v>140</v>
      </c>
      <c r="C253" s="55" t="s">
        <v>138</v>
      </c>
      <c r="D253" s="120">
        <f t="shared" ref="D253:P253" si="159">D84</f>
        <v>0.35466666666666669</v>
      </c>
      <c r="E253" s="120">
        <f t="shared" si="159"/>
        <v>0.49870689655172418</v>
      </c>
      <c r="F253" s="120">
        <f t="shared" si="159"/>
        <v>0.4</v>
      </c>
      <c r="G253" s="120">
        <f t="shared" si="159"/>
        <v>0.33333333333333331</v>
      </c>
      <c r="H253" s="120">
        <f t="shared" si="159"/>
        <v>0.13124999999999998</v>
      </c>
      <c r="I253" s="120">
        <f t="shared" si="159"/>
        <v>0.12976190476190477</v>
      </c>
      <c r="J253" s="120">
        <f t="shared" si="159"/>
        <v>0.37812499999999999</v>
      </c>
      <c r="K253" s="120">
        <f t="shared" si="159"/>
        <v>0.17299999999999999</v>
      </c>
      <c r="L253" s="120">
        <f t="shared" si="159"/>
        <v>0.29666666666666663</v>
      </c>
      <c r="M253" s="120">
        <f t="shared" si="159"/>
        <v>0.19550000000000001</v>
      </c>
      <c r="N253" s="120">
        <f t="shared" si="159"/>
        <v>0.67491166077738518</v>
      </c>
      <c r="O253" s="120">
        <f t="shared" si="159"/>
        <v>0.24561403508771928</v>
      </c>
      <c r="P253" s="53">
        <f t="shared" si="159"/>
        <v>0.31762801365378329</v>
      </c>
    </row>
    <row r="254" spans="2:20" x14ac:dyDescent="0.25">
      <c r="B254" s="54" t="s">
        <v>141</v>
      </c>
      <c r="C254" s="55" t="s">
        <v>138</v>
      </c>
      <c r="D254" s="120">
        <f t="shared" ref="D254:P254" si="160">D85</f>
        <v>1.3135802469135802</v>
      </c>
      <c r="E254" s="120">
        <f t="shared" si="160"/>
        <v>2.1830188679245284</v>
      </c>
      <c r="F254" s="120">
        <f t="shared" si="160"/>
        <v>0.67500000000000004</v>
      </c>
      <c r="G254" s="120">
        <f t="shared" si="160"/>
        <v>1.5723270440251573</v>
      </c>
      <c r="H254" s="120">
        <f t="shared" si="160"/>
        <v>0.35660377358490564</v>
      </c>
      <c r="I254" s="120">
        <f t="shared" si="160"/>
        <v>0.23695652173913045</v>
      </c>
      <c r="J254" s="120">
        <f t="shared" si="160"/>
        <v>0.65405405405405403</v>
      </c>
      <c r="K254" s="120">
        <f t="shared" si="160"/>
        <v>0.34485049833887044</v>
      </c>
      <c r="L254" s="120">
        <f t="shared" si="160"/>
        <v>0.56808510638297871</v>
      </c>
      <c r="M254" s="120">
        <f t="shared" si="160"/>
        <v>0.31031746031746033</v>
      </c>
      <c r="N254" s="120">
        <f t="shared" si="160"/>
        <v>38.200000000000003</v>
      </c>
      <c r="O254" s="120">
        <f t="shared" si="160"/>
        <v>0.31111111111111112</v>
      </c>
      <c r="P254" s="97">
        <f t="shared" si="160"/>
        <v>3.8938253903659814</v>
      </c>
      <c r="R254" s="191">
        <f>COUNT(D243:O250)-COUNT(D248:O248)</f>
        <v>84</v>
      </c>
    </row>
    <row r="255" spans="2:20" x14ac:dyDescent="0.25">
      <c r="L255" s="114"/>
      <c r="M255" s="114"/>
      <c r="N255" s="114"/>
      <c r="O255" s="114"/>
      <c r="P255" s="114"/>
    </row>
    <row r="256" spans="2:20" x14ac:dyDescent="0.25">
      <c r="L256" s="114"/>
      <c r="M256" s="114"/>
      <c r="N256" s="114"/>
      <c r="O256" s="114"/>
      <c r="P256" s="114"/>
    </row>
    <row r="257" spans="2:20" x14ac:dyDescent="0.25">
      <c r="L257" s="114"/>
      <c r="M257" s="114"/>
      <c r="N257" s="114"/>
      <c r="O257" s="114"/>
      <c r="P257" s="114"/>
    </row>
    <row r="258" spans="2:20" x14ac:dyDescent="0.25">
      <c r="B258" s="478" t="s">
        <v>195</v>
      </c>
      <c r="C258" s="478"/>
      <c r="D258" s="478"/>
      <c r="E258" s="478"/>
      <c r="F258" s="478"/>
      <c r="G258" s="478"/>
      <c r="H258" s="478"/>
      <c r="I258" s="478"/>
      <c r="J258" s="478"/>
      <c r="K258" s="478"/>
      <c r="L258" s="478"/>
      <c r="M258" s="478"/>
      <c r="N258" s="478"/>
      <c r="O258" s="478"/>
      <c r="P258" s="478"/>
    </row>
    <row r="259" spans="2:20" x14ac:dyDescent="0.25">
      <c r="B259" s="98" t="s">
        <v>1</v>
      </c>
      <c r="C259" s="99" t="s">
        <v>2</v>
      </c>
      <c r="D259" s="99">
        <f>D$41</f>
        <v>1.24</v>
      </c>
      <c r="E259" s="99">
        <f>E$41</f>
        <v>2.2400000000000002</v>
      </c>
      <c r="F259" s="99">
        <f>F$41</f>
        <v>3.24</v>
      </c>
      <c r="G259" s="99">
        <f>G$41</f>
        <v>4.24</v>
      </c>
      <c r="H259" s="99">
        <f t="shared" ref="H259:M259" si="161">H$41</f>
        <v>5.24</v>
      </c>
      <c r="I259" s="99">
        <f t="shared" si="161"/>
        <v>6.24</v>
      </c>
      <c r="J259" s="99">
        <f t="shared" si="161"/>
        <v>7.24</v>
      </c>
      <c r="K259" s="99">
        <f t="shared" si="161"/>
        <v>8.24</v>
      </c>
      <c r="L259" s="99">
        <f t="shared" si="161"/>
        <v>9.24</v>
      </c>
      <c r="M259" s="99">
        <f t="shared" si="161"/>
        <v>10.24</v>
      </c>
      <c r="N259" s="99">
        <f>N$41</f>
        <v>11.24</v>
      </c>
      <c r="O259" s="99">
        <f>O$41</f>
        <v>12.24</v>
      </c>
      <c r="P259" s="99" t="s">
        <v>117</v>
      </c>
      <c r="Q259" s="99" t="s">
        <v>422</v>
      </c>
      <c r="R259" s="99" t="s">
        <v>423</v>
      </c>
      <c r="S259" s="99" t="s">
        <v>424</v>
      </c>
    </row>
    <row r="260" spans="2:20" x14ac:dyDescent="0.25">
      <c r="B260" s="54" t="s">
        <v>164</v>
      </c>
      <c r="C260" s="55" t="s">
        <v>203</v>
      </c>
      <c r="D260" s="6">
        <f>D91</f>
        <v>16868</v>
      </c>
      <c r="E260" s="22">
        <f t="shared" ref="E260:P260" si="162">E91</f>
        <v>18759</v>
      </c>
      <c r="F260" s="22">
        <f t="shared" si="162"/>
        <v>20556</v>
      </c>
      <c r="G260" s="22">
        <f t="shared" si="162"/>
        <v>13190</v>
      </c>
      <c r="H260" s="6">
        <f t="shared" si="162"/>
        <v>17228</v>
      </c>
      <c r="I260" s="6">
        <f t="shared" si="162"/>
        <v>11596</v>
      </c>
      <c r="J260" s="6">
        <f t="shared" si="162"/>
        <v>12347</v>
      </c>
      <c r="K260" s="6">
        <f t="shared" si="162"/>
        <v>12114</v>
      </c>
      <c r="L260" s="6">
        <f t="shared" si="162"/>
        <v>10654</v>
      </c>
      <c r="M260" s="6">
        <f t="shared" si="162"/>
        <v>22561</v>
      </c>
      <c r="N260" s="22">
        <f t="shared" si="162"/>
        <v>9963</v>
      </c>
      <c r="O260" s="22">
        <f t="shared" si="162"/>
        <v>11633</v>
      </c>
      <c r="P260" s="70">
        <f t="shared" si="162"/>
        <v>14789.083333333334</v>
      </c>
      <c r="Q260" s="183">
        <f t="shared" ref="Q260:Q269" si="163">STDEV(D260:O260)</f>
        <v>4220.2327695031072</v>
      </c>
      <c r="R260" s="144">
        <f>P260-2*Q260</f>
        <v>6348.6177943271196</v>
      </c>
      <c r="S260">
        <f>P260+2*Q260</f>
        <v>23229.548872339547</v>
      </c>
      <c r="T260" t="s">
        <v>425</v>
      </c>
    </row>
    <row r="261" spans="2:20" x14ac:dyDescent="0.25">
      <c r="B261" s="54" t="s">
        <v>24</v>
      </c>
      <c r="C261" s="55" t="s">
        <v>3</v>
      </c>
      <c r="D261" s="6">
        <f t="shared" ref="D261:P261" si="164">D92</f>
        <v>15</v>
      </c>
      <c r="E261" s="6">
        <f t="shared" si="164"/>
        <v>15</v>
      </c>
      <c r="F261" s="6">
        <f t="shared" si="164"/>
        <v>15</v>
      </c>
      <c r="G261" s="6">
        <f t="shared" si="164"/>
        <v>15</v>
      </c>
      <c r="H261" s="6">
        <f t="shared" si="164"/>
        <v>4</v>
      </c>
      <c r="I261" s="6">
        <f t="shared" si="164"/>
        <v>6</v>
      </c>
      <c r="J261" s="6">
        <f t="shared" si="164"/>
        <v>9</v>
      </c>
      <c r="K261" s="6">
        <f t="shared" si="164"/>
        <v>7</v>
      </c>
      <c r="L261" s="6">
        <f t="shared" si="164"/>
        <v>8</v>
      </c>
      <c r="M261" s="6">
        <f t="shared" si="164"/>
        <v>10</v>
      </c>
      <c r="N261" s="6">
        <f t="shared" si="164"/>
        <v>5</v>
      </c>
      <c r="O261" s="6">
        <f t="shared" si="164"/>
        <v>5</v>
      </c>
      <c r="P261" s="70">
        <f t="shared" si="164"/>
        <v>9.5</v>
      </c>
      <c r="Q261" s="183">
        <f t="shared" si="163"/>
        <v>4.4004132037385268</v>
      </c>
      <c r="R261" s="144">
        <f t="shared" ref="R261:R268" si="165">P261-2*Q261</f>
        <v>0.69917359252294631</v>
      </c>
      <c r="S261">
        <f t="shared" ref="S261:S268" si="166">P261+2*Q261</f>
        <v>18.300826407477054</v>
      </c>
      <c r="T261" t="s">
        <v>425</v>
      </c>
    </row>
    <row r="262" spans="2:20" x14ac:dyDescent="0.25">
      <c r="B262" s="54" t="s">
        <v>25</v>
      </c>
      <c r="C262" s="55" t="s">
        <v>3</v>
      </c>
      <c r="D262" s="6">
        <f t="shared" ref="D262:P262" si="167">D93</f>
        <v>20</v>
      </c>
      <c r="E262" s="6">
        <f t="shared" si="167"/>
        <v>20</v>
      </c>
      <c r="F262" s="6">
        <f t="shared" si="167"/>
        <v>20</v>
      </c>
      <c r="G262" s="6">
        <f t="shared" si="167"/>
        <v>20</v>
      </c>
      <c r="H262" s="6">
        <f t="shared" si="167"/>
        <v>14</v>
      </c>
      <c r="I262" s="6">
        <f t="shared" si="167"/>
        <v>18</v>
      </c>
      <c r="J262" s="6">
        <f t="shared" si="167"/>
        <v>22</v>
      </c>
      <c r="K262" s="6">
        <f t="shared" si="167"/>
        <v>23</v>
      </c>
      <c r="L262" s="6">
        <f t="shared" si="167"/>
        <v>30</v>
      </c>
      <c r="M262" s="185">
        <f t="shared" si="167"/>
        <v>46</v>
      </c>
      <c r="N262" s="6">
        <f t="shared" si="167"/>
        <v>30</v>
      </c>
      <c r="O262" s="6">
        <f t="shared" si="167"/>
        <v>10</v>
      </c>
      <c r="P262" s="70">
        <f t="shared" si="167"/>
        <v>22.75</v>
      </c>
      <c r="Q262" s="183">
        <f t="shared" si="163"/>
        <v>9.2355538299256619</v>
      </c>
      <c r="R262" s="144">
        <f t="shared" si="165"/>
        <v>4.2788923401486763</v>
      </c>
      <c r="S262">
        <f t="shared" si="166"/>
        <v>41.221107659851327</v>
      </c>
      <c r="T262" t="s">
        <v>426</v>
      </c>
    </row>
    <row r="263" spans="2:20" x14ac:dyDescent="0.25">
      <c r="B263" s="54" t="s">
        <v>26</v>
      </c>
      <c r="C263" s="55" t="s">
        <v>3</v>
      </c>
      <c r="D263" s="6">
        <f t="shared" ref="D263:P263" si="168">D94</f>
        <v>5</v>
      </c>
      <c r="E263" s="6">
        <f t="shared" si="168"/>
        <v>7.6</v>
      </c>
      <c r="F263" s="6">
        <f t="shared" si="168"/>
        <v>5</v>
      </c>
      <c r="G263" s="6">
        <f t="shared" si="168"/>
        <v>5</v>
      </c>
      <c r="H263" s="6">
        <f t="shared" si="168"/>
        <v>2</v>
      </c>
      <c r="I263" s="6">
        <f t="shared" si="168"/>
        <v>2</v>
      </c>
      <c r="J263" s="6">
        <f t="shared" si="168"/>
        <v>2</v>
      </c>
      <c r="K263" s="185">
        <f t="shared" si="168"/>
        <v>20.5</v>
      </c>
      <c r="L263" s="6">
        <f t="shared" si="168"/>
        <v>15</v>
      </c>
      <c r="M263" s="6">
        <f t="shared" si="168"/>
        <v>9.6999999999999993</v>
      </c>
      <c r="N263" s="6">
        <f t="shared" si="168"/>
        <v>15</v>
      </c>
      <c r="O263" s="6">
        <f t="shared" si="168"/>
        <v>6</v>
      </c>
      <c r="P263" s="70">
        <f t="shared" si="168"/>
        <v>7.8999999999999995</v>
      </c>
      <c r="Q263" s="183">
        <f t="shared" si="163"/>
        <v>6.0013634814401655</v>
      </c>
      <c r="R263" s="144">
        <f t="shared" si="165"/>
        <v>-4.1027269628803316</v>
      </c>
      <c r="S263">
        <f t="shared" si="166"/>
        <v>19.90272696288033</v>
      </c>
      <c r="T263" t="s">
        <v>426</v>
      </c>
    </row>
    <row r="264" spans="2:20" x14ac:dyDescent="0.25">
      <c r="B264" s="54" t="s">
        <v>27</v>
      </c>
      <c r="C264" s="55" t="s">
        <v>3</v>
      </c>
      <c r="D264" s="6">
        <f t="shared" ref="D264:P264" si="169">D95</f>
        <v>5</v>
      </c>
      <c r="E264" s="6">
        <f t="shared" si="169"/>
        <v>5</v>
      </c>
      <c r="F264" s="6">
        <f t="shared" si="169"/>
        <v>5</v>
      </c>
      <c r="G264" s="6">
        <f t="shared" si="169"/>
        <v>5</v>
      </c>
      <c r="H264" s="6">
        <f t="shared" si="169"/>
        <v>1.9</v>
      </c>
      <c r="I264" s="6">
        <f t="shared" si="169"/>
        <v>2.2000000000000002</v>
      </c>
      <c r="J264" s="6">
        <f t="shared" si="169"/>
        <v>2.1</v>
      </c>
      <c r="K264" s="6">
        <f t="shared" si="169"/>
        <v>2.8</v>
      </c>
      <c r="L264" s="6">
        <f t="shared" si="169"/>
        <v>3.3</v>
      </c>
      <c r="M264" s="6">
        <f t="shared" si="169"/>
        <v>2.4</v>
      </c>
      <c r="N264" s="6">
        <f t="shared" si="169"/>
        <v>3.8</v>
      </c>
      <c r="O264" s="6">
        <f t="shared" si="169"/>
        <v>3</v>
      </c>
      <c r="P264" s="97">
        <f t="shared" si="169"/>
        <v>3.4583333333333326</v>
      </c>
      <c r="Q264" s="182">
        <f t="shared" si="163"/>
        <v>1.2529661776856733</v>
      </c>
      <c r="R264" s="144">
        <f t="shared" si="165"/>
        <v>0.95240097796198597</v>
      </c>
      <c r="S264" s="13">
        <f t="shared" si="166"/>
        <v>5.9642656887046792</v>
      </c>
      <c r="T264" t="s">
        <v>425</v>
      </c>
    </row>
    <row r="265" spans="2:20" x14ac:dyDescent="0.25">
      <c r="B265" s="54" t="s">
        <v>28</v>
      </c>
      <c r="C265" s="55" t="s">
        <v>3</v>
      </c>
      <c r="D265" s="6">
        <f t="shared" ref="D265:P265" si="170">D96</f>
        <v>0.5</v>
      </c>
      <c r="E265" s="6">
        <f t="shared" si="170"/>
        <v>0.4</v>
      </c>
      <c r="F265" s="6">
        <f t="shared" si="170"/>
        <v>0.8</v>
      </c>
      <c r="G265" s="6">
        <f t="shared" si="170"/>
        <v>0.4</v>
      </c>
      <c r="H265" s="6">
        <f t="shared" si="170"/>
        <v>0.5</v>
      </c>
      <c r="I265" s="6">
        <f t="shared" si="170"/>
        <v>0.7</v>
      </c>
      <c r="J265" s="6">
        <f t="shared" si="170"/>
        <v>0.7</v>
      </c>
      <c r="K265" s="6">
        <f t="shared" si="170"/>
        <v>1.9</v>
      </c>
      <c r="L265" s="6">
        <f t="shared" si="170"/>
        <v>1.5</v>
      </c>
      <c r="M265" s="6">
        <f t="shared" si="170"/>
        <v>2</v>
      </c>
      <c r="N265" s="6">
        <f t="shared" si="170"/>
        <v>0.8</v>
      </c>
      <c r="O265" s="6">
        <f t="shared" si="170"/>
        <v>1.34</v>
      </c>
      <c r="P265" s="53">
        <f t="shared" si="170"/>
        <v>0.96166666666666678</v>
      </c>
      <c r="Q265" s="181">
        <f t="shared" si="163"/>
        <v>0.57508629128526656</v>
      </c>
      <c r="R265" s="144">
        <f t="shared" si="165"/>
        <v>-0.18850591590386634</v>
      </c>
      <c r="S265" s="13">
        <f t="shared" si="166"/>
        <v>2.1118392492372</v>
      </c>
      <c r="T265" t="s">
        <v>425</v>
      </c>
    </row>
    <row r="266" spans="2:20" x14ac:dyDescent="0.25">
      <c r="B266" s="5" t="s">
        <v>4</v>
      </c>
      <c r="C266" s="8" t="s">
        <v>5</v>
      </c>
      <c r="D266" s="6">
        <f t="shared" ref="D266:P266" si="171">D97</f>
        <v>6.6</v>
      </c>
      <c r="E266" s="6">
        <f t="shared" si="171"/>
        <v>7</v>
      </c>
      <c r="F266" s="6">
        <f t="shared" si="171"/>
        <v>6.8</v>
      </c>
      <c r="G266" s="6">
        <f t="shared" si="171"/>
        <v>6.8</v>
      </c>
      <c r="H266" s="6">
        <f t="shared" si="171"/>
        <v>7</v>
      </c>
      <c r="I266" s="6">
        <f t="shared" si="171"/>
        <v>7.1</v>
      </c>
      <c r="J266" s="6">
        <f t="shared" si="171"/>
        <v>7.3</v>
      </c>
      <c r="K266" s="6">
        <f t="shared" si="171"/>
        <v>7.3</v>
      </c>
      <c r="L266" s="6">
        <f t="shared" si="171"/>
        <v>7.2</v>
      </c>
      <c r="M266" s="6">
        <f t="shared" si="171"/>
        <v>6.8</v>
      </c>
      <c r="N266" s="6">
        <f t="shared" si="171"/>
        <v>6.8</v>
      </c>
      <c r="O266" s="6">
        <f t="shared" si="171"/>
        <v>7</v>
      </c>
      <c r="P266" s="97">
        <f t="shared" si="171"/>
        <v>6.9750000000000005</v>
      </c>
      <c r="Q266" s="182">
        <f t="shared" si="163"/>
        <v>0.22207697273283838</v>
      </c>
      <c r="R266" s="13">
        <f t="shared" si="165"/>
        <v>6.5308460545343241</v>
      </c>
      <c r="S266" s="13">
        <f t="shared" si="166"/>
        <v>7.419153945465677</v>
      </c>
      <c r="T266" t="s">
        <v>425</v>
      </c>
    </row>
    <row r="267" spans="2:20" x14ac:dyDescent="0.25">
      <c r="B267" s="5" t="s">
        <v>8</v>
      </c>
      <c r="C267" s="8" t="s">
        <v>3</v>
      </c>
      <c r="D267" s="6">
        <f t="shared" ref="D267:P267" si="172">D98</f>
        <v>0.5</v>
      </c>
      <c r="E267" s="6">
        <f t="shared" si="172"/>
        <v>0.56999999999999995</v>
      </c>
      <c r="F267" s="185">
        <f t="shared" si="172"/>
        <v>1.54</v>
      </c>
      <c r="G267" s="6">
        <f t="shared" si="172"/>
        <v>0.5</v>
      </c>
      <c r="H267" s="6">
        <f t="shared" si="172"/>
        <v>0.42</v>
      </c>
      <c r="I267" s="6">
        <f t="shared" si="172"/>
        <v>0.31</v>
      </c>
      <c r="J267" s="6">
        <f t="shared" si="172"/>
        <v>0.62</v>
      </c>
      <c r="K267" s="6">
        <f t="shared" si="172"/>
        <v>0.32</v>
      </c>
      <c r="L267" s="6">
        <f t="shared" si="172"/>
        <v>0.46</v>
      </c>
      <c r="M267" s="6">
        <f t="shared" si="172"/>
        <v>0.45</v>
      </c>
      <c r="N267" s="6" t="str">
        <f t="shared" si="172"/>
        <v>---</v>
      </c>
      <c r="O267" s="6">
        <f t="shared" si="172"/>
        <v>0.76</v>
      </c>
      <c r="P267" s="53">
        <f t="shared" si="172"/>
        <v>0.58636363636363642</v>
      </c>
      <c r="Q267" s="181">
        <f t="shared" si="163"/>
        <v>0.34138754304375923</v>
      </c>
      <c r="R267" s="144">
        <f t="shared" si="165"/>
        <v>-9.6411449723882048E-2</v>
      </c>
      <c r="S267" s="13">
        <f t="shared" si="166"/>
        <v>1.2691387224511548</v>
      </c>
      <c r="T267" t="s">
        <v>426</v>
      </c>
    </row>
    <row r="268" spans="2:20" x14ac:dyDescent="0.25">
      <c r="B268" s="5" t="s">
        <v>30</v>
      </c>
      <c r="C268" s="8" t="s">
        <v>3</v>
      </c>
      <c r="D268" s="6">
        <f t="shared" ref="D268:P268" si="173">D99</f>
        <v>14</v>
      </c>
      <c r="E268" s="6">
        <f t="shared" si="173"/>
        <v>14</v>
      </c>
      <c r="F268" s="6">
        <f t="shared" si="173"/>
        <v>14</v>
      </c>
      <c r="G268" s="6">
        <f t="shared" si="173"/>
        <v>14</v>
      </c>
      <c r="H268" s="6">
        <f t="shared" si="173"/>
        <v>5</v>
      </c>
      <c r="I268" s="6">
        <f t="shared" si="173"/>
        <v>5</v>
      </c>
      <c r="J268" s="6">
        <f t="shared" si="173"/>
        <v>5</v>
      </c>
      <c r="K268" s="6">
        <f t="shared" si="173"/>
        <v>5</v>
      </c>
      <c r="L268" s="6">
        <f t="shared" si="173"/>
        <v>5</v>
      </c>
      <c r="M268" s="6">
        <f t="shared" si="173"/>
        <v>5</v>
      </c>
      <c r="N268" s="6">
        <f t="shared" si="173"/>
        <v>1.1000000000000001</v>
      </c>
      <c r="O268" s="6">
        <f t="shared" si="173"/>
        <v>0.5</v>
      </c>
      <c r="P268" s="97">
        <f t="shared" si="173"/>
        <v>7.3</v>
      </c>
      <c r="Q268" s="182">
        <f t="shared" si="163"/>
        <v>5.1872220626528742</v>
      </c>
      <c r="R268" s="144">
        <f t="shared" si="165"/>
        <v>-3.0744441253057486</v>
      </c>
      <c r="S268" s="13">
        <f t="shared" si="166"/>
        <v>17.674444125305747</v>
      </c>
      <c r="T268" t="s">
        <v>425</v>
      </c>
    </row>
    <row r="269" spans="2:20" ht="16.5" thickBot="1" x14ac:dyDescent="0.3">
      <c r="B269" s="38" t="s">
        <v>119</v>
      </c>
      <c r="C269" s="39" t="s">
        <v>3</v>
      </c>
      <c r="D269" s="40">
        <f t="shared" ref="D269:P269" si="174">D100</f>
        <v>0.5</v>
      </c>
      <c r="E269" s="40">
        <f t="shared" si="174"/>
        <v>0.5</v>
      </c>
      <c r="F269" s="40">
        <f t="shared" si="174"/>
        <v>0.5</v>
      </c>
      <c r="G269" s="40">
        <f t="shared" si="174"/>
        <v>0.5</v>
      </c>
      <c r="H269" s="40">
        <f t="shared" si="174"/>
        <v>0.4</v>
      </c>
      <c r="I269" s="40">
        <f t="shared" si="174"/>
        <v>0.4</v>
      </c>
      <c r="J269" s="40">
        <f t="shared" si="174"/>
        <v>0.4</v>
      </c>
      <c r="K269" s="40">
        <f t="shared" si="174"/>
        <v>0.7</v>
      </c>
      <c r="L269" s="40">
        <f t="shared" si="174"/>
        <v>0.6</v>
      </c>
      <c r="M269" s="40">
        <f t="shared" si="174"/>
        <v>0.5</v>
      </c>
      <c r="N269" s="40">
        <f t="shared" si="174"/>
        <v>0.2</v>
      </c>
      <c r="O269" s="40">
        <f t="shared" si="174"/>
        <v>0.2</v>
      </c>
      <c r="P269" s="101">
        <f t="shared" si="174"/>
        <v>0.44999999999999996</v>
      </c>
      <c r="Q269" s="181">
        <f t="shared" si="163"/>
        <v>0.14459976109624464</v>
      </c>
      <c r="R269" s="13">
        <f>P269-2*Q269</f>
        <v>0.16080047780751067</v>
      </c>
      <c r="S269" s="13">
        <f>P269+2*Q269</f>
        <v>0.73919952219248919</v>
      </c>
      <c r="T269" t="s">
        <v>425</v>
      </c>
    </row>
    <row r="270" spans="2:20" x14ac:dyDescent="0.25">
      <c r="B270" s="54" t="s">
        <v>136</v>
      </c>
      <c r="C270" s="55" t="s">
        <v>138</v>
      </c>
      <c r="D270" s="118">
        <f t="shared" ref="D270:P270" si="175">D101</f>
        <v>0.75</v>
      </c>
      <c r="E270" s="126">
        <f t="shared" si="175"/>
        <v>0.75</v>
      </c>
      <c r="F270" s="126">
        <f t="shared" si="175"/>
        <v>0.75</v>
      </c>
      <c r="G270" s="126">
        <f t="shared" si="175"/>
        <v>0.75</v>
      </c>
      <c r="H270" s="126">
        <f t="shared" si="175"/>
        <v>0.2857142857142857</v>
      </c>
      <c r="I270" s="126">
        <f t="shared" si="175"/>
        <v>0.33333333333333331</v>
      </c>
      <c r="J270" s="126">
        <f t="shared" si="175"/>
        <v>0.40909090909090912</v>
      </c>
      <c r="K270" s="126">
        <f t="shared" si="175"/>
        <v>0.30434782608695654</v>
      </c>
      <c r="L270" s="126">
        <f t="shared" si="175"/>
        <v>0.26666666666666666</v>
      </c>
      <c r="M270" s="126">
        <f t="shared" si="175"/>
        <v>0.21739130434782608</v>
      </c>
      <c r="N270" s="126">
        <f t="shared" si="175"/>
        <v>0.16666666666666666</v>
      </c>
      <c r="O270" s="126">
        <f t="shared" si="175"/>
        <v>0.5</v>
      </c>
      <c r="P270" s="71">
        <f t="shared" si="175"/>
        <v>0.45693424932555365</v>
      </c>
    </row>
    <row r="271" spans="2:20" x14ac:dyDescent="0.25">
      <c r="B271" s="54" t="s">
        <v>139</v>
      </c>
      <c r="C271" s="55" t="s">
        <v>3</v>
      </c>
      <c r="D271" s="125">
        <f t="shared" ref="D271:P271" si="176">D102</f>
        <v>7.1</v>
      </c>
      <c r="E271" s="125">
        <f t="shared" si="176"/>
        <v>10.792</v>
      </c>
      <c r="F271" s="125">
        <f t="shared" si="176"/>
        <v>7.1</v>
      </c>
      <c r="G271" s="125">
        <f t="shared" si="176"/>
        <v>7.1</v>
      </c>
      <c r="H271" s="125">
        <f t="shared" si="176"/>
        <v>2.84</v>
      </c>
      <c r="I271" s="125">
        <f t="shared" si="176"/>
        <v>2.84</v>
      </c>
      <c r="J271" s="125">
        <f t="shared" si="176"/>
        <v>2.84</v>
      </c>
      <c r="K271" s="125">
        <f t="shared" si="176"/>
        <v>29.11</v>
      </c>
      <c r="L271" s="125">
        <f t="shared" si="176"/>
        <v>21.299999999999997</v>
      </c>
      <c r="M271" s="125">
        <f t="shared" si="176"/>
        <v>13.773999999999999</v>
      </c>
      <c r="N271" s="125">
        <f t="shared" si="176"/>
        <v>21.299999999999997</v>
      </c>
      <c r="O271" s="125">
        <f t="shared" si="176"/>
        <v>8.52</v>
      </c>
      <c r="P271" s="97">
        <f t="shared" si="176"/>
        <v>11.218000000000002</v>
      </c>
    </row>
    <row r="272" spans="2:20" x14ac:dyDescent="0.25">
      <c r="B272" s="54" t="s">
        <v>140</v>
      </c>
      <c r="C272" s="55" t="s">
        <v>138</v>
      </c>
      <c r="D272" s="120">
        <f t="shared" ref="D272:P272" si="177">D103</f>
        <v>0.25</v>
      </c>
      <c r="E272" s="120">
        <f t="shared" si="177"/>
        <v>0.38</v>
      </c>
      <c r="F272" s="120">
        <f t="shared" si="177"/>
        <v>0.25</v>
      </c>
      <c r="G272" s="120">
        <f t="shared" si="177"/>
        <v>0.25</v>
      </c>
      <c r="H272" s="120">
        <f t="shared" si="177"/>
        <v>0.14285714285714285</v>
      </c>
      <c r="I272" s="120">
        <f t="shared" si="177"/>
        <v>0.1111111111111111</v>
      </c>
      <c r="J272" s="120">
        <f t="shared" si="177"/>
        <v>9.0909090909090912E-2</v>
      </c>
      <c r="K272" s="120">
        <f t="shared" si="177"/>
        <v>0.89130434782608692</v>
      </c>
      <c r="L272" s="120">
        <f t="shared" si="177"/>
        <v>0.5</v>
      </c>
      <c r="M272" s="120">
        <f t="shared" si="177"/>
        <v>0.21086956521739128</v>
      </c>
      <c r="N272" s="120">
        <f t="shared" si="177"/>
        <v>0.5</v>
      </c>
      <c r="O272" s="120">
        <f t="shared" si="177"/>
        <v>0.6</v>
      </c>
      <c r="P272" s="53">
        <f t="shared" si="177"/>
        <v>0.34808760482673523</v>
      </c>
      <c r="R272" s="191">
        <f>COUNT(D261:O269)-COUNT(D266:O266)</f>
        <v>95</v>
      </c>
    </row>
    <row r="273" spans="2:18" x14ac:dyDescent="0.25">
      <c r="B273" s="54" t="s">
        <v>141</v>
      </c>
      <c r="C273" s="55" t="s">
        <v>138</v>
      </c>
      <c r="D273" s="120">
        <f t="shared" ref="D273:P273" si="178">D104</f>
        <v>0.33333333333333331</v>
      </c>
      <c r="E273" s="120">
        <f t="shared" si="178"/>
        <v>0.5066666666666666</v>
      </c>
      <c r="F273" s="120">
        <f t="shared" si="178"/>
        <v>0.33333333333333331</v>
      </c>
      <c r="G273" s="120">
        <f t="shared" si="178"/>
        <v>0.33333333333333331</v>
      </c>
      <c r="H273" s="120">
        <f t="shared" si="178"/>
        <v>0.5</v>
      </c>
      <c r="I273" s="120">
        <f t="shared" si="178"/>
        <v>0.33333333333333331</v>
      </c>
      <c r="J273" s="120">
        <f t="shared" si="178"/>
        <v>0.22222222222222221</v>
      </c>
      <c r="K273" s="120">
        <f t="shared" si="178"/>
        <v>2.9285714285714284</v>
      </c>
      <c r="L273" s="120">
        <f t="shared" si="178"/>
        <v>1.875</v>
      </c>
      <c r="M273" s="120">
        <f t="shared" si="178"/>
        <v>0.97</v>
      </c>
      <c r="N273" s="120">
        <f t="shared" si="178"/>
        <v>3</v>
      </c>
      <c r="O273" s="120">
        <f t="shared" si="178"/>
        <v>1.2</v>
      </c>
      <c r="P273" s="53">
        <f t="shared" si="178"/>
        <v>1.0446494708994709</v>
      </c>
    </row>
    <row r="276" spans="2:18" x14ac:dyDescent="0.25">
      <c r="B276" s="184" t="s">
        <v>427</v>
      </c>
    </row>
    <row r="279" spans="2:18" ht="15.95" customHeight="1" x14ac:dyDescent="0.25">
      <c r="B279" s="475" t="s">
        <v>190</v>
      </c>
      <c r="C279" s="475"/>
      <c r="D279" s="475"/>
      <c r="E279" s="475"/>
      <c r="F279" s="475"/>
      <c r="G279" s="475"/>
      <c r="H279" s="475"/>
      <c r="I279" s="475"/>
      <c r="J279" s="475"/>
      <c r="K279" s="475"/>
      <c r="L279" s="475"/>
      <c r="M279" s="475"/>
      <c r="N279" s="475"/>
      <c r="O279" s="475"/>
      <c r="P279" s="475"/>
    </row>
    <row r="280" spans="2:18" x14ac:dyDescent="0.25">
      <c r="B280" s="115" t="s">
        <v>1</v>
      </c>
      <c r="C280" s="116" t="s">
        <v>2</v>
      </c>
      <c r="D280" s="116">
        <f>D$21</f>
        <v>1.24</v>
      </c>
      <c r="E280" s="116">
        <f t="shared" ref="E280:O280" si="179">E$21</f>
        <v>2.2400000000000002</v>
      </c>
      <c r="F280" s="116">
        <f t="shared" si="179"/>
        <v>3.24</v>
      </c>
      <c r="G280" s="116">
        <f t="shared" si="179"/>
        <v>4.24</v>
      </c>
      <c r="H280" s="116">
        <f t="shared" si="179"/>
        <v>5.24</v>
      </c>
      <c r="I280" s="116">
        <f t="shared" si="179"/>
        <v>6.24</v>
      </c>
      <c r="J280" s="116">
        <f t="shared" si="179"/>
        <v>7.24</v>
      </c>
      <c r="K280" s="116">
        <f t="shared" si="179"/>
        <v>8.24</v>
      </c>
      <c r="L280" s="116">
        <f t="shared" si="179"/>
        <v>9.24</v>
      </c>
      <c r="M280" s="116">
        <f t="shared" si="179"/>
        <v>10.24</v>
      </c>
      <c r="N280" s="116">
        <f t="shared" si="179"/>
        <v>11.24</v>
      </c>
      <c r="O280" s="116">
        <f t="shared" si="179"/>
        <v>12.24</v>
      </c>
      <c r="P280" s="116" t="s">
        <v>117</v>
      </c>
      <c r="Q280" t="s">
        <v>441</v>
      </c>
      <c r="R280" t="s">
        <v>442</v>
      </c>
    </row>
    <row r="281" spans="2:18" x14ac:dyDescent="0.25">
      <c r="B281" s="54" t="s">
        <v>164</v>
      </c>
      <c r="C281" s="55" t="s">
        <v>203</v>
      </c>
      <c r="D281" s="1">
        <f>IF(AND(D242&gt;= $R242, D242&lt;=$S242), D242, "-")</f>
        <v>16868</v>
      </c>
      <c r="E281" s="1">
        <f t="shared" ref="E281:O281" si="180">IF(AND(E242&gt;= $R242, E242&lt;=$S242), E242, "-")</f>
        <v>18759</v>
      </c>
      <c r="F281" s="1">
        <f t="shared" si="180"/>
        <v>20556</v>
      </c>
      <c r="G281" s="1">
        <f t="shared" si="180"/>
        <v>13190</v>
      </c>
      <c r="H281" s="1">
        <f t="shared" si="180"/>
        <v>17228</v>
      </c>
      <c r="I281" s="1">
        <f t="shared" si="180"/>
        <v>11596</v>
      </c>
      <c r="J281" s="1">
        <f t="shared" si="180"/>
        <v>12347</v>
      </c>
      <c r="K281" s="1">
        <f t="shared" si="180"/>
        <v>12114</v>
      </c>
      <c r="L281" s="1">
        <f t="shared" si="180"/>
        <v>10654</v>
      </c>
      <c r="M281" s="1">
        <f t="shared" si="180"/>
        <v>22561</v>
      </c>
      <c r="N281" s="1">
        <f t="shared" si="180"/>
        <v>9963</v>
      </c>
      <c r="O281" s="1">
        <f t="shared" si="180"/>
        <v>11633</v>
      </c>
      <c r="P281" s="70">
        <f>AVERAGE(D281:O281)</f>
        <v>14789.083333333334</v>
      </c>
      <c r="Q281" s="70">
        <v>14789.083333333334</v>
      </c>
    </row>
    <row r="282" spans="2:18" x14ac:dyDescent="0.25">
      <c r="B282" s="54" t="s">
        <v>24</v>
      </c>
      <c r="C282" s="55" t="s">
        <v>3</v>
      </c>
      <c r="D282" s="117">
        <f t="shared" ref="D282:O282" si="181">IF(AND(D243&gt;= $R243, D243&lt;=$S243), D243, "-")</f>
        <v>81</v>
      </c>
      <c r="E282" s="117">
        <f t="shared" si="181"/>
        <v>53</v>
      </c>
      <c r="F282" s="117">
        <f t="shared" si="181"/>
        <v>32</v>
      </c>
      <c r="G282" s="117">
        <f t="shared" si="181"/>
        <v>318</v>
      </c>
      <c r="H282" s="117">
        <f t="shared" si="181"/>
        <v>53</v>
      </c>
      <c r="I282" s="117">
        <f t="shared" si="181"/>
        <v>184</v>
      </c>
      <c r="J282" s="117">
        <f t="shared" si="181"/>
        <v>148</v>
      </c>
      <c r="K282" s="117">
        <f t="shared" si="181"/>
        <v>301</v>
      </c>
      <c r="L282" s="117">
        <f t="shared" si="181"/>
        <v>47</v>
      </c>
      <c r="M282" s="117">
        <f t="shared" si="181"/>
        <v>252</v>
      </c>
      <c r="N282" s="117">
        <f t="shared" si="181"/>
        <v>50</v>
      </c>
      <c r="O282" s="117">
        <f t="shared" si="181"/>
        <v>135</v>
      </c>
      <c r="P282" s="70">
        <f t="shared" ref="P282:P293" si="182">AVERAGE(D282:O282)</f>
        <v>137.83333333333334</v>
      </c>
      <c r="Q282" s="70">
        <v>137.83333333333334</v>
      </c>
    </row>
    <row r="283" spans="2:18" x14ac:dyDescent="0.25">
      <c r="B283" s="54" t="s">
        <v>25</v>
      </c>
      <c r="C283" s="55" t="s">
        <v>3</v>
      </c>
      <c r="D283" s="117">
        <f t="shared" ref="D283:O283" si="183">IF(AND(D244&gt;= $R244, D244&lt;=$S244), D244, "-")</f>
        <v>300</v>
      </c>
      <c r="E283" s="117">
        <f t="shared" si="183"/>
        <v>232</v>
      </c>
      <c r="F283" s="117">
        <f t="shared" si="183"/>
        <v>54</v>
      </c>
      <c r="G283" s="117">
        <f t="shared" si="183"/>
        <v>1500</v>
      </c>
      <c r="H283" s="117">
        <f t="shared" si="183"/>
        <v>144</v>
      </c>
      <c r="I283" s="117">
        <f t="shared" si="183"/>
        <v>336</v>
      </c>
      <c r="J283" s="117">
        <f t="shared" si="183"/>
        <v>256</v>
      </c>
      <c r="K283" s="117">
        <f t="shared" si="183"/>
        <v>600</v>
      </c>
      <c r="L283" s="117">
        <f t="shared" si="183"/>
        <v>90</v>
      </c>
      <c r="M283" s="117">
        <f t="shared" si="183"/>
        <v>400</v>
      </c>
      <c r="N283" s="185" t="str">
        <f t="shared" si="183"/>
        <v>-</v>
      </c>
      <c r="O283" s="117">
        <f t="shared" si="183"/>
        <v>171</v>
      </c>
      <c r="P283" s="70">
        <f t="shared" si="182"/>
        <v>371.18181818181819</v>
      </c>
      <c r="Q283" s="70">
        <v>576.08333333333337</v>
      </c>
      <c r="R283" s="13">
        <f>ABS(P283-Q283)/Q283</f>
        <v>0.35568033875570404</v>
      </c>
    </row>
    <row r="284" spans="2:18" x14ac:dyDescent="0.25">
      <c r="B284" s="54" t="s">
        <v>26</v>
      </c>
      <c r="C284" s="55" t="s">
        <v>3</v>
      </c>
      <c r="D284" s="117">
        <f t="shared" ref="D284:O284" si="184">IF(AND(D245&gt;= $R245, D245&lt;=$S245), D245, "-")</f>
        <v>106.4</v>
      </c>
      <c r="E284" s="117">
        <f t="shared" si="184"/>
        <v>115.7</v>
      </c>
      <c r="F284" s="117">
        <f t="shared" si="184"/>
        <v>21.6</v>
      </c>
      <c r="G284" s="117">
        <f t="shared" si="184"/>
        <v>500</v>
      </c>
      <c r="H284" s="117">
        <f t="shared" si="184"/>
        <v>18.899999999999999</v>
      </c>
      <c r="I284" s="117">
        <f t="shared" si="184"/>
        <v>43.6</v>
      </c>
      <c r="J284" s="117">
        <f t="shared" si="184"/>
        <v>96.8</v>
      </c>
      <c r="K284" s="117">
        <f t="shared" si="184"/>
        <v>103.8</v>
      </c>
      <c r="L284" s="117">
        <f t="shared" si="184"/>
        <v>26.7</v>
      </c>
      <c r="M284" s="117">
        <f t="shared" si="184"/>
        <v>78.2</v>
      </c>
      <c r="N284" s="185" t="str">
        <f t="shared" si="184"/>
        <v>-</v>
      </c>
      <c r="O284" s="117">
        <f t="shared" si="184"/>
        <v>42</v>
      </c>
      <c r="P284" s="70">
        <f t="shared" si="182"/>
        <v>104.88181818181819</v>
      </c>
      <c r="Q284" s="70">
        <v>255.30833333333331</v>
      </c>
      <c r="R284" s="13">
        <f t="shared" ref="R284:R289" si="185">ABS(P284-Q284)/Q284</f>
        <v>0.58919547665182015</v>
      </c>
    </row>
    <row r="285" spans="2:18" x14ac:dyDescent="0.25">
      <c r="B285" s="54" t="s">
        <v>27</v>
      </c>
      <c r="C285" s="55" t="s">
        <v>3</v>
      </c>
      <c r="D285" s="117">
        <f t="shared" ref="D285:O285" si="186">IF(AND(D246&gt;= $R246, D246&lt;=$S246), D246, "-")</f>
        <v>11.2</v>
      </c>
      <c r="E285" s="117">
        <f t="shared" si="186"/>
        <v>10</v>
      </c>
      <c r="F285" s="117">
        <f t="shared" si="186"/>
        <v>9.4</v>
      </c>
      <c r="G285" s="117">
        <f t="shared" si="186"/>
        <v>72</v>
      </c>
      <c r="H285" s="117">
        <f t="shared" si="186"/>
        <v>5.9</v>
      </c>
      <c r="I285" s="117">
        <f t="shared" si="186"/>
        <v>19.2</v>
      </c>
      <c r="J285" s="117">
        <f t="shared" si="186"/>
        <v>52.8</v>
      </c>
      <c r="K285" s="117">
        <f t="shared" si="186"/>
        <v>42.6</v>
      </c>
      <c r="L285" s="117">
        <f t="shared" si="186"/>
        <v>6.4</v>
      </c>
      <c r="M285" s="117">
        <f t="shared" si="186"/>
        <v>31</v>
      </c>
      <c r="N285" s="185" t="str">
        <f t="shared" si="186"/>
        <v>-</v>
      </c>
      <c r="O285" s="117">
        <f t="shared" si="186"/>
        <v>17.899999999999999</v>
      </c>
      <c r="P285" s="97">
        <f t="shared" si="182"/>
        <v>25.309090909090909</v>
      </c>
      <c r="Q285" s="97">
        <v>30.849999999999998</v>
      </c>
      <c r="R285" s="13">
        <f t="shared" si="185"/>
        <v>0.17960807425961392</v>
      </c>
    </row>
    <row r="286" spans="2:18" x14ac:dyDescent="0.25">
      <c r="B286" s="54" t="s">
        <v>28</v>
      </c>
      <c r="C286" s="55" t="s">
        <v>3</v>
      </c>
      <c r="D286" s="117">
        <f t="shared" ref="D286:O286" si="187">IF(AND(D247&gt;= $R247, D247&lt;=$S247), D247, "-")</f>
        <v>1.3</v>
      </c>
      <c r="E286" s="117">
        <f t="shared" si="187"/>
        <v>2.2999999999999998</v>
      </c>
      <c r="F286" s="117">
        <f t="shared" si="187"/>
        <v>1.3</v>
      </c>
      <c r="G286" s="185" t="str">
        <f t="shared" si="187"/>
        <v>-</v>
      </c>
      <c r="H286" s="117">
        <f t="shared" si="187"/>
        <v>0.5</v>
      </c>
      <c r="I286" s="117">
        <f t="shared" si="187"/>
        <v>1.3</v>
      </c>
      <c r="J286" s="117">
        <f t="shared" si="187"/>
        <v>4</v>
      </c>
      <c r="K286" s="117">
        <f t="shared" si="187"/>
        <v>4.7</v>
      </c>
      <c r="L286" s="117">
        <f t="shared" si="187"/>
        <v>0.5</v>
      </c>
      <c r="M286" s="117">
        <f t="shared" si="187"/>
        <v>0.8</v>
      </c>
      <c r="N286" s="185" t="str">
        <f t="shared" si="187"/>
        <v>-</v>
      </c>
      <c r="O286" s="117">
        <f t="shared" si="187"/>
        <v>2.27</v>
      </c>
      <c r="P286" s="53">
        <f t="shared" si="182"/>
        <v>1.8969999999999998</v>
      </c>
      <c r="Q286" s="53">
        <v>4.8191666666666668</v>
      </c>
      <c r="R286" s="13">
        <f t="shared" si="185"/>
        <v>0.60636347916306421</v>
      </c>
    </row>
    <row r="287" spans="2:18" x14ac:dyDescent="0.25">
      <c r="B287" s="54" t="s">
        <v>4</v>
      </c>
      <c r="C287" s="8" t="s">
        <v>5</v>
      </c>
      <c r="D287" s="117">
        <f t="shared" ref="D287:O287" si="188">IF(AND(D248&gt;= $R248, D248&lt;=$S248), D248, "-")</f>
        <v>6.5</v>
      </c>
      <c r="E287" s="117">
        <f t="shared" si="188"/>
        <v>6.8</v>
      </c>
      <c r="F287" s="117">
        <f t="shared" si="188"/>
        <v>6.8</v>
      </c>
      <c r="G287" s="117">
        <f t="shared" si="188"/>
        <v>6.7</v>
      </c>
      <c r="H287" s="117">
        <f t="shared" si="188"/>
        <v>6.5</v>
      </c>
      <c r="I287" s="117">
        <f t="shared" si="188"/>
        <v>7</v>
      </c>
      <c r="J287" s="117">
        <f t="shared" si="188"/>
        <v>7.3</v>
      </c>
      <c r="K287" s="117">
        <f t="shared" si="188"/>
        <v>7.4</v>
      </c>
      <c r="L287" s="117">
        <f t="shared" si="188"/>
        <v>6.6</v>
      </c>
      <c r="M287" s="117">
        <f t="shared" si="188"/>
        <v>6.9</v>
      </c>
      <c r="N287" s="117">
        <f t="shared" si="188"/>
        <v>6.6</v>
      </c>
      <c r="O287" s="117">
        <f t="shared" si="188"/>
        <v>6.7</v>
      </c>
      <c r="P287" s="97">
        <f t="shared" si="182"/>
        <v>6.8166666666666664</v>
      </c>
      <c r="Q287" s="97">
        <v>6.8166666666666664</v>
      </c>
      <c r="R287" s="13">
        <f t="shared" si="185"/>
        <v>0</v>
      </c>
    </row>
    <row r="288" spans="2:18" x14ac:dyDescent="0.25">
      <c r="B288" s="127" t="s">
        <v>30</v>
      </c>
      <c r="C288" s="8" t="s">
        <v>3</v>
      </c>
      <c r="D288" s="117">
        <f t="shared" ref="D288:O288" si="189">IF(AND(D249&gt;= $R249, D249&lt;=$S249), D249, "-")</f>
        <v>14.6</v>
      </c>
      <c r="E288" s="117">
        <f t="shared" si="189"/>
        <v>14</v>
      </c>
      <c r="F288" s="117">
        <f t="shared" si="189"/>
        <v>14</v>
      </c>
      <c r="G288" s="117">
        <f t="shared" si="189"/>
        <v>14</v>
      </c>
      <c r="H288" s="117">
        <f t="shared" si="189"/>
        <v>13.5</v>
      </c>
      <c r="I288" s="117">
        <f t="shared" si="189"/>
        <v>25.8</v>
      </c>
      <c r="J288" s="117">
        <f t="shared" si="189"/>
        <v>7.1</v>
      </c>
      <c r="K288" s="185" t="str">
        <f t="shared" si="189"/>
        <v>-</v>
      </c>
      <c r="L288" s="117">
        <f t="shared" si="189"/>
        <v>5</v>
      </c>
      <c r="M288" s="117">
        <f t="shared" si="189"/>
        <v>5</v>
      </c>
      <c r="N288" s="117">
        <f t="shared" si="189"/>
        <v>1.4</v>
      </c>
      <c r="O288" s="117">
        <f t="shared" si="189"/>
        <v>0.86</v>
      </c>
      <c r="P288" s="97">
        <f t="shared" si="182"/>
        <v>10.478181818181817</v>
      </c>
      <c r="Q288" s="97">
        <v>14.688333333333334</v>
      </c>
      <c r="R288" s="13">
        <f t="shared" si="185"/>
        <v>0.28663235096912631</v>
      </c>
    </row>
    <row r="289" spans="2:23" ht="16.5" thickBot="1" x14ac:dyDescent="0.3">
      <c r="B289" s="56" t="s">
        <v>119</v>
      </c>
      <c r="C289" s="39" t="s">
        <v>3</v>
      </c>
      <c r="D289" s="119">
        <f t="shared" ref="D289:O289" si="190">IF(AND(D250&gt;= $R250, D250&lt;=$S250), D250, "-")</f>
        <v>1.2</v>
      </c>
      <c r="E289" s="119">
        <f t="shared" si="190"/>
        <v>0.6</v>
      </c>
      <c r="F289" s="119">
        <f t="shared" si="190"/>
        <v>0.9</v>
      </c>
      <c r="G289" s="186" t="str">
        <f t="shared" si="190"/>
        <v>-</v>
      </c>
      <c r="H289" s="119">
        <f t="shared" si="190"/>
        <v>0.7</v>
      </c>
      <c r="I289" s="119">
        <f t="shared" si="190"/>
        <v>2.7</v>
      </c>
      <c r="J289" s="119">
        <f t="shared" si="190"/>
        <v>2</v>
      </c>
      <c r="K289" s="119">
        <f t="shared" si="190"/>
        <v>4.2</v>
      </c>
      <c r="L289" s="119">
        <f t="shared" si="190"/>
        <v>1.2</v>
      </c>
      <c r="M289" s="119">
        <f t="shared" si="190"/>
        <v>1.7</v>
      </c>
      <c r="N289" s="119">
        <f t="shared" si="190"/>
        <v>0.2</v>
      </c>
      <c r="O289" s="119">
        <f t="shared" si="190"/>
        <v>0.2</v>
      </c>
      <c r="P289" s="95">
        <f t="shared" si="182"/>
        <v>1.418181818181818</v>
      </c>
      <c r="Q289" s="95">
        <v>2.066666666666666</v>
      </c>
      <c r="R289" s="13">
        <f t="shared" si="185"/>
        <v>0.31378299120234593</v>
      </c>
    </row>
    <row r="290" spans="2:23" x14ac:dyDescent="0.25">
      <c r="B290" s="58" t="s">
        <v>136</v>
      </c>
      <c r="C290" s="59" t="s">
        <v>138</v>
      </c>
      <c r="D290" s="126">
        <f>D282/D283</f>
        <v>0.27</v>
      </c>
      <c r="E290" s="126">
        <f t="shared" ref="E290:O290" si="191">E282/E283</f>
        <v>0.22844827586206898</v>
      </c>
      <c r="F290" s="126">
        <f t="shared" si="191"/>
        <v>0.59259259259259256</v>
      </c>
      <c r="G290" s="126">
        <f t="shared" si="191"/>
        <v>0.21199999999999999</v>
      </c>
      <c r="H290" s="126">
        <f t="shared" si="191"/>
        <v>0.36805555555555558</v>
      </c>
      <c r="I290" s="126">
        <f t="shared" si="191"/>
        <v>0.54761904761904767</v>
      </c>
      <c r="J290" s="126">
        <f t="shared" si="191"/>
        <v>0.578125</v>
      </c>
      <c r="K290" s="126">
        <f t="shared" si="191"/>
        <v>0.50166666666666671</v>
      </c>
      <c r="L290" s="126">
        <f t="shared" si="191"/>
        <v>0.52222222222222225</v>
      </c>
      <c r="M290" s="126">
        <f t="shared" si="191"/>
        <v>0.63</v>
      </c>
      <c r="N290" s="188" t="str">
        <f>IF(AND(N251&gt;= $R251, N251&lt;=$S251), N251, "-")</f>
        <v>-</v>
      </c>
      <c r="O290" s="126">
        <f t="shared" si="191"/>
        <v>0.78947368421052633</v>
      </c>
      <c r="P290" s="71">
        <f>AVERAGE(D290:O290)</f>
        <v>0.47638209497533457</v>
      </c>
      <c r="R290" s="13"/>
    </row>
    <row r="291" spans="2:23" x14ac:dyDescent="0.25">
      <c r="B291" s="54" t="s">
        <v>139</v>
      </c>
      <c r="C291" s="55" t="s">
        <v>3</v>
      </c>
      <c r="D291" s="125">
        <f>D284*1.42</f>
        <v>151.08799999999999</v>
      </c>
      <c r="E291" s="125">
        <f t="shared" ref="E291:O291" si="192">E284*1.42</f>
        <v>164.29399999999998</v>
      </c>
      <c r="F291" s="125">
        <f t="shared" si="192"/>
        <v>30.672000000000001</v>
      </c>
      <c r="G291" s="125">
        <f t="shared" si="192"/>
        <v>710</v>
      </c>
      <c r="H291" s="125">
        <f t="shared" si="192"/>
        <v>26.837999999999997</v>
      </c>
      <c r="I291" s="125">
        <f t="shared" si="192"/>
        <v>61.911999999999999</v>
      </c>
      <c r="J291" s="125">
        <f t="shared" si="192"/>
        <v>137.45599999999999</v>
      </c>
      <c r="K291" s="125">
        <f t="shared" si="192"/>
        <v>147.39599999999999</v>
      </c>
      <c r="L291" s="125">
        <f t="shared" si="192"/>
        <v>37.913999999999994</v>
      </c>
      <c r="M291" s="125">
        <f t="shared" si="192"/>
        <v>111.044</v>
      </c>
      <c r="N291" s="185" t="str">
        <f>IF(AND(N252&gt;= $R252, N252&lt;=$S252), N252, "-")</f>
        <v>-</v>
      </c>
      <c r="O291" s="125">
        <f t="shared" si="192"/>
        <v>59.64</v>
      </c>
      <c r="P291" s="70">
        <f t="shared" si="182"/>
        <v>148.93218181818182</v>
      </c>
      <c r="R291" s="13"/>
    </row>
    <row r="292" spans="2:23" x14ac:dyDescent="0.25">
      <c r="B292" s="54" t="s">
        <v>140</v>
      </c>
      <c r="C292" s="55" t="s">
        <v>138</v>
      </c>
      <c r="D292" s="120">
        <f>D284/D283</f>
        <v>0.35466666666666669</v>
      </c>
      <c r="E292" s="120">
        <f t="shared" ref="E292:O292" si="193">E284/E283</f>
        <v>0.49870689655172418</v>
      </c>
      <c r="F292" s="120">
        <f t="shared" si="193"/>
        <v>0.4</v>
      </c>
      <c r="G292" s="120">
        <f t="shared" si="193"/>
        <v>0.33333333333333331</v>
      </c>
      <c r="H292" s="120">
        <f t="shared" si="193"/>
        <v>0.13124999999999998</v>
      </c>
      <c r="I292" s="120">
        <f t="shared" si="193"/>
        <v>0.12976190476190477</v>
      </c>
      <c r="J292" s="120">
        <f t="shared" si="193"/>
        <v>0.37812499999999999</v>
      </c>
      <c r="K292" s="120">
        <f t="shared" si="193"/>
        <v>0.17299999999999999</v>
      </c>
      <c r="L292" s="120">
        <f t="shared" si="193"/>
        <v>0.29666666666666663</v>
      </c>
      <c r="M292" s="120">
        <f t="shared" si="193"/>
        <v>0.19550000000000001</v>
      </c>
      <c r="N292" s="188" t="str">
        <f>IF(AND(N253&gt;= $R253, N253&lt;=$S253), N253, "-")</f>
        <v>-</v>
      </c>
      <c r="O292" s="120">
        <f t="shared" si="193"/>
        <v>0.24561403508771928</v>
      </c>
      <c r="P292" s="53">
        <f t="shared" si="182"/>
        <v>0.28514768209709218</v>
      </c>
      <c r="R292" s="13"/>
    </row>
    <row r="293" spans="2:23" x14ac:dyDescent="0.25">
      <c r="B293" s="54" t="s">
        <v>141</v>
      </c>
      <c r="C293" s="55" t="s">
        <v>138</v>
      </c>
      <c r="D293" s="120">
        <f>D284/D282</f>
        <v>1.3135802469135802</v>
      </c>
      <c r="E293" s="120">
        <f t="shared" ref="E293:O293" si="194">E284/E282</f>
        <v>2.1830188679245284</v>
      </c>
      <c r="F293" s="120">
        <f t="shared" si="194"/>
        <v>0.67500000000000004</v>
      </c>
      <c r="G293" s="120">
        <f t="shared" si="194"/>
        <v>1.5723270440251573</v>
      </c>
      <c r="H293" s="120">
        <f t="shared" si="194"/>
        <v>0.35660377358490564</v>
      </c>
      <c r="I293" s="120">
        <f t="shared" si="194"/>
        <v>0.23695652173913045</v>
      </c>
      <c r="J293" s="120">
        <f t="shared" si="194"/>
        <v>0.65405405405405403</v>
      </c>
      <c r="K293" s="120">
        <f t="shared" si="194"/>
        <v>0.34485049833887044</v>
      </c>
      <c r="L293" s="120">
        <f t="shared" si="194"/>
        <v>0.56808510638297871</v>
      </c>
      <c r="M293" s="120">
        <f t="shared" si="194"/>
        <v>0.31031746031746033</v>
      </c>
      <c r="N293" s="188" t="str">
        <f>IF(AND(N254&gt;= $R254, N254&lt;=$S254), N254, "-")</f>
        <v>-</v>
      </c>
      <c r="O293" s="120">
        <f t="shared" si="194"/>
        <v>0.31111111111111112</v>
      </c>
      <c r="P293" s="97">
        <f t="shared" si="182"/>
        <v>0.7750822440356161</v>
      </c>
      <c r="R293" s="13"/>
    </row>
    <row r="294" spans="2:23" x14ac:dyDescent="0.25">
      <c r="L294" s="114"/>
      <c r="M294" s="114"/>
      <c r="N294" s="114"/>
      <c r="O294" s="114"/>
      <c r="P294" s="114"/>
    </row>
    <row r="295" spans="2:23" x14ac:dyDescent="0.25">
      <c r="L295" s="114"/>
      <c r="M295" s="114"/>
      <c r="N295" s="114"/>
      <c r="O295" s="114"/>
      <c r="P295" s="114"/>
    </row>
    <row r="296" spans="2:23" x14ac:dyDescent="0.25">
      <c r="L296" s="114"/>
      <c r="M296" s="114"/>
      <c r="N296" s="114"/>
      <c r="O296" s="114"/>
      <c r="P296" s="114"/>
    </row>
    <row r="297" spans="2:23" ht="15.95" customHeight="1" x14ac:dyDescent="0.25">
      <c r="B297" s="478" t="s">
        <v>195</v>
      </c>
      <c r="C297" s="478"/>
      <c r="D297" s="478"/>
      <c r="E297" s="478"/>
      <c r="F297" s="478"/>
      <c r="G297" s="478"/>
      <c r="H297" s="478"/>
      <c r="I297" s="478"/>
      <c r="J297" s="478"/>
      <c r="K297" s="478"/>
      <c r="L297" s="478"/>
      <c r="M297" s="478"/>
      <c r="N297" s="478"/>
      <c r="O297" s="478"/>
      <c r="P297" s="478"/>
      <c r="T297" s="481" t="s">
        <v>443</v>
      </c>
      <c r="U297" s="482"/>
      <c r="V297" s="482"/>
      <c r="W297" s="483"/>
    </row>
    <row r="298" spans="2:23" x14ac:dyDescent="0.25">
      <c r="B298" s="98" t="s">
        <v>1</v>
      </c>
      <c r="C298" s="99" t="s">
        <v>2</v>
      </c>
      <c r="D298" s="99">
        <f>D$41</f>
        <v>1.24</v>
      </c>
      <c r="E298" s="99">
        <f>E$41</f>
        <v>2.2400000000000002</v>
      </c>
      <c r="F298" s="99">
        <f>F$41</f>
        <v>3.24</v>
      </c>
      <c r="G298" s="99">
        <f>G$41</f>
        <v>4.24</v>
      </c>
      <c r="H298" s="99">
        <f t="shared" ref="H298:M298" si="195">H$41</f>
        <v>5.24</v>
      </c>
      <c r="I298" s="99">
        <f t="shared" si="195"/>
        <v>6.24</v>
      </c>
      <c r="J298" s="99">
        <f t="shared" si="195"/>
        <v>7.24</v>
      </c>
      <c r="K298" s="99">
        <f t="shared" si="195"/>
        <v>8.24</v>
      </c>
      <c r="L298" s="99">
        <f t="shared" si="195"/>
        <v>9.24</v>
      </c>
      <c r="M298" s="99">
        <f t="shared" si="195"/>
        <v>10.24</v>
      </c>
      <c r="N298" s="99">
        <f>N$41</f>
        <v>11.24</v>
      </c>
      <c r="O298" s="99">
        <f>O$41</f>
        <v>12.24</v>
      </c>
      <c r="P298" s="99" t="s">
        <v>117</v>
      </c>
      <c r="Q298" t="s">
        <v>441</v>
      </c>
      <c r="T298" s="192" t="s">
        <v>1</v>
      </c>
      <c r="U298" s="192" t="s">
        <v>2</v>
      </c>
      <c r="V298" s="192" t="s">
        <v>117</v>
      </c>
      <c r="W298" s="192" t="s">
        <v>441</v>
      </c>
    </row>
    <row r="299" spans="2:23" x14ac:dyDescent="0.25">
      <c r="B299" s="54" t="s">
        <v>164</v>
      </c>
      <c r="C299" s="55" t="s">
        <v>203</v>
      </c>
      <c r="D299" s="1">
        <f>IF(AND(D260&gt;= $R260, D260&lt;=$S260), D260, "-")</f>
        <v>16868</v>
      </c>
      <c r="E299" s="1">
        <f t="shared" ref="E299:O299" si="196">IF(AND(E260&gt;= $R260, E260&lt;=$S260), E260, "-")</f>
        <v>18759</v>
      </c>
      <c r="F299" s="1">
        <f t="shared" si="196"/>
        <v>20556</v>
      </c>
      <c r="G299" s="1">
        <f t="shared" si="196"/>
        <v>13190</v>
      </c>
      <c r="H299" s="1">
        <f t="shared" si="196"/>
        <v>17228</v>
      </c>
      <c r="I299" s="1">
        <f t="shared" si="196"/>
        <v>11596</v>
      </c>
      <c r="J299" s="1">
        <f t="shared" si="196"/>
        <v>12347</v>
      </c>
      <c r="K299" s="1">
        <f t="shared" si="196"/>
        <v>12114</v>
      </c>
      <c r="L299" s="1">
        <f t="shared" si="196"/>
        <v>10654</v>
      </c>
      <c r="M299" s="1">
        <f t="shared" si="196"/>
        <v>22561</v>
      </c>
      <c r="N299" s="1">
        <f t="shared" si="196"/>
        <v>9963</v>
      </c>
      <c r="O299" s="1">
        <f t="shared" si="196"/>
        <v>11633</v>
      </c>
      <c r="P299" s="70">
        <f>AVERAGE(D299:O299)</f>
        <v>14789.083333333334</v>
      </c>
      <c r="Q299" s="70">
        <v>14789.083333333334</v>
      </c>
      <c r="T299" s="54" t="s">
        <v>164</v>
      </c>
      <c r="U299" s="55" t="s">
        <v>203</v>
      </c>
      <c r="V299" s="70">
        <v>14789.083333333334</v>
      </c>
      <c r="W299" s="70">
        <v>14789.083333333334</v>
      </c>
    </row>
    <row r="300" spans="2:23" x14ac:dyDescent="0.25">
      <c r="B300" s="54" t="s">
        <v>24</v>
      </c>
      <c r="C300" s="55" t="s">
        <v>3</v>
      </c>
      <c r="D300" s="1">
        <f t="shared" ref="D300:O300" si="197">IF(AND(D261&gt;= $R261, D261&lt;=$S261), D261, "-")</f>
        <v>15</v>
      </c>
      <c r="E300" s="1">
        <f t="shared" si="197"/>
        <v>15</v>
      </c>
      <c r="F300" s="1">
        <f t="shared" si="197"/>
        <v>15</v>
      </c>
      <c r="G300" s="1">
        <f t="shared" si="197"/>
        <v>15</v>
      </c>
      <c r="H300" s="1">
        <f t="shared" si="197"/>
        <v>4</v>
      </c>
      <c r="I300" s="1">
        <f t="shared" si="197"/>
        <v>6</v>
      </c>
      <c r="J300" s="1">
        <f t="shared" si="197"/>
        <v>9</v>
      </c>
      <c r="K300" s="1">
        <f t="shared" si="197"/>
        <v>7</v>
      </c>
      <c r="L300" s="1">
        <f t="shared" si="197"/>
        <v>8</v>
      </c>
      <c r="M300" s="1">
        <f t="shared" si="197"/>
        <v>10</v>
      </c>
      <c r="N300" s="1">
        <f t="shared" si="197"/>
        <v>5</v>
      </c>
      <c r="O300" s="1">
        <f t="shared" si="197"/>
        <v>5</v>
      </c>
      <c r="P300" s="70">
        <f t="shared" ref="P300:P312" si="198">AVERAGE(D300:O300)</f>
        <v>9.5</v>
      </c>
      <c r="Q300" s="70">
        <v>9.5</v>
      </c>
      <c r="T300" s="54" t="s">
        <v>24</v>
      </c>
      <c r="U300" s="55" t="s">
        <v>3</v>
      </c>
      <c r="V300" s="70">
        <v>9.5</v>
      </c>
      <c r="W300" s="70">
        <v>9.5</v>
      </c>
    </row>
    <row r="301" spans="2:23" x14ac:dyDescent="0.25">
      <c r="B301" s="54" t="s">
        <v>25</v>
      </c>
      <c r="C301" s="55" t="s">
        <v>3</v>
      </c>
      <c r="D301" s="1">
        <f t="shared" ref="D301:O301" si="199">IF(AND(D262&gt;= $R262, D262&lt;=$S262), D262, "-")</f>
        <v>20</v>
      </c>
      <c r="E301" s="1">
        <f t="shared" si="199"/>
        <v>20</v>
      </c>
      <c r="F301" s="1">
        <f t="shared" si="199"/>
        <v>20</v>
      </c>
      <c r="G301" s="1">
        <f t="shared" si="199"/>
        <v>20</v>
      </c>
      <c r="H301" s="1">
        <f t="shared" si="199"/>
        <v>14</v>
      </c>
      <c r="I301" s="1">
        <f t="shared" si="199"/>
        <v>18</v>
      </c>
      <c r="J301" s="1">
        <f t="shared" si="199"/>
        <v>22</v>
      </c>
      <c r="K301" s="1">
        <f t="shared" si="199"/>
        <v>23</v>
      </c>
      <c r="L301" s="1">
        <f t="shared" si="199"/>
        <v>30</v>
      </c>
      <c r="M301" s="1" t="str">
        <f t="shared" si="199"/>
        <v>-</v>
      </c>
      <c r="N301" s="1">
        <f t="shared" si="199"/>
        <v>30</v>
      </c>
      <c r="O301" s="1">
        <f t="shared" si="199"/>
        <v>10</v>
      </c>
      <c r="P301" s="70">
        <f t="shared" si="198"/>
        <v>20.636363636363637</v>
      </c>
      <c r="Q301" s="70">
        <v>22.75</v>
      </c>
      <c r="T301" s="54" t="s">
        <v>25</v>
      </c>
      <c r="U301" s="55" t="s">
        <v>3</v>
      </c>
      <c r="V301" s="70">
        <v>20.636363636363637</v>
      </c>
      <c r="W301" s="70">
        <v>22.75</v>
      </c>
    </row>
    <row r="302" spans="2:23" x14ac:dyDescent="0.25">
      <c r="B302" s="54" t="s">
        <v>26</v>
      </c>
      <c r="C302" s="55" t="s">
        <v>3</v>
      </c>
      <c r="D302" s="1">
        <f t="shared" ref="D302:O302" si="200">IF(AND(D263&gt;= $R263, D263&lt;=$S263), D263, "-")</f>
        <v>5</v>
      </c>
      <c r="E302" s="1">
        <f t="shared" si="200"/>
        <v>7.6</v>
      </c>
      <c r="F302" s="1">
        <f t="shared" si="200"/>
        <v>5</v>
      </c>
      <c r="G302" s="1">
        <f t="shared" si="200"/>
        <v>5</v>
      </c>
      <c r="H302" s="1">
        <f t="shared" si="200"/>
        <v>2</v>
      </c>
      <c r="I302" s="1">
        <f t="shared" si="200"/>
        <v>2</v>
      </c>
      <c r="J302" s="1">
        <f t="shared" si="200"/>
        <v>2</v>
      </c>
      <c r="K302" s="1" t="str">
        <f t="shared" si="200"/>
        <v>-</v>
      </c>
      <c r="L302" s="1">
        <f t="shared" si="200"/>
        <v>15</v>
      </c>
      <c r="M302" s="1">
        <f t="shared" si="200"/>
        <v>9.6999999999999993</v>
      </c>
      <c r="N302" s="1">
        <f t="shared" si="200"/>
        <v>15</v>
      </c>
      <c r="O302" s="1">
        <f t="shared" si="200"/>
        <v>6</v>
      </c>
      <c r="P302" s="97">
        <f t="shared" si="198"/>
        <v>6.754545454545454</v>
      </c>
      <c r="Q302" s="70">
        <v>7.8999999999999995</v>
      </c>
      <c r="T302" s="54" t="s">
        <v>26</v>
      </c>
      <c r="U302" s="55" t="s">
        <v>3</v>
      </c>
      <c r="V302" s="97">
        <v>6.754545454545454</v>
      </c>
      <c r="W302" s="70">
        <v>7.8999999999999995</v>
      </c>
    </row>
    <row r="303" spans="2:23" x14ac:dyDescent="0.25">
      <c r="B303" s="54" t="s">
        <v>27</v>
      </c>
      <c r="C303" s="55" t="s">
        <v>3</v>
      </c>
      <c r="D303" s="1">
        <f t="shared" ref="D303:O303" si="201">IF(AND(D264&gt;= $R264, D264&lt;=$S264), D264, "-")</f>
        <v>5</v>
      </c>
      <c r="E303" s="1">
        <f t="shared" si="201"/>
        <v>5</v>
      </c>
      <c r="F303" s="1">
        <f t="shared" si="201"/>
        <v>5</v>
      </c>
      <c r="G303" s="1">
        <f t="shared" si="201"/>
        <v>5</v>
      </c>
      <c r="H303" s="1">
        <f t="shared" si="201"/>
        <v>1.9</v>
      </c>
      <c r="I303" s="1">
        <f t="shared" si="201"/>
        <v>2.2000000000000002</v>
      </c>
      <c r="J303" s="1">
        <f t="shared" si="201"/>
        <v>2.1</v>
      </c>
      <c r="K303" s="1">
        <f t="shared" si="201"/>
        <v>2.8</v>
      </c>
      <c r="L303" s="1">
        <f t="shared" si="201"/>
        <v>3.3</v>
      </c>
      <c r="M303" s="1">
        <f t="shared" si="201"/>
        <v>2.4</v>
      </c>
      <c r="N303" s="1">
        <f t="shared" si="201"/>
        <v>3.8</v>
      </c>
      <c r="O303" s="1">
        <f t="shared" si="201"/>
        <v>3</v>
      </c>
      <c r="P303" s="97">
        <f t="shared" si="198"/>
        <v>3.4583333333333326</v>
      </c>
      <c r="Q303" s="97">
        <v>3.4583333333333326</v>
      </c>
      <c r="T303" s="54" t="s">
        <v>27</v>
      </c>
      <c r="U303" s="55" t="s">
        <v>3</v>
      </c>
      <c r="V303" s="97">
        <v>3.4583333333333326</v>
      </c>
      <c r="W303" s="97">
        <v>3.4583333333333326</v>
      </c>
    </row>
    <row r="304" spans="2:23" x14ac:dyDescent="0.25">
      <c r="B304" s="54" t="s">
        <v>28</v>
      </c>
      <c r="C304" s="55" t="s">
        <v>3</v>
      </c>
      <c r="D304" s="1">
        <f t="shared" ref="D304:O304" si="202">IF(AND(D265&gt;= $R265, D265&lt;=$S265), D265, "-")</f>
        <v>0.5</v>
      </c>
      <c r="E304" s="1">
        <f t="shared" si="202"/>
        <v>0.4</v>
      </c>
      <c r="F304" s="1">
        <f t="shared" si="202"/>
        <v>0.8</v>
      </c>
      <c r="G304" s="1">
        <f t="shared" si="202"/>
        <v>0.4</v>
      </c>
      <c r="H304" s="1">
        <f t="shared" si="202"/>
        <v>0.5</v>
      </c>
      <c r="I304" s="1">
        <f t="shared" si="202"/>
        <v>0.7</v>
      </c>
      <c r="J304" s="1">
        <f t="shared" si="202"/>
        <v>0.7</v>
      </c>
      <c r="K304" s="1">
        <f t="shared" si="202"/>
        <v>1.9</v>
      </c>
      <c r="L304" s="1">
        <f t="shared" si="202"/>
        <v>1.5</v>
      </c>
      <c r="M304" s="1">
        <f t="shared" si="202"/>
        <v>2</v>
      </c>
      <c r="N304" s="1">
        <f t="shared" si="202"/>
        <v>0.8</v>
      </c>
      <c r="O304" s="1">
        <f t="shared" si="202"/>
        <v>1.34</v>
      </c>
      <c r="P304" s="53">
        <f t="shared" si="198"/>
        <v>0.96166666666666678</v>
      </c>
      <c r="Q304" s="53">
        <v>0.96166666666666678</v>
      </c>
      <c r="T304" s="54" t="s">
        <v>28</v>
      </c>
      <c r="U304" s="55" t="s">
        <v>3</v>
      </c>
      <c r="V304" s="53">
        <v>0.96166666666666678</v>
      </c>
      <c r="W304" s="53">
        <v>0.96166666666666678</v>
      </c>
    </row>
    <row r="305" spans="2:23" x14ac:dyDescent="0.25">
      <c r="B305" s="5" t="s">
        <v>4</v>
      </c>
      <c r="C305" s="8" t="s">
        <v>5</v>
      </c>
      <c r="D305" s="1">
        <f t="shared" ref="D305:O305" si="203">IF(AND(D266&gt;= $R266, D266&lt;=$S266), D266, "-")</f>
        <v>6.6</v>
      </c>
      <c r="E305" s="1">
        <f t="shared" si="203"/>
        <v>7</v>
      </c>
      <c r="F305" s="1">
        <f t="shared" si="203"/>
        <v>6.8</v>
      </c>
      <c r="G305" s="1">
        <f t="shared" si="203"/>
        <v>6.8</v>
      </c>
      <c r="H305" s="1">
        <f t="shared" si="203"/>
        <v>7</v>
      </c>
      <c r="I305" s="1">
        <f t="shared" si="203"/>
        <v>7.1</v>
      </c>
      <c r="J305" s="1">
        <f t="shared" si="203"/>
        <v>7.3</v>
      </c>
      <c r="K305" s="1">
        <f t="shared" si="203"/>
        <v>7.3</v>
      </c>
      <c r="L305" s="1">
        <f t="shared" si="203"/>
        <v>7.2</v>
      </c>
      <c r="M305" s="1">
        <f t="shared" si="203"/>
        <v>6.8</v>
      </c>
      <c r="N305" s="1">
        <f t="shared" si="203"/>
        <v>6.8</v>
      </c>
      <c r="O305" s="1">
        <f t="shared" si="203"/>
        <v>7</v>
      </c>
      <c r="P305" s="97">
        <f t="shared" si="198"/>
        <v>6.9750000000000005</v>
      </c>
      <c r="Q305" s="97">
        <v>6.9750000000000005</v>
      </c>
      <c r="T305" s="5" t="s">
        <v>4</v>
      </c>
      <c r="U305" s="8" t="s">
        <v>5</v>
      </c>
      <c r="V305" s="97">
        <v>6.9750000000000005</v>
      </c>
      <c r="W305" s="97">
        <v>6.9750000000000005</v>
      </c>
    </row>
    <row r="306" spans="2:23" x14ac:dyDescent="0.25">
      <c r="B306" s="5" t="s">
        <v>8</v>
      </c>
      <c r="C306" s="8" t="s">
        <v>3</v>
      </c>
      <c r="D306" s="1">
        <f t="shared" ref="D306:O306" si="204">IF(AND(D267&gt;= $R267, D267&lt;=$S267), D267, "-")</f>
        <v>0.5</v>
      </c>
      <c r="E306" s="1">
        <f t="shared" si="204"/>
        <v>0.56999999999999995</v>
      </c>
      <c r="F306" s="1" t="str">
        <f t="shared" si="204"/>
        <v>-</v>
      </c>
      <c r="G306" s="1">
        <f t="shared" si="204"/>
        <v>0.5</v>
      </c>
      <c r="H306" s="1">
        <f t="shared" si="204"/>
        <v>0.42</v>
      </c>
      <c r="I306" s="1">
        <f t="shared" si="204"/>
        <v>0.31</v>
      </c>
      <c r="J306" s="1">
        <f t="shared" si="204"/>
        <v>0.62</v>
      </c>
      <c r="K306" s="1">
        <f t="shared" si="204"/>
        <v>0.32</v>
      </c>
      <c r="L306" s="1">
        <f t="shared" si="204"/>
        <v>0.46</v>
      </c>
      <c r="M306" s="1">
        <f t="shared" si="204"/>
        <v>0.45</v>
      </c>
      <c r="N306" s="1" t="str">
        <f t="shared" si="204"/>
        <v>-</v>
      </c>
      <c r="O306" s="1">
        <f t="shared" si="204"/>
        <v>0.76</v>
      </c>
      <c r="P306" s="53">
        <f t="shared" si="198"/>
        <v>0.49099999999999994</v>
      </c>
      <c r="Q306" s="53">
        <v>0.58636363636363642</v>
      </c>
      <c r="T306" s="5" t="s">
        <v>8</v>
      </c>
      <c r="U306" s="8" t="s">
        <v>3</v>
      </c>
      <c r="V306" s="53">
        <v>0.49099999999999994</v>
      </c>
      <c r="W306" s="53">
        <v>0.58636363636363642</v>
      </c>
    </row>
    <row r="307" spans="2:23" x14ac:dyDescent="0.25">
      <c r="B307" s="5" t="s">
        <v>30</v>
      </c>
      <c r="C307" s="8" t="s">
        <v>3</v>
      </c>
      <c r="D307" s="1">
        <f t="shared" ref="D307:O307" si="205">IF(AND(D268&gt;= $R268, D268&lt;=$S268), D268, "-")</f>
        <v>14</v>
      </c>
      <c r="E307" s="1">
        <f t="shared" si="205"/>
        <v>14</v>
      </c>
      <c r="F307" s="1">
        <f t="shared" si="205"/>
        <v>14</v>
      </c>
      <c r="G307" s="1">
        <f t="shared" si="205"/>
        <v>14</v>
      </c>
      <c r="H307" s="1">
        <f t="shared" si="205"/>
        <v>5</v>
      </c>
      <c r="I307" s="1">
        <f t="shared" si="205"/>
        <v>5</v>
      </c>
      <c r="J307" s="1">
        <f t="shared" si="205"/>
        <v>5</v>
      </c>
      <c r="K307" s="1">
        <f t="shared" si="205"/>
        <v>5</v>
      </c>
      <c r="L307" s="1">
        <f t="shared" si="205"/>
        <v>5</v>
      </c>
      <c r="M307" s="1">
        <f t="shared" si="205"/>
        <v>5</v>
      </c>
      <c r="N307" s="1">
        <f t="shared" si="205"/>
        <v>1.1000000000000001</v>
      </c>
      <c r="O307" s="1">
        <f t="shared" si="205"/>
        <v>0.5</v>
      </c>
      <c r="P307" s="97">
        <f t="shared" si="198"/>
        <v>7.3</v>
      </c>
      <c r="Q307" s="97">
        <v>7.3</v>
      </c>
      <c r="T307" s="5" t="s">
        <v>30</v>
      </c>
      <c r="U307" s="8" t="s">
        <v>3</v>
      </c>
      <c r="V307" s="97">
        <v>7.3</v>
      </c>
      <c r="W307" s="97">
        <v>7.3</v>
      </c>
    </row>
    <row r="308" spans="2:23" ht="16.5" thickBot="1" x14ac:dyDescent="0.3">
      <c r="B308" s="38" t="s">
        <v>119</v>
      </c>
      <c r="C308" s="39" t="s">
        <v>3</v>
      </c>
      <c r="D308" s="187">
        <f t="shared" ref="D308:O308" si="206">IF(AND(D269&gt;= $R269, D269&lt;=$S269), D269, "-")</f>
        <v>0.5</v>
      </c>
      <c r="E308" s="187">
        <f t="shared" si="206"/>
        <v>0.5</v>
      </c>
      <c r="F308" s="187">
        <f t="shared" si="206"/>
        <v>0.5</v>
      </c>
      <c r="G308" s="187">
        <f t="shared" si="206"/>
        <v>0.5</v>
      </c>
      <c r="H308" s="187">
        <f t="shared" si="206"/>
        <v>0.4</v>
      </c>
      <c r="I308" s="187">
        <f t="shared" si="206"/>
        <v>0.4</v>
      </c>
      <c r="J308" s="187">
        <f t="shared" si="206"/>
        <v>0.4</v>
      </c>
      <c r="K308" s="187">
        <f t="shared" si="206"/>
        <v>0.7</v>
      </c>
      <c r="L308" s="187">
        <f t="shared" si="206"/>
        <v>0.6</v>
      </c>
      <c r="M308" s="187">
        <f t="shared" si="206"/>
        <v>0.5</v>
      </c>
      <c r="N308" s="187">
        <f t="shared" si="206"/>
        <v>0.2</v>
      </c>
      <c r="O308" s="187">
        <f t="shared" si="206"/>
        <v>0.2</v>
      </c>
      <c r="P308" s="101">
        <f t="shared" si="198"/>
        <v>0.44999999999999996</v>
      </c>
      <c r="Q308" s="101">
        <v>0.44999999999999996</v>
      </c>
      <c r="T308" s="38" t="s">
        <v>119</v>
      </c>
      <c r="U308" s="39" t="s">
        <v>3</v>
      </c>
      <c r="V308" s="101">
        <v>0.44999999999999996</v>
      </c>
      <c r="W308" s="101">
        <v>0.44999999999999996</v>
      </c>
    </row>
    <row r="309" spans="2:23" x14ac:dyDescent="0.25">
      <c r="B309" s="54" t="s">
        <v>136</v>
      </c>
      <c r="C309" s="55" t="s">
        <v>138</v>
      </c>
      <c r="D309" s="126">
        <f>D300/D301</f>
        <v>0.75</v>
      </c>
      <c r="E309" s="126">
        <f t="shared" ref="E309:O309" si="207">E300/E301</f>
        <v>0.75</v>
      </c>
      <c r="F309" s="126">
        <f t="shared" si="207"/>
        <v>0.75</v>
      </c>
      <c r="G309" s="126">
        <f t="shared" si="207"/>
        <v>0.75</v>
      </c>
      <c r="H309" s="126">
        <f t="shared" si="207"/>
        <v>0.2857142857142857</v>
      </c>
      <c r="I309" s="126">
        <f t="shared" si="207"/>
        <v>0.33333333333333331</v>
      </c>
      <c r="J309" s="126">
        <f t="shared" si="207"/>
        <v>0.40909090909090912</v>
      </c>
      <c r="K309" s="126">
        <f t="shared" si="207"/>
        <v>0.30434782608695654</v>
      </c>
      <c r="L309" s="126">
        <f t="shared" si="207"/>
        <v>0.26666666666666666</v>
      </c>
      <c r="M309" s="126" t="s">
        <v>38</v>
      </c>
      <c r="N309" s="126">
        <f t="shared" si="207"/>
        <v>0.16666666666666666</v>
      </c>
      <c r="O309" s="126">
        <f t="shared" si="207"/>
        <v>0.5</v>
      </c>
      <c r="P309" s="71">
        <f t="shared" si="198"/>
        <v>0.47871088068716522</v>
      </c>
    </row>
    <row r="310" spans="2:23" x14ac:dyDescent="0.25">
      <c r="B310" s="54" t="s">
        <v>139</v>
      </c>
      <c r="C310" s="55" t="s">
        <v>3</v>
      </c>
      <c r="D310" s="125">
        <f>D302*1.42</f>
        <v>7.1</v>
      </c>
      <c r="E310" s="125">
        <f t="shared" ref="E310:O310" si="208">E302*1.42</f>
        <v>10.792</v>
      </c>
      <c r="F310" s="125">
        <f t="shared" si="208"/>
        <v>7.1</v>
      </c>
      <c r="G310" s="125">
        <f t="shared" si="208"/>
        <v>7.1</v>
      </c>
      <c r="H310" s="125">
        <f t="shared" si="208"/>
        <v>2.84</v>
      </c>
      <c r="I310" s="125">
        <f t="shared" si="208"/>
        <v>2.84</v>
      </c>
      <c r="J310" s="125">
        <f t="shared" si="208"/>
        <v>2.84</v>
      </c>
      <c r="K310" s="125" t="s">
        <v>38</v>
      </c>
      <c r="L310" s="125">
        <f t="shared" si="208"/>
        <v>21.299999999999997</v>
      </c>
      <c r="M310" s="125">
        <f t="shared" si="208"/>
        <v>13.773999999999999</v>
      </c>
      <c r="N310" s="125">
        <f t="shared" si="208"/>
        <v>21.299999999999997</v>
      </c>
      <c r="O310" s="125">
        <f t="shared" si="208"/>
        <v>8.52</v>
      </c>
      <c r="P310" s="70">
        <f t="shared" si="198"/>
        <v>9.5914545454545461</v>
      </c>
    </row>
    <row r="311" spans="2:23" x14ac:dyDescent="0.25">
      <c r="B311" s="54" t="s">
        <v>140</v>
      </c>
      <c r="C311" s="55" t="s">
        <v>138</v>
      </c>
      <c r="D311" s="120">
        <f>D302/D301</f>
        <v>0.25</v>
      </c>
      <c r="E311" s="120">
        <f t="shared" ref="E311:O311" si="209">E302/E301</f>
        <v>0.38</v>
      </c>
      <c r="F311" s="120">
        <f t="shared" si="209"/>
        <v>0.25</v>
      </c>
      <c r="G311" s="120">
        <f t="shared" si="209"/>
        <v>0.25</v>
      </c>
      <c r="H311" s="120">
        <f t="shared" si="209"/>
        <v>0.14285714285714285</v>
      </c>
      <c r="I311" s="120">
        <f t="shared" si="209"/>
        <v>0.1111111111111111</v>
      </c>
      <c r="J311" s="120">
        <f t="shared" si="209"/>
        <v>9.0909090909090912E-2</v>
      </c>
      <c r="K311" s="120" t="s">
        <v>38</v>
      </c>
      <c r="L311" s="120">
        <f t="shared" si="209"/>
        <v>0.5</v>
      </c>
      <c r="M311" s="120" t="s">
        <v>38</v>
      </c>
      <c r="N311" s="120">
        <f t="shared" si="209"/>
        <v>0.5</v>
      </c>
      <c r="O311" s="120">
        <f t="shared" si="209"/>
        <v>0.6</v>
      </c>
      <c r="P311" s="53">
        <f t="shared" si="198"/>
        <v>0.30748773448773448</v>
      </c>
    </row>
    <row r="312" spans="2:23" x14ac:dyDescent="0.25">
      <c r="B312" s="54" t="s">
        <v>141</v>
      </c>
      <c r="C312" s="55" t="s">
        <v>138</v>
      </c>
      <c r="D312" s="120">
        <f>D302/D300</f>
        <v>0.33333333333333331</v>
      </c>
      <c r="E312" s="120">
        <f t="shared" ref="E312:O312" si="210">E302/E300</f>
        <v>0.5066666666666666</v>
      </c>
      <c r="F312" s="120">
        <f t="shared" si="210"/>
        <v>0.33333333333333331</v>
      </c>
      <c r="G312" s="120">
        <f t="shared" si="210"/>
        <v>0.33333333333333331</v>
      </c>
      <c r="H312" s="120">
        <f t="shared" si="210"/>
        <v>0.5</v>
      </c>
      <c r="I312" s="120">
        <f t="shared" si="210"/>
        <v>0.33333333333333331</v>
      </c>
      <c r="J312" s="120">
        <f t="shared" si="210"/>
        <v>0.22222222222222221</v>
      </c>
      <c r="K312" s="120" t="s">
        <v>38</v>
      </c>
      <c r="L312" s="120">
        <f t="shared" si="210"/>
        <v>1.875</v>
      </c>
      <c r="M312" s="120">
        <f t="shared" si="210"/>
        <v>0.97</v>
      </c>
      <c r="N312" s="120">
        <f t="shared" si="210"/>
        <v>3</v>
      </c>
      <c r="O312" s="120">
        <f t="shared" si="210"/>
        <v>1.2</v>
      </c>
      <c r="P312" s="53">
        <f t="shared" si="198"/>
        <v>0.87338383838383826</v>
      </c>
    </row>
    <row r="315" spans="2:23" x14ac:dyDescent="0.25">
      <c r="B315" s="184" t="s">
        <v>428</v>
      </c>
    </row>
    <row r="318" spans="2:23" x14ac:dyDescent="0.25">
      <c r="B318" s="419" t="s">
        <v>196</v>
      </c>
      <c r="C318" s="419"/>
      <c r="D318" s="419"/>
      <c r="E318" s="419"/>
      <c r="F318" s="419"/>
      <c r="G318" s="419"/>
      <c r="H318" s="419"/>
      <c r="I318" s="419"/>
      <c r="J318" s="419"/>
      <c r="K318" s="419"/>
      <c r="L318" s="419"/>
      <c r="M318" s="419"/>
      <c r="N318" s="419"/>
      <c r="O318" s="419"/>
      <c r="P318" s="419"/>
    </row>
    <row r="319" spans="2:23" x14ac:dyDescent="0.25">
      <c r="B319" s="115" t="s">
        <v>1</v>
      </c>
      <c r="C319" s="116" t="s">
        <v>2</v>
      </c>
      <c r="D319" s="116">
        <f>D$21</f>
        <v>1.24</v>
      </c>
      <c r="E319" s="116">
        <f t="shared" ref="E319:O319" si="211">E$21</f>
        <v>2.2400000000000002</v>
      </c>
      <c r="F319" s="116">
        <f t="shared" si="211"/>
        <v>3.24</v>
      </c>
      <c r="G319" s="116">
        <f t="shared" si="211"/>
        <v>4.24</v>
      </c>
      <c r="H319" s="116">
        <f t="shared" si="211"/>
        <v>5.24</v>
      </c>
      <c r="I319" s="116">
        <f t="shared" si="211"/>
        <v>6.24</v>
      </c>
      <c r="J319" s="116">
        <f t="shared" si="211"/>
        <v>7.24</v>
      </c>
      <c r="K319" s="116">
        <f t="shared" si="211"/>
        <v>8.24</v>
      </c>
      <c r="L319" s="116">
        <f t="shared" si="211"/>
        <v>9.24</v>
      </c>
      <c r="M319" s="116">
        <f t="shared" si="211"/>
        <v>10.24</v>
      </c>
      <c r="N319" s="116">
        <f t="shared" si="211"/>
        <v>11.24</v>
      </c>
      <c r="O319" s="116">
        <f t="shared" si="211"/>
        <v>12.24</v>
      </c>
      <c r="P319" s="116" t="s">
        <v>117</v>
      </c>
      <c r="Q319" t="s">
        <v>441</v>
      </c>
    </row>
    <row r="320" spans="2:23" x14ac:dyDescent="0.25">
      <c r="B320" s="54" t="s">
        <v>164</v>
      </c>
      <c r="C320" s="55" t="s">
        <v>204</v>
      </c>
      <c r="D320" s="68">
        <f>D281 * (1/31)</f>
        <v>544.12903225806451</v>
      </c>
      <c r="E320" s="68">
        <f>E281 * (1/29)</f>
        <v>646.86206896551721</v>
      </c>
      <c r="F320" s="68">
        <f>F281 * (1/31)</f>
        <v>663.09677419354841</v>
      </c>
      <c r="G320" s="68">
        <f>G281 * (1/30)</f>
        <v>439.66666666666669</v>
      </c>
      <c r="H320" s="68">
        <f>H281 * (1/31)</f>
        <v>555.74193548387098</v>
      </c>
      <c r="I320" s="68">
        <f>I281 * (1/30)</f>
        <v>386.5333333333333</v>
      </c>
      <c r="J320" s="68">
        <f>J281 * (1/31)</f>
        <v>398.29032258064512</v>
      </c>
      <c r="K320" s="68">
        <f>K281 * (1/31)</f>
        <v>390.77419354838707</v>
      </c>
      <c r="L320" s="68">
        <f>L281 * (1/30)</f>
        <v>355.13333333333333</v>
      </c>
      <c r="M320" s="68">
        <f>M281 * (1/31)</f>
        <v>727.77419354838707</v>
      </c>
      <c r="N320" s="68">
        <f>N281 * (1/30)</f>
        <v>332.1</v>
      </c>
      <c r="O320" s="68">
        <f>O281 * (1/31)</f>
        <v>375.25806451612902</v>
      </c>
      <c r="P320" s="70">
        <f>AVERAGE(D320:O320)</f>
        <v>484.61332653565688</v>
      </c>
      <c r="Q320" s="70">
        <v>484.61332653565688</v>
      </c>
    </row>
    <row r="321" spans="2:17" x14ac:dyDescent="0.25">
      <c r="B321" s="54" t="s">
        <v>24</v>
      </c>
      <c r="C321" s="55" t="s">
        <v>36</v>
      </c>
      <c r="D321" s="68">
        <f>D282*D$320/1000</f>
        <v>44.074451612903225</v>
      </c>
      <c r="E321" s="68">
        <f t="shared" ref="E321:O321" si="212">E282*E$320/1000</f>
        <v>34.28368965517241</v>
      </c>
      <c r="F321" s="68">
        <f t="shared" si="212"/>
        <v>21.219096774193549</v>
      </c>
      <c r="G321" s="68">
        <f t="shared" si="212"/>
        <v>139.81399999999999</v>
      </c>
      <c r="H321" s="68">
        <f t="shared" si="212"/>
        <v>29.454322580645162</v>
      </c>
      <c r="I321" s="68">
        <f t="shared" si="212"/>
        <v>71.122133333333338</v>
      </c>
      <c r="J321" s="68">
        <f t="shared" si="212"/>
        <v>58.946967741935481</v>
      </c>
      <c r="K321" s="68">
        <f t="shared" si="212"/>
        <v>117.62303225806451</v>
      </c>
      <c r="L321" s="68">
        <f t="shared" si="212"/>
        <v>16.691266666666667</v>
      </c>
      <c r="M321" s="68">
        <f t="shared" si="212"/>
        <v>183.39909677419354</v>
      </c>
      <c r="N321" s="68">
        <f t="shared" si="212"/>
        <v>16.605</v>
      </c>
      <c r="O321" s="68">
        <f t="shared" si="212"/>
        <v>50.659838709677416</v>
      </c>
      <c r="P321" s="70">
        <f t="shared" ref="P321:P328" si="213">AVERAGE(D321:O321)</f>
        <v>65.324408008898786</v>
      </c>
      <c r="Q321" s="70">
        <v>65.324408008898786</v>
      </c>
    </row>
    <row r="322" spans="2:17" x14ac:dyDescent="0.25">
      <c r="B322" s="54" t="s">
        <v>25</v>
      </c>
      <c r="C322" s="55" t="s">
        <v>36</v>
      </c>
      <c r="D322" s="68">
        <f t="shared" ref="D322:O322" si="214">D283*D$320/1000</f>
        <v>163.23870967741937</v>
      </c>
      <c r="E322" s="68">
        <f t="shared" si="214"/>
        <v>150.072</v>
      </c>
      <c r="F322" s="68">
        <f t="shared" si="214"/>
        <v>35.807225806451612</v>
      </c>
      <c r="G322" s="68">
        <f t="shared" si="214"/>
        <v>659.5</v>
      </c>
      <c r="H322" s="68">
        <f t="shared" si="214"/>
        <v>80.026838709677421</v>
      </c>
      <c r="I322" s="68">
        <f t="shared" si="214"/>
        <v>129.87519999999998</v>
      </c>
      <c r="J322" s="68">
        <f t="shared" si="214"/>
        <v>101.96232258064515</v>
      </c>
      <c r="K322" s="68">
        <f t="shared" si="214"/>
        <v>234.46451612903223</v>
      </c>
      <c r="L322" s="68">
        <f t="shared" si="214"/>
        <v>31.962</v>
      </c>
      <c r="M322" s="68">
        <f t="shared" si="214"/>
        <v>291.10967741935485</v>
      </c>
      <c r="N322" s="68" t="s">
        <v>38</v>
      </c>
      <c r="O322" s="68">
        <f t="shared" si="214"/>
        <v>64.169129032258056</v>
      </c>
      <c r="P322" s="70">
        <f t="shared" si="213"/>
        <v>176.56251085043985</v>
      </c>
      <c r="Q322" s="70">
        <v>240.16921827956989</v>
      </c>
    </row>
    <row r="323" spans="2:17" x14ac:dyDescent="0.25">
      <c r="B323" s="54" t="s">
        <v>26</v>
      </c>
      <c r="C323" s="55" t="s">
        <v>36</v>
      </c>
      <c r="D323" s="68">
        <f t="shared" ref="D323:O323" si="215">D284*D$320/1000</f>
        <v>57.895329032258068</v>
      </c>
      <c r="E323" s="68">
        <f t="shared" si="215"/>
        <v>74.841941379310342</v>
      </c>
      <c r="F323" s="68">
        <f t="shared" si="215"/>
        <v>14.322890322580646</v>
      </c>
      <c r="G323" s="68">
        <f t="shared" si="215"/>
        <v>219.83333333333334</v>
      </c>
      <c r="H323" s="68">
        <f t="shared" si="215"/>
        <v>10.503522580645161</v>
      </c>
      <c r="I323" s="68">
        <f t="shared" si="215"/>
        <v>16.852853333333332</v>
      </c>
      <c r="J323" s="68">
        <f t="shared" si="215"/>
        <v>38.554503225806442</v>
      </c>
      <c r="K323" s="68">
        <f t="shared" si="215"/>
        <v>40.562361290322578</v>
      </c>
      <c r="L323" s="68">
        <f t="shared" si="215"/>
        <v>9.4820599999999988</v>
      </c>
      <c r="M323" s="68">
        <f t="shared" si="215"/>
        <v>56.911941935483867</v>
      </c>
      <c r="N323" s="68" t="s">
        <v>38</v>
      </c>
      <c r="O323" s="68">
        <f t="shared" si="215"/>
        <v>15.760838709677419</v>
      </c>
      <c r="P323" s="70">
        <f t="shared" si="213"/>
        <v>50.501961376613743</v>
      </c>
      <c r="Q323" s="70">
        <v>99.152714595229284</v>
      </c>
    </row>
    <row r="324" spans="2:17" x14ac:dyDescent="0.25">
      <c r="B324" s="54" t="s">
        <v>27</v>
      </c>
      <c r="C324" s="55" t="s">
        <v>36</v>
      </c>
      <c r="D324" s="51">
        <f t="shared" ref="D324:O324" si="216">D285*D$320/1000</f>
        <v>6.0942451612903223</v>
      </c>
      <c r="E324" s="51">
        <f t="shared" si="216"/>
        <v>6.4686206896551717</v>
      </c>
      <c r="F324" s="51">
        <f t="shared" si="216"/>
        <v>6.233109677419356</v>
      </c>
      <c r="G324" s="51">
        <f t="shared" si="216"/>
        <v>31.655999999999999</v>
      </c>
      <c r="H324" s="51">
        <f t="shared" si="216"/>
        <v>3.2788774193548389</v>
      </c>
      <c r="I324" s="51">
        <f t="shared" si="216"/>
        <v>7.4214399999999987</v>
      </c>
      <c r="J324" s="51">
        <f t="shared" si="216"/>
        <v>21.029729032258064</v>
      </c>
      <c r="K324" s="51">
        <f t="shared" si="216"/>
        <v>16.646980645161289</v>
      </c>
      <c r="L324" s="51">
        <f t="shared" si="216"/>
        <v>2.2728533333333334</v>
      </c>
      <c r="M324" s="51">
        <f t="shared" si="216"/>
        <v>22.561</v>
      </c>
      <c r="N324" s="51" t="s">
        <v>38</v>
      </c>
      <c r="O324" s="51">
        <f t="shared" si="216"/>
        <v>6.7171193548387089</v>
      </c>
      <c r="P324" s="97">
        <f t="shared" si="213"/>
        <v>11.852725028482824</v>
      </c>
      <c r="Q324" s="97">
        <v>13.405562942775925</v>
      </c>
    </row>
    <row r="325" spans="2:17" x14ac:dyDescent="0.25">
      <c r="B325" s="54" t="s">
        <v>28</v>
      </c>
      <c r="C325" s="55" t="s">
        <v>36</v>
      </c>
      <c r="D325" s="51">
        <f t="shared" ref="D325:O325" si="217">D286*D$320/1000</f>
        <v>0.70736774193548391</v>
      </c>
      <c r="E325" s="51">
        <f t="shared" si="217"/>
        <v>1.4877827586206895</v>
      </c>
      <c r="F325" s="51">
        <f t="shared" si="217"/>
        <v>0.86202580645161297</v>
      </c>
      <c r="G325" s="51" t="s">
        <v>38</v>
      </c>
      <c r="H325" s="51">
        <f t="shared" si="217"/>
        <v>0.27787096774193548</v>
      </c>
      <c r="I325" s="51">
        <f t="shared" si="217"/>
        <v>0.50249333333333335</v>
      </c>
      <c r="J325" s="51">
        <f t="shared" si="217"/>
        <v>1.5931612903225805</v>
      </c>
      <c r="K325" s="51">
        <f t="shared" si="217"/>
        <v>1.8366387096774193</v>
      </c>
      <c r="L325" s="51">
        <f t="shared" si="217"/>
        <v>0.17756666666666665</v>
      </c>
      <c r="M325" s="51">
        <f t="shared" si="217"/>
        <v>0.58221935483870968</v>
      </c>
      <c r="N325" s="51" t="s">
        <v>38</v>
      </c>
      <c r="O325" s="51">
        <f t="shared" si="217"/>
        <v>0.85183580645161294</v>
      </c>
      <c r="P325" s="97">
        <f t="shared" si="213"/>
        <v>0.88789624360400432</v>
      </c>
      <c r="Q325" s="53">
        <v>1.9937454252255593</v>
      </c>
    </row>
    <row r="326" spans="2:17" x14ac:dyDescent="0.25">
      <c r="B326" s="54" t="s">
        <v>4</v>
      </c>
      <c r="C326" s="8" t="s">
        <v>5</v>
      </c>
      <c r="D326" s="51">
        <f>D287</f>
        <v>6.5</v>
      </c>
      <c r="E326" s="51">
        <f t="shared" ref="E326:O326" si="218">E287</f>
        <v>6.8</v>
      </c>
      <c r="F326" s="51">
        <f t="shared" si="218"/>
        <v>6.8</v>
      </c>
      <c r="G326" s="51">
        <f t="shared" si="218"/>
        <v>6.7</v>
      </c>
      <c r="H326" s="51">
        <f t="shared" si="218"/>
        <v>6.5</v>
      </c>
      <c r="I326" s="51">
        <f t="shared" si="218"/>
        <v>7</v>
      </c>
      <c r="J326" s="51">
        <f t="shared" si="218"/>
        <v>7.3</v>
      </c>
      <c r="K326" s="51">
        <f t="shared" si="218"/>
        <v>7.4</v>
      </c>
      <c r="L326" s="51">
        <f t="shared" si="218"/>
        <v>6.6</v>
      </c>
      <c r="M326" s="51">
        <f t="shared" si="218"/>
        <v>6.9</v>
      </c>
      <c r="N326" s="51">
        <f t="shared" si="218"/>
        <v>6.6</v>
      </c>
      <c r="O326" s="51">
        <f t="shared" si="218"/>
        <v>6.7</v>
      </c>
      <c r="P326" s="97">
        <f t="shared" si="213"/>
        <v>6.8166666666666664</v>
      </c>
      <c r="Q326" s="97">
        <v>6.8166666666666664</v>
      </c>
    </row>
    <row r="327" spans="2:17" x14ac:dyDescent="0.25">
      <c r="B327" s="127" t="s">
        <v>30</v>
      </c>
      <c r="C327" s="55" t="s">
        <v>36</v>
      </c>
      <c r="D327" s="51">
        <f t="shared" ref="D327:O327" si="219">D288*D$320/1000</f>
        <v>7.9442838709677419</v>
      </c>
      <c r="E327" s="51">
        <f t="shared" si="219"/>
        <v>9.0560689655172411</v>
      </c>
      <c r="F327" s="51">
        <f t="shared" si="219"/>
        <v>9.2833548387096787</v>
      </c>
      <c r="G327" s="51">
        <f t="shared" si="219"/>
        <v>6.155333333333334</v>
      </c>
      <c r="H327" s="51">
        <f t="shared" si="219"/>
        <v>7.5025161290322586</v>
      </c>
      <c r="I327" s="51">
        <f t="shared" si="219"/>
        <v>9.9725599999999996</v>
      </c>
      <c r="J327" s="51">
        <f t="shared" si="219"/>
        <v>2.8278612903225802</v>
      </c>
      <c r="K327" s="51" t="s">
        <v>38</v>
      </c>
      <c r="L327" s="51">
        <f t="shared" si="219"/>
        <v>1.7756666666666665</v>
      </c>
      <c r="M327" s="51">
        <f t="shared" si="219"/>
        <v>3.6388709677419357</v>
      </c>
      <c r="N327" s="51">
        <f t="shared" si="219"/>
        <v>0.46494000000000002</v>
      </c>
      <c r="O327" s="51">
        <f t="shared" si="219"/>
        <v>0.32272193548387096</v>
      </c>
      <c r="P327" s="97">
        <f t="shared" si="213"/>
        <v>5.358561636161391</v>
      </c>
      <c r="Q327" s="53">
        <v>6.8984503170189093</v>
      </c>
    </row>
    <row r="328" spans="2:17" ht="16.5" thickBot="1" x14ac:dyDescent="0.3">
      <c r="B328" s="56" t="s">
        <v>119</v>
      </c>
      <c r="C328" s="57" t="s">
        <v>36</v>
      </c>
      <c r="D328" s="189">
        <f t="shared" ref="D328:O328" si="220">D289*D$320/1000</f>
        <v>0.6529548387096773</v>
      </c>
      <c r="E328" s="189">
        <f t="shared" si="220"/>
        <v>0.38811724137931031</v>
      </c>
      <c r="F328" s="189">
        <f t="shared" si="220"/>
        <v>0.59678709677419362</v>
      </c>
      <c r="G328" s="189" t="s">
        <v>38</v>
      </c>
      <c r="H328" s="189">
        <f t="shared" si="220"/>
        <v>0.38901935483870964</v>
      </c>
      <c r="I328" s="189">
        <f t="shared" si="220"/>
        <v>1.0436400000000001</v>
      </c>
      <c r="J328" s="189">
        <f t="shared" si="220"/>
        <v>0.79658064516129024</v>
      </c>
      <c r="K328" s="189">
        <f t="shared" si="220"/>
        <v>1.6412516129032257</v>
      </c>
      <c r="L328" s="189">
        <f t="shared" si="220"/>
        <v>0.42615999999999998</v>
      </c>
      <c r="M328" s="189">
        <f t="shared" si="220"/>
        <v>1.2372161290322581</v>
      </c>
      <c r="N328" s="189">
        <f t="shared" si="220"/>
        <v>6.6420000000000007E-2</v>
      </c>
      <c r="O328" s="189">
        <f t="shared" si="220"/>
        <v>7.5051612903225803E-2</v>
      </c>
      <c r="P328" s="95">
        <f t="shared" si="213"/>
        <v>0.66483623015471738</v>
      </c>
      <c r="Q328" s="101">
        <v>0.94651098875293549</v>
      </c>
    </row>
    <row r="332" spans="2:17" x14ac:dyDescent="0.25">
      <c r="B332" s="479" t="s">
        <v>197</v>
      </c>
      <c r="C332" s="479"/>
      <c r="D332" s="479"/>
      <c r="E332" s="479"/>
      <c r="F332" s="479"/>
      <c r="G332" s="479"/>
      <c r="H332" s="479"/>
      <c r="I332" s="479"/>
      <c r="J332" s="479"/>
      <c r="K332" s="479"/>
      <c r="L332" s="479"/>
      <c r="M332" s="479"/>
      <c r="N332" s="479"/>
      <c r="O332" s="479"/>
      <c r="P332" s="479"/>
    </row>
    <row r="333" spans="2:17" x14ac:dyDescent="0.25">
      <c r="B333" s="98" t="s">
        <v>1</v>
      </c>
      <c r="C333" s="99" t="s">
        <v>2</v>
      </c>
      <c r="D333" s="99">
        <f>D$41</f>
        <v>1.24</v>
      </c>
      <c r="E333" s="99">
        <f>E$41</f>
        <v>2.2400000000000002</v>
      </c>
      <c r="F333" s="99">
        <f>F$41</f>
        <v>3.24</v>
      </c>
      <c r="G333" s="99">
        <f>G$41</f>
        <v>4.24</v>
      </c>
      <c r="H333" s="99">
        <f t="shared" ref="H333:M333" si="221">H$41</f>
        <v>5.24</v>
      </c>
      <c r="I333" s="99">
        <f t="shared" si="221"/>
        <v>6.24</v>
      </c>
      <c r="J333" s="99">
        <f t="shared" si="221"/>
        <v>7.24</v>
      </c>
      <c r="K333" s="99">
        <f t="shared" si="221"/>
        <v>8.24</v>
      </c>
      <c r="L333" s="99">
        <f t="shared" si="221"/>
        <v>9.24</v>
      </c>
      <c r="M333" s="99">
        <f t="shared" si="221"/>
        <v>10.24</v>
      </c>
      <c r="N333" s="99">
        <f>N$41</f>
        <v>11.24</v>
      </c>
      <c r="O333" s="99">
        <f>O$41</f>
        <v>12.24</v>
      </c>
      <c r="P333" s="99" t="s">
        <v>117</v>
      </c>
    </row>
    <row r="334" spans="2:17" x14ac:dyDescent="0.25">
      <c r="B334" s="54" t="s">
        <v>164</v>
      </c>
      <c r="C334" s="55" t="s">
        <v>204</v>
      </c>
      <c r="D334" s="68">
        <f>D299 * (1/31)</f>
        <v>544.12903225806451</v>
      </c>
      <c r="E334" s="68">
        <f>E299 * (1/29)</f>
        <v>646.86206896551721</v>
      </c>
      <c r="F334" s="68">
        <f>F299 * (1/31)</f>
        <v>663.09677419354841</v>
      </c>
      <c r="G334" s="68">
        <f>G299 * (1/30)</f>
        <v>439.66666666666669</v>
      </c>
      <c r="H334" s="68">
        <f>H299 * (1/31)</f>
        <v>555.74193548387098</v>
      </c>
      <c r="I334" s="68">
        <f>I299 * (1/30)</f>
        <v>386.5333333333333</v>
      </c>
      <c r="J334" s="68">
        <f>J299 * (1/31)</f>
        <v>398.29032258064512</v>
      </c>
      <c r="K334" s="68">
        <f>K299 * (1/31)</f>
        <v>390.77419354838707</v>
      </c>
      <c r="L334" s="68">
        <f>L299 * (1/30)</f>
        <v>355.13333333333333</v>
      </c>
      <c r="M334" s="68">
        <f>M299 * (1/31)</f>
        <v>727.77419354838707</v>
      </c>
      <c r="N334" s="68">
        <f>N299 * (1/30)</f>
        <v>332.1</v>
      </c>
      <c r="O334" s="68">
        <f>O299 * (1/31)</f>
        <v>375.25806451612902</v>
      </c>
      <c r="P334" s="70">
        <f>AVERAGE(D334:O334)</f>
        <v>484.61332653565688</v>
      </c>
    </row>
    <row r="335" spans="2:17" x14ac:dyDescent="0.25">
      <c r="B335" s="54" t="s">
        <v>24</v>
      </c>
      <c r="C335" s="55" t="s">
        <v>36</v>
      </c>
      <c r="D335" s="51">
        <f>D300*D$334/1000</f>
        <v>8.1619354838709679</v>
      </c>
      <c r="E335" s="51">
        <f t="shared" ref="E335:O335" si="222">E300*E$334/1000</f>
        <v>9.7029310344827575</v>
      </c>
      <c r="F335" s="51">
        <f t="shared" si="222"/>
        <v>9.9464516129032248</v>
      </c>
      <c r="G335" s="51">
        <f t="shared" si="222"/>
        <v>6.5949999999999998</v>
      </c>
      <c r="H335" s="51">
        <f t="shared" si="222"/>
        <v>2.2229677419354839</v>
      </c>
      <c r="I335" s="51">
        <f t="shared" si="222"/>
        <v>2.3191999999999999</v>
      </c>
      <c r="J335" s="51">
        <f t="shared" si="222"/>
        <v>3.5846129032258061</v>
      </c>
      <c r="K335" s="51">
        <f t="shared" si="222"/>
        <v>2.7354193548387093</v>
      </c>
      <c r="L335" s="51">
        <f t="shared" si="222"/>
        <v>2.8410666666666664</v>
      </c>
      <c r="M335" s="51">
        <f t="shared" si="222"/>
        <v>7.2777419354838715</v>
      </c>
      <c r="N335" s="51">
        <f t="shared" si="222"/>
        <v>1.6605000000000001</v>
      </c>
      <c r="O335" s="51">
        <f t="shared" si="222"/>
        <v>1.8762903225806451</v>
      </c>
      <c r="P335" s="97">
        <f t="shared" ref="P335:P343" si="223">AVERAGE(D335:O335)</f>
        <v>4.9103430879990109</v>
      </c>
    </row>
    <row r="336" spans="2:17" x14ac:dyDescent="0.25">
      <c r="B336" s="54" t="s">
        <v>25</v>
      </c>
      <c r="C336" s="55" t="s">
        <v>36</v>
      </c>
      <c r="D336" s="51">
        <f t="shared" ref="D336:O336" si="224">D301*D$334/1000</f>
        <v>10.882580645161291</v>
      </c>
      <c r="E336" s="51">
        <f t="shared" si="224"/>
        <v>12.937241379310343</v>
      </c>
      <c r="F336" s="51">
        <f t="shared" si="224"/>
        <v>13.261935483870968</v>
      </c>
      <c r="G336" s="51">
        <f t="shared" si="224"/>
        <v>8.7933333333333348</v>
      </c>
      <c r="H336" s="51">
        <f t="shared" si="224"/>
        <v>7.7803870967741933</v>
      </c>
      <c r="I336" s="51">
        <f t="shared" si="224"/>
        <v>6.9575999999999993</v>
      </c>
      <c r="J336" s="51">
        <f t="shared" si="224"/>
        <v>8.7623870967741926</v>
      </c>
      <c r="K336" s="51">
        <f t="shared" si="224"/>
        <v>8.9878064516129026</v>
      </c>
      <c r="L336" s="51">
        <f t="shared" si="224"/>
        <v>10.654</v>
      </c>
      <c r="M336" s="51" t="s">
        <v>38</v>
      </c>
      <c r="N336" s="51">
        <f t="shared" si="224"/>
        <v>9.9629999999999992</v>
      </c>
      <c r="O336" s="51">
        <f t="shared" si="224"/>
        <v>3.7525806451612902</v>
      </c>
      <c r="P336" s="97">
        <f t="shared" si="223"/>
        <v>9.3393501938180457</v>
      </c>
    </row>
    <row r="337" spans="2:16" x14ac:dyDescent="0.25">
      <c r="B337" s="54" t="s">
        <v>26</v>
      </c>
      <c r="C337" s="55" t="s">
        <v>36</v>
      </c>
      <c r="D337" s="51">
        <f t="shared" ref="D337:O337" si="225">D302*D$334/1000</f>
        <v>2.7206451612903226</v>
      </c>
      <c r="E337" s="51">
        <f t="shared" si="225"/>
        <v>4.9161517241379302</v>
      </c>
      <c r="F337" s="51">
        <f t="shared" si="225"/>
        <v>3.3154838709677419</v>
      </c>
      <c r="G337" s="51">
        <f t="shared" si="225"/>
        <v>2.1983333333333337</v>
      </c>
      <c r="H337" s="51">
        <f t="shared" si="225"/>
        <v>1.1114838709677419</v>
      </c>
      <c r="I337" s="51">
        <f t="shared" si="225"/>
        <v>0.77306666666666657</v>
      </c>
      <c r="J337" s="51">
        <f t="shared" si="225"/>
        <v>0.79658064516129024</v>
      </c>
      <c r="K337" s="51" t="s">
        <v>38</v>
      </c>
      <c r="L337" s="51">
        <f t="shared" si="225"/>
        <v>5.327</v>
      </c>
      <c r="M337" s="51">
        <f t="shared" si="225"/>
        <v>7.059409677419354</v>
      </c>
      <c r="N337" s="51">
        <f t="shared" si="225"/>
        <v>4.9814999999999996</v>
      </c>
      <c r="O337" s="51">
        <f t="shared" si="225"/>
        <v>2.2515483870967743</v>
      </c>
      <c r="P337" s="97">
        <f t="shared" si="223"/>
        <v>3.2228366670037416</v>
      </c>
    </row>
    <row r="338" spans="2:16" x14ac:dyDescent="0.25">
      <c r="B338" s="54" t="s">
        <v>27</v>
      </c>
      <c r="C338" s="55" t="s">
        <v>36</v>
      </c>
      <c r="D338" s="51">
        <f t="shared" ref="D338:O338" si="226">D303*D$334/1000</f>
        <v>2.7206451612903226</v>
      </c>
      <c r="E338" s="51">
        <f t="shared" si="226"/>
        <v>3.2343103448275858</v>
      </c>
      <c r="F338" s="51">
        <f t="shared" si="226"/>
        <v>3.3154838709677419</v>
      </c>
      <c r="G338" s="51">
        <f t="shared" si="226"/>
        <v>2.1983333333333337</v>
      </c>
      <c r="H338" s="51">
        <f t="shared" si="226"/>
        <v>1.0559096774193546</v>
      </c>
      <c r="I338" s="51">
        <f t="shared" si="226"/>
        <v>0.85037333333333331</v>
      </c>
      <c r="J338" s="51">
        <f t="shared" si="226"/>
        <v>0.83640967741935479</v>
      </c>
      <c r="K338" s="51">
        <f t="shared" si="226"/>
        <v>1.0941677419354838</v>
      </c>
      <c r="L338" s="51">
        <f t="shared" si="226"/>
        <v>1.1719399999999998</v>
      </c>
      <c r="M338" s="51">
        <f t="shared" si="226"/>
        <v>1.7466580645161289</v>
      </c>
      <c r="N338" s="51">
        <f t="shared" si="226"/>
        <v>1.2619800000000001</v>
      </c>
      <c r="O338" s="51">
        <f t="shared" si="226"/>
        <v>1.1257741935483871</v>
      </c>
      <c r="P338" s="97">
        <f t="shared" si="223"/>
        <v>1.7176654498825858</v>
      </c>
    </row>
    <row r="339" spans="2:16" x14ac:dyDescent="0.25">
      <c r="B339" s="54" t="s">
        <v>28</v>
      </c>
      <c r="C339" s="55" t="s">
        <v>36</v>
      </c>
      <c r="D339" s="51">
        <f t="shared" ref="D339:O339" si="227">D304*D$334/1000</f>
        <v>0.27206451612903226</v>
      </c>
      <c r="E339" s="51">
        <f t="shared" si="227"/>
        <v>0.25874482758620687</v>
      </c>
      <c r="F339" s="51">
        <f t="shared" si="227"/>
        <v>0.53047741935483872</v>
      </c>
      <c r="G339" s="51">
        <f t="shared" si="227"/>
        <v>0.17586666666666667</v>
      </c>
      <c r="H339" s="51">
        <f t="shared" si="227"/>
        <v>0.27787096774193548</v>
      </c>
      <c r="I339" s="51">
        <f t="shared" si="227"/>
        <v>0.27057333333333328</v>
      </c>
      <c r="J339" s="51">
        <f t="shared" si="227"/>
        <v>0.27880322580645156</v>
      </c>
      <c r="K339" s="51">
        <f t="shared" si="227"/>
        <v>0.74247096774193544</v>
      </c>
      <c r="L339" s="51">
        <f t="shared" si="227"/>
        <v>0.53270000000000006</v>
      </c>
      <c r="M339" s="51">
        <f t="shared" si="227"/>
        <v>1.4555483870967743</v>
      </c>
      <c r="N339" s="51">
        <f t="shared" si="227"/>
        <v>0.26568000000000003</v>
      </c>
      <c r="O339" s="51">
        <f t="shared" si="227"/>
        <v>0.50284580645161292</v>
      </c>
      <c r="P339" s="97">
        <f t="shared" si="223"/>
        <v>0.46363717649239894</v>
      </c>
    </row>
    <row r="340" spans="2:16" x14ac:dyDescent="0.25">
      <c r="B340" s="5" t="s">
        <v>4</v>
      </c>
      <c r="C340" s="8" t="s">
        <v>5</v>
      </c>
      <c r="D340" s="51">
        <f>D305</f>
        <v>6.6</v>
      </c>
      <c r="E340" s="51">
        <f t="shared" ref="E340:O340" si="228">E305</f>
        <v>7</v>
      </c>
      <c r="F340" s="51">
        <f t="shared" si="228"/>
        <v>6.8</v>
      </c>
      <c r="G340" s="51">
        <f t="shared" si="228"/>
        <v>6.8</v>
      </c>
      <c r="H340" s="51">
        <f t="shared" si="228"/>
        <v>7</v>
      </c>
      <c r="I340" s="51">
        <f t="shared" si="228"/>
        <v>7.1</v>
      </c>
      <c r="J340" s="51">
        <f t="shared" si="228"/>
        <v>7.3</v>
      </c>
      <c r="K340" s="51">
        <f t="shared" si="228"/>
        <v>7.3</v>
      </c>
      <c r="L340" s="51">
        <f t="shared" si="228"/>
        <v>7.2</v>
      </c>
      <c r="M340" s="51">
        <f t="shared" si="228"/>
        <v>6.8</v>
      </c>
      <c r="N340" s="51">
        <f t="shared" si="228"/>
        <v>6.8</v>
      </c>
      <c r="O340" s="51">
        <f t="shared" si="228"/>
        <v>7</v>
      </c>
      <c r="P340" s="97">
        <f t="shared" si="223"/>
        <v>6.9750000000000005</v>
      </c>
    </row>
    <row r="341" spans="2:16" x14ac:dyDescent="0.25">
      <c r="B341" s="5" t="s">
        <v>8</v>
      </c>
      <c r="C341" s="55" t="s">
        <v>36</v>
      </c>
      <c r="D341" s="51">
        <f t="shared" ref="D341:O341" si="229">D306*D$334/1000</f>
        <v>0.27206451612903226</v>
      </c>
      <c r="E341" s="51">
        <f t="shared" si="229"/>
        <v>0.36871137931034481</v>
      </c>
      <c r="F341" s="51" t="s">
        <v>38</v>
      </c>
      <c r="G341" s="51">
        <f t="shared" si="229"/>
        <v>0.21983333333333335</v>
      </c>
      <c r="H341" s="51">
        <f t="shared" si="229"/>
        <v>0.23341161290322579</v>
      </c>
      <c r="I341" s="51">
        <f t="shared" si="229"/>
        <v>0.11982533333333333</v>
      </c>
      <c r="J341" s="51">
        <f t="shared" si="229"/>
        <v>0.24693999999999997</v>
      </c>
      <c r="K341" s="51">
        <f t="shared" si="229"/>
        <v>0.12504774193548387</v>
      </c>
      <c r="L341" s="51">
        <f t="shared" si="229"/>
        <v>0.16336133333333333</v>
      </c>
      <c r="M341" s="51">
        <f t="shared" si="229"/>
        <v>0.3274983870967742</v>
      </c>
      <c r="N341" s="51" t="s">
        <v>38</v>
      </c>
      <c r="O341" s="51">
        <f t="shared" si="229"/>
        <v>0.28519612903225805</v>
      </c>
      <c r="P341" s="97">
        <f t="shared" si="223"/>
        <v>0.23618897664071187</v>
      </c>
    </row>
    <row r="342" spans="2:16" x14ac:dyDescent="0.25">
      <c r="B342" s="5" t="s">
        <v>30</v>
      </c>
      <c r="C342" s="55" t="s">
        <v>36</v>
      </c>
      <c r="D342" s="51">
        <f t="shared" ref="D342:O342" si="230">D307*D$334/1000</f>
        <v>7.6178064516129034</v>
      </c>
      <c r="E342" s="51">
        <f t="shared" si="230"/>
        <v>9.0560689655172411</v>
      </c>
      <c r="F342" s="51">
        <f t="shared" si="230"/>
        <v>9.2833548387096787</v>
      </c>
      <c r="G342" s="51">
        <f t="shared" si="230"/>
        <v>6.155333333333334</v>
      </c>
      <c r="H342" s="51">
        <f t="shared" si="230"/>
        <v>2.7787096774193549</v>
      </c>
      <c r="I342" s="51">
        <f t="shared" si="230"/>
        <v>1.9326666666666665</v>
      </c>
      <c r="J342" s="51">
        <f t="shared" si="230"/>
        <v>1.9914516129032256</v>
      </c>
      <c r="K342" s="51">
        <f t="shared" si="230"/>
        <v>1.9538709677419355</v>
      </c>
      <c r="L342" s="51">
        <f t="shared" si="230"/>
        <v>1.7756666666666665</v>
      </c>
      <c r="M342" s="51">
        <f t="shared" si="230"/>
        <v>3.6388709677419357</v>
      </c>
      <c r="N342" s="51">
        <f t="shared" si="230"/>
        <v>0.36531000000000008</v>
      </c>
      <c r="O342" s="51">
        <f t="shared" si="230"/>
        <v>0.18762903225806452</v>
      </c>
      <c r="P342" s="97">
        <f t="shared" si="223"/>
        <v>3.8947282650475845</v>
      </c>
    </row>
    <row r="343" spans="2:16" ht="16.5" thickBot="1" x14ac:dyDescent="0.3">
      <c r="B343" s="38" t="s">
        <v>119</v>
      </c>
      <c r="C343" s="57" t="s">
        <v>36</v>
      </c>
      <c r="D343" s="189">
        <f t="shared" ref="D343:O343" si="231">D308*D$334/1000</f>
        <v>0.27206451612903226</v>
      </c>
      <c r="E343" s="189">
        <f t="shared" si="231"/>
        <v>0.32343103448275862</v>
      </c>
      <c r="F343" s="189">
        <f t="shared" si="231"/>
        <v>0.3315483870967742</v>
      </c>
      <c r="G343" s="189">
        <f t="shared" si="231"/>
        <v>0.21983333333333335</v>
      </c>
      <c r="H343" s="189">
        <f t="shared" si="231"/>
        <v>0.2222967741935484</v>
      </c>
      <c r="I343" s="189">
        <f t="shared" si="231"/>
        <v>0.15461333333333335</v>
      </c>
      <c r="J343" s="189">
        <f t="shared" si="231"/>
        <v>0.15931612903225806</v>
      </c>
      <c r="K343" s="189">
        <f t="shared" si="231"/>
        <v>0.27354193548387096</v>
      </c>
      <c r="L343" s="189">
        <f t="shared" si="231"/>
        <v>0.21307999999999999</v>
      </c>
      <c r="M343" s="189">
        <f t="shared" si="231"/>
        <v>0.36388709677419356</v>
      </c>
      <c r="N343" s="189">
        <f t="shared" si="231"/>
        <v>6.6420000000000007E-2</v>
      </c>
      <c r="O343" s="189">
        <f t="shared" si="231"/>
        <v>7.5051612903225803E-2</v>
      </c>
      <c r="P343" s="95">
        <f t="shared" si="223"/>
        <v>0.22292367939686072</v>
      </c>
    </row>
  </sheetData>
  <mergeCells count="87">
    <mergeCell ref="R178:S178"/>
    <mergeCell ref="T297:W297"/>
    <mergeCell ref="B318:P318"/>
    <mergeCell ref="B332:P332"/>
    <mergeCell ref="R168:X168"/>
    <mergeCell ref="R169:S169"/>
    <mergeCell ref="R170:S170"/>
    <mergeCell ref="R171:S171"/>
    <mergeCell ref="R172:S172"/>
    <mergeCell ref="R173:S173"/>
    <mergeCell ref="R174:S174"/>
    <mergeCell ref="R175:S175"/>
    <mergeCell ref="R176:S176"/>
    <mergeCell ref="R177:S177"/>
    <mergeCell ref="B235:P236"/>
    <mergeCell ref="B240:P240"/>
    <mergeCell ref="B258:P258"/>
    <mergeCell ref="B279:P279"/>
    <mergeCell ref="B297:P297"/>
    <mergeCell ref="R151:S151"/>
    <mergeCell ref="Z144:AD149"/>
    <mergeCell ref="B159:P159"/>
    <mergeCell ref="B177:P177"/>
    <mergeCell ref="B198:P198"/>
    <mergeCell ref="R150:S150"/>
    <mergeCell ref="R148:S148"/>
    <mergeCell ref="R146:S146"/>
    <mergeCell ref="R147:S147"/>
    <mergeCell ref="R149:S149"/>
    <mergeCell ref="B216:P216"/>
    <mergeCell ref="R155:X155"/>
    <mergeCell ref="R156:S156"/>
    <mergeCell ref="R157:S157"/>
    <mergeCell ref="R164:S164"/>
    <mergeCell ref="R162:S162"/>
    <mergeCell ref="B89:P89"/>
    <mergeCell ref="B128:P128"/>
    <mergeCell ref="B110:P110"/>
    <mergeCell ref="R141:X141"/>
    <mergeCell ref="R142:S142"/>
    <mergeCell ref="R143:S143"/>
    <mergeCell ref="R144:S144"/>
    <mergeCell ref="R145:S145"/>
    <mergeCell ref="R158:S158"/>
    <mergeCell ref="R159:S159"/>
    <mergeCell ref="R160:S160"/>
    <mergeCell ref="R161:S161"/>
    <mergeCell ref="R163:S163"/>
    <mergeCell ref="B71:P71"/>
    <mergeCell ref="B151:P152"/>
    <mergeCell ref="X77:AL77"/>
    <mergeCell ref="E3:E4"/>
    <mergeCell ref="B40:P40"/>
    <mergeCell ref="B20:P20"/>
    <mergeCell ref="B7:C7"/>
    <mergeCell ref="B8:C8"/>
    <mergeCell ref="B9:C9"/>
    <mergeCell ref="B10:C10"/>
    <mergeCell ref="B11:C11"/>
    <mergeCell ref="B12:C12"/>
    <mergeCell ref="B13:C13"/>
    <mergeCell ref="X60:AL60"/>
    <mergeCell ref="B14:C14"/>
    <mergeCell ref="K14:L14"/>
    <mergeCell ref="X58:AL58"/>
    <mergeCell ref="K12:L12"/>
    <mergeCell ref="K13:L13"/>
    <mergeCell ref="B2:F2"/>
    <mergeCell ref="B3:D4"/>
    <mergeCell ref="F3:F4"/>
    <mergeCell ref="B5:C5"/>
    <mergeCell ref="B6:C6"/>
    <mergeCell ref="B15:C15"/>
    <mergeCell ref="B16:C16"/>
    <mergeCell ref="J2:L2"/>
    <mergeCell ref="J3:J4"/>
    <mergeCell ref="K3:L4"/>
    <mergeCell ref="K5:L5"/>
    <mergeCell ref="K6:L6"/>
    <mergeCell ref="B63:P64"/>
    <mergeCell ref="K7:L7"/>
    <mergeCell ref="K8:L8"/>
    <mergeCell ref="K9:L9"/>
    <mergeCell ref="K10:L10"/>
    <mergeCell ref="K11:L11"/>
    <mergeCell ref="K15:L15"/>
    <mergeCell ref="K16:L16"/>
  </mergeCells>
  <conditionalFormatting sqref="D281:O293">
    <cfRule type="cellIs" dxfId="3" priority="5" operator="equal">
      <formula>"-"</formula>
    </cfRule>
  </conditionalFormatting>
  <conditionalFormatting sqref="D299:O312">
    <cfRule type="cellIs" dxfId="2" priority="4" operator="equal">
      <formula>"-"</formula>
    </cfRule>
  </conditionalFormatting>
  <conditionalFormatting sqref="D320:O328">
    <cfRule type="cellIs" dxfId="1" priority="2" operator="equal">
      <formula>"-"</formula>
    </cfRule>
  </conditionalFormatting>
  <conditionalFormatting sqref="D335:O343">
    <cfRule type="cellIs" dxfId="0" priority="1" operator="equal">
      <formula>"-"</formula>
    </cfRule>
  </conditionalFormatting>
  <pageMargins left="0.7" right="0.7" top="0.75" bottom="0.75" header="0.3" footer="0.3"/>
  <pageSetup orientation="portrait" horizontalDpi="0" verticalDpi="0"/>
  <ignoredErrors>
    <ignoredError sqref="E112:N112 E130:N130 E200:N200 E218:N218 E180:O180 E182:J182 E183 D118:O118 D136:O136 D206:O206 D224:O224 G164 E168:M168 D186:G186 H187:N187 N291 N290 N292:N293 D340:O340 E334:N334 D326:O326 E320:N320" 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E888-55F2-A64E-8B5C-0D9CD463D238}">
  <dimension ref="A2:BT406"/>
  <sheetViews>
    <sheetView topLeftCell="O264" zoomScale="106" zoomScaleNormal="118" workbookViewId="0">
      <selection activeCell="W280" sqref="W280"/>
    </sheetView>
  </sheetViews>
  <sheetFormatPr baseColWidth="10" defaultRowHeight="15.75" x14ac:dyDescent="0.25"/>
  <cols>
    <col min="2" max="29" width="8.875" customWidth="1"/>
    <col min="32" max="32" width="31.375" customWidth="1"/>
    <col min="34" max="34" width="12.625" customWidth="1"/>
  </cols>
  <sheetData>
    <row r="2" spans="27:72" x14ac:dyDescent="0.25">
      <c r="BD2" t="s">
        <v>644</v>
      </c>
      <c r="BE2" t="s">
        <v>646</v>
      </c>
    </row>
    <row r="3" spans="27:72" x14ac:dyDescent="0.25">
      <c r="BD3" t="s">
        <v>645</v>
      </c>
      <c r="BE3" t="s">
        <v>644</v>
      </c>
    </row>
    <row r="4" spans="27:72" ht="15.95" customHeight="1" x14ac:dyDescent="0.25"/>
    <row r="5" spans="27:72" x14ac:dyDescent="0.25">
      <c r="AO5">
        <f>24*366</f>
        <v>8784</v>
      </c>
      <c r="BA5">
        <f>BA17/31</f>
        <v>2.1470967741935483</v>
      </c>
      <c r="BB5">
        <f>BA5*60/24</f>
        <v>5.3677419354838705</v>
      </c>
      <c r="BI5">
        <f>AZ17/31</f>
        <v>24.11032258064516</v>
      </c>
    </row>
    <row r="6" spans="27:72" x14ac:dyDescent="0.25">
      <c r="AA6" s="406" t="s">
        <v>200</v>
      </c>
      <c r="AB6" s="406"/>
      <c r="AE6" s="406" t="s">
        <v>596</v>
      </c>
      <c r="AF6" s="406"/>
      <c r="AG6" s="406"/>
      <c r="AH6" s="406"/>
      <c r="AI6" s="406"/>
      <c r="AJ6" s="406"/>
      <c r="AK6" s="406"/>
      <c r="AL6" s="406"/>
    </row>
    <row r="7" spans="27:72" x14ac:dyDescent="0.25">
      <c r="AA7" s="5" t="str">
        <f>'Ambas EDAR'!K6</f>
        <v>1. -24</v>
      </c>
      <c r="AB7" s="68">
        <f>'Ambas EDAR'!N6</f>
        <v>544.12903225806451</v>
      </c>
      <c r="AE7" s="406" t="s">
        <v>40</v>
      </c>
      <c r="AF7" s="406"/>
      <c r="AG7" s="24" t="s">
        <v>42</v>
      </c>
      <c r="AH7" s="24" t="s">
        <v>129</v>
      </c>
      <c r="AI7" s="545" t="s">
        <v>595</v>
      </c>
      <c r="AJ7" s="545"/>
      <c r="AK7" s="545" t="s">
        <v>605</v>
      </c>
      <c r="AL7" s="545"/>
      <c r="AR7" s="133" t="s">
        <v>216</v>
      </c>
    </row>
    <row r="8" spans="27:72" x14ac:dyDescent="0.25">
      <c r="AA8" s="5" t="str">
        <f>'Ambas EDAR'!K7</f>
        <v>2. -24</v>
      </c>
      <c r="AB8" s="68">
        <f>'Ambas EDAR'!N7</f>
        <v>646.86206896551721</v>
      </c>
      <c r="AE8" s="22" t="s">
        <v>56</v>
      </c>
      <c r="AF8" s="22" t="s">
        <v>62</v>
      </c>
      <c r="AG8" s="22">
        <v>3</v>
      </c>
      <c r="AH8" s="22">
        <v>3.1</v>
      </c>
      <c r="AI8" s="425">
        <v>0</v>
      </c>
      <c r="AJ8" s="425"/>
      <c r="AK8" s="425">
        <f>AH8*AI8</f>
        <v>0</v>
      </c>
      <c r="AL8" s="425"/>
      <c r="AM8" t="s">
        <v>603</v>
      </c>
      <c r="AQ8" s="134"/>
      <c r="AR8" s="311" t="s">
        <v>236</v>
      </c>
      <c r="AS8" s="313" t="s">
        <v>237</v>
      </c>
      <c r="AT8" s="311" t="s">
        <v>233</v>
      </c>
      <c r="AU8" s="312" t="s">
        <v>234</v>
      </c>
      <c r="AV8" s="313" t="s">
        <v>235</v>
      </c>
      <c r="AW8" s="311" t="s">
        <v>217</v>
      </c>
      <c r="AX8" s="313" t="s">
        <v>218</v>
      </c>
      <c r="AY8" s="311" t="s">
        <v>219</v>
      </c>
      <c r="AZ8" s="313" t="s">
        <v>220</v>
      </c>
      <c r="BA8" s="311" t="s">
        <v>221</v>
      </c>
      <c r="BB8" s="312" t="s">
        <v>222</v>
      </c>
      <c r="BC8" s="312" t="s">
        <v>223</v>
      </c>
      <c r="BD8" s="312" t="s">
        <v>224</v>
      </c>
      <c r="BE8" s="312" t="s">
        <v>225</v>
      </c>
      <c r="BF8" s="312" t="s">
        <v>226</v>
      </c>
      <c r="BG8" s="312" t="s">
        <v>227</v>
      </c>
      <c r="BH8" s="313" t="s">
        <v>228</v>
      </c>
      <c r="BI8" s="311" t="s">
        <v>229</v>
      </c>
      <c r="BJ8" s="312" t="s">
        <v>230</v>
      </c>
      <c r="BK8" s="312" t="s">
        <v>231</v>
      </c>
      <c r="BL8" s="313" t="s">
        <v>232</v>
      </c>
      <c r="BM8" s="311" t="s">
        <v>238</v>
      </c>
      <c r="BN8" s="313" t="s">
        <v>239</v>
      </c>
      <c r="BO8" s="319" t="s">
        <v>242</v>
      </c>
      <c r="BP8" s="319" t="s">
        <v>243</v>
      </c>
      <c r="BQ8" s="319" t="s">
        <v>241</v>
      </c>
      <c r="BR8" s="319" t="s">
        <v>240</v>
      </c>
    </row>
    <row r="9" spans="27:72" x14ac:dyDescent="0.25">
      <c r="AA9" s="5" t="str">
        <f>'Ambas EDAR'!K8</f>
        <v>3. -24</v>
      </c>
      <c r="AB9" s="68">
        <f>'Ambas EDAR'!N8</f>
        <v>663.09677419354841</v>
      </c>
      <c r="AE9" s="322" t="s">
        <v>56</v>
      </c>
      <c r="AF9" s="322" t="s">
        <v>63</v>
      </c>
      <c r="AG9" s="322">
        <v>2</v>
      </c>
      <c r="AH9" s="322">
        <v>1.3</v>
      </c>
      <c r="AI9" s="424">
        <f>SUM(AR10:AS21)</f>
        <v>56.519999999999989</v>
      </c>
      <c r="AJ9" s="424"/>
      <c r="AK9" s="539">
        <f>AH9*AI9</f>
        <v>73.475999999999985</v>
      </c>
      <c r="AL9" s="540"/>
      <c r="AM9" t="s">
        <v>599</v>
      </c>
      <c r="AQ9" s="134"/>
      <c r="AR9" s="82"/>
      <c r="AS9" s="87"/>
      <c r="AT9" s="82"/>
      <c r="AV9" s="87"/>
      <c r="AW9" s="82"/>
      <c r="AX9" s="87"/>
      <c r="AY9" s="82"/>
      <c r="AZ9" s="87"/>
      <c r="BA9" s="82"/>
      <c r="BH9" s="87"/>
      <c r="BI9" s="82"/>
      <c r="BL9" s="87"/>
      <c r="BM9" s="82"/>
      <c r="BN9" s="87"/>
      <c r="BO9" s="320"/>
      <c r="BP9" s="320"/>
      <c r="BQ9" s="320"/>
      <c r="BR9" s="320"/>
    </row>
    <row r="10" spans="27:72" x14ac:dyDescent="0.25">
      <c r="AA10" s="5" t="str">
        <f>'Ambas EDAR'!K9</f>
        <v>4. -24</v>
      </c>
      <c r="AB10" s="68">
        <f>'Ambas EDAR'!N9</f>
        <v>439.66666666666669</v>
      </c>
      <c r="AE10" s="322" t="s">
        <v>56</v>
      </c>
      <c r="AF10" s="322" t="s">
        <v>64</v>
      </c>
      <c r="AG10" s="322">
        <v>3</v>
      </c>
      <c r="AH10" s="322">
        <v>3.1</v>
      </c>
      <c r="AI10" s="424">
        <f>SUM(AT10:AV21)</f>
        <v>2364.86</v>
      </c>
      <c r="AJ10" s="424"/>
      <c r="AK10" s="539">
        <f>AH10*AI10</f>
        <v>7331.0660000000007</v>
      </c>
      <c r="AL10" s="540"/>
      <c r="AM10" t="s">
        <v>599</v>
      </c>
      <c r="AQ10" s="135">
        <v>1.24</v>
      </c>
      <c r="AR10" s="314">
        <v>5.0999999999999996</v>
      </c>
      <c r="AS10" s="315">
        <v>5</v>
      </c>
      <c r="AT10" s="314">
        <v>73.92</v>
      </c>
      <c r="AU10" s="135">
        <v>74.489999999999995</v>
      </c>
      <c r="AV10" s="315">
        <v>74.16</v>
      </c>
      <c r="AW10" s="314">
        <v>374.4</v>
      </c>
      <c r="AX10" s="315">
        <v>375.98</v>
      </c>
      <c r="AY10" s="314">
        <v>721.49</v>
      </c>
      <c r="AZ10" s="315">
        <v>721.49</v>
      </c>
      <c r="BA10" s="314">
        <v>26.96</v>
      </c>
      <c r="BB10" s="135">
        <v>43.41</v>
      </c>
      <c r="BC10" s="135">
        <v>37.81</v>
      </c>
      <c r="BD10" s="135">
        <v>23.91</v>
      </c>
      <c r="BE10" s="135">
        <v>37.909999999999997</v>
      </c>
      <c r="BF10" s="135">
        <v>33.35</v>
      </c>
      <c r="BG10" s="135">
        <v>29.04</v>
      </c>
      <c r="BH10" s="315">
        <v>24.74</v>
      </c>
      <c r="BI10" s="314">
        <v>305.98</v>
      </c>
      <c r="BJ10" s="135">
        <v>305.98</v>
      </c>
      <c r="BK10" s="135">
        <v>311.29000000000002</v>
      </c>
      <c r="BL10" s="315">
        <v>311.27</v>
      </c>
      <c r="BM10" s="314">
        <v>170.92</v>
      </c>
      <c r="BN10" s="315">
        <v>395.36</v>
      </c>
      <c r="BO10" s="321">
        <v>10.039999999999999</v>
      </c>
      <c r="BP10" s="321">
        <v>36.75</v>
      </c>
      <c r="BQ10" s="321">
        <v>37.49</v>
      </c>
      <c r="BR10" s="321">
        <v>35.130000000000003</v>
      </c>
    </row>
    <row r="11" spans="27:72" x14ac:dyDescent="0.25">
      <c r="AA11" s="5" t="str">
        <f>'Ambas EDAR'!K10</f>
        <v>5. -24</v>
      </c>
      <c r="AB11" s="68">
        <f>'Ambas EDAR'!N10</f>
        <v>555.74193548387098</v>
      </c>
      <c r="AE11" s="22" t="s">
        <v>47</v>
      </c>
      <c r="AF11" s="28" t="s">
        <v>41</v>
      </c>
      <c r="AG11" s="22">
        <v>2</v>
      </c>
      <c r="AH11" s="28">
        <v>1.5</v>
      </c>
      <c r="AI11" s="417"/>
      <c r="AJ11" s="417"/>
      <c r="AK11" s="546"/>
      <c r="AL11" s="546"/>
      <c r="AQ11" s="135">
        <v>2.2400000000000002</v>
      </c>
      <c r="AR11" s="314">
        <v>2.65</v>
      </c>
      <c r="AS11" s="315">
        <v>3.01</v>
      </c>
      <c r="AT11" s="314">
        <v>82.29</v>
      </c>
      <c r="AU11" s="135">
        <v>82.03</v>
      </c>
      <c r="AV11" s="315">
        <v>82.7</v>
      </c>
      <c r="AW11" s="314">
        <v>345.73</v>
      </c>
      <c r="AX11" s="315">
        <v>345.82</v>
      </c>
      <c r="AY11" s="314">
        <v>721.49</v>
      </c>
      <c r="AZ11" s="315">
        <v>721.49</v>
      </c>
      <c r="BA11" s="314">
        <v>0</v>
      </c>
      <c r="BB11" s="135">
        <v>0</v>
      </c>
      <c r="BC11" s="135">
        <v>0</v>
      </c>
      <c r="BD11" s="135">
        <v>0</v>
      </c>
      <c r="BE11" s="135">
        <v>0</v>
      </c>
      <c r="BF11" s="135">
        <v>0</v>
      </c>
      <c r="BG11" s="135">
        <v>0</v>
      </c>
      <c r="BH11" s="315">
        <v>0</v>
      </c>
      <c r="BI11" s="314">
        <v>275.69</v>
      </c>
      <c r="BJ11" s="135">
        <v>275.69</v>
      </c>
      <c r="BK11" s="135">
        <v>278.64999999999998</v>
      </c>
      <c r="BL11" s="315">
        <v>278.64999999999998</v>
      </c>
      <c r="BM11" s="314">
        <v>264.01</v>
      </c>
      <c r="BN11" s="315">
        <v>364.09</v>
      </c>
      <c r="BO11" s="321">
        <v>5.64</v>
      </c>
      <c r="BP11" s="321">
        <v>23.01</v>
      </c>
      <c r="BQ11" s="321">
        <v>19.350000000000001</v>
      </c>
      <c r="BR11" s="321">
        <v>22.41</v>
      </c>
      <c r="BT11" s="135" t="s">
        <v>597</v>
      </c>
    </row>
    <row r="12" spans="27:72" x14ac:dyDescent="0.25">
      <c r="AA12" s="5" t="str">
        <f>'Ambas EDAR'!K11</f>
        <v>6. -24</v>
      </c>
      <c r="AB12" s="68">
        <f>'Ambas EDAR'!N11</f>
        <v>386.53333333333336</v>
      </c>
      <c r="AE12" s="22" t="s">
        <v>49</v>
      </c>
      <c r="AF12" s="22" t="s">
        <v>48</v>
      </c>
      <c r="AG12" s="22">
        <v>4</v>
      </c>
      <c r="AH12" s="22">
        <v>1.1000000000000001</v>
      </c>
      <c r="AI12" s="425"/>
      <c r="AJ12" s="425"/>
      <c r="AK12" s="437"/>
      <c r="AL12" s="437"/>
      <c r="AQ12" s="135">
        <v>3.24</v>
      </c>
      <c r="AR12" s="314">
        <v>2.99</v>
      </c>
      <c r="AS12" s="315">
        <v>3.01</v>
      </c>
      <c r="AT12" s="314">
        <v>90.82</v>
      </c>
      <c r="AU12" s="135">
        <v>90.84</v>
      </c>
      <c r="AV12" s="315">
        <v>91.15</v>
      </c>
      <c r="AW12" s="314">
        <v>37.82</v>
      </c>
      <c r="AX12" s="315">
        <v>369.67</v>
      </c>
      <c r="AY12" s="314">
        <v>741.05</v>
      </c>
      <c r="AZ12" s="315">
        <v>741.05</v>
      </c>
      <c r="BA12" s="314">
        <v>32</v>
      </c>
      <c r="BB12" s="135">
        <v>29.59</v>
      </c>
      <c r="BC12" s="135">
        <v>25.65</v>
      </c>
      <c r="BD12" s="135">
        <v>22.82</v>
      </c>
      <c r="BE12" s="135">
        <v>28.83</v>
      </c>
      <c r="BF12" s="135">
        <v>25.83</v>
      </c>
      <c r="BG12" s="135">
        <v>22.85</v>
      </c>
      <c r="BH12" s="315">
        <v>19.98</v>
      </c>
      <c r="BI12" s="314">
        <v>288.42</v>
      </c>
      <c r="BJ12" s="135">
        <v>288.42</v>
      </c>
      <c r="BK12" s="135">
        <v>294.7</v>
      </c>
      <c r="BL12" s="315">
        <v>294.7</v>
      </c>
      <c r="BM12" s="314">
        <v>234.29</v>
      </c>
      <c r="BN12" s="315">
        <v>195.88</v>
      </c>
      <c r="BO12" s="321">
        <v>6.74</v>
      </c>
      <c r="BP12" s="321">
        <v>21.97</v>
      </c>
      <c r="BQ12" s="321">
        <v>21.89</v>
      </c>
      <c r="BR12" s="321">
        <v>22.42</v>
      </c>
    </row>
    <row r="13" spans="27:72" x14ac:dyDescent="0.25">
      <c r="AA13" s="5" t="str">
        <f>'Ambas EDAR'!K12</f>
        <v>7. -24</v>
      </c>
      <c r="AB13" s="68">
        <f>'Ambas EDAR'!N12</f>
        <v>398.29032258064518</v>
      </c>
      <c r="AE13" s="22" t="s">
        <v>50</v>
      </c>
      <c r="AF13" s="22" t="s">
        <v>51</v>
      </c>
      <c r="AG13" s="22">
        <v>2</v>
      </c>
      <c r="AH13" s="22">
        <v>0.75</v>
      </c>
      <c r="AI13" s="425"/>
      <c r="AJ13" s="425"/>
      <c r="AK13" s="437"/>
      <c r="AL13" s="437"/>
      <c r="AQ13" s="135">
        <v>4.24</v>
      </c>
      <c r="AR13" s="314">
        <v>4.9400000000000004</v>
      </c>
      <c r="AS13" s="315">
        <v>4.7699999999999996</v>
      </c>
      <c r="AT13" s="314">
        <v>58.06</v>
      </c>
      <c r="AU13" s="135">
        <v>57.99</v>
      </c>
      <c r="AV13" s="315">
        <v>57.24</v>
      </c>
      <c r="AW13" s="314">
        <v>359.74</v>
      </c>
      <c r="AX13" s="315">
        <v>359.99</v>
      </c>
      <c r="AY13" s="314">
        <v>720.25</v>
      </c>
      <c r="AZ13" s="315">
        <v>720.25</v>
      </c>
      <c r="BA13" s="314">
        <v>33.200000000000003</v>
      </c>
      <c r="BB13" s="135">
        <v>37.32</v>
      </c>
      <c r="BC13" s="135">
        <v>33.200000000000003</v>
      </c>
      <c r="BD13" s="135">
        <v>24.16</v>
      </c>
      <c r="BE13" s="135">
        <v>32.76</v>
      </c>
      <c r="BF13" s="135">
        <v>29.47</v>
      </c>
      <c r="BG13" s="135">
        <v>26.33</v>
      </c>
      <c r="BH13" s="315">
        <v>23.2</v>
      </c>
      <c r="BI13" s="314">
        <v>273.62</v>
      </c>
      <c r="BJ13" s="135">
        <v>273.63</v>
      </c>
      <c r="BK13" s="135">
        <v>280.38</v>
      </c>
      <c r="BL13" s="315">
        <v>280.38</v>
      </c>
      <c r="BM13" s="314">
        <v>295.51</v>
      </c>
      <c r="BN13" s="315">
        <v>231.75</v>
      </c>
      <c r="BO13" s="321">
        <v>8.8800000000000008</v>
      </c>
      <c r="BP13" s="321">
        <v>29.62</v>
      </c>
      <c r="BQ13" s="321">
        <v>30.22</v>
      </c>
      <c r="BR13" s="321">
        <v>34.630000000000003</v>
      </c>
    </row>
    <row r="14" spans="27:72" x14ac:dyDescent="0.25">
      <c r="AA14" s="5" t="str">
        <f>'Ambas EDAR'!K13</f>
        <v>8. -24</v>
      </c>
      <c r="AB14" s="68">
        <f>'Ambas EDAR'!N13</f>
        <v>390.77419354838707</v>
      </c>
      <c r="AE14" s="22" t="s">
        <v>52</v>
      </c>
      <c r="AF14" s="22" t="s">
        <v>53</v>
      </c>
      <c r="AG14" s="22">
        <v>1</v>
      </c>
      <c r="AH14" s="22">
        <v>0.37</v>
      </c>
      <c r="AI14" s="425"/>
      <c r="AJ14" s="425"/>
      <c r="AK14" s="437"/>
      <c r="AL14" s="437"/>
      <c r="AQ14" s="135">
        <v>5.24</v>
      </c>
      <c r="AR14" s="314">
        <v>0</v>
      </c>
      <c r="AS14" s="315">
        <v>0.01</v>
      </c>
      <c r="AT14" s="314">
        <v>73.98</v>
      </c>
      <c r="AU14" s="135">
        <v>74</v>
      </c>
      <c r="AV14" s="315">
        <v>73.87</v>
      </c>
      <c r="AW14" s="314">
        <v>384.78</v>
      </c>
      <c r="AX14" s="315">
        <v>363.99</v>
      </c>
      <c r="AY14" s="314">
        <v>734.55</v>
      </c>
      <c r="AZ14" s="315">
        <v>734.55</v>
      </c>
      <c r="BA14" s="314">
        <v>62.67</v>
      </c>
      <c r="BB14" s="135">
        <v>60.02</v>
      </c>
      <c r="BC14" s="135">
        <v>55.6</v>
      </c>
      <c r="BD14" s="135">
        <v>52.15</v>
      </c>
      <c r="BE14" s="135">
        <v>37.08</v>
      </c>
      <c r="BF14" s="135">
        <v>33.49</v>
      </c>
      <c r="BG14" s="135">
        <v>29.88</v>
      </c>
      <c r="BH14" s="315">
        <v>26.52</v>
      </c>
      <c r="BI14" s="314">
        <v>279.27</v>
      </c>
      <c r="BJ14" s="135">
        <v>279.26</v>
      </c>
      <c r="BK14" s="135">
        <v>284.39999999999998</v>
      </c>
      <c r="BL14" s="315">
        <v>284.39999999999998</v>
      </c>
      <c r="BM14" s="314">
        <v>165.99</v>
      </c>
      <c r="BN14" s="315">
        <v>540.26</v>
      </c>
      <c r="BO14" s="321">
        <v>0</v>
      </c>
      <c r="BP14" s="321">
        <v>0</v>
      </c>
      <c r="BQ14" s="321">
        <v>0</v>
      </c>
      <c r="BR14" s="321">
        <v>0</v>
      </c>
      <c r="BT14" s="135" t="s">
        <v>604</v>
      </c>
    </row>
    <row r="15" spans="27:72" x14ac:dyDescent="0.25">
      <c r="AA15" s="5" t="str">
        <f>'Ambas EDAR'!K14</f>
        <v>9. -24</v>
      </c>
      <c r="AB15" s="105">
        <f>'Ambas EDAR'!N14</f>
        <v>355.13333333333333</v>
      </c>
      <c r="AE15" s="322" t="s">
        <v>54</v>
      </c>
      <c r="AF15" s="322" t="s">
        <v>55</v>
      </c>
      <c r="AG15" s="322">
        <v>2</v>
      </c>
      <c r="AH15" s="322">
        <v>5.5</v>
      </c>
      <c r="AI15" s="424">
        <f>SUM(AW10:AX21)</f>
        <v>8534.2699999999986</v>
      </c>
      <c r="AJ15" s="424"/>
      <c r="AK15" s="436">
        <f>AH15*AI15</f>
        <v>46938.484999999993</v>
      </c>
      <c r="AL15" s="436"/>
      <c r="AM15" t="s">
        <v>600</v>
      </c>
      <c r="AQ15" s="135">
        <v>6.24</v>
      </c>
      <c r="AR15" s="314">
        <v>2.12</v>
      </c>
      <c r="AS15" s="315">
        <v>2.2200000000000002</v>
      </c>
      <c r="AT15" s="314">
        <v>53.88</v>
      </c>
      <c r="AU15" s="135">
        <v>53.73</v>
      </c>
      <c r="AV15" s="315">
        <v>53.68</v>
      </c>
      <c r="AW15" s="314">
        <v>349.92</v>
      </c>
      <c r="AX15" s="315">
        <v>370.73</v>
      </c>
      <c r="AY15" s="314">
        <v>721.15</v>
      </c>
      <c r="AZ15" s="315">
        <v>721.15</v>
      </c>
      <c r="BA15" s="314">
        <v>51.52</v>
      </c>
      <c r="BB15" s="135">
        <v>48.24</v>
      </c>
      <c r="BC15" s="135">
        <v>42.94</v>
      </c>
      <c r="BD15" s="135">
        <v>38.99</v>
      </c>
      <c r="BE15" s="135">
        <v>51.84</v>
      </c>
      <c r="BF15" s="135">
        <v>47.4</v>
      </c>
      <c r="BG15" s="135">
        <v>43.18</v>
      </c>
      <c r="BH15" s="315">
        <v>38.96</v>
      </c>
      <c r="BI15" s="314">
        <v>260.39999999999998</v>
      </c>
      <c r="BJ15" s="135">
        <v>260.39999999999998</v>
      </c>
      <c r="BK15" s="135">
        <v>403.08</v>
      </c>
      <c r="BL15" s="315">
        <v>262.87</v>
      </c>
      <c r="BM15" s="314">
        <v>127.33</v>
      </c>
      <c r="BN15" s="315">
        <v>41.79</v>
      </c>
      <c r="BO15" s="321">
        <v>2.0699999999999998</v>
      </c>
      <c r="BP15" s="321">
        <v>7.51</v>
      </c>
      <c r="BQ15" s="321">
        <v>6.74</v>
      </c>
      <c r="BR15" s="321">
        <v>4.66</v>
      </c>
    </row>
    <row r="16" spans="27:72" x14ac:dyDescent="0.25">
      <c r="AA16" s="5" t="str">
        <f>'Ambas EDAR'!K15</f>
        <v>10. -24</v>
      </c>
      <c r="AB16" s="68">
        <f>'Ambas EDAR'!N15</f>
        <v>727.77419354838707</v>
      </c>
      <c r="AE16" s="22" t="s">
        <v>57</v>
      </c>
      <c r="AF16" s="22" t="s">
        <v>58</v>
      </c>
      <c r="AG16" s="22">
        <v>3</v>
      </c>
      <c r="AH16" s="22" t="s">
        <v>38</v>
      </c>
      <c r="AI16" s="425"/>
      <c r="AJ16" s="425"/>
      <c r="AK16" s="437"/>
      <c r="AL16" s="437"/>
      <c r="AQ16" s="135">
        <v>7.24</v>
      </c>
      <c r="AR16" s="314">
        <v>0.87</v>
      </c>
      <c r="AS16" s="315">
        <v>1.59</v>
      </c>
      <c r="AT16" s="314">
        <v>53.12</v>
      </c>
      <c r="AU16" s="135">
        <v>53.26</v>
      </c>
      <c r="AV16" s="315">
        <v>53.67</v>
      </c>
      <c r="AW16" s="314">
        <v>371.35</v>
      </c>
      <c r="AX16" s="315">
        <v>370.21</v>
      </c>
      <c r="AY16" s="314">
        <v>747.42</v>
      </c>
      <c r="AZ16" s="315">
        <v>747.42</v>
      </c>
      <c r="BA16" s="314">
        <v>61.02</v>
      </c>
      <c r="BB16" s="135">
        <v>56.54</v>
      </c>
      <c r="BC16" s="135">
        <v>53.85</v>
      </c>
      <c r="BD16" s="135">
        <v>48.03</v>
      </c>
      <c r="BE16" s="135">
        <v>58.86</v>
      </c>
      <c r="BF16" s="135">
        <v>56.99</v>
      </c>
      <c r="BG16" s="135">
        <v>47.42</v>
      </c>
      <c r="BH16" s="315">
        <v>45.6</v>
      </c>
      <c r="BI16" s="314">
        <v>254.8</v>
      </c>
      <c r="BJ16" s="135">
        <v>254.8</v>
      </c>
      <c r="BK16" s="135">
        <v>403.08</v>
      </c>
      <c r="BL16" s="315">
        <v>256.52</v>
      </c>
      <c r="BM16" s="314">
        <v>108.74</v>
      </c>
      <c r="BN16" s="315">
        <v>188.85</v>
      </c>
      <c r="BO16" s="321">
        <v>2.4500000000000002</v>
      </c>
      <c r="BP16" s="321">
        <v>6.77</v>
      </c>
      <c r="BQ16" s="321">
        <v>7.12</v>
      </c>
      <c r="BR16" s="321">
        <v>6.41</v>
      </c>
    </row>
    <row r="17" spans="27:72" x14ac:dyDescent="0.25">
      <c r="AA17" s="5" t="str">
        <f>'Ambas EDAR'!K16</f>
        <v>11. -24</v>
      </c>
      <c r="AB17" s="105">
        <f>'Ambas EDAR'!N16</f>
        <v>332.1</v>
      </c>
      <c r="AE17" s="22" t="s">
        <v>59</v>
      </c>
      <c r="AF17" s="22" t="s">
        <v>60</v>
      </c>
      <c r="AG17" s="22">
        <v>2</v>
      </c>
      <c r="AH17" s="22" t="s">
        <v>38</v>
      </c>
      <c r="AI17" s="425"/>
      <c r="AJ17" s="425"/>
      <c r="AK17" s="437"/>
      <c r="AL17" s="437"/>
      <c r="AQ17" s="135">
        <v>8.24</v>
      </c>
      <c r="AR17" s="314">
        <v>4.16</v>
      </c>
      <c r="AS17" s="315">
        <v>2.41</v>
      </c>
      <c r="AT17" s="314">
        <v>56.49</v>
      </c>
      <c r="AU17" s="135">
        <v>56.15</v>
      </c>
      <c r="AV17" s="315">
        <v>59.95</v>
      </c>
      <c r="AW17" s="314">
        <v>376.27</v>
      </c>
      <c r="AX17" s="315">
        <v>375.99</v>
      </c>
      <c r="AY17" s="314">
        <v>747.42</v>
      </c>
      <c r="AZ17" s="315">
        <v>747.42</v>
      </c>
      <c r="BA17" s="314">
        <v>66.56</v>
      </c>
      <c r="BB17" s="135">
        <v>65.62</v>
      </c>
      <c r="BC17" s="135">
        <v>56.3</v>
      </c>
      <c r="BD17" s="135">
        <v>51.59</v>
      </c>
      <c r="BE17" s="135">
        <v>66.790000000000006</v>
      </c>
      <c r="BF17" s="135">
        <v>62.07</v>
      </c>
      <c r="BG17" s="135">
        <v>61.25</v>
      </c>
      <c r="BH17" s="315">
        <v>51.18</v>
      </c>
      <c r="BI17" s="314">
        <v>260.05</v>
      </c>
      <c r="BJ17" s="135">
        <v>260.02999999999997</v>
      </c>
      <c r="BK17" s="135">
        <v>256.52</v>
      </c>
      <c r="BL17" s="315">
        <v>261.27999999999997</v>
      </c>
      <c r="BM17" s="314">
        <v>10.3</v>
      </c>
      <c r="BN17" s="315">
        <v>127.76</v>
      </c>
      <c r="BO17" s="321">
        <v>6.54</v>
      </c>
      <c r="BP17" s="321">
        <v>9.59</v>
      </c>
      <c r="BQ17" s="321">
        <v>9.94</v>
      </c>
      <c r="BR17" s="321">
        <v>8.68</v>
      </c>
    </row>
    <row r="18" spans="27:72" x14ac:dyDescent="0.25">
      <c r="AA18" s="5" t="str">
        <f>'Ambas EDAR'!K17</f>
        <v>12. -24</v>
      </c>
      <c r="AB18" s="68">
        <f>'Ambas EDAR'!N17</f>
        <v>375.25806451612902</v>
      </c>
      <c r="AE18" s="322" t="s">
        <v>61</v>
      </c>
      <c r="AF18" s="322" t="s">
        <v>65</v>
      </c>
      <c r="AG18" s="322">
        <v>2</v>
      </c>
      <c r="AH18" s="322">
        <v>2.5</v>
      </c>
      <c r="AI18" s="424">
        <f>SUM(AY10:AZ21)</f>
        <v>17446.100000000002</v>
      </c>
      <c r="AJ18" s="424"/>
      <c r="AK18" s="539">
        <f>AH18*AI18</f>
        <v>43615.250000000007</v>
      </c>
      <c r="AL18" s="540"/>
      <c r="AM18" t="s">
        <v>268</v>
      </c>
      <c r="AQ18" s="135">
        <v>9.24</v>
      </c>
      <c r="AR18" s="314">
        <v>1.86</v>
      </c>
      <c r="AS18" s="315">
        <v>2.33</v>
      </c>
      <c r="AT18" s="314">
        <v>47.5</v>
      </c>
      <c r="AU18" s="135">
        <v>47.7</v>
      </c>
      <c r="AV18" s="315">
        <v>47.5</v>
      </c>
      <c r="AW18" s="314">
        <v>354.67</v>
      </c>
      <c r="AX18" s="315">
        <v>355.98</v>
      </c>
      <c r="AY18" s="314">
        <v>711.18</v>
      </c>
      <c r="AZ18" s="315">
        <v>711.18</v>
      </c>
      <c r="BA18" s="314">
        <v>47.06</v>
      </c>
      <c r="BB18" s="135">
        <v>44.04</v>
      </c>
      <c r="BC18" s="135">
        <v>39.14</v>
      </c>
      <c r="BD18" s="135">
        <v>35.479999999999997</v>
      </c>
      <c r="BE18" s="135">
        <v>49.32</v>
      </c>
      <c r="BF18" s="135">
        <v>45.37</v>
      </c>
      <c r="BG18" s="135">
        <v>41.6</v>
      </c>
      <c r="BH18" s="315">
        <v>37.82</v>
      </c>
      <c r="BI18" s="314">
        <v>261.5</v>
      </c>
      <c r="BJ18" s="135">
        <v>261.5</v>
      </c>
      <c r="BK18" s="135">
        <v>261.27999999999997</v>
      </c>
      <c r="BL18" s="315">
        <v>261.23</v>
      </c>
      <c r="BM18" s="314">
        <v>17.98</v>
      </c>
      <c r="BN18" s="315">
        <v>122.4</v>
      </c>
      <c r="BO18" s="321">
        <v>4.1900000000000004</v>
      </c>
      <c r="BP18" s="321">
        <v>8.64</v>
      </c>
      <c r="BQ18" s="321">
        <v>9.06</v>
      </c>
      <c r="BR18" s="321">
        <v>7.49</v>
      </c>
    </row>
    <row r="19" spans="27:72" x14ac:dyDescent="0.25">
      <c r="AA19" s="144"/>
      <c r="AB19" s="144"/>
      <c r="AE19" s="22" t="s">
        <v>66</v>
      </c>
      <c r="AF19" s="22" t="s">
        <v>67</v>
      </c>
      <c r="AG19" s="22">
        <v>1</v>
      </c>
      <c r="AH19" s="22">
        <v>0.55000000000000004</v>
      </c>
      <c r="AI19" s="425"/>
      <c r="AJ19" s="425"/>
      <c r="AK19" s="437"/>
      <c r="AL19" s="437"/>
      <c r="AQ19" s="135">
        <v>10.24</v>
      </c>
      <c r="AR19" s="314">
        <v>1.01</v>
      </c>
      <c r="AS19" s="315">
        <v>1.1599999999999999</v>
      </c>
      <c r="AT19" s="314">
        <v>103.53</v>
      </c>
      <c r="AU19" s="135">
        <v>103.32</v>
      </c>
      <c r="AV19" s="315">
        <v>100.08</v>
      </c>
      <c r="AW19" s="314">
        <v>373.49</v>
      </c>
      <c r="AX19" s="315">
        <v>370.92</v>
      </c>
      <c r="AY19" s="314">
        <v>744.94</v>
      </c>
      <c r="AZ19" s="315">
        <v>744.94</v>
      </c>
      <c r="BA19" s="314">
        <v>50.23</v>
      </c>
      <c r="BB19" s="135">
        <v>47.36</v>
      </c>
      <c r="BC19" s="135">
        <v>42.76</v>
      </c>
      <c r="BD19" s="135">
        <v>39.36</v>
      </c>
      <c r="BE19" s="135">
        <v>59.02</v>
      </c>
      <c r="BF19" s="135">
        <v>55.25</v>
      </c>
      <c r="BG19" s="135">
        <v>51.7</v>
      </c>
      <c r="BH19" s="315">
        <v>48.14</v>
      </c>
      <c r="BI19" s="314">
        <v>361</v>
      </c>
      <c r="BJ19" s="135">
        <v>271</v>
      </c>
      <c r="BK19" s="135">
        <v>253.42</v>
      </c>
      <c r="BL19" s="315">
        <v>253.42</v>
      </c>
      <c r="BM19" s="314">
        <v>56.32</v>
      </c>
      <c r="BN19" s="315">
        <v>13.41</v>
      </c>
      <c r="BO19" s="321">
        <v>2.13</v>
      </c>
      <c r="BP19" s="321">
        <v>8.3000000000000007</v>
      </c>
      <c r="BQ19" s="321">
        <v>8.82</v>
      </c>
      <c r="BR19" s="321">
        <v>6.44</v>
      </c>
      <c r="BT19" s="135" t="s">
        <v>598</v>
      </c>
    </row>
    <row r="20" spans="27:72" x14ac:dyDescent="0.25">
      <c r="AA20" s="144"/>
      <c r="AB20" s="144"/>
      <c r="AE20" s="322" t="s">
        <v>68</v>
      </c>
      <c r="AF20" s="322" t="s">
        <v>69</v>
      </c>
      <c r="AG20" s="322">
        <v>8</v>
      </c>
      <c r="AH20" s="322">
        <v>15</v>
      </c>
      <c r="AI20" s="424">
        <f>SUM(BA10:BH21)</f>
        <v>3557.8799999999992</v>
      </c>
      <c r="AJ20" s="424"/>
      <c r="AK20" s="539">
        <f>AH20*AI20</f>
        <v>53368.19999999999</v>
      </c>
      <c r="AL20" s="540"/>
      <c r="AM20" t="s">
        <v>601</v>
      </c>
      <c r="AQ20" s="135">
        <v>11.24</v>
      </c>
      <c r="AR20" s="314">
        <v>1.78</v>
      </c>
      <c r="AS20" s="315">
        <v>1.54</v>
      </c>
      <c r="AT20" s="314">
        <v>52.68</v>
      </c>
      <c r="AU20" s="135">
        <v>53</v>
      </c>
      <c r="AV20" s="315">
        <v>52.42</v>
      </c>
      <c r="AW20" s="314">
        <v>367.99</v>
      </c>
      <c r="AX20" s="315">
        <v>368.27</v>
      </c>
      <c r="AY20" s="314">
        <v>684.01</v>
      </c>
      <c r="AZ20" s="315">
        <v>684.01</v>
      </c>
      <c r="BA20" s="314">
        <v>39.46</v>
      </c>
      <c r="BB20" s="135">
        <v>37.020000000000003</v>
      </c>
      <c r="BC20" s="135">
        <v>33.130000000000003</v>
      </c>
      <c r="BD20" s="135">
        <v>29.44</v>
      </c>
      <c r="BE20" s="135">
        <v>40.93</v>
      </c>
      <c r="BF20" s="135">
        <v>37.590000000000003</v>
      </c>
      <c r="BG20" s="135">
        <v>34.409999999999997</v>
      </c>
      <c r="BH20" s="315">
        <v>31.2</v>
      </c>
      <c r="BI20" s="314">
        <v>190.33</v>
      </c>
      <c r="BJ20" s="135">
        <v>280.33</v>
      </c>
      <c r="BK20" s="135">
        <v>280.43</v>
      </c>
      <c r="BL20" s="315">
        <v>280.44</v>
      </c>
      <c r="BM20" s="314">
        <v>594.5</v>
      </c>
      <c r="BN20" s="315">
        <v>1.38</v>
      </c>
      <c r="BO20" s="321">
        <v>3.31</v>
      </c>
      <c r="BP20" s="321">
        <v>9.33</v>
      </c>
      <c r="BQ20" s="321">
        <v>9.76</v>
      </c>
      <c r="BR20" s="321">
        <v>7.94</v>
      </c>
    </row>
    <row r="21" spans="27:72" x14ac:dyDescent="0.25">
      <c r="AB21" s="144"/>
      <c r="AE21" s="322" t="s">
        <v>70</v>
      </c>
      <c r="AF21" s="322" t="s">
        <v>89</v>
      </c>
      <c r="AG21" s="322">
        <v>4</v>
      </c>
      <c r="AH21" s="322">
        <v>0.9</v>
      </c>
      <c r="AI21" s="424">
        <f>SUM(BI10:BL21)</f>
        <v>13651.449999999999</v>
      </c>
      <c r="AJ21" s="424"/>
      <c r="AK21" s="539">
        <f>AH21*AI21</f>
        <v>12286.304999999998</v>
      </c>
      <c r="AL21" s="540"/>
      <c r="AM21" t="s">
        <v>601</v>
      </c>
      <c r="AQ21" s="135">
        <v>12.24</v>
      </c>
      <c r="AR21" s="314">
        <v>0.99</v>
      </c>
      <c r="AS21" s="315">
        <v>1</v>
      </c>
      <c r="AT21" s="314">
        <v>42.25</v>
      </c>
      <c r="AU21" s="135">
        <v>41.83</v>
      </c>
      <c r="AV21" s="315">
        <v>41.58</v>
      </c>
      <c r="AW21" s="314">
        <v>366.98</v>
      </c>
      <c r="AX21" s="315">
        <v>443.58</v>
      </c>
      <c r="AY21" s="314">
        <v>728.1</v>
      </c>
      <c r="AZ21" s="315">
        <v>728.1</v>
      </c>
      <c r="BA21" s="316">
        <v>29.28</v>
      </c>
      <c r="BB21" s="317">
        <v>27.49</v>
      </c>
      <c r="BC21" s="317">
        <v>24.8</v>
      </c>
      <c r="BD21" s="317">
        <v>23.47</v>
      </c>
      <c r="BE21" s="317">
        <v>28.95</v>
      </c>
      <c r="BF21" s="317">
        <v>26.47</v>
      </c>
      <c r="BG21" s="317">
        <v>24.18</v>
      </c>
      <c r="BH21" s="318">
        <v>21.94</v>
      </c>
      <c r="BI21" s="314">
        <v>293.89</v>
      </c>
      <c r="BJ21" s="135">
        <v>292.88</v>
      </c>
      <c r="BK21" s="135">
        <v>291.42</v>
      </c>
      <c r="BL21" s="315">
        <v>418.77</v>
      </c>
      <c r="BM21" s="314">
        <v>478.22</v>
      </c>
      <c r="BN21" s="315">
        <v>7.7</v>
      </c>
      <c r="BO21" s="321">
        <v>1.68</v>
      </c>
      <c r="BP21" s="321">
        <v>4.95</v>
      </c>
      <c r="BQ21" s="321">
        <v>3.96</v>
      </c>
      <c r="BR21" s="321">
        <v>3.19</v>
      </c>
    </row>
    <row r="22" spans="27:72" x14ac:dyDescent="0.25">
      <c r="AA22" s="144"/>
      <c r="AB22" s="144"/>
      <c r="AE22" s="22" t="s">
        <v>71</v>
      </c>
      <c r="AF22" s="22" t="s">
        <v>51</v>
      </c>
      <c r="AG22" s="22">
        <v>2</v>
      </c>
      <c r="AH22" s="22">
        <v>0.75</v>
      </c>
      <c r="AI22" s="425"/>
      <c r="AJ22" s="425"/>
      <c r="AK22" s="437"/>
      <c r="AL22" s="437"/>
      <c r="AR22" s="432" t="str">
        <f>AE9</f>
        <v>E.T.1</v>
      </c>
      <c r="AS22" s="494"/>
      <c r="AT22" s="432" t="str">
        <f>AE10</f>
        <v>E.T.1</v>
      </c>
      <c r="AU22" s="433"/>
      <c r="AV22" s="494"/>
      <c r="AW22" s="432" t="str">
        <f>AE15</f>
        <v>E.T.6</v>
      </c>
      <c r="AX22" s="494"/>
      <c r="AY22" s="432" t="str">
        <f>AE18</f>
        <v>E.T.9</v>
      </c>
      <c r="AZ22" s="494"/>
      <c r="BA22" s="425" t="str">
        <f>AE20</f>
        <v>E.T.11</v>
      </c>
      <c r="BB22" s="425"/>
      <c r="BC22" s="425"/>
      <c r="BD22" s="425"/>
      <c r="BE22" s="425"/>
      <c r="BF22" s="425"/>
      <c r="BG22" s="425"/>
      <c r="BH22" s="425"/>
      <c r="BI22" s="432" t="str">
        <f>AE21</f>
        <v>E.T.12</v>
      </c>
      <c r="BJ22" s="433"/>
      <c r="BK22" s="433"/>
      <c r="BL22" s="494"/>
      <c r="BM22" s="432" t="str">
        <f>AE25</f>
        <v>E.T.16</v>
      </c>
      <c r="BN22" s="494"/>
      <c r="BO22" s="6" t="str">
        <f>AE31</f>
        <v>E.T.22</v>
      </c>
      <c r="BP22" s="6" t="str">
        <f>AE32</f>
        <v>E.T.23</v>
      </c>
      <c r="BQ22" s="6" t="str">
        <f>AE34</f>
        <v>E.T.25</v>
      </c>
      <c r="BR22" s="6" t="str">
        <f>AE35</f>
        <v>E.T.26</v>
      </c>
    </row>
    <row r="23" spans="27:72" x14ac:dyDescent="0.25">
      <c r="AA23" s="144"/>
      <c r="AB23" s="144"/>
      <c r="AE23" s="22" t="s">
        <v>72</v>
      </c>
      <c r="AF23" s="22" t="s">
        <v>90</v>
      </c>
      <c r="AG23" s="22">
        <v>1</v>
      </c>
      <c r="AH23" s="22">
        <v>0.37</v>
      </c>
      <c r="AI23" s="425">
        <f>24*366*AG23</f>
        <v>8784</v>
      </c>
      <c r="AJ23" s="425"/>
      <c r="AK23" s="437">
        <f>AH23*AI23</f>
        <v>3250.08</v>
      </c>
      <c r="AL23" s="437"/>
      <c r="AM23" t="s">
        <v>274</v>
      </c>
    </row>
    <row r="24" spans="27:72" x14ac:dyDescent="0.25">
      <c r="AE24" s="22" t="s">
        <v>73</v>
      </c>
      <c r="AF24" s="22" t="s">
        <v>103</v>
      </c>
      <c r="AG24" s="22">
        <v>1</v>
      </c>
      <c r="AH24" s="22">
        <v>7.5</v>
      </c>
      <c r="AI24" s="425">
        <v>0</v>
      </c>
      <c r="AJ24" s="425"/>
      <c r="AK24" s="437">
        <f>AH24*AI24</f>
        <v>0</v>
      </c>
      <c r="AL24" s="437"/>
      <c r="AM24" t="s">
        <v>603</v>
      </c>
      <c r="AZ24" s="166" t="s">
        <v>399</v>
      </c>
    </row>
    <row r="25" spans="27:72" x14ac:dyDescent="0.25">
      <c r="AE25" s="322" t="s">
        <v>74</v>
      </c>
      <c r="AF25" s="322" t="s">
        <v>104</v>
      </c>
      <c r="AG25" s="322">
        <v>2</v>
      </c>
      <c r="AH25" s="322">
        <v>1.3</v>
      </c>
      <c r="AI25" s="424">
        <f>SUM(BM10:BN21)</f>
        <v>4754.74</v>
      </c>
      <c r="AJ25" s="424"/>
      <c r="AK25" s="539">
        <f>AH25*AI25</f>
        <v>6181.1620000000003</v>
      </c>
      <c r="AL25" s="540"/>
      <c r="AM25" t="s">
        <v>602</v>
      </c>
    </row>
    <row r="26" spans="27:72" x14ac:dyDescent="0.25">
      <c r="AE26" s="22" t="s">
        <v>75</v>
      </c>
      <c r="AF26" s="22" t="s">
        <v>102</v>
      </c>
      <c r="AG26" s="22">
        <v>3</v>
      </c>
      <c r="AH26" s="22" t="s">
        <v>38</v>
      </c>
      <c r="AI26" s="425"/>
      <c r="AJ26" s="425"/>
      <c r="AK26" s="437"/>
      <c r="AL26" s="437"/>
      <c r="AR26" s="198" t="s">
        <v>638</v>
      </c>
      <c r="BE26" s="432" t="s">
        <v>631</v>
      </c>
      <c r="BF26" s="433"/>
      <c r="BG26" s="433"/>
      <c r="BH26" s="494"/>
      <c r="BN26" s="533" t="s">
        <v>633</v>
      </c>
      <c r="BO26" s="534"/>
      <c r="BP26" s="534"/>
      <c r="BQ26" s="534"/>
      <c r="BR26" s="535"/>
    </row>
    <row r="27" spans="27:72" x14ac:dyDescent="0.25">
      <c r="AE27" s="22" t="s">
        <v>76</v>
      </c>
      <c r="AF27" s="22" t="s">
        <v>105</v>
      </c>
      <c r="AG27" s="22">
        <v>2</v>
      </c>
      <c r="AH27" s="22" t="s">
        <v>38</v>
      </c>
      <c r="AI27" s="425"/>
      <c r="AJ27" s="425"/>
      <c r="AK27" s="437"/>
      <c r="AL27" s="437"/>
      <c r="AR27" s="26" t="str">
        <f>AF9</f>
        <v>Bombas de fangos en exceso</v>
      </c>
      <c r="AS27" s="335" t="str">
        <f>AF10</f>
        <v>Bombas de recirculación de fangos</v>
      </c>
      <c r="AT27" s="335" t="str">
        <f>AF15</f>
        <v>Soplantes</v>
      </c>
      <c r="AU27" s="335" t="str">
        <f>AF18</f>
        <v>Agitador tanque anaerobio</v>
      </c>
      <c r="AV27" s="335" t="str">
        <f>AF20</f>
        <v>Rotores de aireación</v>
      </c>
      <c r="AW27" s="335" t="str">
        <f>AF21</f>
        <v>Acelerador de corriente</v>
      </c>
      <c r="AX27" s="335" t="str">
        <f>AF25</f>
        <v>Bombeo interno</v>
      </c>
      <c r="AY27" s="335" t="str">
        <f>AF31</f>
        <v>Bomba a predeshidratador</v>
      </c>
      <c r="AZ27" s="335" t="str">
        <f>AF32</f>
        <v>Predeshidratador</v>
      </c>
      <c r="BA27" s="335" t="str">
        <f>AF34</f>
        <v>Centrífuga</v>
      </c>
      <c r="BB27" s="336" t="str">
        <f>AF35</f>
        <v>Bomba fangos a silo</v>
      </c>
      <c r="BE27" s="331" t="s">
        <v>618</v>
      </c>
      <c r="BF27" s="6" t="s">
        <v>617</v>
      </c>
      <c r="BG27" s="6" t="s">
        <v>116</v>
      </c>
      <c r="BH27" s="22" t="s">
        <v>619</v>
      </c>
      <c r="BN27" s="22" t="s">
        <v>622</v>
      </c>
      <c r="BO27" s="397" t="s">
        <v>623</v>
      </c>
      <c r="BP27" s="498"/>
      <c r="BQ27" s="397" t="s">
        <v>201</v>
      </c>
      <c r="BR27" s="498"/>
    </row>
    <row r="28" spans="27:72" x14ac:dyDescent="0.25">
      <c r="AE28" s="22" t="s">
        <v>77</v>
      </c>
      <c r="AF28" s="22" t="s">
        <v>106</v>
      </c>
      <c r="AG28" s="22" t="s">
        <v>107</v>
      </c>
      <c r="AH28" s="22" t="s">
        <v>107</v>
      </c>
      <c r="AI28" s="425"/>
      <c r="AJ28" s="425"/>
      <c r="AK28" s="437"/>
      <c r="AL28" s="437"/>
      <c r="AQ28" s="135">
        <v>1.24</v>
      </c>
      <c r="AR28" s="341">
        <f>SUM(AR10:AS10)*$AH$9</f>
        <v>13.13</v>
      </c>
      <c r="AS28" s="342">
        <f>SUM(AT10:AV10)*$AH$10</f>
        <v>689.96699999999998</v>
      </c>
      <c r="AT28" s="342">
        <f>SUM(AW10:AX10)*$AH$15</f>
        <v>4127.09</v>
      </c>
      <c r="AU28" s="342">
        <f>SUM(AY10:AZ10)*$AH$18</f>
        <v>3607.45</v>
      </c>
      <c r="AV28" s="342">
        <f>SUM(BA10:BH10)*$AH$20</f>
        <v>3856.95</v>
      </c>
      <c r="AW28" s="342">
        <f>SUM(BI10:BL10)*$AH$21</f>
        <v>1111.068</v>
      </c>
      <c r="AX28" s="342">
        <f>SUM(BM10:BN10)*$AH$25</f>
        <v>736.16399999999999</v>
      </c>
      <c r="AY28" s="342">
        <f>BO10*$AH$31</f>
        <v>75.3</v>
      </c>
      <c r="AZ28" s="342">
        <f>BP10*$AH$32</f>
        <v>27.5625</v>
      </c>
      <c r="BA28" s="342">
        <f>BQ10*$AH$34</f>
        <v>824.78000000000009</v>
      </c>
      <c r="BB28" s="343">
        <f>BR10*$AH$35</f>
        <v>140.52000000000001</v>
      </c>
      <c r="BC28">
        <f>$AH$39*24*31</f>
        <v>5133.6000000000004</v>
      </c>
      <c r="BD28" s="135">
        <v>1.24</v>
      </c>
      <c r="BE28" s="340">
        <f t="shared" ref="BE28:BE39" si="0">SUM(AR28:BB28)</f>
        <v>15209.9815</v>
      </c>
      <c r="BF28" s="320">
        <v>18521</v>
      </c>
      <c r="BG28" s="333">
        <f>BF28-BE28</f>
        <v>3311.0185000000001</v>
      </c>
      <c r="BH28" s="345">
        <f>BG28/BF28</f>
        <v>0.17877104368014687</v>
      </c>
      <c r="BN28" s="349">
        <f>IF(BH28&lt;$BN$41, IF(BH28&gt;($BN$41-2*$BN$42), BH28, "-"), IF(BH28&lt;($BN$41+2*$BN$42), BH28, "-"))</f>
        <v>0.17877104368014687</v>
      </c>
      <c r="BO28" s="137"/>
      <c r="BP28" s="87"/>
      <c r="BQ28" s="82"/>
      <c r="BR28" s="87"/>
    </row>
    <row r="29" spans="27:72" x14ac:dyDescent="0.25">
      <c r="AE29" s="22" t="s">
        <v>78</v>
      </c>
      <c r="AF29" s="22" t="s">
        <v>91</v>
      </c>
      <c r="AG29" s="22">
        <v>1</v>
      </c>
      <c r="AH29" s="22">
        <v>0.5</v>
      </c>
      <c r="AI29" s="425"/>
      <c r="AJ29" s="425"/>
      <c r="AK29" s="437"/>
      <c r="AL29" s="437"/>
      <c r="AQ29" s="135">
        <v>2.2400000000000002</v>
      </c>
      <c r="AR29" s="337">
        <f t="shared" ref="AR29:AR39" si="1">SUM(AR11:AS11)*$AH$9</f>
        <v>7.3580000000000005</v>
      </c>
      <c r="AS29" s="144">
        <f t="shared" ref="AS29:AS39" si="2">SUM(AT11:AV11)*$AH$10</f>
        <v>765.76199999999994</v>
      </c>
      <c r="AT29" s="144">
        <f t="shared" ref="AT29:AT39" si="3">SUM(AW11:AX11)*$AH$15</f>
        <v>3803.5249999999996</v>
      </c>
      <c r="AU29" s="144">
        <f t="shared" ref="AU29:AU39" si="4">SUM(AY11:AZ11)*$AH$18</f>
        <v>3607.45</v>
      </c>
      <c r="AV29" s="144">
        <f t="shared" ref="AV29:AV39" si="5">SUM(BA11:BH11)*$AH$20</f>
        <v>0</v>
      </c>
      <c r="AW29" s="144">
        <f t="shared" ref="AW29:AW39" si="6">SUM(BI11:BL11)*$AH$21</f>
        <v>997.8119999999999</v>
      </c>
      <c r="AX29" s="144">
        <f t="shared" ref="AX29:AX39" si="7">SUM(BM11:BN11)*$AH$25</f>
        <v>816.52999999999986</v>
      </c>
      <c r="AY29" s="144">
        <f t="shared" ref="AY29:AY39" si="8">BO11*$AH$31</f>
        <v>42.3</v>
      </c>
      <c r="AZ29" s="144">
        <f t="shared" ref="AZ29:AZ39" si="9">BP11*$AH$32</f>
        <v>17.2575</v>
      </c>
      <c r="BA29" s="144">
        <f t="shared" ref="BA29:BA39" si="10">BQ11*$AH$34</f>
        <v>425.70000000000005</v>
      </c>
      <c r="BB29" s="294">
        <f t="shared" ref="BB29:BB39" si="11">BR11*$AH$35</f>
        <v>89.64</v>
      </c>
      <c r="BC29">
        <f>$AH$39*24*29</f>
        <v>4802.4000000000005</v>
      </c>
      <c r="BD29" s="135">
        <v>2.2400000000000002</v>
      </c>
      <c r="BE29" s="329">
        <f t="shared" si="0"/>
        <v>10573.334499999999</v>
      </c>
      <c r="BF29" s="320">
        <v>18083</v>
      </c>
      <c r="BG29" s="332">
        <f t="shared" ref="BG29:BG39" si="12">BF29-BE29</f>
        <v>7509.665500000001</v>
      </c>
      <c r="BH29" s="345">
        <f t="shared" ref="BH29:BH39" si="13">BG29/BF29</f>
        <v>0.41528869656583539</v>
      </c>
      <c r="BN29" s="352" t="str">
        <f t="shared" ref="BN29:BN39" si="14">IF(BH29&lt;$BN$41, IF(BH29&gt;($BN$41-2*$BN$42), BH29, "-"), IF(BH29&lt;($BN$41+2*$BN$42), BH29, "-"))</f>
        <v>-</v>
      </c>
      <c r="BO29" s="137">
        <v>0</v>
      </c>
      <c r="BP29" s="87" t="s">
        <v>624</v>
      </c>
      <c r="BQ29" s="82" t="s">
        <v>628</v>
      </c>
      <c r="BR29" s="87"/>
    </row>
    <row r="30" spans="27:72" x14ac:dyDescent="0.25">
      <c r="AE30" s="22" t="s">
        <v>79</v>
      </c>
      <c r="AF30" s="22" t="s">
        <v>92</v>
      </c>
      <c r="AG30" s="22">
        <v>2</v>
      </c>
      <c r="AH30" s="22">
        <v>0.55000000000000004</v>
      </c>
      <c r="AI30" s="425"/>
      <c r="AJ30" s="425"/>
      <c r="AK30" s="437"/>
      <c r="AL30" s="437"/>
      <c r="AQ30" s="135">
        <v>3.24</v>
      </c>
      <c r="AR30" s="337">
        <f t="shared" si="1"/>
        <v>7.8000000000000007</v>
      </c>
      <c r="AS30" s="144">
        <f t="shared" si="2"/>
        <v>845.71100000000001</v>
      </c>
      <c r="AT30" s="144">
        <f t="shared" si="3"/>
        <v>2241.1950000000002</v>
      </c>
      <c r="AU30" s="144">
        <f t="shared" si="4"/>
        <v>3705.25</v>
      </c>
      <c r="AV30" s="144">
        <f t="shared" si="5"/>
        <v>3113.2499999999991</v>
      </c>
      <c r="AW30" s="144">
        <f t="shared" si="6"/>
        <v>1049.616</v>
      </c>
      <c r="AX30" s="144">
        <f t="shared" si="7"/>
        <v>559.221</v>
      </c>
      <c r="AY30" s="144">
        <f t="shared" si="8"/>
        <v>50.550000000000004</v>
      </c>
      <c r="AZ30" s="144">
        <f t="shared" si="9"/>
        <v>16.477499999999999</v>
      </c>
      <c r="BA30" s="144">
        <f t="shared" si="10"/>
        <v>481.58000000000004</v>
      </c>
      <c r="BB30" s="294">
        <f t="shared" si="11"/>
        <v>89.68</v>
      </c>
      <c r="BC30">
        <f>$AH$39*24*31</f>
        <v>5133.6000000000004</v>
      </c>
      <c r="BD30" s="135">
        <v>3.24</v>
      </c>
      <c r="BE30" s="329">
        <f t="shared" si="0"/>
        <v>12160.330499999998</v>
      </c>
      <c r="BF30" s="320">
        <v>18137</v>
      </c>
      <c r="BG30" s="332">
        <f t="shared" si="12"/>
        <v>5976.6695000000018</v>
      </c>
      <c r="BH30" s="345">
        <f t="shared" si="13"/>
        <v>0.32952911176048971</v>
      </c>
      <c r="BN30" s="353">
        <f t="shared" si="14"/>
        <v>0.32952911176048971</v>
      </c>
      <c r="BO30" s="137" t="s">
        <v>38</v>
      </c>
      <c r="BP30" s="87" t="s">
        <v>625</v>
      </c>
      <c r="BQ30" s="82" t="s">
        <v>629</v>
      </c>
      <c r="BR30" s="87"/>
    </row>
    <row r="31" spans="27:72" x14ac:dyDescent="0.25">
      <c r="AE31" s="322" t="s">
        <v>80</v>
      </c>
      <c r="AF31" s="322" t="s">
        <v>93</v>
      </c>
      <c r="AG31" s="322">
        <v>1</v>
      </c>
      <c r="AH31" s="322">
        <v>7.5</v>
      </c>
      <c r="AI31" s="424">
        <f>SUM(BO10:BO21)</f>
        <v>53.670000000000009</v>
      </c>
      <c r="AJ31" s="424"/>
      <c r="AK31" s="539">
        <f>AH31*AI31</f>
        <v>402.52500000000009</v>
      </c>
      <c r="AL31" s="540"/>
      <c r="AM31" t="s">
        <v>286</v>
      </c>
      <c r="AQ31" s="135">
        <v>4.24</v>
      </c>
      <c r="AR31" s="337">
        <f t="shared" si="1"/>
        <v>12.623000000000001</v>
      </c>
      <c r="AS31" s="144">
        <f t="shared" si="2"/>
        <v>537.19900000000007</v>
      </c>
      <c r="AT31" s="144">
        <f t="shared" si="3"/>
        <v>3958.5150000000003</v>
      </c>
      <c r="AU31" s="144">
        <f t="shared" si="4"/>
        <v>3601.25</v>
      </c>
      <c r="AV31" s="144">
        <f t="shared" si="5"/>
        <v>3594.6</v>
      </c>
      <c r="AW31" s="144">
        <f t="shared" si="6"/>
        <v>997.20900000000006</v>
      </c>
      <c r="AX31" s="144">
        <f t="shared" si="7"/>
        <v>685.43799999999999</v>
      </c>
      <c r="AY31" s="144">
        <f t="shared" si="8"/>
        <v>66.600000000000009</v>
      </c>
      <c r="AZ31" s="144">
        <f>BP13*$AH$32</f>
        <v>22.215</v>
      </c>
      <c r="BA31" s="144">
        <f>BQ13*$AH$34</f>
        <v>664.83999999999992</v>
      </c>
      <c r="BB31" s="294">
        <f t="shared" si="11"/>
        <v>138.52000000000001</v>
      </c>
      <c r="BC31">
        <f>$AH$39*24*30</f>
        <v>4968.0000000000009</v>
      </c>
      <c r="BD31" s="135">
        <v>4.24</v>
      </c>
      <c r="BE31" s="329">
        <f t="shared" si="0"/>
        <v>14279.009000000002</v>
      </c>
      <c r="BF31" s="320">
        <v>17601</v>
      </c>
      <c r="BG31" s="332">
        <f t="shared" si="12"/>
        <v>3321.9909999999982</v>
      </c>
      <c r="BH31" s="345">
        <f t="shared" si="13"/>
        <v>0.18873876484290655</v>
      </c>
      <c r="BN31" s="349">
        <f t="shared" si="14"/>
        <v>0.18873876484290655</v>
      </c>
      <c r="BO31" s="137"/>
      <c r="BP31" s="87"/>
      <c r="BQ31" s="82"/>
      <c r="BR31" s="87"/>
    </row>
    <row r="32" spans="27:72" x14ac:dyDescent="0.25">
      <c r="AE32" s="322" t="s">
        <v>81</v>
      </c>
      <c r="AF32" s="322" t="s">
        <v>94</v>
      </c>
      <c r="AG32" s="322">
        <v>1</v>
      </c>
      <c r="AH32" s="322">
        <v>0.75</v>
      </c>
      <c r="AI32" s="424">
        <f>SUM(BP10:BP21)</f>
        <v>166.44000000000003</v>
      </c>
      <c r="AJ32" s="424"/>
      <c r="AK32" s="539">
        <f>AH32*AI32</f>
        <v>124.83000000000001</v>
      </c>
      <c r="AL32" s="540"/>
      <c r="AM32" t="s">
        <v>286</v>
      </c>
      <c r="AQ32" s="135">
        <v>5.24</v>
      </c>
      <c r="AR32" s="337">
        <f t="shared" si="1"/>
        <v>1.3000000000000001E-2</v>
      </c>
      <c r="AS32" s="144">
        <f t="shared" si="2"/>
        <v>687.73500000000013</v>
      </c>
      <c r="AT32" s="144">
        <f t="shared" si="3"/>
        <v>4118.2349999999997</v>
      </c>
      <c r="AU32" s="144">
        <f t="shared" si="4"/>
        <v>3672.75</v>
      </c>
      <c r="AV32" s="144">
        <f t="shared" si="5"/>
        <v>5361.15</v>
      </c>
      <c r="AW32" s="144">
        <f t="shared" si="6"/>
        <v>1014.597</v>
      </c>
      <c r="AX32" s="144">
        <f t="shared" si="7"/>
        <v>918.125</v>
      </c>
      <c r="AY32" s="144">
        <f t="shared" si="8"/>
        <v>0</v>
      </c>
      <c r="AZ32" s="144">
        <f t="shared" si="9"/>
        <v>0</v>
      </c>
      <c r="BA32" s="144">
        <f t="shared" si="10"/>
        <v>0</v>
      </c>
      <c r="BB32" s="294">
        <f t="shared" si="11"/>
        <v>0</v>
      </c>
      <c r="BC32">
        <f>$AH$39*24*31</f>
        <v>5133.6000000000004</v>
      </c>
      <c r="BD32" s="135">
        <v>5.24</v>
      </c>
      <c r="BE32" s="329">
        <f t="shared" si="0"/>
        <v>15772.605</v>
      </c>
      <c r="BF32" s="320">
        <v>24376</v>
      </c>
      <c r="BG32" s="332">
        <f t="shared" si="12"/>
        <v>8603.3950000000004</v>
      </c>
      <c r="BH32" s="345">
        <f t="shared" si="13"/>
        <v>0.3529453150639974</v>
      </c>
      <c r="BN32" s="353">
        <f t="shared" si="14"/>
        <v>0.3529453150639974</v>
      </c>
      <c r="BO32" s="137">
        <v>0</v>
      </c>
      <c r="BP32" s="87" t="s">
        <v>286</v>
      </c>
      <c r="BQ32" s="82" t="s">
        <v>630</v>
      </c>
      <c r="BR32" s="87"/>
    </row>
    <row r="33" spans="31:70" x14ac:dyDescent="0.25">
      <c r="AE33" s="22" t="s">
        <v>82</v>
      </c>
      <c r="AF33" s="22" t="s">
        <v>95</v>
      </c>
      <c r="AG33" s="22">
        <v>1</v>
      </c>
      <c r="AH33" s="22">
        <v>3</v>
      </c>
      <c r="AI33" s="425"/>
      <c r="AJ33" s="425"/>
      <c r="AK33" s="437"/>
      <c r="AL33" s="437"/>
      <c r="AQ33" s="135">
        <v>6.24</v>
      </c>
      <c r="AR33" s="337">
        <f t="shared" si="1"/>
        <v>5.6420000000000003</v>
      </c>
      <c r="AS33" s="144">
        <f t="shared" si="2"/>
        <v>499.99899999999997</v>
      </c>
      <c r="AT33" s="144">
        <f t="shared" si="3"/>
        <v>3963.5750000000007</v>
      </c>
      <c r="AU33" s="144">
        <f t="shared" si="4"/>
        <v>3605.75</v>
      </c>
      <c r="AV33" s="144">
        <f t="shared" si="5"/>
        <v>5446.05</v>
      </c>
      <c r="AW33" s="144">
        <f t="shared" si="6"/>
        <v>1068.075</v>
      </c>
      <c r="AX33" s="144">
        <f t="shared" si="7"/>
        <v>219.85600000000002</v>
      </c>
      <c r="AY33" s="144">
        <f t="shared" si="8"/>
        <v>15.524999999999999</v>
      </c>
      <c r="AZ33" s="144">
        <f t="shared" si="9"/>
        <v>5.6325000000000003</v>
      </c>
      <c r="BA33" s="144">
        <f t="shared" si="10"/>
        <v>148.28</v>
      </c>
      <c r="BB33" s="294">
        <f t="shared" si="11"/>
        <v>18.64</v>
      </c>
      <c r="BC33">
        <f>$AH$39*24*30</f>
        <v>4968.0000000000009</v>
      </c>
      <c r="BD33" s="135">
        <v>6.24</v>
      </c>
      <c r="BE33" s="329">
        <f t="shared" si="0"/>
        <v>14997.0245</v>
      </c>
      <c r="BF33" s="320">
        <v>18087</v>
      </c>
      <c r="BG33" s="332">
        <f t="shared" si="12"/>
        <v>3089.9755000000005</v>
      </c>
      <c r="BH33" s="345">
        <f t="shared" si="13"/>
        <v>0.17083958091446899</v>
      </c>
      <c r="BN33" s="349">
        <f t="shared" si="14"/>
        <v>0.17083958091446899</v>
      </c>
      <c r="BO33" s="137"/>
      <c r="BP33" s="87"/>
      <c r="BQ33" s="82"/>
      <c r="BR33" s="87"/>
    </row>
    <row r="34" spans="31:70" x14ac:dyDescent="0.25">
      <c r="AE34" s="322" t="s">
        <v>83</v>
      </c>
      <c r="AF34" s="322" t="s">
        <v>96</v>
      </c>
      <c r="AG34" s="322">
        <v>1</v>
      </c>
      <c r="AH34" s="322">
        <v>22</v>
      </c>
      <c r="AI34" s="424">
        <f>SUM(BQ10:BQ21)</f>
        <v>164.35</v>
      </c>
      <c r="AJ34" s="424"/>
      <c r="AK34" s="539">
        <f>AH34*AI34</f>
        <v>3615.7</v>
      </c>
      <c r="AL34" s="540"/>
      <c r="AM34" t="s">
        <v>286</v>
      </c>
      <c r="AQ34" s="135">
        <v>7.24</v>
      </c>
      <c r="AR34" s="337">
        <f t="shared" si="1"/>
        <v>3.198</v>
      </c>
      <c r="AS34" s="144">
        <f t="shared" si="2"/>
        <v>496.15500000000003</v>
      </c>
      <c r="AT34" s="144">
        <f t="shared" si="3"/>
        <v>4078.58</v>
      </c>
      <c r="AU34" s="144">
        <f t="shared" si="4"/>
        <v>3737.1</v>
      </c>
      <c r="AV34" s="144">
        <f t="shared" si="5"/>
        <v>6424.6500000000005</v>
      </c>
      <c r="AW34" s="144">
        <f t="shared" si="6"/>
        <v>1052.28</v>
      </c>
      <c r="AX34" s="144">
        <f t="shared" si="7"/>
        <v>386.86699999999996</v>
      </c>
      <c r="AY34" s="144">
        <f t="shared" si="8"/>
        <v>18.375</v>
      </c>
      <c r="AZ34" s="144">
        <f t="shared" si="9"/>
        <v>5.0774999999999997</v>
      </c>
      <c r="BA34" s="144">
        <f t="shared" si="10"/>
        <v>156.64000000000001</v>
      </c>
      <c r="BB34" s="294">
        <f t="shared" si="11"/>
        <v>25.64</v>
      </c>
      <c r="BC34">
        <f t="shared" ref="BC34:BC39" si="15">$AH$39*24*31</f>
        <v>5133.6000000000004</v>
      </c>
      <c r="BD34" s="135">
        <v>7.24</v>
      </c>
      <c r="BE34" s="329">
        <f t="shared" si="0"/>
        <v>16384.5625</v>
      </c>
      <c r="BF34" s="320">
        <v>18241</v>
      </c>
      <c r="BG34" s="332">
        <f t="shared" si="12"/>
        <v>1856.4375</v>
      </c>
      <c r="BH34" s="345">
        <f t="shared" si="13"/>
        <v>0.10177279206183872</v>
      </c>
      <c r="BN34" s="353">
        <f t="shared" si="14"/>
        <v>0.10177279206183872</v>
      </c>
      <c r="BO34" s="137" t="s">
        <v>626</v>
      </c>
      <c r="BP34" s="87" t="s">
        <v>624</v>
      </c>
      <c r="BQ34" s="82" t="s">
        <v>627</v>
      </c>
      <c r="BR34" s="87"/>
    </row>
    <row r="35" spans="31:70" x14ac:dyDescent="0.25">
      <c r="AE35" s="322" t="s">
        <v>84</v>
      </c>
      <c r="AF35" s="322" t="s">
        <v>97</v>
      </c>
      <c r="AG35" s="322">
        <v>1</v>
      </c>
      <c r="AH35" s="322">
        <v>4</v>
      </c>
      <c r="AI35" s="424">
        <f>SUM(BR10:BR21)</f>
        <v>159.4</v>
      </c>
      <c r="AJ35" s="424"/>
      <c r="AK35" s="539">
        <f>AH35*AI35</f>
        <v>637.6</v>
      </c>
      <c r="AL35" s="540"/>
      <c r="AM35" t="s">
        <v>286</v>
      </c>
      <c r="AQ35" s="135">
        <v>8.24</v>
      </c>
      <c r="AR35" s="337">
        <f t="shared" si="1"/>
        <v>8.5410000000000004</v>
      </c>
      <c r="AS35" s="144">
        <f t="shared" si="2"/>
        <v>535.029</v>
      </c>
      <c r="AT35" s="144">
        <f>SUM(AW17:AX17)*$AH$15</f>
        <v>4137.43</v>
      </c>
      <c r="AU35" s="144">
        <f>SUM(AY17:AZ17)*$AH$18</f>
        <v>3737.1</v>
      </c>
      <c r="AV35" s="144">
        <f t="shared" si="5"/>
        <v>7220.4000000000005</v>
      </c>
      <c r="AW35" s="144">
        <f t="shared" si="6"/>
        <v>934.09199999999987</v>
      </c>
      <c r="AX35" s="144">
        <f t="shared" si="7"/>
        <v>179.47800000000001</v>
      </c>
      <c r="AY35" s="144">
        <f t="shared" si="8"/>
        <v>49.05</v>
      </c>
      <c r="AZ35" s="144">
        <f t="shared" si="9"/>
        <v>7.1924999999999999</v>
      </c>
      <c r="BA35" s="144">
        <f t="shared" si="10"/>
        <v>218.67999999999998</v>
      </c>
      <c r="BB35" s="294">
        <f t="shared" si="11"/>
        <v>34.72</v>
      </c>
      <c r="BC35">
        <f t="shared" si="15"/>
        <v>5133.6000000000004</v>
      </c>
      <c r="BD35" s="135">
        <v>8.24</v>
      </c>
      <c r="BE35" s="329">
        <f t="shared" si="0"/>
        <v>17061.712500000001</v>
      </c>
      <c r="BF35" s="320">
        <v>19265</v>
      </c>
      <c r="BG35" s="332">
        <f t="shared" si="12"/>
        <v>2203.2874999999985</v>
      </c>
      <c r="BH35" s="345">
        <f t="shared" si="13"/>
        <v>0.11436737607059427</v>
      </c>
      <c r="BN35" s="349">
        <f t="shared" si="14"/>
        <v>0.11436737607059427</v>
      </c>
      <c r="BO35" s="137"/>
      <c r="BP35" s="87"/>
      <c r="BQ35" s="82"/>
      <c r="BR35" s="87"/>
    </row>
    <row r="36" spans="31:70" x14ac:dyDescent="0.25">
      <c r="AE36" s="22" t="s">
        <v>85</v>
      </c>
      <c r="AF36" s="22" t="s">
        <v>98</v>
      </c>
      <c r="AG36" s="22">
        <v>3</v>
      </c>
      <c r="AH36" s="22">
        <v>3</v>
      </c>
      <c r="AI36" s="425"/>
      <c r="AJ36" s="425"/>
      <c r="AK36" s="437"/>
      <c r="AL36" s="437"/>
      <c r="AQ36" s="135">
        <v>9.24</v>
      </c>
      <c r="AR36" s="337">
        <f t="shared" si="1"/>
        <v>5.447000000000001</v>
      </c>
      <c r="AS36" s="144">
        <f t="shared" si="2"/>
        <v>442.37</v>
      </c>
      <c r="AT36" s="144">
        <f t="shared" si="3"/>
        <v>3908.5750000000007</v>
      </c>
      <c r="AU36" s="144">
        <f t="shared" si="4"/>
        <v>3555.8999999999996</v>
      </c>
      <c r="AV36" s="144">
        <f t="shared" si="5"/>
        <v>5097.45</v>
      </c>
      <c r="AW36" s="144">
        <f t="shared" si="6"/>
        <v>940.95900000000006</v>
      </c>
      <c r="AX36" s="144">
        <f t="shared" si="7"/>
        <v>182.494</v>
      </c>
      <c r="AY36" s="144">
        <f t="shared" si="8"/>
        <v>31.425000000000004</v>
      </c>
      <c r="AZ36" s="144">
        <f t="shared" si="9"/>
        <v>6.48</v>
      </c>
      <c r="BA36" s="144">
        <f t="shared" si="10"/>
        <v>199.32000000000002</v>
      </c>
      <c r="BB36" s="294">
        <f t="shared" si="11"/>
        <v>29.96</v>
      </c>
      <c r="BC36">
        <f>$AH$39*24*30</f>
        <v>4968.0000000000009</v>
      </c>
      <c r="BD36" s="135">
        <v>9.24</v>
      </c>
      <c r="BE36" s="329">
        <f t="shared" si="0"/>
        <v>14400.38</v>
      </c>
      <c r="BF36" s="320">
        <v>17577</v>
      </c>
      <c r="BG36" s="332">
        <f t="shared" si="12"/>
        <v>3176.6200000000008</v>
      </c>
      <c r="BH36" s="345">
        <f t="shared" si="13"/>
        <v>0.18072594868293798</v>
      </c>
      <c r="BN36" s="349">
        <f t="shared" si="14"/>
        <v>0.18072594868293798</v>
      </c>
      <c r="BO36" s="137"/>
      <c r="BP36" s="87"/>
      <c r="BQ36" s="82"/>
      <c r="BR36" s="87"/>
    </row>
    <row r="37" spans="31:70" x14ac:dyDescent="0.25">
      <c r="AE37" s="22" t="s">
        <v>86</v>
      </c>
      <c r="AF37" s="22" t="s">
        <v>99</v>
      </c>
      <c r="AG37" s="22">
        <v>1</v>
      </c>
      <c r="AH37" s="22" t="s">
        <v>38</v>
      </c>
      <c r="AI37" s="425"/>
      <c r="AJ37" s="425"/>
      <c r="AK37" s="437"/>
      <c r="AL37" s="437"/>
      <c r="AQ37" s="135">
        <v>10.24</v>
      </c>
      <c r="AR37" s="337">
        <f t="shared" si="1"/>
        <v>2.8210000000000002</v>
      </c>
      <c r="AS37" s="144">
        <f t="shared" si="2"/>
        <v>951.48300000000006</v>
      </c>
      <c r="AT37" s="144">
        <f t="shared" si="3"/>
        <v>4094.2550000000006</v>
      </c>
      <c r="AU37" s="144">
        <f t="shared" si="4"/>
        <v>3724.7000000000003</v>
      </c>
      <c r="AV37" s="144">
        <f t="shared" si="5"/>
        <v>5907.3</v>
      </c>
      <c r="AW37" s="144">
        <f t="shared" si="6"/>
        <v>1024.9559999999999</v>
      </c>
      <c r="AX37" s="144">
        <f t="shared" si="7"/>
        <v>90.649000000000015</v>
      </c>
      <c r="AY37" s="144">
        <f t="shared" si="8"/>
        <v>15.975</v>
      </c>
      <c r="AZ37" s="144">
        <f t="shared" si="9"/>
        <v>6.2250000000000005</v>
      </c>
      <c r="BA37" s="144">
        <f t="shared" si="10"/>
        <v>194.04000000000002</v>
      </c>
      <c r="BB37" s="294">
        <f t="shared" si="11"/>
        <v>25.76</v>
      </c>
      <c r="BC37">
        <f t="shared" si="15"/>
        <v>5133.6000000000004</v>
      </c>
      <c r="BD37" s="135">
        <v>10.24</v>
      </c>
      <c r="BE37" s="329">
        <f t="shared" si="0"/>
        <v>16038.164000000002</v>
      </c>
      <c r="BF37" s="320">
        <v>18604</v>
      </c>
      <c r="BG37" s="332">
        <f t="shared" si="12"/>
        <v>2565.8359999999975</v>
      </c>
      <c r="BH37" s="345">
        <f t="shared" si="13"/>
        <v>0.13791851214792505</v>
      </c>
      <c r="BN37" s="349">
        <f t="shared" si="14"/>
        <v>0.13791851214792505</v>
      </c>
      <c r="BO37" s="137"/>
      <c r="BP37" s="87"/>
      <c r="BQ37" s="82"/>
      <c r="BR37" s="87"/>
    </row>
    <row r="38" spans="31:70" x14ac:dyDescent="0.25">
      <c r="AE38" s="22" t="s">
        <v>87</v>
      </c>
      <c r="AF38" s="22" t="s">
        <v>100</v>
      </c>
      <c r="AG38" s="22">
        <v>1</v>
      </c>
      <c r="AH38" s="22">
        <v>2.2000000000000002</v>
      </c>
      <c r="AI38" s="425"/>
      <c r="AJ38" s="425"/>
      <c r="AK38" s="437"/>
      <c r="AL38" s="437"/>
      <c r="AQ38" s="135">
        <v>11.24</v>
      </c>
      <c r="AR38" s="337">
        <f t="shared" si="1"/>
        <v>4.3160000000000007</v>
      </c>
      <c r="AS38" s="144">
        <f t="shared" si="2"/>
        <v>490.11000000000007</v>
      </c>
      <c r="AT38" s="144">
        <f t="shared" si="3"/>
        <v>4049.43</v>
      </c>
      <c r="AU38" s="144">
        <f t="shared" si="4"/>
        <v>3420.05</v>
      </c>
      <c r="AV38" s="144">
        <f t="shared" si="5"/>
        <v>4247.7</v>
      </c>
      <c r="AW38" s="144">
        <f t="shared" si="6"/>
        <v>928.37699999999995</v>
      </c>
      <c r="AX38" s="144">
        <f t="shared" si="7"/>
        <v>774.64400000000001</v>
      </c>
      <c r="AY38" s="144">
        <f t="shared" si="8"/>
        <v>24.824999999999999</v>
      </c>
      <c r="AZ38" s="144">
        <f t="shared" si="9"/>
        <v>6.9975000000000005</v>
      </c>
      <c r="BA38" s="144">
        <f t="shared" si="10"/>
        <v>214.72</v>
      </c>
      <c r="BB38" s="294">
        <f t="shared" si="11"/>
        <v>31.76</v>
      </c>
      <c r="BC38">
        <f>$AH$39*24*30</f>
        <v>4968.0000000000009</v>
      </c>
      <c r="BD38" s="135">
        <v>11.24</v>
      </c>
      <c r="BE38" s="329">
        <f t="shared" si="0"/>
        <v>14192.9295</v>
      </c>
      <c r="BF38" s="320">
        <v>17680</v>
      </c>
      <c r="BG38" s="332">
        <f t="shared" si="12"/>
        <v>3487.0704999999998</v>
      </c>
      <c r="BH38" s="345">
        <f t="shared" si="13"/>
        <v>0.1972324943438914</v>
      </c>
      <c r="BN38" s="349">
        <f t="shared" si="14"/>
        <v>0.1972324943438914</v>
      </c>
      <c r="BO38" s="137"/>
      <c r="BP38" s="87"/>
      <c r="BQ38" s="82"/>
      <c r="BR38" s="87"/>
    </row>
    <row r="39" spans="31:70" x14ac:dyDescent="0.25">
      <c r="AE39" s="22" t="s">
        <v>88</v>
      </c>
      <c r="AF39" s="22" t="s">
        <v>101</v>
      </c>
      <c r="AG39" s="22">
        <v>1</v>
      </c>
      <c r="AH39" s="22">
        <v>6.9</v>
      </c>
      <c r="AI39" s="425">
        <f>24*366*AG39</f>
        <v>8784</v>
      </c>
      <c r="AJ39" s="425"/>
      <c r="AK39" s="437">
        <f>AH39*AI39</f>
        <v>60609.600000000006</v>
      </c>
      <c r="AL39" s="437"/>
      <c r="AQ39" s="135">
        <v>12.24</v>
      </c>
      <c r="AR39" s="344">
        <f t="shared" si="1"/>
        <v>2.5870000000000002</v>
      </c>
      <c r="AS39" s="338">
        <f t="shared" si="2"/>
        <v>389.54599999999999</v>
      </c>
      <c r="AT39" s="338">
        <f t="shared" si="3"/>
        <v>4458.08</v>
      </c>
      <c r="AU39" s="338">
        <f t="shared" si="4"/>
        <v>3640.5</v>
      </c>
      <c r="AV39" s="338">
        <f t="shared" si="5"/>
        <v>3098.7</v>
      </c>
      <c r="AW39" s="338">
        <f t="shared" si="6"/>
        <v>1167.2640000000001</v>
      </c>
      <c r="AX39" s="338">
        <f t="shared" si="7"/>
        <v>631.69600000000003</v>
      </c>
      <c r="AY39" s="338">
        <f t="shared" si="8"/>
        <v>12.6</v>
      </c>
      <c r="AZ39" s="338">
        <f t="shared" si="9"/>
        <v>3.7125000000000004</v>
      </c>
      <c r="BA39" s="338">
        <f t="shared" si="10"/>
        <v>87.12</v>
      </c>
      <c r="BB39" s="339">
        <f t="shared" si="11"/>
        <v>12.76</v>
      </c>
      <c r="BC39">
        <f t="shared" si="15"/>
        <v>5133.6000000000004</v>
      </c>
      <c r="BD39" s="135">
        <v>12.24</v>
      </c>
      <c r="BE39" s="330">
        <f t="shared" si="0"/>
        <v>13504.565500000001</v>
      </c>
      <c r="BF39" s="250">
        <v>15244</v>
      </c>
      <c r="BG39" s="334">
        <f t="shared" si="12"/>
        <v>1739.4344999999994</v>
      </c>
      <c r="BH39" s="346">
        <f t="shared" si="13"/>
        <v>0.11410617292049327</v>
      </c>
      <c r="BN39" s="351">
        <f t="shared" si="14"/>
        <v>0.11410617292049327</v>
      </c>
      <c r="BO39" s="324"/>
      <c r="BP39" s="94"/>
      <c r="BQ39" s="92"/>
      <c r="BR39" s="94"/>
    </row>
    <row r="40" spans="31:70" ht="15.95" customHeight="1" x14ac:dyDescent="0.25">
      <c r="AE40" s="575" t="s">
        <v>108</v>
      </c>
      <c r="AF40" s="575"/>
      <c r="AG40" s="575"/>
      <c r="AH40" s="576">
        <f>SUMPRODUCT(AG8:AG39, AH8:AH39)</f>
        <v>239.53999999999996</v>
      </c>
      <c r="AI40" s="541" t="s">
        <v>38</v>
      </c>
      <c r="AJ40" s="542"/>
      <c r="AK40" s="328" t="s">
        <v>615</v>
      </c>
      <c r="AL40" s="328" t="s">
        <v>616</v>
      </c>
    </row>
    <row r="41" spans="31:70" ht="15.95" customHeight="1" x14ac:dyDescent="0.25">
      <c r="AE41" s="575"/>
      <c r="AF41" s="575"/>
      <c r="AG41" s="575"/>
      <c r="AH41" s="576"/>
      <c r="AI41" s="543"/>
      <c r="AJ41" s="544"/>
      <c r="AK41" s="350">
        <f>SUM(AK8:AL39)</f>
        <v>238434.27899999998</v>
      </c>
      <c r="AL41" s="327">
        <f>AK41/366</f>
        <v>651.45977868852458</v>
      </c>
      <c r="AQ41" t="s">
        <v>632</v>
      </c>
      <c r="AR41" s="144">
        <f>AVERAGE(AR28:AR39)</f>
        <v>6.1230000000000011</v>
      </c>
      <c r="AS41" s="144">
        <f t="shared" ref="AS41:BB41" si="16">AVERAGE(AS28:AS39)</f>
        <v>610.92216666666661</v>
      </c>
      <c r="AT41" s="144">
        <f t="shared" si="16"/>
        <v>3911.5404166666667</v>
      </c>
      <c r="AU41" s="144">
        <f t="shared" si="16"/>
        <v>3634.6041666666665</v>
      </c>
      <c r="AV41" s="144">
        <f t="shared" si="16"/>
        <v>4447.3499999999995</v>
      </c>
      <c r="AW41" s="144">
        <f t="shared" si="16"/>
        <v>1023.85875</v>
      </c>
      <c r="AX41" s="144">
        <f t="shared" si="16"/>
        <v>515.09683333333339</v>
      </c>
      <c r="AY41" s="144">
        <f t="shared" si="16"/>
        <v>33.543750000000003</v>
      </c>
      <c r="AZ41" s="144">
        <f t="shared" si="16"/>
        <v>10.402500000000002</v>
      </c>
      <c r="BA41" s="144">
        <f t="shared" si="16"/>
        <v>301.30833333333328</v>
      </c>
      <c r="BB41" s="144">
        <f t="shared" si="16"/>
        <v>53.133333333333333</v>
      </c>
      <c r="BM41" s="89" t="s">
        <v>620</v>
      </c>
      <c r="BN41" s="347">
        <f>AVERAGE(BH28:BH39)</f>
        <v>0.20685298408796041</v>
      </c>
      <c r="BP41" s="536" t="s">
        <v>642</v>
      </c>
      <c r="BQ41" s="536"/>
      <c r="BR41" s="536"/>
    </row>
    <row r="42" spans="31:70" x14ac:dyDescent="0.25">
      <c r="BM42" s="92" t="s">
        <v>621</v>
      </c>
      <c r="BN42" s="348">
        <f>STDEV(BH28:BH39)</f>
        <v>0.10268047343929945</v>
      </c>
      <c r="BP42" s="537"/>
      <c r="BQ42" s="537"/>
      <c r="BR42" s="537"/>
    </row>
    <row r="43" spans="31:70" x14ac:dyDescent="0.25">
      <c r="AG43" s="538" t="s">
        <v>687</v>
      </c>
      <c r="AH43" s="538"/>
      <c r="AI43" s="538"/>
      <c r="AJ43" s="538"/>
      <c r="AK43" s="538"/>
      <c r="AL43" s="538"/>
      <c r="AR43" t="s">
        <v>735</v>
      </c>
      <c r="BP43" s="537"/>
      <c r="BQ43" s="537"/>
      <c r="BR43" s="537"/>
    </row>
    <row r="44" spans="31:70" x14ac:dyDescent="0.25">
      <c r="AG44" s="538"/>
      <c r="AH44" s="538"/>
      <c r="AI44" s="538"/>
      <c r="AJ44" s="538"/>
      <c r="AK44" s="538"/>
      <c r="AL44" s="538"/>
      <c r="BM44" s="488" t="s">
        <v>643</v>
      </c>
      <c r="BN44" s="489"/>
      <c r="BP44" s="537"/>
      <c r="BQ44" s="537"/>
      <c r="BR44" s="537"/>
    </row>
    <row r="45" spans="31:70" x14ac:dyDescent="0.25">
      <c r="AG45" s="538"/>
      <c r="AH45" s="538"/>
      <c r="AI45" s="538"/>
      <c r="AJ45" s="538"/>
      <c r="AK45" s="538"/>
      <c r="AL45" s="538"/>
      <c r="BM45" s="524">
        <f>AVERAGE(BN28:BN39)</f>
        <v>0.1879042829536082</v>
      </c>
      <c r="BN45" s="525"/>
      <c r="BP45" s="537"/>
      <c r="BQ45" s="537"/>
      <c r="BR45" s="537"/>
    </row>
    <row r="49" spans="2:59" x14ac:dyDescent="0.25">
      <c r="B49" s="418" t="s">
        <v>253</v>
      </c>
      <c r="C49" s="418"/>
      <c r="D49" s="418"/>
      <c r="E49" s="418"/>
      <c r="F49" s="418"/>
      <c r="G49" s="418"/>
      <c r="H49" s="418"/>
      <c r="I49" s="418"/>
      <c r="J49" s="418"/>
      <c r="K49" s="418"/>
      <c r="L49" s="418"/>
      <c r="M49" s="418"/>
      <c r="N49" s="418"/>
      <c r="O49" s="418"/>
      <c r="P49" s="418"/>
      <c r="Q49" s="418"/>
      <c r="AG49" s="440" t="s">
        <v>122</v>
      </c>
      <c r="AH49" s="440"/>
      <c r="AI49" s="440"/>
      <c r="AJ49" s="440"/>
      <c r="AK49" s="440"/>
      <c r="AL49" s="440"/>
      <c r="AN49" s="410" t="str">
        <f>'Cerceda tabla'!R168</f>
        <v>Cargas en la EDAR de Cerceda (Caso 3)</v>
      </c>
      <c r="AO49" s="411"/>
      <c r="AP49" s="411"/>
      <c r="AQ49" s="411"/>
      <c r="AR49" s="411"/>
      <c r="AS49" s="411"/>
      <c r="AT49" s="411"/>
      <c r="AV49" t="s">
        <v>247</v>
      </c>
      <c r="BB49" s="423" t="s">
        <v>37</v>
      </c>
      <c r="BC49" s="423"/>
      <c r="BD49" s="423"/>
      <c r="BE49" s="423"/>
      <c r="BF49" s="423"/>
      <c r="BG49" s="423"/>
    </row>
    <row r="50" spans="2:59" x14ac:dyDescent="0.25">
      <c r="B50" s="418"/>
      <c r="C50" s="418"/>
      <c r="D50" s="418"/>
      <c r="E50" s="418"/>
      <c r="F50" s="418"/>
      <c r="G50" s="418"/>
      <c r="H50" s="418"/>
      <c r="I50" s="418"/>
      <c r="J50" s="418"/>
      <c r="K50" s="418"/>
      <c r="L50" s="418"/>
      <c r="M50" s="418"/>
      <c r="N50" s="418"/>
      <c r="O50" s="418"/>
      <c r="P50" s="418"/>
      <c r="Q50" s="418"/>
      <c r="AG50" s="11" t="s">
        <v>1</v>
      </c>
      <c r="AH50" s="11" t="s">
        <v>2</v>
      </c>
      <c r="AI50" s="11" t="s">
        <v>120</v>
      </c>
      <c r="AJ50" s="11" t="s">
        <v>121</v>
      </c>
      <c r="AK50" s="11" t="s">
        <v>116</v>
      </c>
      <c r="AL50" s="136" t="s">
        <v>128</v>
      </c>
      <c r="AN50" s="480" t="str">
        <f>'Cerceda tabla'!R169</f>
        <v>Parámetros</v>
      </c>
      <c r="AO50" s="480"/>
      <c r="AP50" s="23" t="str" cm="1">
        <f t="array" ref="AP50:AT50">'Cerceda tabla'!T169:X169</f>
        <v>Unidades</v>
      </c>
      <c r="AQ50" s="24" t="str">
        <v>Media IN</v>
      </c>
      <c r="AR50" s="24" t="str">
        <v>Media OUT</v>
      </c>
      <c r="AS50" s="24" t="str">
        <v>Diferencia</v>
      </c>
      <c r="AT50" s="103" t="str">
        <v>% eliminación</v>
      </c>
      <c r="AV50" t="s">
        <v>248</v>
      </c>
      <c r="BB50" s="423"/>
      <c r="BC50" s="423"/>
      <c r="BD50" s="423"/>
      <c r="BE50" s="423"/>
      <c r="BF50" s="423"/>
      <c r="BG50" s="423"/>
    </row>
    <row r="51" spans="2:59" x14ac:dyDescent="0.25">
      <c r="B51" s="418"/>
      <c r="C51" s="418"/>
      <c r="D51" s="418"/>
      <c r="E51" s="418"/>
      <c r="F51" s="418"/>
      <c r="G51" s="418"/>
      <c r="H51" s="418"/>
      <c r="I51" s="418"/>
      <c r="J51" s="418"/>
      <c r="K51" s="418"/>
      <c r="L51" s="418"/>
      <c r="M51" s="418"/>
      <c r="N51" s="418"/>
      <c r="O51" s="418"/>
      <c r="P51" s="418"/>
      <c r="Q51" s="418"/>
      <c r="AG51" s="5" t="s">
        <v>24</v>
      </c>
      <c r="AH51" s="8" t="s">
        <v>3</v>
      </c>
      <c r="AI51" s="14">
        <f>'Cerceda tabla'!P282</f>
        <v>137.83333333333334</v>
      </c>
      <c r="AJ51" s="14">
        <f>'Cerceda tabla'!P300</f>
        <v>9.5</v>
      </c>
      <c r="AK51" s="14">
        <f>AI51-AJ51</f>
        <v>128.33333333333334</v>
      </c>
      <c r="AL51" s="21">
        <f>AK51/AI51</f>
        <v>0.93107617896009676</v>
      </c>
      <c r="AN51" s="477" t="str">
        <f>'Cerceda tabla'!R143</f>
        <v>DBO5</v>
      </c>
      <c r="AO51" s="477"/>
      <c r="AP51" s="55" t="str">
        <f>'Cerceda tabla'!T170</f>
        <v>kg/d</v>
      </c>
      <c r="AQ51" s="122">
        <f>'Cerceda tabla'!U170</f>
        <v>65.324408008898786</v>
      </c>
      <c r="AR51" s="122">
        <f>'Cerceda tabla'!V170</f>
        <v>4.9103430879990109</v>
      </c>
      <c r="AS51" s="122">
        <f>'Cerceda tabla'!W170</f>
        <v>60.414064920899776</v>
      </c>
      <c r="AT51" s="32">
        <f>'Cerceda tabla'!X170</f>
        <v>0.92483141849015915</v>
      </c>
      <c r="AV51" t="s">
        <v>250</v>
      </c>
      <c r="BB51" s="423"/>
      <c r="BC51" s="423"/>
      <c r="BD51" s="423"/>
      <c r="BE51" s="423"/>
      <c r="BF51" s="423"/>
      <c r="BG51" s="423"/>
    </row>
    <row r="52" spans="2:59" x14ac:dyDescent="0.25">
      <c r="AG52" s="5" t="s">
        <v>25</v>
      </c>
      <c r="AH52" s="8" t="s">
        <v>3</v>
      </c>
      <c r="AI52" s="14">
        <f>'Cerceda tabla'!P283</f>
        <v>371.18181818181819</v>
      </c>
      <c r="AJ52" s="14">
        <f>'Cerceda tabla'!P301</f>
        <v>20.636363636363637</v>
      </c>
      <c r="AK52" s="14">
        <f t="shared" ref="AK52:AK59" si="17">AI52-AJ52</f>
        <v>350.54545454545456</v>
      </c>
      <c r="AL52" s="21">
        <f t="shared" ref="AL52:AL59" si="18">AK52/AI52</f>
        <v>0.94440362478569684</v>
      </c>
      <c r="AN52" s="477" t="str">
        <f>'Cerceda tabla'!R144</f>
        <v>DQO</v>
      </c>
      <c r="AO52" s="477"/>
      <c r="AP52" s="55" t="str">
        <f>'Cerceda tabla'!T171</f>
        <v>kg/d</v>
      </c>
      <c r="AQ52" s="123">
        <f>'Cerceda tabla'!U171</f>
        <v>176.56251085043985</v>
      </c>
      <c r="AR52" s="122">
        <f>'Cerceda tabla'!V171</f>
        <v>9.3393501938180457</v>
      </c>
      <c r="AS52" s="123">
        <f>'Cerceda tabla'!W171</f>
        <v>167.22316065662181</v>
      </c>
      <c r="AT52" s="32">
        <f>'Cerceda tabla'!X171</f>
        <v>0.94710456852457725</v>
      </c>
      <c r="AV52" t="s">
        <v>250</v>
      </c>
      <c r="BB52" s="423"/>
      <c r="BC52" s="423"/>
      <c r="BD52" s="423"/>
      <c r="BE52" s="423"/>
      <c r="BF52" s="423"/>
      <c r="BG52" s="423"/>
    </row>
    <row r="53" spans="2:59" x14ac:dyDescent="0.25">
      <c r="AG53" s="5" t="s">
        <v>26</v>
      </c>
      <c r="AH53" s="8" t="s">
        <v>3</v>
      </c>
      <c r="AI53" s="14">
        <f>'Cerceda tabla'!P284</f>
        <v>104.88181818181819</v>
      </c>
      <c r="AJ53" s="17">
        <f>'Cerceda tabla'!P302</f>
        <v>6.754545454545454</v>
      </c>
      <c r="AK53" s="17">
        <f t="shared" si="17"/>
        <v>98.127272727272739</v>
      </c>
      <c r="AL53" s="21">
        <f t="shared" si="18"/>
        <v>0.93559850914449172</v>
      </c>
      <c r="AN53" s="477" t="str">
        <f>'Cerceda tabla'!R145</f>
        <v>SST</v>
      </c>
      <c r="AO53" s="477"/>
      <c r="AP53" s="55" t="str">
        <f>'Cerceda tabla'!T172</f>
        <v>kg/d</v>
      </c>
      <c r="AQ53" s="123">
        <f>'Cerceda tabla'!U172</f>
        <v>50.501961376613743</v>
      </c>
      <c r="AR53" s="122">
        <f>'Cerceda tabla'!V172</f>
        <v>3.2228366670037416</v>
      </c>
      <c r="AS53" s="122">
        <f>'Cerceda tabla'!W172</f>
        <v>47.279124709610002</v>
      </c>
      <c r="AT53" s="32">
        <f>'Cerceda tabla'!X172</f>
        <v>0.93618393069984485</v>
      </c>
      <c r="AV53" t="s">
        <v>369</v>
      </c>
      <c r="BB53" s="423"/>
      <c r="BC53" s="423"/>
      <c r="BD53" s="423"/>
      <c r="BE53" s="423"/>
      <c r="BF53" s="423"/>
      <c r="BG53" s="423"/>
    </row>
    <row r="54" spans="2:59" x14ac:dyDescent="0.25">
      <c r="G54" s="12" t="s">
        <v>259</v>
      </c>
      <c r="J54" s="12" t="s">
        <v>264</v>
      </c>
      <c r="M54" s="12" t="s">
        <v>265</v>
      </c>
      <c r="S54" s="12" t="s">
        <v>270</v>
      </c>
      <c r="V54" s="12" t="s">
        <v>273</v>
      </c>
      <c r="AG54" s="5" t="s">
        <v>27</v>
      </c>
      <c r="AH54" s="8" t="s">
        <v>3</v>
      </c>
      <c r="AI54" s="17">
        <f>'Cerceda tabla'!P285</f>
        <v>25.309090909090909</v>
      </c>
      <c r="AJ54" s="17">
        <f>'Cerceda tabla'!P303</f>
        <v>3.4583333333333326</v>
      </c>
      <c r="AK54" s="17">
        <f t="shared" si="17"/>
        <v>21.850757575757576</v>
      </c>
      <c r="AL54" s="21">
        <f t="shared" si="18"/>
        <v>0.86335608237547901</v>
      </c>
      <c r="AN54" s="477" t="str">
        <f>'Cerceda tabla'!R146</f>
        <v>NT</v>
      </c>
      <c r="AO54" s="477"/>
      <c r="AP54" s="55" t="str">
        <f>'Cerceda tabla'!T173</f>
        <v>kg/d</v>
      </c>
      <c r="AQ54" s="122">
        <f>'Cerceda tabla'!U173</f>
        <v>11.852725028482824</v>
      </c>
      <c r="AR54" s="122">
        <f>'Cerceda tabla'!V173</f>
        <v>1.7176654498825858</v>
      </c>
      <c r="AS54" s="122">
        <f>'Cerceda tabla'!W173</f>
        <v>10.135059578600238</v>
      </c>
      <c r="AT54" s="32">
        <f>'Cerceda tabla'!X173</f>
        <v>0.85508265434700192</v>
      </c>
      <c r="AV54" t="s">
        <v>252</v>
      </c>
      <c r="BB54" s="423"/>
      <c r="BC54" s="423"/>
      <c r="BD54" s="423"/>
      <c r="BE54" s="423"/>
      <c r="BF54" s="423"/>
      <c r="BG54" s="423"/>
    </row>
    <row r="55" spans="2:59" x14ac:dyDescent="0.25">
      <c r="B55" s="12" t="s">
        <v>254</v>
      </c>
      <c r="C55" s="417" t="s">
        <v>255</v>
      </c>
      <c r="D55" s="417"/>
      <c r="E55" s="12" t="s">
        <v>256</v>
      </c>
      <c r="F55" s="395" t="s">
        <v>257</v>
      </c>
      <c r="G55" s="395"/>
      <c r="H55" s="12" t="s">
        <v>258</v>
      </c>
      <c r="I55" s="395" t="s">
        <v>260</v>
      </c>
      <c r="J55" s="395"/>
      <c r="K55" s="12" t="s">
        <v>261</v>
      </c>
      <c r="L55" s="395" t="s">
        <v>262</v>
      </c>
      <c r="M55" s="395"/>
      <c r="N55" s="12" t="s">
        <v>263</v>
      </c>
      <c r="O55" s="395" t="s">
        <v>266</v>
      </c>
      <c r="P55" s="395"/>
      <c r="Q55" s="12" t="s">
        <v>267</v>
      </c>
      <c r="R55" s="395" t="s">
        <v>268</v>
      </c>
      <c r="S55" s="395"/>
      <c r="T55" s="12" t="s">
        <v>269</v>
      </c>
      <c r="U55" s="395" t="s">
        <v>271</v>
      </c>
      <c r="V55" s="395"/>
      <c r="W55" s="12" t="s">
        <v>272</v>
      </c>
      <c r="X55" s="395" t="s">
        <v>274</v>
      </c>
      <c r="Y55" s="395"/>
      <c r="Z55" s="12" t="s">
        <v>275</v>
      </c>
      <c r="AA55" s="395" t="s">
        <v>276</v>
      </c>
      <c r="AB55" s="395"/>
      <c r="AC55" s="12" t="s">
        <v>277</v>
      </c>
      <c r="AG55" s="5" t="s">
        <v>28</v>
      </c>
      <c r="AH55" s="8" t="s">
        <v>3</v>
      </c>
      <c r="AI55" s="17">
        <f>'Cerceda tabla'!P286</f>
        <v>1.8969999999999998</v>
      </c>
      <c r="AJ55" s="17">
        <f>'Cerceda tabla'!P304</f>
        <v>0.96166666666666678</v>
      </c>
      <c r="AK55" s="17">
        <f t="shared" si="17"/>
        <v>0.93533333333333302</v>
      </c>
      <c r="AL55" s="21">
        <f t="shared" si="18"/>
        <v>0.49305921630644867</v>
      </c>
      <c r="AN55" s="477" t="str">
        <f>'Cerceda tabla'!R147</f>
        <v>PT</v>
      </c>
      <c r="AO55" s="477"/>
      <c r="AP55" s="55" t="str">
        <f>'Cerceda tabla'!T174</f>
        <v>kg/d</v>
      </c>
      <c r="AQ55" s="122">
        <f>'Cerceda tabla'!U174</f>
        <v>0.88789624360400432</v>
      </c>
      <c r="AR55" s="122">
        <f>'Cerceda tabla'!V174</f>
        <v>0.46363717649239894</v>
      </c>
      <c r="AS55" s="30">
        <f>'Cerceda tabla'!W174</f>
        <v>0.42425906711160538</v>
      </c>
      <c r="AT55" s="32">
        <f>'Cerceda tabla'!X174</f>
        <v>0.47782505013144533</v>
      </c>
      <c r="AV55" t="s">
        <v>249</v>
      </c>
      <c r="BB55" s="423"/>
      <c r="BC55" s="423"/>
      <c r="BD55" s="423"/>
      <c r="BE55" s="423"/>
      <c r="BF55" s="423"/>
      <c r="BG55" s="423"/>
    </row>
    <row r="56" spans="2:59" x14ac:dyDescent="0.25">
      <c r="C56" s="417"/>
      <c r="D56" s="417"/>
      <c r="F56" s="395"/>
      <c r="G56" s="395"/>
      <c r="I56" s="395"/>
      <c r="J56" s="395"/>
      <c r="L56" s="395"/>
      <c r="M56" s="395"/>
      <c r="O56" s="395"/>
      <c r="P56" s="395"/>
      <c r="R56" s="395"/>
      <c r="S56" s="395"/>
      <c r="U56" s="395"/>
      <c r="V56" s="395"/>
      <c r="X56" s="395"/>
      <c r="Y56" s="395"/>
      <c r="AA56" s="395"/>
      <c r="AB56" s="395"/>
      <c r="AG56" s="5" t="s">
        <v>4</v>
      </c>
      <c r="AH56" s="8" t="s">
        <v>5</v>
      </c>
      <c r="AI56" s="17">
        <f>'Cerceda tabla'!P287</f>
        <v>6.8166666666666664</v>
      </c>
      <c r="AJ56" s="17">
        <f>'Cerceda tabla'!P305</f>
        <v>6.9750000000000005</v>
      </c>
      <c r="AK56" s="17" t="s">
        <v>107</v>
      </c>
      <c r="AL56" s="21" t="s">
        <v>107</v>
      </c>
      <c r="AN56" s="477" t="str">
        <f>'Cerceda tabla'!R148</f>
        <v>Amoniaco</v>
      </c>
      <c r="AO56" s="477"/>
      <c r="AP56" s="55" t="str">
        <f>'Cerceda tabla'!T175</f>
        <v>kg/d</v>
      </c>
      <c r="AQ56" s="122" t="str">
        <f>'Cerceda tabla'!U175</f>
        <v>–</v>
      </c>
      <c r="AR56" s="122">
        <f>'Cerceda tabla'!V175</f>
        <v>0.23618897664071187</v>
      </c>
      <c r="AS56" s="131" t="str">
        <f>'Cerceda tabla'!W175</f>
        <v>---</v>
      </c>
      <c r="AT56" s="132" t="str">
        <f>'Cerceda tabla'!X175</f>
        <v>---</v>
      </c>
      <c r="AV56" t="s">
        <v>251</v>
      </c>
      <c r="BB56" s="423"/>
      <c r="BC56" s="423"/>
      <c r="BD56" s="423"/>
      <c r="BE56" s="423"/>
      <c r="BF56" s="423"/>
      <c r="BG56" s="423"/>
    </row>
    <row r="57" spans="2:59" x14ac:dyDescent="0.25">
      <c r="V57" s="138"/>
      <c r="X57" s="138" t="s">
        <v>280</v>
      </c>
      <c r="Y57" s="139" t="s">
        <v>282</v>
      </c>
      <c r="AG57" s="19" t="s">
        <v>8</v>
      </c>
      <c r="AH57" s="20" t="s">
        <v>3</v>
      </c>
      <c r="AI57" s="17" t="s">
        <v>107</v>
      </c>
      <c r="AJ57" s="17">
        <f>'Cerceda tabla'!P306</f>
        <v>0.49099999999999994</v>
      </c>
      <c r="AK57" s="17" t="s">
        <v>107</v>
      </c>
      <c r="AL57" s="21" t="s">
        <v>107</v>
      </c>
      <c r="AN57" s="477" t="s">
        <v>351</v>
      </c>
      <c r="AO57" s="477"/>
      <c r="AP57" s="55" t="str">
        <f>'Cerceda tabla'!T176</f>
        <v>kg/d</v>
      </c>
      <c r="AQ57" s="122">
        <f>'Cerceda tabla'!P327</f>
        <v>5.358561636161391</v>
      </c>
      <c r="AR57" s="122">
        <f>'Cerceda tabla'!V176</f>
        <v>3.8947282650475845</v>
      </c>
      <c r="AS57" s="30">
        <f>'Cerceda tabla'!W176</f>
        <v>1.4638333711138065</v>
      </c>
      <c r="AT57" s="32">
        <f>'Cerceda tabla'!X176</f>
        <v>0.27317654820565329</v>
      </c>
      <c r="BB57" s="423"/>
      <c r="BC57" s="423"/>
      <c r="BD57" s="423"/>
      <c r="BE57" s="423"/>
      <c r="BF57" s="423"/>
      <c r="BG57" s="423"/>
    </row>
    <row r="58" spans="2:59" x14ac:dyDescent="0.25">
      <c r="J58" t="s">
        <v>283</v>
      </c>
      <c r="V58" t="s">
        <v>279</v>
      </c>
      <c r="AG58" s="5" t="s">
        <v>351</v>
      </c>
      <c r="AH58" s="8" t="s">
        <v>3</v>
      </c>
      <c r="AI58" s="17">
        <f>'Cerceda tabla'!P288</f>
        <v>10.478181818181817</v>
      </c>
      <c r="AJ58" s="17">
        <f>'Cerceda tabla'!P307</f>
        <v>7.3</v>
      </c>
      <c r="AK58" s="17">
        <f t="shared" si="17"/>
        <v>3.1781818181818169</v>
      </c>
      <c r="AL58" s="21">
        <f t="shared" si="18"/>
        <v>0.3033142460524032</v>
      </c>
      <c r="AN58" s="477" t="str">
        <f>'Cerceda tabla'!R150</f>
        <v>Det. Anion.</v>
      </c>
      <c r="AO58" s="477"/>
      <c r="AP58" s="55" t="str">
        <f>'Cerceda tabla'!T177</f>
        <v>kg/d</v>
      </c>
      <c r="AQ58" s="122">
        <f>'Cerceda tabla'!U177</f>
        <v>0.66483623015471738</v>
      </c>
      <c r="AR58" s="122">
        <f>'Cerceda tabla'!V177</f>
        <v>0.22292367939686072</v>
      </c>
      <c r="AS58" s="30">
        <f>'Cerceda tabla'!W177</f>
        <v>0.44191255075785663</v>
      </c>
      <c r="AT58" s="32">
        <f>'Cerceda tabla'!X177</f>
        <v>0.66469384596416614</v>
      </c>
    </row>
    <row r="59" spans="2:59" x14ac:dyDescent="0.25">
      <c r="AG59" s="5" t="s">
        <v>119</v>
      </c>
      <c r="AH59" s="8" t="s">
        <v>3</v>
      </c>
      <c r="AI59" s="17">
        <f>'Cerceda tabla'!P289</f>
        <v>1.418181818181818</v>
      </c>
      <c r="AJ59" s="17">
        <f>'Cerceda tabla'!P308</f>
        <v>0.44999999999999996</v>
      </c>
      <c r="AK59" s="17">
        <f t="shared" si="17"/>
        <v>0.96818181818181803</v>
      </c>
      <c r="AL59" s="21">
        <f t="shared" si="18"/>
        <v>0.68269230769230771</v>
      </c>
      <c r="AN59" s="477" t="s">
        <v>164</v>
      </c>
      <c r="AO59" s="477"/>
      <c r="AP59" s="55" t="str">
        <f>'Cerceda tabla'!T178</f>
        <v>m3/d</v>
      </c>
      <c r="AQ59" s="123">
        <f>'Cerceda tabla'!U178</f>
        <v>484.61332653565688</v>
      </c>
      <c r="AR59" s="123">
        <f>'Cerceda tabla'!V178</f>
        <v>484.61332653565688</v>
      </c>
      <c r="AS59" s="131" t="str">
        <f>'Cerceda tabla'!W178</f>
        <v>---</v>
      </c>
      <c r="AT59" s="132" t="str">
        <f>'Cerceda tabla'!X178</f>
        <v>---</v>
      </c>
    </row>
    <row r="60" spans="2:59" x14ac:dyDescent="0.25">
      <c r="I60" s="395" t="s">
        <v>53</v>
      </c>
      <c r="J60" s="395"/>
      <c r="K60" s="140" t="s">
        <v>284</v>
      </c>
      <c r="T60" t="s">
        <v>281</v>
      </c>
      <c r="U60" s="395" t="s">
        <v>278</v>
      </c>
      <c r="V60" s="395"/>
    </row>
    <row r="61" spans="2:59" x14ac:dyDescent="0.25">
      <c r="I61" s="395"/>
      <c r="J61" s="395"/>
      <c r="U61" s="395"/>
      <c r="V61" s="395"/>
    </row>
    <row r="62" spans="2:59" x14ac:dyDescent="0.25">
      <c r="J62" s="138" t="s">
        <v>285</v>
      </c>
      <c r="V62" s="138" t="s">
        <v>291</v>
      </c>
    </row>
    <row r="63" spans="2:59" ht="15.95" customHeight="1" x14ac:dyDescent="0.25"/>
    <row r="64" spans="2:59" ht="15.95" customHeight="1" x14ac:dyDescent="0.25"/>
    <row r="65" spans="2:41" x14ac:dyDescent="0.25">
      <c r="AG65" s="406" t="s">
        <v>43</v>
      </c>
      <c r="AH65" s="406"/>
      <c r="AI65" s="406"/>
      <c r="AK65" s="406" t="s">
        <v>208</v>
      </c>
      <c r="AL65" s="406"/>
      <c r="AM65" s="406"/>
    </row>
    <row r="66" spans="2:41" x14ac:dyDescent="0.25">
      <c r="AG66" s="23" t="s">
        <v>44</v>
      </c>
      <c r="AH66" s="23" t="s">
        <v>34</v>
      </c>
      <c r="AI66" s="23" t="s">
        <v>29</v>
      </c>
      <c r="AK66" s="23" t="s">
        <v>209</v>
      </c>
      <c r="AL66" s="23" t="s">
        <v>42</v>
      </c>
      <c r="AM66" s="23" t="s">
        <v>29</v>
      </c>
    </row>
    <row r="67" spans="2:41" x14ac:dyDescent="0.25">
      <c r="J67" s="12" t="s">
        <v>290</v>
      </c>
      <c r="Q67" s="10"/>
      <c r="AG67" s="143" t="s">
        <v>45</v>
      </c>
      <c r="AH67" s="22">
        <v>0</v>
      </c>
      <c r="AI67" s="22"/>
      <c r="AK67" s="320" t="s">
        <v>210</v>
      </c>
      <c r="AL67" s="320">
        <f>6/3</f>
        <v>2</v>
      </c>
      <c r="AM67" s="320" t="s">
        <v>212</v>
      </c>
      <c r="AO67" t="s">
        <v>410</v>
      </c>
    </row>
    <row r="68" spans="2:41" x14ac:dyDescent="0.25">
      <c r="I68" s="395" t="s">
        <v>286</v>
      </c>
      <c r="J68" s="395"/>
      <c r="K68" s="139" t="s">
        <v>287</v>
      </c>
      <c r="N68" t="s">
        <v>288</v>
      </c>
      <c r="O68" s="395" t="s">
        <v>104</v>
      </c>
      <c r="P68" s="395"/>
      <c r="Q68" s="10" t="s">
        <v>292</v>
      </c>
      <c r="AG68" s="143" t="s">
        <v>115</v>
      </c>
      <c r="AH68" s="22">
        <f>120*25</f>
        <v>3000</v>
      </c>
      <c r="AI68" s="22" t="s">
        <v>347</v>
      </c>
      <c r="AK68" s="320" t="s">
        <v>211</v>
      </c>
      <c r="AL68" s="308">
        <f>9/3.5</f>
        <v>2.5714285714285716</v>
      </c>
      <c r="AM68" s="320" t="s">
        <v>212</v>
      </c>
    </row>
    <row r="69" spans="2:41" x14ac:dyDescent="0.25">
      <c r="I69" s="395"/>
      <c r="J69" s="395"/>
      <c r="O69" s="395"/>
      <c r="P69" s="395"/>
      <c r="Q69" s="10"/>
      <c r="AG69" s="134"/>
      <c r="AK69" s="320" t="s">
        <v>213</v>
      </c>
      <c r="AL69" s="320">
        <f>1500*6</f>
        <v>9000</v>
      </c>
      <c r="AM69" s="320" t="s">
        <v>212</v>
      </c>
      <c r="AN69" t="s">
        <v>214</v>
      </c>
    </row>
    <row r="70" spans="2:41" x14ac:dyDescent="0.25">
      <c r="J70" s="12" t="s">
        <v>289</v>
      </c>
      <c r="Q70" s="10"/>
      <c r="AG70" s="135"/>
      <c r="AK70" s="250" t="s">
        <v>215</v>
      </c>
      <c r="AL70" s="250">
        <f>70*1000</f>
        <v>70000</v>
      </c>
      <c r="AM70" s="250" t="s">
        <v>246</v>
      </c>
      <c r="AN70" t="s">
        <v>245</v>
      </c>
    </row>
    <row r="71" spans="2:41" x14ac:dyDescent="0.25">
      <c r="AG71" s="135"/>
    </row>
    <row r="72" spans="2:41" x14ac:dyDescent="0.25">
      <c r="AG72" s="135"/>
      <c r="AK72" t="s">
        <v>418</v>
      </c>
      <c r="AL72">
        <f>SUM('Ambas EDAR'!L6:L17)</f>
        <v>177469</v>
      </c>
      <c r="AM72" t="s">
        <v>212</v>
      </c>
    </row>
    <row r="73" spans="2:41" x14ac:dyDescent="0.25">
      <c r="AG73" s="135"/>
    </row>
    <row r="74" spans="2:41" x14ac:dyDescent="0.25">
      <c r="AG74" s="135"/>
      <c r="AK74" t="s">
        <v>213</v>
      </c>
      <c r="AL74" s="145">
        <f>AL69*1000/AL72</f>
        <v>50.713082284793401</v>
      </c>
      <c r="AM74" t="s">
        <v>419</v>
      </c>
      <c r="AN74" t="s">
        <v>420</v>
      </c>
    </row>
    <row r="75" spans="2:41" x14ac:dyDescent="0.25">
      <c r="AG75" s="135"/>
      <c r="AK75" t="s">
        <v>210</v>
      </c>
      <c r="AL75" s="145">
        <f>AL67/AL72*1000000</f>
        <v>11.269573841065199</v>
      </c>
      <c r="AM75" s="145" t="s">
        <v>433</v>
      </c>
      <c r="AN75" t="s">
        <v>432</v>
      </c>
    </row>
    <row r="76" spans="2:41" x14ac:dyDescent="0.25">
      <c r="AL76" s="144"/>
    </row>
    <row r="77" spans="2:41" x14ac:dyDescent="0.25">
      <c r="AK77" t="s">
        <v>210</v>
      </c>
      <c r="AL77" s="145">
        <f>AL67*F173/365</f>
        <v>8.7671232876712324</v>
      </c>
      <c r="AM77" t="s">
        <v>36</v>
      </c>
      <c r="AN77" s="145">
        <f>AL77/$AQ$59*1000</f>
        <v>18.090966153045247</v>
      </c>
      <c r="AO77" t="s">
        <v>3</v>
      </c>
    </row>
    <row r="78" spans="2:41" x14ac:dyDescent="0.25">
      <c r="AK78" t="s">
        <v>211</v>
      </c>
      <c r="AL78" s="145">
        <f>AL68/365*L173</f>
        <v>6.6927592954990214</v>
      </c>
      <c r="AM78" t="s">
        <v>36</v>
      </c>
      <c r="AN78" s="145">
        <f>AL78/$AQ$59*1000</f>
        <v>13.810514340047934</v>
      </c>
      <c r="AO78" t="s">
        <v>3</v>
      </c>
    </row>
    <row r="79" spans="2:41" x14ac:dyDescent="0.25">
      <c r="B79" t="s">
        <v>294</v>
      </c>
      <c r="C79" t="s">
        <v>202</v>
      </c>
      <c r="K79" t="s">
        <v>308</v>
      </c>
      <c r="L79" t="s">
        <v>334</v>
      </c>
      <c r="AK79" t="s">
        <v>213</v>
      </c>
    </row>
    <row r="80" spans="2:41" x14ac:dyDescent="0.25">
      <c r="B80" t="s">
        <v>295</v>
      </c>
      <c r="C80" t="s">
        <v>323</v>
      </c>
      <c r="K80" t="s">
        <v>309</v>
      </c>
      <c r="L80" t="s">
        <v>332</v>
      </c>
      <c r="V80" s="577" t="s">
        <v>396</v>
      </c>
      <c r="W80" s="577"/>
      <c r="X80" s="577"/>
      <c r="Y80" s="577"/>
      <c r="Z80" s="577"/>
      <c r="AA80" s="577"/>
      <c r="AB80" s="577"/>
      <c r="AC80" s="577"/>
      <c r="AK80" t="s">
        <v>215</v>
      </c>
      <c r="AL80" s="145">
        <f>AL70/365</f>
        <v>191.78082191780823</v>
      </c>
      <c r="AM80" t="s">
        <v>36</v>
      </c>
    </row>
    <row r="81" spans="2:37" x14ac:dyDescent="0.25">
      <c r="B81" t="s">
        <v>296</v>
      </c>
      <c r="C81" t="s">
        <v>339</v>
      </c>
      <c r="K81" t="s">
        <v>310</v>
      </c>
      <c r="L81" t="s">
        <v>346</v>
      </c>
      <c r="V81" s="577"/>
      <c r="W81" s="577"/>
      <c r="X81" s="577"/>
      <c r="Y81" s="577"/>
      <c r="Z81" s="577"/>
      <c r="AA81" s="577"/>
      <c r="AB81" s="577"/>
      <c r="AC81" s="577"/>
    </row>
    <row r="82" spans="2:37" x14ac:dyDescent="0.25">
      <c r="B82" t="s">
        <v>297</v>
      </c>
      <c r="C82" t="s">
        <v>340</v>
      </c>
      <c r="K82" t="s">
        <v>311</v>
      </c>
      <c r="L82" t="s">
        <v>331</v>
      </c>
      <c r="V82" s="577"/>
      <c r="W82" s="577"/>
      <c r="X82" s="577"/>
      <c r="Y82" s="577"/>
      <c r="Z82" s="577"/>
      <c r="AA82" s="577"/>
      <c r="AB82" s="577"/>
      <c r="AC82" s="577"/>
      <c r="AK82" t="s">
        <v>736</v>
      </c>
    </row>
    <row r="83" spans="2:37" x14ac:dyDescent="0.25">
      <c r="B83" t="s">
        <v>298</v>
      </c>
      <c r="C83" t="s">
        <v>341</v>
      </c>
      <c r="K83" t="s">
        <v>312</v>
      </c>
      <c r="L83" t="s">
        <v>330</v>
      </c>
      <c r="V83" s="577"/>
      <c r="W83" s="577"/>
      <c r="X83" s="577"/>
      <c r="Y83" s="577"/>
      <c r="Z83" s="577"/>
      <c r="AA83" s="577"/>
      <c r="AB83" s="577"/>
      <c r="AC83" s="577"/>
    </row>
    <row r="84" spans="2:37" x14ac:dyDescent="0.25">
      <c r="B84" t="s">
        <v>299</v>
      </c>
      <c r="C84" t="s">
        <v>342</v>
      </c>
      <c r="K84" t="s">
        <v>313</v>
      </c>
      <c r="L84" t="s">
        <v>329</v>
      </c>
      <c r="V84" s="577"/>
      <c r="W84" s="577"/>
      <c r="X84" s="577"/>
      <c r="Y84" s="577"/>
      <c r="Z84" s="577"/>
      <c r="AA84" s="577"/>
      <c r="AB84" s="577"/>
      <c r="AC84" s="577"/>
    </row>
    <row r="85" spans="2:37" x14ac:dyDescent="0.25">
      <c r="B85" t="s">
        <v>300</v>
      </c>
      <c r="C85" t="s">
        <v>343</v>
      </c>
      <c r="K85" t="s">
        <v>314</v>
      </c>
      <c r="L85" t="s">
        <v>325</v>
      </c>
      <c r="V85" s="577"/>
      <c r="W85" s="577"/>
      <c r="X85" s="577"/>
      <c r="Y85" s="577"/>
      <c r="Z85" s="577"/>
      <c r="AA85" s="577"/>
      <c r="AB85" s="577"/>
      <c r="AC85" s="577"/>
    </row>
    <row r="86" spans="2:37" x14ac:dyDescent="0.25">
      <c r="B86" t="s">
        <v>304</v>
      </c>
      <c r="C86" t="s">
        <v>344</v>
      </c>
      <c r="K86" t="s">
        <v>315</v>
      </c>
      <c r="L86" t="s">
        <v>333</v>
      </c>
      <c r="V86" s="577"/>
      <c r="W86" s="577"/>
      <c r="X86" s="577"/>
      <c r="Y86" s="577"/>
      <c r="Z86" s="577"/>
      <c r="AA86" s="577"/>
      <c r="AB86" s="577"/>
      <c r="AC86" s="577"/>
    </row>
    <row r="87" spans="2:37" x14ac:dyDescent="0.25">
      <c r="B87" t="s">
        <v>303</v>
      </c>
      <c r="C87" t="s">
        <v>345</v>
      </c>
      <c r="K87" t="s">
        <v>316</v>
      </c>
      <c r="L87" t="s">
        <v>328</v>
      </c>
      <c r="V87" s="577"/>
      <c r="W87" s="577"/>
      <c r="X87" s="577"/>
      <c r="Y87" s="577"/>
      <c r="Z87" s="577"/>
      <c r="AA87" s="577"/>
      <c r="AB87" s="577"/>
      <c r="AC87" s="577"/>
    </row>
    <row r="88" spans="2:37" x14ac:dyDescent="0.25">
      <c r="B88" t="s">
        <v>307</v>
      </c>
      <c r="C88" t="s">
        <v>322</v>
      </c>
      <c r="K88" t="s">
        <v>317</v>
      </c>
      <c r="L88" t="s">
        <v>326</v>
      </c>
      <c r="V88" s="577"/>
      <c r="W88" s="577"/>
      <c r="X88" s="577"/>
      <c r="Y88" s="577"/>
      <c r="Z88" s="577"/>
      <c r="AA88" s="577"/>
      <c r="AB88" s="577"/>
      <c r="AC88" s="577"/>
    </row>
    <row r="89" spans="2:37" x14ac:dyDescent="0.25">
      <c r="B89" t="s">
        <v>306</v>
      </c>
      <c r="C89" t="s">
        <v>335</v>
      </c>
      <c r="K89" t="s">
        <v>318</v>
      </c>
      <c r="L89" t="s">
        <v>327</v>
      </c>
    </row>
    <row r="90" spans="2:37" x14ac:dyDescent="0.25">
      <c r="B90" t="s">
        <v>305</v>
      </c>
      <c r="C90" t="s">
        <v>336</v>
      </c>
      <c r="K90" t="s">
        <v>319</v>
      </c>
      <c r="L90" t="s">
        <v>210</v>
      </c>
    </row>
    <row r="91" spans="2:37" x14ac:dyDescent="0.25">
      <c r="B91" t="s">
        <v>302</v>
      </c>
      <c r="C91" t="s">
        <v>337</v>
      </c>
      <c r="K91" t="s">
        <v>320</v>
      </c>
      <c r="L91" t="s">
        <v>115</v>
      </c>
    </row>
    <row r="92" spans="2:37" x14ac:dyDescent="0.25">
      <c r="B92" t="s">
        <v>301</v>
      </c>
      <c r="C92" t="s">
        <v>338</v>
      </c>
      <c r="K92" t="s">
        <v>321</v>
      </c>
      <c r="L92" t="s">
        <v>324</v>
      </c>
    </row>
    <row r="98" spans="1:13" x14ac:dyDescent="0.25">
      <c r="B98" t="s">
        <v>293</v>
      </c>
      <c r="L98" t="s">
        <v>354</v>
      </c>
    </row>
    <row r="99" spans="1:13" x14ac:dyDescent="0.25">
      <c r="A99" s="142" t="s">
        <v>23</v>
      </c>
      <c r="B99" s="142" t="s">
        <v>2</v>
      </c>
      <c r="C99" t="s">
        <v>254</v>
      </c>
      <c r="D99" t="s">
        <v>277</v>
      </c>
      <c r="E99" t="s">
        <v>259</v>
      </c>
      <c r="F99" t="s">
        <v>264</v>
      </c>
      <c r="G99" t="s">
        <v>265</v>
      </c>
      <c r="H99" t="s">
        <v>284</v>
      </c>
      <c r="I99" t="s">
        <v>290</v>
      </c>
      <c r="J99" t="s">
        <v>289</v>
      </c>
    </row>
    <row r="100" spans="1:13" x14ac:dyDescent="0.25">
      <c r="A100" t="s">
        <v>350</v>
      </c>
      <c r="B100" t="s">
        <v>204</v>
      </c>
      <c r="C100" s="144">
        <f>AQ59</f>
        <v>484.61332653565688</v>
      </c>
      <c r="D100" s="144">
        <f>AR59</f>
        <v>484.61332653565688</v>
      </c>
      <c r="E100" s="146" t="s">
        <v>9</v>
      </c>
      <c r="F100" s="148">
        <f>AL68/365</f>
        <v>7.0450097847358124E-3</v>
      </c>
      <c r="G100" s="146" t="s">
        <v>9</v>
      </c>
      <c r="H100" s="148">
        <f>AL67/365</f>
        <v>5.4794520547945206E-3</v>
      </c>
      <c r="I100" s="148">
        <f>AH68/365 / 1000</f>
        <v>8.2191780821917818E-3</v>
      </c>
      <c r="J100" s="146" t="s">
        <v>9</v>
      </c>
      <c r="L100" s="152" t="s">
        <v>356</v>
      </c>
      <c r="M100" t="s">
        <v>358</v>
      </c>
    </row>
    <row r="101" spans="1:13" x14ac:dyDescent="0.25">
      <c r="A101" t="s">
        <v>24</v>
      </c>
      <c r="B101" t="s">
        <v>36</v>
      </c>
      <c r="C101" s="145">
        <f>AQ51</f>
        <v>65.324408008898786</v>
      </c>
      <c r="D101" s="145">
        <f t="shared" ref="C101:D105" si="19">AR51</f>
        <v>4.9103430879990109</v>
      </c>
      <c r="E101" s="146" t="s">
        <v>9</v>
      </c>
      <c r="F101" s="146" t="s">
        <v>9</v>
      </c>
      <c r="G101" s="147"/>
      <c r="H101" s="146" t="s">
        <v>9</v>
      </c>
      <c r="I101" s="146" t="s">
        <v>9</v>
      </c>
      <c r="J101" s="146" t="s">
        <v>9</v>
      </c>
      <c r="L101" s="153" t="s">
        <v>213</v>
      </c>
      <c r="M101" t="s">
        <v>414</v>
      </c>
    </row>
    <row r="102" spans="1:13" x14ac:dyDescent="0.25">
      <c r="A102" t="s">
        <v>25</v>
      </c>
      <c r="B102" t="s">
        <v>36</v>
      </c>
      <c r="C102" s="145">
        <f t="shared" si="19"/>
        <v>176.56251085043985</v>
      </c>
      <c r="D102" s="145">
        <f t="shared" si="19"/>
        <v>9.3393501938180457</v>
      </c>
      <c r="E102" s="146" t="s">
        <v>9</v>
      </c>
      <c r="F102" s="146" t="s">
        <v>9</v>
      </c>
      <c r="G102" s="147"/>
      <c r="H102" s="146" t="s">
        <v>9</v>
      </c>
      <c r="I102" s="146" t="s">
        <v>9</v>
      </c>
      <c r="J102" s="146" t="s">
        <v>9</v>
      </c>
      <c r="L102" s="154" t="s">
        <v>210</v>
      </c>
      <c r="M102" t="s">
        <v>381</v>
      </c>
    </row>
    <row r="103" spans="1:13" x14ac:dyDescent="0.25">
      <c r="A103" t="s">
        <v>26</v>
      </c>
      <c r="B103" t="s">
        <v>36</v>
      </c>
      <c r="C103" s="145">
        <f t="shared" si="19"/>
        <v>50.501961376613743</v>
      </c>
      <c r="D103" s="145">
        <f t="shared" si="19"/>
        <v>3.2228366670037416</v>
      </c>
      <c r="E103" s="146" t="s">
        <v>9</v>
      </c>
      <c r="F103" s="146" t="s">
        <v>9</v>
      </c>
      <c r="G103" s="147"/>
      <c r="H103" s="146" t="s">
        <v>9</v>
      </c>
      <c r="I103" s="146" t="s">
        <v>9</v>
      </c>
      <c r="J103" s="146" t="s">
        <v>9</v>
      </c>
      <c r="L103" s="155" t="s">
        <v>357</v>
      </c>
      <c r="M103" t="s">
        <v>355</v>
      </c>
    </row>
    <row r="104" spans="1:13" x14ac:dyDescent="0.25">
      <c r="A104" t="s">
        <v>27</v>
      </c>
      <c r="B104" t="s">
        <v>36</v>
      </c>
      <c r="C104" s="145">
        <f t="shared" si="19"/>
        <v>11.852725028482824</v>
      </c>
      <c r="D104" s="145">
        <f t="shared" si="19"/>
        <v>1.7176654498825858</v>
      </c>
      <c r="E104" s="146" t="s">
        <v>9</v>
      </c>
      <c r="F104" s="146" t="s">
        <v>9</v>
      </c>
      <c r="G104" s="146" t="s">
        <v>9</v>
      </c>
      <c r="H104" s="146" t="s">
        <v>9</v>
      </c>
      <c r="I104" s="146" t="s">
        <v>9</v>
      </c>
      <c r="J104" s="146" t="s">
        <v>9</v>
      </c>
    </row>
    <row r="105" spans="1:13" x14ac:dyDescent="0.25">
      <c r="A105" t="s">
        <v>28</v>
      </c>
      <c r="B105" t="s">
        <v>36</v>
      </c>
      <c r="C105" s="145">
        <f t="shared" si="19"/>
        <v>0.88789624360400432</v>
      </c>
      <c r="D105" s="145">
        <f t="shared" si="19"/>
        <v>0.46363717649239894</v>
      </c>
      <c r="E105" s="146" t="s">
        <v>9</v>
      </c>
      <c r="F105" s="146" t="s">
        <v>9</v>
      </c>
      <c r="G105" s="146" t="s">
        <v>9</v>
      </c>
      <c r="H105" s="146" t="s">
        <v>9</v>
      </c>
      <c r="I105" s="146" t="s">
        <v>9</v>
      </c>
      <c r="J105" s="146" t="s">
        <v>9</v>
      </c>
    </row>
    <row r="106" spans="1:13" x14ac:dyDescent="0.25">
      <c r="A106" t="s">
        <v>351</v>
      </c>
      <c r="B106" t="s">
        <v>36</v>
      </c>
      <c r="C106" s="13">
        <f>AQ57</f>
        <v>5.358561636161391</v>
      </c>
      <c r="D106" s="13">
        <f>AR57</f>
        <v>3.8947282650475845</v>
      </c>
      <c r="E106" s="146" t="s">
        <v>9</v>
      </c>
      <c r="F106" s="147" t="s">
        <v>348</v>
      </c>
      <c r="G106" s="146" t="s">
        <v>9</v>
      </c>
      <c r="H106" s="146" t="s">
        <v>9</v>
      </c>
      <c r="I106" s="146" t="s">
        <v>9</v>
      </c>
      <c r="J106" s="146" t="s">
        <v>9</v>
      </c>
      <c r="M106" s="156" t="s">
        <v>362</v>
      </c>
    </row>
    <row r="107" spans="1:13" x14ac:dyDescent="0.25">
      <c r="A107" t="s">
        <v>352</v>
      </c>
      <c r="B107" t="s">
        <v>36</v>
      </c>
      <c r="C107" s="13">
        <f>AQ58</f>
        <v>0.66483623015471738</v>
      </c>
      <c r="D107" s="13">
        <f>AR58</f>
        <v>0.22292367939686072</v>
      </c>
      <c r="E107" s="146" t="s">
        <v>9</v>
      </c>
      <c r="F107" s="146" t="s">
        <v>9</v>
      </c>
      <c r="G107" s="146" t="s">
        <v>9</v>
      </c>
      <c r="H107" s="146" t="s">
        <v>9</v>
      </c>
      <c r="I107" s="146" t="s">
        <v>9</v>
      </c>
      <c r="J107" s="146" t="s">
        <v>9</v>
      </c>
      <c r="M107" s="157" t="s">
        <v>359</v>
      </c>
    </row>
    <row r="108" spans="1:13" x14ac:dyDescent="0.25">
      <c r="A108" t="s">
        <v>210</v>
      </c>
      <c r="B108" t="s">
        <v>36</v>
      </c>
      <c r="C108" s="146" t="s">
        <v>9</v>
      </c>
      <c r="D108" s="146" t="s">
        <v>9</v>
      </c>
      <c r="E108" s="146" t="s">
        <v>9</v>
      </c>
      <c r="F108" s="146" t="s">
        <v>9</v>
      </c>
      <c r="G108" s="146" t="s">
        <v>9</v>
      </c>
      <c r="H108" s="147" t="s">
        <v>348</v>
      </c>
      <c r="I108" s="146" t="s">
        <v>9</v>
      </c>
      <c r="J108" s="146" t="s">
        <v>9</v>
      </c>
      <c r="M108" t="s">
        <v>361</v>
      </c>
    </row>
    <row r="109" spans="1:13" x14ac:dyDescent="0.25">
      <c r="A109" s="141" t="s">
        <v>115</v>
      </c>
      <c r="B109" t="s">
        <v>36</v>
      </c>
      <c r="C109" s="146" t="s">
        <v>9</v>
      </c>
      <c r="D109" s="146" t="s">
        <v>9</v>
      </c>
      <c r="E109" s="146" t="s">
        <v>9</v>
      </c>
      <c r="F109" s="146" t="s">
        <v>9</v>
      </c>
      <c r="G109" s="146" t="s">
        <v>9</v>
      </c>
      <c r="H109" s="146" t="s">
        <v>9</v>
      </c>
      <c r="I109" s="147" t="s">
        <v>349</v>
      </c>
      <c r="J109" s="146" t="s">
        <v>9</v>
      </c>
    </row>
    <row r="110" spans="1:13" x14ac:dyDescent="0.25">
      <c r="A110" t="s">
        <v>213</v>
      </c>
      <c r="B110" t="s">
        <v>36</v>
      </c>
      <c r="C110" s="146" t="s">
        <v>9</v>
      </c>
      <c r="D110" s="146" t="s">
        <v>9</v>
      </c>
      <c r="E110" s="147"/>
      <c r="F110" s="146" t="s">
        <v>9</v>
      </c>
      <c r="G110" s="147"/>
      <c r="H110" s="146" t="s">
        <v>9</v>
      </c>
      <c r="I110" s="146" t="s">
        <v>9</v>
      </c>
      <c r="J110" s="146" t="s">
        <v>9</v>
      </c>
    </row>
    <row r="111" spans="1:13" x14ac:dyDescent="0.25">
      <c r="A111" t="s">
        <v>215</v>
      </c>
      <c r="B111" t="s">
        <v>36</v>
      </c>
      <c r="C111" s="146" t="s">
        <v>9</v>
      </c>
      <c r="D111" s="146" t="s">
        <v>9</v>
      </c>
      <c r="E111" s="146" t="s">
        <v>9</v>
      </c>
      <c r="F111" s="146" t="s">
        <v>9</v>
      </c>
      <c r="G111" s="146" t="s">
        <v>9</v>
      </c>
      <c r="H111" s="146" t="s">
        <v>9</v>
      </c>
      <c r="I111" s="146" t="s">
        <v>9</v>
      </c>
      <c r="J111" s="145">
        <f>AL70/365</f>
        <v>191.78082191780823</v>
      </c>
    </row>
    <row r="113" spans="2:31" x14ac:dyDescent="0.25">
      <c r="B113" s="158" t="s">
        <v>365</v>
      </c>
      <c r="K113" s="178" t="s">
        <v>415</v>
      </c>
      <c r="L113" t="s">
        <v>416</v>
      </c>
    </row>
    <row r="114" spans="2:31" x14ac:dyDescent="0.25">
      <c r="B114" s="159" t="s">
        <v>366</v>
      </c>
      <c r="K114" s="179" t="s">
        <v>417</v>
      </c>
      <c r="L114" t="s">
        <v>648</v>
      </c>
    </row>
    <row r="115" spans="2:31" x14ac:dyDescent="0.25">
      <c r="B115" s="160" t="s">
        <v>367</v>
      </c>
      <c r="K115" s="154" t="s">
        <v>488</v>
      </c>
      <c r="L115" t="s">
        <v>489</v>
      </c>
      <c r="V115" s="402" t="s">
        <v>478</v>
      </c>
      <c r="W115" s="402"/>
      <c r="X115" s="402"/>
      <c r="Y115" s="402"/>
      <c r="Z115" s="402"/>
      <c r="AA115" s="402"/>
    </row>
    <row r="116" spans="2:31" x14ac:dyDescent="0.25">
      <c r="K116" s="198" t="s">
        <v>496</v>
      </c>
      <c r="L116" t="s">
        <v>497</v>
      </c>
      <c r="T116" s="193"/>
      <c r="V116" s="402" t="s">
        <v>444</v>
      </c>
      <c r="W116" s="402"/>
      <c r="X116" s="578" t="s">
        <v>465</v>
      </c>
      <c r="Y116" s="578"/>
      <c r="Z116" s="402" t="s">
        <v>466</v>
      </c>
      <c r="AA116" s="402"/>
      <c r="AB116" t="s">
        <v>468</v>
      </c>
      <c r="AC116" t="s">
        <v>445</v>
      </c>
      <c r="AE116" t="s">
        <v>470</v>
      </c>
    </row>
    <row r="117" spans="2:31" x14ac:dyDescent="0.25">
      <c r="T117" s="193"/>
      <c r="V117" t="s">
        <v>25</v>
      </c>
      <c r="W117" s="163">
        <v>1</v>
      </c>
      <c r="X117" s="523">
        <f>AI52</f>
        <v>371.18181818181819</v>
      </c>
      <c r="Y117" s="402"/>
      <c r="Z117" s="523">
        <f>J121</f>
        <v>176.56251085043985</v>
      </c>
      <c r="AA117" s="402"/>
      <c r="AB117" t="s">
        <v>467</v>
      </c>
      <c r="AC117" t="s">
        <v>456</v>
      </c>
    </row>
    <row r="118" spans="2:31" x14ac:dyDescent="0.25">
      <c r="B118" s="404" t="s">
        <v>255</v>
      </c>
      <c r="C118" s="404"/>
      <c r="D118" s="404"/>
      <c r="E118" s="404"/>
      <c r="F118" s="404"/>
      <c r="G118" s="404"/>
      <c r="I118" s="142" t="s">
        <v>23</v>
      </c>
      <c r="J118" t="s">
        <v>254</v>
      </c>
      <c r="K118" t="s">
        <v>256</v>
      </c>
      <c r="L118" s="142" t="s">
        <v>2</v>
      </c>
      <c r="N118" s="220" t="s">
        <v>23</v>
      </c>
      <c r="O118" s="220" t="s">
        <v>380</v>
      </c>
      <c r="T118" s="193"/>
      <c r="V118" t="s">
        <v>446</v>
      </c>
      <c r="W118" s="194">
        <f>W123+W125</f>
        <v>0.66599999999999993</v>
      </c>
      <c r="X118" s="523">
        <f>X$117*$W118</f>
        <v>247.20709090909088</v>
      </c>
      <c r="Y118" s="523"/>
      <c r="Z118" s="523">
        <f>Z$117*$W118</f>
        <v>117.59063222639293</v>
      </c>
      <c r="AA118" s="523"/>
      <c r="AB118" t="s">
        <v>454</v>
      </c>
      <c r="AC118" t="s">
        <v>457</v>
      </c>
      <c r="AE118" t="s">
        <v>471</v>
      </c>
    </row>
    <row r="119" spans="2:31" x14ac:dyDescent="0.25">
      <c r="B119" s="404"/>
      <c r="C119" s="404"/>
      <c r="D119" s="404"/>
      <c r="E119" s="404"/>
      <c r="F119" s="404"/>
      <c r="G119" s="404"/>
      <c r="I119" t="s">
        <v>350</v>
      </c>
      <c r="J119" s="175">
        <f>C100</f>
        <v>484.61332653565688</v>
      </c>
      <c r="K119" s="175">
        <f>J119</f>
        <v>484.61332653565688</v>
      </c>
      <c r="L119" t="s">
        <v>204</v>
      </c>
      <c r="M119" s="149"/>
      <c r="N119" s="262" t="s">
        <v>350</v>
      </c>
      <c r="O119" s="229">
        <v>0</v>
      </c>
      <c r="T119" s="193"/>
      <c r="V119" t="s">
        <v>447</v>
      </c>
      <c r="W119" s="194">
        <f>W122+W124</f>
        <v>0.33400000000000002</v>
      </c>
      <c r="X119" s="523">
        <f t="shared" ref="X119:Z125" si="20">X$117*$W119</f>
        <v>123.97472727272728</v>
      </c>
      <c r="Y119" s="523"/>
      <c r="Z119" s="523">
        <f>Z$117*$W119</f>
        <v>58.971878624046916</v>
      </c>
      <c r="AA119" s="523"/>
      <c r="AB119" t="s">
        <v>454</v>
      </c>
      <c r="AC119" t="s">
        <v>458</v>
      </c>
    </row>
    <row r="120" spans="2:31" x14ac:dyDescent="0.25">
      <c r="I120" t="s">
        <v>24</v>
      </c>
      <c r="J120" s="176">
        <f t="shared" ref="J120:J126" si="21">C101</f>
        <v>65.324408008898786</v>
      </c>
      <c r="K120" s="176">
        <f t="shared" ref="K120:K126" si="22">J120</f>
        <v>65.324408008898786</v>
      </c>
      <c r="L120" t="s">
        <v>36</v>
      </c>
      <c r="M120" s="150"/>
      <c r="N120" s="262" t="s">
        <v>24</v>
      </c>
      <c r="O120" s="229">
        <v>0</v>
      </c>
      <c r="T120" s="193"/>
      <c r="V120" t="s">
        <v>448</v>
      </c>
      <c r="W120" s="194">
        <f>W122+W123</f>
        <v>0.26800000000000002</v>
      </c>
      <c r="X120" s="523">
        <f t="shared" si="20"/>
        <v>99.476727272727274</v>
      </c>
      <c r="Y120" s="523"/>
      <c r="Z120" s="523">
        <f t="shared" si="20"/>
        <v>47.318752907917883</v>
      </c>
      <c r="AA120" s="523"/>
      <c r="AB120" t="s">
        <v>454</v>
      </c>
      <c r="AC120" t="s">
        <v>459</v>
      </c>
    </row>
    <row r="121" spans="2:31" x14ac:dyDescent="0.25">
      <c r="I121" t="s">
        <v>25</v>
      </c>
      <c r="J121" s="176">
        <f t="shared" si="21"/>
        <v>176.56251085043985</v>
      </c>
      <c r="K121" s="176">
        <f t="shared" si="22"/>
        <v>176.56251085043985</v>
      </c>
      <c r="L121" t="s">
        <v>36</v>
      </c>
      <c r="M121" s="150"/>
      <c r="N121" s="262" t="s">
        <v>25</v>
      </c>
      <c r="O121" s="229">
        <v>0</v>
      </c>
      <c r="T121" s="193"/>
      <c r="V121" t="s">
        <v>449</v>
      </c>
      <c r="W121" s="194">
        <f>W124+W125</f>
        <v>0.73199999999999998</v>
      </c>
      <c r="X121" s="523">
        <f t="shared" si="20"/>
        <v>271.70509090909093</v>
      </c>
      <c r="Y121" s="523"/>
      <c r="Z121" s="523">
        <f t="shared" si="20"/>
        <v>129.24375794252197</v>
      </c>
      <c r="AA121" s="523"/>
      <c r="AB121" t="s">
        <v>454</v>
      </c>
      <c r="AC121" t="s">
        <v>461</v>
      </c>
      <c r="AE121" t="s">
        <v>472</v>
      </c>
    </row>
    <row r="122" spans="2:31" x14ac:dyDescent="0.25">
      <c r="C122" s="12" t="s">
        <v>254</v>
      </c>
      <c r="D122" s="417" t="s">
        <v>255</v>
      </c>
      <c r="E122" s="417"/>
      <c r="F122" s="12" t="s">
        <v>256</v>
      </c>
      <c r="I122" t="s">
        <v>26</v>
      </c>
      <c r="J122" s="176">
        <f t="shared" si="21"/>
        <v>50.501961376613743</v>
      </c>
      <c r="K122" s="176">
        <f t="shared" si="22"/>
        <v>50.501961376613743</v>
      </c>
      <c r="L122" t="s">
        <v>36</v>
      </c>
      <c r="M122" s="150"/>
      <c r="N122" s="262" t="s">
        <v>26</v>
      </c>
      <c r="O122" s="229">
        <v>0</v>
      </c>
      <c r="S122" s="144"/>
      <c r="T122" s="193"/>
      <c r="V122" t="s">
        <v>450</v>
      </c>
      <c r="W122" s="194">
        <v>8.5000000000000006E-2</v>
      </c>
      <c r="X122" s="523">
        <f t="shared" si="20"/>
        <v>31.550454545454549</v>
      </c>
      <c r="Y122" s="523"/>
      <c r="Z122" s="523">
        <f t="shared" si="20"/>
        <v>15.007813422287388</v>
      </c>
      <c r="AA122" s="523"/>
      <c r="AB122" t="s">
        <v>455</v>
      </c>
      <c r="AC122" t="s">
        <v>460</v>
      </c>
    </row>
    <row r="123" spans="2:31" x14ac:dyDescent="0.25">
      <c r="D123" s="417"/>
      <c r="E123" s="417"/>
      <c r="I123" t="s">
        <v>27</v>
      </c>
      <c r="J123" s="176">
        <f t="shared" si="21"/>
        <v>11.852725028482824</v>
      </c>
      <c r="K123" s="176">
        <f t="shared" si="22"/>
        <v>11.852725028482824</v>
      </c>
      <c r="L123" t="s">
        <v>36</v>
      </c>
      <c r="M123" s="151"/>
      <c r="N123" s="262" t="s">
        <v>27</v>
      </c>
      <c r="O123" s="229">
        <v>0</v>
      </c>
      <c r="S123" t="s">
        <v>740</v>
      </c>
      <c r="T123" s="193" t="s">
        <v>741</v>
      </c>
      <c r="V123" t="s">
        <v>451</v>
      </c>
      <c r="W123" s="194">
        <v>0.183</v>
      </c>
      <c r="X123" s="523">
        <f t="shared" si="20"/>
        <v>67.926272727272732</v>
      </c>
      <c r="Y123" s="523"/>
      <c r="Z123" s="523">
        <f t="shared" si="20"/>
        <v>32.310939485630492</v>
      </c>
      <c r="AA123" s="523"/>
      <c r="AB123" t="s">
        <v>455</v>
      </c>
      <c r="AC123" t="s">
        <v>462</v>
      </c>
      <c r="AE123" t="s">
        <v>471</v>
      </c>
    </row>
    <row r="124" spans="2:31" x14ac:dyDescent="0.25">
      <c r="I124" t="s">
        <v>28</v>
      </c>
      <c r="J124" s="176">
        <f t="shared" si="21"/>
        <v>0.88789624360400432</v>
      </c>
      <c r="K124" s="176">
        <f t="shared" si="22"/>
        <v>0.88789624360400432</v>
      </c>
      <c r="L124" t="s">
        <v>36</v>
      </c>
      <c r="M124" s="151"/>
      <c r="N124" s="262" t="s">
        <v>28</v>
      </c>
      <c r="O124" s="229">
        <v>0</v>
      </c>
      <c r="Q124" s="402" t="s">
        <v>737</v>
      </c>
      <c r="R124" s="402"/>
      <c r="S124" s="13">
        <f>Z123/J120</f>
        <v>0.49462276766792818</v>
      </c>
      <c r="T124" s="379">
        <f>Z123</f>
        <v>32.310939485630492</v>
      </c>
      <c r="V124" t="s">
        <v>452</v>
      </c>
      <c r="W124" s="194">
        <v>0.249</v>
      </c>
      <c r="X124" s="523">
        <f t="shared" si="20"/>
        <v>92.424272727272722</v>
      </c>
      <c r="Y124" s="523"/>
      <c r="Z124" s="523">
        <f t="shared" si="20"/>
        <v>43.964065201759524</v>
      </c>
      <c r="AA124" s="523"/>
      <c r="AB124" t="s">
        <v>455</v>
      </c>
      <c r="AC124" t="s">
        <v>463</v>
      </c>
    </row>
    <row r="125" spans="2:31" x14ac:dyDescent="0.25">
      <c r="I125" t="s">
        <v>351</v>
      </c>
      <c r="J125" s="176">
        <f t="shared" si="21"/>
        <v>5.358561636161391</v>
      </c>
      <c r="K125" s="176">
        <f t="shared" si="22"/>
        <v>5.358561636161391</v>
      </c>
      <c r="L125" t="s">
        <v>36</v>
      </c>
      <c r="M125" s="151"/>
      <c r="N125" s="262" t="s">
        <v>351</v>
      </c>
      <c r="O125" s="229">
        <v>0</v>
      </c>
      <c r="Q125" s="402" t="s">
        <v>738</v>
      </c>
      <c r="R125" s="402"/>
      <c r="S125" s="13">
        <f>(J120-Z123)/(J120)</f>
        <v>0.50537723233207177</v>
      </c>
      <c r="T125" s="380">
        <f>J120-Z123</f>
        <v>33.013468523268294</v>
      </c>
      <c r="V125" t="s">
        <v>453</v>
      </c>
      <c r="W125" s="194">
        <v>0.48299999999999998</v>
      </c>
      <c r="X125" s="523">
        <f t="shared" si="20"/>
        <v>179.28081818181818</v>
      </c>
      <c r="Y125" s="523"/>
      <c r="Z125" s="523">
        <f t="shared" si="20"/>
        <v>85.279692740762442</v>
      </c>
      <c r="AA125" s="523"/>
      <c r="AB125" t="s">
        <v>455</v>
      </c>
      <c r="AC125" t="s">
        <v>464</v>
      </c>
      <c r="AE125" t="s">
        <v>502</v>
      </c>
    </row>
    <row r="126" spans="2:31" x14ac:dyDescent="0.25">
      <c r="I126" t="s">
        <v>352</v>
      </c>
      <c r="J126" s="176">
        <f t="shared" si="21"/>
        <v>0.66483623015471738</v>
      </c>
      <c r="K126" s="176">
        <f t="shared" si="22"/>
        <v>0.66483623015471738</v>
      </c>
      <c r="L126" t="s">
        <v>36</v>
      </c>
      <c r="M126" s="151"/>
      <c r="N126" s="262" t="s">
        <v>352</v>
      </c>
      <c r="O126" s="229">
        <v>0</v>
      </c>
      <c r="Q126" t="s">
        <v>739</v>
      </c>
      <c r="S126" s="13">
        <f>T125/Z125</f>
        <v>0.38711992811259671</v>
      </c>
      <c r="T126" s="193"/>
      <c r="V126" s="402" t="s">
        <v>477</v>
      </c>
      <c r="W126" s="402"/>
      <c r="X126" s="402"/>
      <c r="Y126" s="402"/>
      <c r="Z126" s="402"/>
      <c r="AA126" s="402"/>
    </row>
    <row r="127" spans="2:31" x14ac:dyDescent="0.25">
      <c r="C127" t="s">
        <v>371</v>
      </c>
      <c r="I127" s="141"/>
      <c r="K127" s="146"/>
      <c r="L127" s="146"/>
      <c r="T127" s="193"/>
      <c r="V127" s="402" t="s">
        <v>483</v>
      </c>
      <c r="W127" s="402"/>
      <c r="X127" s="584" t="s">
        <v>465</v>
      </c>
      <c r="Y127" s="584"/>
      <c r="Z127" s="402" t="s">
        <v>466</v>
      </c>
      <c r="AA127" s="402"/>
      <c r="AB127" t="s">
        <v>468</v>
      </c>
      <c r="AC127" t="s">
        <v>445</v>
      </c>
      <c r="AE127" t="s">
        <v>470</v>
      </c>
    </row>
    <row r="128" spans="2:31" x14ac:dyDescent="0.25">
      <c r="C128" t="s">
        <v>353</v>
      </c>
      <c r="K128" s="146"/>
      <c r="L128" s="146"/>
      <c r="O128" s="145">
        <f>J122/0.242</f>
        <v>208.68579081245349</v>
      </c>
      <c r="P128" t="s">
        <v>530</v>
      </c>
      <c r="T128" s="193"/>
      <c r="V128" t="s">
        <v>26</v>
      </c>
      <c r="W128" s="163">
        <v>1</v>
      </c>
      <c r="X128" s="523">
        <f>AI53</f>
        <v>104.88181818181819</v>
      </c>
      <c r="Y128" s="523"/>
      <c r="Z128" s="508">
        <f>K122</f>
        <v>50.501961376613743</v>
      </c>
      <c r="AA128" s="402"/>
      <c r="AB128" t="s">
        <v>479</v>
      </c>
      <c r="AC128" t="s">
        <v>108</v>
      </c>
    </row>
    <row r="129" spans="2:31" x14ac:dyDescent="0.25">
      <c r="K129" s="146"/>
      <c r="L129" s="146"/>
      <c r="T129" s="193"/>
      <c r="V129" t="s">
        <v>495</v>
      </c>
      <c r="W129" s="163">
        <f>22%</f>
        <v>0.22</v>
      </c>
      <c r="X129" s="508">
        <f>X128*W129</f>
        <v>23.074000000000002</v>
      </c>
      <c r="Y129" s="508"/>
      <c r="Z129" s="508">
        <f>Z128*W129</f>
        <v>11.110431502855024</v>
      </c>
      <c r="AA129" s="508"/>
      <c r="AB129" t="s">
        <v>482</v>
      </c>
      <c r="AC129" t="s">
        <v>480</v>
      </c>
      <c r="AE129" t="s">
        <v>210</v>
      </c>
    </row>
    <row r="130" spans="2:31" ht="16.5" thickBot="1" x14ac:dyDescent="0.3">
      <c r="B130" s="69"/>
      <c r="C130" s="69"/>
      <c r="D130" s="69"/>
      <c r="E130" s="69"/>
      <c r="F130" s="69"/>
      <c r="G130" s="69"/>
      <c r="H130" s="69"/>
      <c r="I130" s="69"/>
      <c r="J130" s="69"/>
      <c r="K130" s="69"/>
      <c r="L130" s="69"/>
      <c r="M130" s="69"/>
      <c r="N130" s="69"/>
      <c r="O130" s="69"/>
      <c r="P130" s="69"/>
      <c r="Q130" s="69"/>
      <c r="R130" s="69"/>
      <c r="S130" s="69"/>
      <c r="T130" s="195"/>
      <c r="U130" s="69"/>
      <c r="V130" s="69" t="s">
        <v>476</v>
      </c>
      <c r="W130" s="196">
        <v>0.78</v>
      </c>
      <c r="X130" s="532">
        <f>X128*W130</f>
        <v>81.807818181818192</v>
      </c>
      <c r="Y130" s="532"/>
      <c r="Z130" s="532">
        <f>Z128*W130</f>
        <v>39.391529873758721</v>
      </c>
      <c r="AA130" s="532"/>
      <c r="AB130" s="69" t="s">
        <v>482</v>
      </c>
      <c r="AC130" s="69" t="s">
        <v>481</v>
      </c>
      <c r="AD130" s="69"/>
      <c r="AE130" s="69" t="s">
        <v>351</v>
      </c>
    </row>
    <row r="131" spans="2:31" x14ac:dyDescent="0.25">
      <c r="T131" s="193"/>
    </row>
    <row r="132" spans="2:31" x14ac:dyDescent="0.25">
      <c r="T132" s="193"/>
      <c r="V132" s="402"/>
      <c r="W132" s="402"/>
      <c r="X132" s="402"/>
      <c r="Y132" s="402"/>
      <c r="Z132" s="402"/>
    </row>
    <row r="133" spans="2:31" x14ac:dyDescent="0.25">
      <c r="B133" s="404" t="s">
        <v>257</v>
      </c>
      <c r="C133" s="404"/>
      <c r="D133" s="404"/>
      <c r="E133" s="404"/>
      <c r="F133" s="404"/>
      <c r="G133" s="404"/>
      <c r="I133" s="142" t="s">
        <v>23</v>
      </c>
      <c r="J133" t="s">
        <v>256</v>
      </c>
      <c r="K133" t="s">
        <v>258</v>
      </c>
      <c r="L133" t="s">
        <v>292</v>
      </c>
      <c r="M133" t="s">
        <v>259</v>
      </c>
      <c r="N133" s="142" t="s">
        <v>2</v>
      </c>
      <c r="P133" s="220" t="s">
        <v>23</v>
      </c>
      <c r="Q133" s="220" t="s">
        <v>380</v>
      </c>
      <c r="T133" s="193"/>
      <c r="V133" s="402"/>
      <c r="W133" s="402"/>
      <c r="X133" s="402"/>
      <c r="Y133" s="402"/>
    </row>
    <row r="134" spans="2:31" x14ac:dyDescent="0.25">
      <c r="B134" s="404"/>
      <c r="C134" s="404"/>
      <c r="D134" s="404"/>
      <c r="E134" s="404"/>
      <c r="F134" s="404"/>
      <c r="G134" s="404"/>
      <c r="I134" t="s">
        <v>350</v>
      </c>
      <c r="J134" s="175">
        <f>K119</f>
        <v>484.61332653565688</v>
      </c>
      <c r="K134" s="175">
        <f>J134+L134-M134</f>
        <v>2520.8291944802204</v>
      </c>
      <c r="L134" s="177">
        <f t="shared" ref="L134:L141" si="23">L394</f>
        <v>2036.2158679445636</v>
      </c>
      <c r="M134" s="175">
        <v>0</v>
      </c>
      <c r="N134" t="s">
        <v>204</v>
      </c>
      <c r="O134" s="149"/>
      <c r="P134" s="262" t="s">
        <v>350</v>
      </c>
      <c r="Q134" s="229">
        <v>0</v>
      </c>
      <c r="T134" s="193"/>
      <c r="W134" s="161"/>
      <c r="X134" s="523"/>
      <c r="Y134" s="523"/>
    </row>
    <row r="135" spans="2:31" x14ac:dyDescent="0.25">
      <c r="I135" t="s">
        <v>24</v>
      </c>
      <c r="J135" s="176">
        <f t="shared" ref="J135:J141" si="24">K120</f>
        <v>65.324408008898786</v>
      </c>
      <c r="K135" s="176">
        <f ca="1">J135+L135-M135</f>
        <v>67.575047231349771</v>
      </c>
      <c r="L135" s="177">
        <f t="shared" ca="1" si="23"/>
        <v>2.2506392224509906</v>
      </c>
      <c r="M135" s="178">
        <v>0</v>
      </c>
      <c r="N135" t="s">
        <v>36</v>
      </c>
      <c r="O135" s="150"/>
      <c r="P135" s="262" t="s">
        <v>24</v>
      </c>
      <c r="Q135" s="229">
        <v>0</v>
      </c>
      <c r="R135" s="150"/>
      <c r="T135" s="193"/>
      <c r="W135" s="161"/>
      <c r="X135" s="523"/>
      <c r="Y135" s="523"/>
    </row>
    <row r="136" spans="2:31" x14ac:dyDescent="0.25">
      <c r="E136" s="12" t="s">
        <v>259</v>
      </c>
      <c r="I136" t="s">
        <v>25</v>
      </c>
      <c r="J136" s="176">
        <f t="shared" si="24"/>
        <v>176.56251085043985</v>
      </c>
      <c r="K136" s="176">
        <f ca="1">J136+L136-M136</f>
        <v>185.66660123160011</v>
      </c>
      <c r="L136" s="177">
        <f t="shared" ca="1" si="23"/>
        <v>9.1040903811602654</v>
      </c>
      <c r="M136" s="178">
        <v>0</v>
      </c>
      <c r="N136" t="s">
        <v>36</v>
      </c>
      <c r="O136" s="150"/>
      <c r="P136" s="262" t="s">
        <v>25</v>
      </c>
      <c r="Q136" s="229">
        <v>0</v>
      </c>
      <c r="R136" s="150"/>
      <c r="T136" s="193"/>
      <c r="W136" s="161"/>
      <c r="X136" s="523"/>
      <c r="Y136" s="523"/>
      <c r="Z136" s="144"/>
    </row>
    <row r="137" spans="2:31" x14ac:dyDescent="0.25">
      <c r="C137" s="12" t="s">
        <v>256</v>
      </c>
      <c r="D137" s="395" t="s">
        <v>257</v>
      </c>
      <c r="E137" s="395"/>
      <c r="F137" s="12" t="s">
        <v>258</v>
      </c>
      <c r="I137" t="s">
        <v>26</v>
      </c>
      <c r="J137" s="176">
        <f t="shared" si="24"/>
        <v>50.501961376613743</v>
      </c>
      <c r="K137" s="176">
        <f t="shared" ref="K137:K141" si="25">J137+L137-M137</f>
        <v>54.292161376613741</v>
      </c>
      <c r="L137" s="177">
        <f t="shared" si="23"/>
        <v>3.7902</v>
      </c>
      <c r="M137" s="175">
        <v>0</v>
      </c>
      <c r="N137" t="s">
        <v>36</v>
      </c>
      <c r="O137" s="150"/>
      <c r="P137" s="262" t="s">
        <v>26</v>
      </c>
      <c r="Q137" s="229">
        <v>0</v>
      </c>
      <c r="R137" s="150"/>
      <c r="T137" s="193"/>
      <c r="W137" s="161"/>
      <c r="X137" s="523"/>
      <c r="Y137" s="523"/>
    </row>
    <row r="138" spans="2:31" x14ac:dyDescent="0.25">
      <c r="D138" s="395"/>
      <c r="E138" s="395"/>
      <c r="I138" t="s">
        <v>27</v>
      </c>
      <c r="J138" s="176">
        <f t="shared" si="24"/>
        <v>11.852725028482824</v>
      </c>
      <c r="K138" s="176">
        <f t="shared" si="25"/>
        <v>11.852725028482824</v>
      </c>
      <c r="L138" s="177">
        <f t="shared" si="23"/>
        <v>0</v>
      </c>
      <c r="M138" s="178">
        <v>0</v>
      </c>
      <c r="N138" t="s">
        <v>36</v>
      </c>
      <c r="O138" s="150"/>
      <c r="P138" s="262" t="s">
        <v>27</v>
      </c>
      <c r="Q138" s="229">
        <v>0</v>
      </c>
      <c r="R138" s="150"/>
      <c r="T138" s="193"/>
      <c r="W138" s="161"/>
      <c r="X138" s="523"/>
      <c r="Y138" s="523"/>
    </row>
    <row r="139" spans="2:31" x14ac:dyDescent="0.25">
      <c r="E139" s="12" t="s">
        <v>292</v>
      </c>
      <c r="I139" t="s">
        <v>28</v>
      </c>
      <c r="J139" s="176">
        <f t="shared" si="24"/>
        <v>0.88789624360400432</v>
      </c>
      <c r="K139" s="176">
        <f>J139+L139-M139</f>
        <v>2.0466962436040044</v>
      </c>
      <c r="L139" s="177">
        <f t="shared" si="23"/>
        <v>1.1588000000000001</v>
      </c>
      <c r="M139" s="178">
        <v>0</v>
      </c>
      <c r="N139" t="s">
        <v>36</v>
      </c>
      <c r="O139" s="150"/>
      <c r="P139" s="262" t="s">
        <v>28</v>
      </c>
      <c r="Q139" s="229">
        <v>0</v>
      </c>
      <c r="R139" s="150"/>
      <c r="T139" s="193"/>
      <c r="W139" s="161"/>
      <c r="X139" s="523"/>
      <c r="Y139" s="523"/>
    </row>
    <row r="140" spans="2:31" x14ac:dyDescent="0.25">
      <c r="I140" t="s">
        <v>351</v>
      </c>
      <c r="J140" s="176">
        <f t="shared" si="24"/>
        <v>5.358561636161391</v>
      </c>
      <c r="K140" s="176">
        <f t="shared" si="25"/>
        <v>5.358561636161391</v>
      </c>
      <c r="L140" s="177">
        <f t="shared" si="23"/>
        <v>0</v>
      </c>
      <c r="M140" s="178">
        <v>0</v>
      </c>
      <c r="N140" t="s">
        <v>36</v>
      </c>
      <c r="O140" s="150"/>
      <c r="P140" s="262" t="s">
        <v>351</v>
      </c>
      <c r="Q140" s="229">
        <v>0</v>
      </c>
      <c r="R140" s="150"/>
      <c r="T140" s="193"/>
      <c r="W140" s="161"/>
      <c r="X140" s="523"/>
      <c r="Y140" s="523"/>
    </row>
    <row r="141" spans="2:31" x14ac:dyDescent="0.25">
      <c r="I141" t="s">
        <v>352</v>
      </c>
      <c r="J141" s="176">
        <f t="shared" si="24"/>
        <v>0.66483623015471738</v>
      </c>
      <c r="K141" s="176">
        <f t="shared" si="25"/>
        <v>0.66483623015471738</v>
      </c>
      <c r="L141" s="177">
        <f t="shared" si="23"/>
        <v>0</v>
      </c>
      <c r="M141" s="178">
        <v>0</v>
      </c>
      <c r="N141" t="s">
        <v>36</v>
      </c>
      <c r="O141" s="150"/>
      <c r="P141" s="262" t="s">
        <v>352</v>
      </c>
      <c r="Q141" s="229">
        <v>0</v>
      </c>
      <c r="R141" s="150"/>
      <c r="T141" s="193"/>
      <c r="W141" s="161"/>
      <c r="X141" s="523"/>
      <c r="Y141" s="523"/>
    </row>
    <row r="142" spans="2:31" x14ac:dyDescent="0.25">
      <c r="I142" s="141"/>
      <c r="J142" s="144"/>
      <c r="K142" s="144"/>
      <c r="L142" s="146"/>
      <c r="T142" s="193"/>
      <c r="W142" s="161"/>
      <c r="X142" s="523"/>
      <c r="Y142" s="523"/>
    </row>
    <row r="143" spans="2:31" x14ac:dyDescent="0.25">
      <c r="K143" s="146"/>
      <c r="L143" s="146"/>
      <c r="T143" s="193"/>
    </row>
    <row r="144" spans="2:31" x14ac:dyDescent="0.25">
      <c r="C144" t="s">
        <v>372</v>
      </c>
      <c r="T144" s="193"/>
    </row>
    <row r="145" spans="2:33" x14ac:dyDescent="0.25">
      <c r="C145" t="s">
        <v>360</v>
      </c>
      <c r="T145" s="193"/>
      <c r="V145" s="402"/>
      <c r="W145" s="402"/>
      <c r="X145" s="402"/>
      <c r="Y145" s="402"/>
    </row>
    <row r="146" spans="2:33" x14ac:dyDescent="0.25">
      <c r="C146" t="s">
        <v>363</v>
      </c>
      <c r="L146" s="162"/>
      <c r="T146" s="193"/>
      <c r="W146" s="163"/>
      <c r="X146" s="508"/>
      <c r="Y146" s="508"/>
    </row>
    <row r="147" spans="2:33" x14ac:dyDescent="0.25">
      <c r="C147" t="s">
        <v>364</v>
      </c>
      <c r="T147" s="193"/>
      <c r="W147" s="163"/>
      <c r="X147" s="508"/>
      <c r="Y147" s="508"/>
    </row>
    <row r="148" spans="2:33" x14ac:dyDescent="0.25">
      <c r="C148" t="s">
        <v>413</v>
      </c>
      <c r="J148" s="156"/>
      <c r="T148" s="193"/>
      <c r="W148" s="163"/>
      <c r="X148" s="508"/>
      <c r="Y148" s="508"/>
    </row>
    <row r="149" spans="2:33" x14ac:dyDescent="0.25">
      <c r="C149" t="s">
        <v>469</v>
      </c>
      <c r="T149" s="193"/>
    </row>
    <row r="150" spans="2:33" x14ac:dyDescent="0.25">
      <c r="T150" s="193"/>
    </row>
    <row r="151" spans="2:33" x14ac:dyDescent="0.25">
      <c r="T151" s="193"/>
    </row>
    <row r="152" spans="2:33" x14ac:dyDescent="0.25">
      <c r="T152" s="193"/>
    </row>
    <row r="153" spans="2:33" ht="16.5" thickBot="1" x14ac:dyDescent="0.3">
      <c r="B153" s="69"/>
      <c r="C153" s="69"/>
      <c r="D153" s="69"/>
      <c r="E153" s="69"/>
      <c r="F153" s="69"/>
      <c r="G153" s="69"/>
      <c r="H153" s="69"/>
      <c r="I153" s="69"/>
      <c r="J153" s="69"/>
      <c r="K153" s="69"/>
      <c r="L153" s="69"/>
      <c r="M153" s="69"/>
      <c r="N153" s="69"/>
      <c r="O153" s="69"/>
      <c r="P153" s="69"/>
      <c r="Q153" s="69"/>
      <c r="R153" s="69"/>
      <c r="S153" s="69"/>
      <c r="T153" s="195"/>
      <c r="U153" s="69"/>
      <c r="V153" s="69"/>
      <c r="W153" s="69"/>
      <c r="X153" s="69"/>
      <c r="Y153" s="69"/>
      <c r="Z153" s="69"/>
      <c r="AA153" s="69"/>
      <c r="AB153" s="69"/>
      <c r="AC153" s="69"/>
      <c r="AD153" s="69"/>
      <c r="AE153" s="69"/>
    </row>
    <row r="154" spans="2:33" x14ac:dyDescent="0.25">
      <c r="T154" s="193"/>
      <c r="V154" s="556" t="s">
        <v>504</v>
      </c>
      <c r="W154" s="557"/>
      <c r="X154" s="557"/>
      <c r="Y154" s="557"/>
      <c r="Z154" s="557"/>
      <c r="AA154" s="557"/>
      <c r="AB154" s="557"/>
      <c r="AC154" s="557"/>
      <c r="AD154" s="558"/>
    </row>
    <row r="155" spans="2:33" ht="16.5" thickBot="1" x14ac:dyDescent="0.3">
      <c r="K155" s="145"/>
      <c r="T155" s="193"/>
      <c r="V155" s="401" t="s">
        <v>486</v>
      </c>
      <c r="W155" s="402"/>
      <c r="X155" s="402"/>
      <c r="Y155" s="402"/>
      <c r="Z155" s="402"/>
      <c r="AA155" s="402"/>
      <c r="AB155" s="402"/>
      <c r="AC155" s="402"/>
      <c r="AD155" s="403"/>
    </row>
    <row r="156" spans="2:33" x14ac:dyDescent="0.25">
      <c r="P156" s="201" t="s">
        <v>501</v>
      </c>
      <c r="Q156" s="199"/>
      <c r="R156" s="199" t="s">
        <v>382</v>
      </c>
      <c r="S156" s="200"/>
      <c r="T156" s="193"/>
      <c r="V156" s="82"/>
      <c r="W156" s="488" t="s">
        <v>258</v>
      </c>
      <c r="X156" s="489"/>
      <c r="Y156" s="488" t="s">
        <v>261</v>
      </c>
      <c r="Z156" s="489"/>
      <c r="AA156" s="488" t="s">
        <v>283</v>
      </c>
      <c r="AB156" s="489"/>
      <c r="AC156" s="488" t="s">
        <v>264</v>
      </c>
      <c r="AD156" s="489"/>
    </row>
    <row r="157" spans="2:33" x14ac:dyDescent="0.25">
      <c r="B157" s="404" t="s">
        <v>368</v>
      </c>
      <c r="C157" s="404"/>
      <c r="D157" s="404"/>
      <c r="E157" s="404"/>
      <c r="F157" s="404"/>
      <c r="G157" s="404"/>
      <c r="I157" s="142" t="s">
        <v>23</v>
      </c>
      <c r="J157" t="s">
        <v>258</v>
      </c>
      <c r="K157" t="s">
        <v>261</v>
      </c>
      <c r="L157" t="s">
        <v>283</v>
      </c>
      <c r="M157" t="s">
        <v>264</v>
      </c>
      <c r="N157" s="142" t="s">
        <v>2</v>
      </c>
      <c r="P157" s="219" t="s">
        <v>23</v>
      </c>
      <c r="Q157" s="220" t="s">
        <v>380</v>
      </c>
      <c r="R157" s="220" t="s">
        <v>283</v>
      </c>
      <c r="S157" s="221" t="s">
        <v>264</v>
      </c>
      <c r="T157" s="193"/>
      <c r="V157" s="82" t="s">
        <v>25</v>
      </c>
      <c r="W157" s="208">
        <v>1</v>
      </c>
      <c r="X157" s="209">
        <f ca="1">J160</f>
        <v>185.66660123160011</v>
      </c>
      <c r="Y157" s="208">
        <f>W157</f>
        <v>1</v>
      </c>
      <c r="Z157" s="209">
        <f ca="1">X157-AB157-AD157</f>
        <v>175.92932439889506</v>
      </c>
      <c r="AA157" s="208">
        <f>Y157</f>
        <v>1</v>
      </c>
      <c r="AB157" s="203">
        <f ca="1">AB164+AB165</f>
        <v>9.1040903811602654</v>
      </c>
      <c r="AC157" s="208">
        <f>AA157</f>
        <v>1</v>
      </c>
      <c r="AD157" s="203">
        <f ca="1">AD165</f>
        <v>0.63318645154478259</v>
      </c>
      <c r="AE157" s="144"/>
    </row>
    <row r="158" spans="2:33" x14ac:dyDescent="0.25">
      <c r="B158" s="404"/>
      <c r="C158" s="404"/>
      <c r="D158" s="404"/>
      <c r="E158" s="404"/>
      <c r="F158" s="404"/>
      <c r="G158" s="404"/>
      <c r="I158" t="s">
        <v>350</v>
      </c>
      <c r="J158" s="175">
        <f>K134</f>
        <v>2520.8291944802204</v>
      </c>
      <c r="K158" s="175">
        <f>J158-L158-M158</f>
        <v>2497.5736344539614</v>
      </c>
      <c r="L158" s="176">
        <f>L161/(1-F174)</f>
        <v>23.252175671541536</v>
      </c>
      <c r="M158" s="176">
        <f>M164/L173</f>
        <v>3.3843547175756157E-3</v>
      </c>
      <c r="N158" t="s">
        <v>204</v>
      </c>
      <c r="O158" s="149"/>
      <c r="P158" s="222" t="s">
        <v>350</v>
      </c>
      <c r="Q158" s="223" t="s">
        <v>38</v>
      </c>
      <c r="R158" s="224" t="s">
        <v>38</v>
      </c>
      <c r="S158" s="225" t="s">
        <v>38</v>
      </c>
      <c r="T158" s="193"/>
      <c r="V158" s="82" t="s">
        <v>446</v>
      </c>
      <c r="W158" s="208">
        <f>W163+W165</f>
        <v>0.66599999999999993</v>
      </c>
      <c r="X158" s="209">
        <f t="shared" ref="X158:X165" ca="1" si="26">$X$157*W158</f>
        <v>123.65395642024566</v>
      </c>
      <c r="Y158" s="208">
        <f ca="1">Y163+Y165</f>
        <v>0.66511687685252663</v>
      </c>
      <c r="Z158" s="209">
        <f ca="1">X158-AB158-AD158</f>
        <v>117.01356279096808</v>
      </c>
      <c r="AA158" s="208">
        <f ca="1">AA165</f>
        <v>0.6598360655737705</v>
      </c>
      <c r="AB158" s="203">
        <f ca="1">AB165</f>
        <v>6.0072071777327984</v>
      </c>
      <c r="AC158" s="204">
        <f ca="1">AC165</f>
        <v>1</v>
      </c>
      <c r="AD158" s="203">
        <f ca="1">AD165</f>
        <v>0.63318645154478259</v>
      </c>
      <c r="AE158" t="s">
        <v>471</v>
      </c>
      <c r="AG158" t="s">
        <v>506</v>
      </c>
    </row>
    <row r="159" spans="2:33" x14ac:dyDescent="0.25">
      <c r="I159" t="s">
        <v>24</v>
      </c>
      <c r="J159" s="176">
        <f ca="1">K135</f>
        <v>67.575047231349771</v>
      </c>
      <c r="K159" s="176">
        <f ca="1">R176*Z163 + S176*Z165</f>
        <v>65.087180588433966</v>
      </c>
      <c r="L159" s="176">
        <f ca="1">S176*AB165</f>
        <v>2.2506392224509906</v>
      </c>
      <c r="M159" s="176">
        <f ca="1">S176*AD165</f>
        <v>0.23722742046481138</v>
      </c>
      <c r="N159" t="s">
        <v>36</v>
      </c>
      <c r="O159" s="237"/>
      <c r="P159" s="222" t="s">
        <v>24</v>
      </c>
      <c r="Q159" s="226">
        <f>AVERAGE(0,0.05)</f>
        <v>2.5000000000000001E-2</v>
      </c>
      <c r="R159" s="227">
        <v>0.5</v>
      </c>
      <c r="S159" s="228">
        <f t="shared" ref="S159:S164" si="27">1-R159</f>
        <v>0.5</v>
      </c>
      <c r="T159" s="193"/>
      <c r="V159" s="82" t="s">
        <v>447</v>
      </c>
      <c r="W159" s="208">
        <f>W162+W164</f>
        <v>0.33400000000000002</v>
      </c>
      <c r="X159" s="209">
        <f t="shared" ca="1" si="26"/>
        <v>62.012644811354441</v>
      </c>
      <c r="Y159" s="208">
        <f ca="1">Y162+Y164</f>
        <v>0.33488312314747337</v>
      </c>
      <c r="Z159" s="209">
        <f ca="1">X159-AB159</f>
        <v>58.915761607926974</v>
      </c>
      <c r="AA159" s="208">
        <f ca="1">AA164</f>
        <v>0.3401639344262295</v>
      </c>
      <c r="AB159" s="203">
        <f ca="1">AB164</f>
        <v>3.0968832034274674</v>
      </c>
      <c r="AC159" s="213">
        <v>0</v>
      </c>
      <c r="AD159" s="206">
        <v>0</v>
      </c>
      <c r="AF159" s="161"/>
    </row>
    <row r="160" spans="2:33" x14ac:dyDescent="0.25">
      <c r="E160" s="12" t="s">
        <v>264</v>
      </c>
      <c r="I160" t="s">
        <v>25</v>
      </c>
      <c r="J160" s="176">
        <f ca="1">K136</f>
        <v>185.66660123160011</v>
      </c>
      <c r="K160" s="176">
        <f ca="1">Z157</f>
        <v>175.92932439889506</v>
      </c>
      <c r="L160" s="176">
        <f ca="1">AB157</f>
        <v>9.1040903811602654</v>
      </c>
      <c r="M160" s="176">
        <f ca="1">AD157</f>
        <v>0.63318645154478259</v>
      </c>
      <c r="N160" t="s">
        <v>36</v>
      </c>
      <c r="O160" s="150"/>
      <c r="P160" s="222" t="s">
        <v>25</v>
      </c>
      <c r="Q160" s="226">
        <f>AVERAGE(0,0.05)</f>
        <v>2.5000000000000001E-2</v>
      </c>
      <c r="R160" s="227">
        <v>0.5</v>
      </c>
      <c r="S160" s="228">
        <f t="shared" si="27"/>
        <v>0.5</v>
      </c>
      <c r="T160" s="193"/>
      <c r="V160" s="82" t="s">
        <v>448</v>
      </c>
      <c r="W160" s="208">
        <f>W162+W163</f>
        <v>0.26800000000000002</v>
      </c>
      <c r="X160" s="209">
        <f t="shared" ca="1" si="26"/>
        <v>49.758649130068832</v>
      </c>
      <c r="Y160" s="208">
        <f ca="1">Y162+Y163</f>
        <v>0.28283317349214659</v>
      </c>
      <c r="Z160" s="209">
        <f ca="1">X160</f>
        <v>49.758649130068832</v>
      </c>
      <c r="AA160" s="213">
        <v>0</v>
      </c>
      <c r="AB160" s="206">
        <v>0</v>
      </c>
      <c r="AC160" s="213">
        <v>0</v>
      </c>
      <c r="AD160" s="206">
        <v>0</v>
      </c>
    </row>
    <row r="161" spans="3:33" x14ac:dyDescent="0.25">
      <c r="C161" s="12" t="s">
        <v>258</v>
      </c>
      <c r="D161" s="395" t="s">
        <v>260</v>
      </c>
      <c r="E161" s="395"/>
      <c r="F161" s="12" t="s">
        <v>261</v>
      </c>
      <c r="I161" t="s">
        <v>26</v>
      </c>
      <c r="J161" s="176">
        <f t="shared" ref="J161:J165" si="28">K137</f>
        <v>54.292161376613741</v>
      </c>
      <c r="K161" s="176">
        <f>Z170</f>
        <v>39.809326477675597</v>
      </c>
      <c r="L161" s="176">
        <f>AB170</f>
        <v>14.183827159640337</v>
      </c>
      <c r="M161" s="176">
        <f>AD170</f>
        <v>0.29900773929780566</v>
      </c>
      <c r="N161" t="s">
        <v>36</v>
      </c>
      <c r="O161" s="150"/>
      <c r="P161" s="222" t="s">
        <v>26</v>
      </c>
      <c r="Q161" s="226">
        <f>F171*F172</f>
        <v>0.20899999999999999</v>
      </c>
      <c r="R161" s="227">
        <v>1</v>
      </c>
      <c r="S161" s="228">
        <f t="shared" si="27"/>
        <v>0</v>
      </c>
      <c r="T161" s="193"/>
      <c r="V161" s="82" t="s">
        <v>449</v>
      </c>
      <c r="W161" s="208">
        <f>W164+W165</f>
        <v>0.73199999999999998</v>
      </c>
      <c r="X161" s="209">
        <f t="shared" ca="1" si="26"/>
        <v>135.90795210153127</v>
      </c>
      <c r="Y161" s="208">
        <f ca="1">Y164+Y165</f>
        <v>0.71716682650785335</v>
      </c>
      <c r="Z161" s="209">
        <f ca="1">X161-AB161-AD161</f>
        <v>126.17067526882622</v>
      </c>
      <c r="AA161" s="208">
        <f ca="1">AA164+AA165</f>
        <v>1</v>
      </c>
      <c r="AB161" s="203">
        <f ca="1">AB164+AB165</f>
        <v>9.1040903811602654</v>
      </c>
      <c r="AC161" s="208">
        <f ca="1">AC165</f>
        <v>1</v>
      </c>
      <c r="AD161" s="203">
        <f ca="1">AD165</f>
        <v>0.63318645154478259</v>
      </c>
      <c r="AE161" t="s">
        <v>472</v>
      </c>
      <c r="AG161" t="s">
        <v>475</v>
      </c>
    </row>
    <row r="162" spans="3:33" x14ac:dyDescent="0.25">
      <c r="D162" s="395"/>
      <c r="E162" s="395"/>
      <c r="I162" t="s">
        <v>27</v>
      </c>
      <c r="J162" s="176">
        <f t="shared" si="28"/>
        <v>11.852725028482824</v>
      </c>
      <c r="K162" s="176">
        <f>J162-L162-M162</f>
        <v>11.852725028482824</v>
      </c>
      <c r="L162" s="175">
        <v>0</v>
      </c>
      <c r="M162" s="175">
        <v>0</v>
      </c>
      <c r="N162" t="s">
        <v>36</v>
      </c>
      <c r="O162" s="150"/>
      <c r="P162" s="222" t="s">
        <v>27</v>
      </c>
      <c r="Q162" s="229">
        <v>0</v>
      </c>
      <c r="R162" s="230" t="s">
        <v>38</v>
      </c>
      <c r="S162" s="225" t="s">
        <v>38</v>
      </c>
      <c r="T162" s="193"/>
      <c r="V162" s="82" t="s">
        <v>450</v>
      </c>
      <c r="W162" s="208">
        <v>8.5000000000000006E-2</v>
      </c>
      <c r="X162" s="209">
        <f t="shared" ca="1" si="26"/>
        <v>15.781661104686011</v>
      </c>
      <c r="Y162" s="204">
        <f ca="1">Z162/$Z$157</f>
        <v>8.9704551294150989E-2</v>
      </c>
      <c r="Z162" s="209">
        <f ca="1">X162</f>
        <v>15.781661104686011</v>
      </c>
      <c r="AA162" s="213">
        <v>0</v>
      </c>
      <c r="AB162" s="206">
        <v>0</v>
      </c>
      <c r="AC162" s="213">
        <v>0</v>
      </c>
      <c r="AD162" s="206">
        <v>0</v>
      </c>
    </row>
    <row r="163" spans="3:33" x14ac:dyDescent="0.25">
      <c r="E163" s="12" t="s">
        <v>283</v>
      </c>
      <c r="I163" t="s">
        <v>28</v>
      </c>
      <c r="J163" s="176">
        <f>K139</f>
        <v>2.0466962436040044</v>
      </c>
      <c r="K163" s="176">
        <f>J163-L163-M163</f>
        <v>2.0466962436040044</v>
      </c>
      <c r="L163" s="175">
        <v>0</v>
      </c>
      <c r="M163" s="175">
        <v>0</v>
      </c>
      <c r="N163" t="s">
        <v>36</v>
      </c>
      <c r="O163" s="150"/>
      <c r="P163" s="222" t="s">
        <v>28</v>
      </c>
      <c r="Q163" s="229">
        <v>0</v>
      </c>
      <c r="R163" s="230" t="s">
        <v>38</v>
      </c>
      <c r="S163" s="225" t="s">
        <v>38</v>
      </c>
      <c r="T163" s="193"/>
      <c r="V163" s="82" t="s">
        <v>451</v>
      </c>
      <c r="W163" s="208">
        <v>0.183</v>
      </c>
      <c r="X163" s="209">
        <f t="shared" ca="1" si="26"/>
        <v>33.976988025382816</v>
      </c>
      <c r="Y163" s="204">
        <f ca="1">Z163/$Z$157</f>
        <v>0.19312862219799562</v>
      </c>
      <c r="Z163" s="209">
        <f ca="1">X163</f>
        <v>33.976988025382816</v>
      </c>
      <c r="AA163" s="213">
        <v>0</v>
      </c>
      <c r="AB163" s="206">
        <v>0</v>
      </c>
      <c r="AC163" s="213">
        <v>0</v>
      </c>
      <c r="AD163" s="206">
        <v>0</v>
      </c>
      <c r="AE163" t="s">
        <v>471</v>
      </c>
    </row>
    <row r="164" spans="3:33" x14ac:dyDescent="0.25">
      <c r="I164" t="s">
        <v>351</v>
      </c>
      <c r="J164" s="176">
        <f t="shared" si="28"/>
        <v>5.358561636161391</v>
      </c>
      <c r="K164" s="176">
        <f>J164-L164-M164</f>
        <v>2.1434246544645563</v>
      </c>
      <c r="L164" s="175">
        <v>0</v>
      </c>
      <c r="M164" s="176">
        <f>J164*L172</f>
        <v>3.2151369816968347</v>
      </c>
      <c r="N164" t="s">
        <v>36</v>
      </c>
      <c r="O164" s="150"/>
      <c r="P164" s="222" t="s">
        <v>351</v>
      </c>
      <c r="Q164" s="226">
        <f>L172</f>
        <v>0.6</v>
      </c>
      <c r="R164" s="227">
        <v>0</v>
      </c>
      <c r="S164" s="228">
        <f t="shared" si="27"/>
        <v>1</v>
      </c>
      <c r="T164" s="193"/>
      <c r="V164" s="82" t="s">
        <v>452</v>
      </c>
      <c r="W164" s="208">
        <v>0.249</v>
      </c>
      <c r="X164" s="209">
        <f t="shared" ca="1" si="26"/>
        <v>46.230983706668425</v>
      </c>
      <c r="Y164" s="204">
        <f ca="1">Z164/$Z$157</f>
        <v>0.2451785718533224</v>
      </c>
      <c r="Z164" s="209">
        <f ca="1">X164-AB164</f>
        <v>43.134100503240958</v>
      </c>
      <c r="AA164" s="204">
        <f ca="1">AB164/$AB$157</f>
        <v>0.3401639344262295</v>
      </c>
      <c r="AB164" s="203">
        <f ca="1">AC178</f>
        <v>3.0968832034274674</v>
      </c>
      <c r="AC164" s="213">
        <v>0</v>
      </c>
      <c r="AD164" s="206">
        <v>0</v>
      </c>
    </row>
    <row r="165" spans="3:33" ht="16.5" thickBot="1" x14ac:dyDescent="0.3">
      <c r="I165" t="s">
        <v>352</v>
      </c>
      <c r="J165" s="176">
        <f t="shared" si="28"/>
        <v>0.66483623015471738</v>
      </c>
      <c r="K165" s="176">
        <f>J165-L165-M165</f>
        <v>0.66483623015471738</v>
      </c>
      <c r="L165" s="175">
        <v>0</v>
      </c>
      <c r="M165" s="175">
        <v>0</v>
      </c>
      <c r="N165" t="s">
        <v>36</v>
      </c>
      <c r="O165" s="150"/>
      <c r="P165" s="231" t="s">
        <v>352</v>
      </c>
      <c r="Q165" s="232">
        <v>0</v>
      </c>
      <c r="R165" s="233" t="s">
        <v>38</v>
      </c>
      <c r="S165" s="234" t="s">
        <v>38</v>
      </c>
      <c r="T165" s="193"/>
      <c r="V165" s="92" t="s">
        <v>453</v>
      </c>
      <c r="W165" s="210">
        <v>0.48299999999999998</v>
      </c>
      <c r="X165" s="211">
        <f t="shared" ca="1" si="26"/>
        <v>89.676968394862854</v>
      </c>
      <c r="Y165" s="212">
        <f ca="1">Z165/$Z$157</f>
        <v>0.47198825465453098</v>
      </c>
      <c r="Z165" s="211">
        <f ca="1">X165-AB165-AD165</f>
        <v>83.036574765585272</v>
      </c>
      <c r="AA165" s="212">
        <f ca="1">AB165/$AB$157</f>
        <v>0.6598360655737705</v>
      </c>
      <c r="AB165" s="218">
        <f ca="1">AC179</f>
        <v>6.0072071777327984</v>
      </c>
      <c r="AC165" s="212">
        <f ca="1">AD165/$AD$157</f>
        <v>1</v>
      </c>
      <c r="AD165" s="218">
        <f ca="1">AD179</f>
        <v>0.63318645154478259</v>
      </c>
      <c r="AE165" t="s">
        <v>502</v>
      </c>
    </row>
    <row r="166" spans="3:33" x14ac:dyDescent="0.25">
      <c r="I166" s="141" t="s">
        <v>498</v>
      </c>
      <c r="J166" s="165">
        <v>0</v>
      </c>
      <c r="K166" s="240">
        <v>0</v>
      </c>
      <c r="L166" s="235">
        <f>AB171</f>
        <v>11.347061727712271</v>
      </c>
      <c r="M166" s="12">
        <v>0</v>
      </c>
      <c r="N166" t="s">
        <v>36</v>
      </c>
      <c r="T166" s="193"/>
    </row>
    <row r="167" spans="3:33" x14ac:dyDescent="0.25">
      <c r="K167" s="146"/>
      <c r="L167" s="146"/>
      <c r="T167" s="193"/>
      <c r="V167" s="488" t="s">
        <v>525</v>
      </c>
      <c r="W167" s="507"/>
      <c r="X167" s="507"/>
      <c r="Y167" s="507"/>
      <c r="Z167" s="507"/>
      <c r="AA167" s="507"/>
      <c r="AB167" s="507"/>
      <c r="AC167" s="507"/>
      <c r="AD167" s="489"/>
      <c r="AF167" s="180"/>
    </row>
    <row r="168" spans="3:33" x14ac:dyDescent="0.25">
      <c r="C168" t="s">
        <v>373</v>
      </c>
      <c r="J168" t="s">
        <v>503</v>
      </c>
      <c r="T168" s="193"/>
      <c r="V168" s="401" t="s">
        <v>486</v>
      </c>
      <c r="W168" s="402"/>
      <c r="X168" s="402"/>
      <c r="Y168" s="402"/>
      <c r="Z168" s="402"/>
      <c r="AA168" s="402"/>
      <c r="AB168" s="402"/>
      <c r="AC168" s="402"/>
      <c r="AD168" s="403"/>
    </row>
    <row r="169" spans="3:33" x14ac:dyDescent="0.25">
      <c r="C169" t="s">
        <v>370</v>
      </c>
      <c r="J169" t="s">
        <v>487</v>
      </c>
      <c r="T169" s="193"/>
      <c r="V169" s="82"/>
      <c r="W169" s="488" t="s">
        <v>258</v>
      </c>
      <c r="X169" s="489"/>
      <c r="Y169" s="488" t="s">
        <v>261</v>
      </c>
      <c r="Z169" s="489"/>
      <c r="AA169" s="488" t="s">
        <v>283</v>
      </c>
      <c r="AB169" s="489"/>
      <c r="AC169" s="488" t="s">
        <v>264</v>
      </c>
      <c r="AD169" s="489"/>
    </row>
    <row r="170" spans="3:33" x14ac:dyDescent="0.25">
      <c r="C170" t="s">
        <v>490</v>
      </c>
      <c r="J170" t="s">
        <v>494</v>
      </c>
      <c r="T170" s="193"/>
      <c r="V170" s="82" t="s">
        <v>26</v>
      </c>
      <c r="W170" s="202">
        <f>X170/X170</f>
        <v>1</v>
      </c>
      <c r="X170" s="203">
        <f>J161</f>
        <v>54.292161376613741</v>
      </c>
      <c r="Y170" s="204">
        <v>1</v>
      </c>
      <c r="Z170" s="203">
        <f>Z171+Z172</f>
        <v>39.809326477675597</v>
      </c>
      <c r="AA170" s="202">
        <v>1</v>
      </c>
      <c r="AB170" s="203">
        <f>AB171/AA171</f>
        <v>14.183827159640337</v>
      </c>
      <c r="AC170" s="202">
        <v>1</v>
      </c>
      <c r="AD170" s="205">
        <f>L175*AD173</f>
        <v>0.29900773929780566</v>
      </c>
    </row>
    <row r="171" spans="3:33" x14ac:dyDescent="0.25">
      <c r="C171" t="s">
        <v>436</v>
      </c>
      <c r="F171" s="161">
        <v>0.22</v>
      </c>
      <c r="T171" s="193"/>
      <c r="V171" s="82" t="s">
        <v>495</v>
      </c>
      <c r="W171" s="202">
        <f>F171</f>
        <v>0.22</v>
      </c>
      <c r="X171" s="203">
        <f>X170*W171</f>
        <v>11.944275502855023</v>
      </c>
      <c r="Y171" s="204">
        <f>Z171/Z170</f>
        <v>1.5001855795718102E-2</v>
      </c>
      <c r="Z171" s="203">
        <f>X171-AB171-AD171</f>
        <v>0.59721377514275176</v>
      </c>
      <c r="AA171" s="202">
        <f>(1-F175)</f>
        <v>0.8</v>
      </c>
      <c r="AB171" s="203">
        <f>F172*X171</f>
        <v>11.347061727712271</v>
      </c>
      <c r="AC171" s="202">
        <v>0</v>
      </c>
      <c r="AD171" s="206">
        <f>AC171*AD170</f>
        <v>0</v>
      </c>
    </row>
    <row r="172" spans="3:33" ht="16.5" thickBot="1" x14ac:dyDescent="0.3">
      <c r="C172" t="s">
        <v>437</v>
      </c>
      <c r="F172" s="161">
        <v>0.95</v>
      </c>
      <c r="I172" t="s">
        <v>438</v>
      </c>
      <c r="L172" s="161">
        <v>0.6</v>
      </c>
      <c r="P172" s="236"/>
      <c r="Q172" s="236"/>
      <c r="R172" s="236"/>
      <c r="T172" s="193"/>
      <c r="V172" s="82" t="s">
        <v>476</v>
      </c>
      <c r="W172" s="202">
        <f>1-F171</f>
        <v>0.78</v>
      </c>
      <c r="X172" s="203">
        <f>X170*W172</f>
        <v>42.34788587375872</v>
      </c>
      <c r="Y172" s="204">
        <f>Z172/Z170</f>
        <v>0.984998144204282</v>
      </c>
      <c r="Z172" s="203">
        <f>X172-AB172-AD172</f>
        <v>39.212112702532849</v>
      </c>
      <c r="AA172" s="202">
        <f>F175</f>
        <v>0.2</v>
      </c>
      <c r="AB172" s="203">
        <f>AB170*AA172</f>
        <v>2.8367654319280677</v>
      </c>
      <c r="AC172" s="202">
        <v>1</v>
      </c>
      <c r="AD172" s="205">
        <f>AC172*AD170</f>
        <v>0.29900773929780566</v>
      </c>
      <c r="AE172" t="s">
        <v>517</v>
      </c>
    </row>
    <row r="173" spans="3:33" x14ac:dyDescent="0.25">
      <c r="C173" t="s">
        <v>434</v>
      </c>
      <c r="F173">
        <v>1600</v>
      </c>
      <c r="G173" t="s">
        <v>435</v>
      </c>
      <c r="I173" t="s">
        <v>473</v>
      </c>
      <c r="L173">
        <f>1000*0.95</f>
        <v>950</v>
      </c>
      <c r="M173" t="s">
        <v>435</v>
      </c>
      <c r="O173" s="263"/>
      <c r="P173" s="199"/>
      <c r="Q173" s="264" t="s">
        <v>471</v>
      </c>
      <c r="R173" s="264" t="s">
        <v>451</v>
      </c>
      <c r="S173" s="265" t="s">
        <v>453</v>
      </c>
      <c r="T173" s="193"/>
      <c r="U173" t="s">
        <v>499</v>
      </c>
      <c r="V173" s="242" t="s">
        <v>500</v>
      </c>
      <c r="W173" s="92" t="s">
        <v>38</v>
      </c>
      <c r="X173" s="94" t="s">
        <v>38</v>
      </c>
      <c r="Y173" s="92" t="s">
        <v>38</v>
      </c>
      <c r="Z173" s="94" t="s">
        <v>38</v>
      </c>
      <c r="AA173" s="92" t="s">
        <v>38</v>
      </c>
      <c r="AB173" s="94" t="s">
        <v>38</v>
      </c>
      <c r="AC173" s="92" t="s">
        <v>38</v>
      </c>
      <c r="AD173" s="207">
        <f>L176*M164</f>
        <v>0.3215136981696835</v>
      </c>
    </row>
    <row r="174" spans="3:33" x14ac:dyDescent="0.25">
      <c r="C174" t="s">
        <v>439</v>
      </c>
      <c r="F174" s="190">
        <f>AVERAGE(0.13, 0.65)</f>
        <v>0.39</v>
      </c>
      <c r="I174" t="s">
        <v>474</v>
      </c>
      <c r="L174">
        <v>2.75</v>
      </c>
      <c r="M174" t="s">
        <v>485</v>
      </c>
      <c r="O174" s="561" t="s">
        <v>509</v>
      </c>
      <c r="P174" s="402"/>
      <c r="Q174" s="238">
        <f ca="1">J159</f>
        <v>67.575047231349771</v>
      </c>
      <c r="R174" s="238">
        <f ca="1">X163</f>
        <v>33.976988025382816</v>
      </c>
      <c r="S174" s="266">
        <f ca="1">X165</f>
        <v>89.676968394862854</v>
      </c>
      <c r="T174" s="193"/>
    </row>
    <row r="175" spans="3:33" x14ac:dyDescent="0.25">
      <c r="C175" t="s">
        <v>440</v>
      </c>
      <c r="F175" s="161">
        <v>0.2</v>
      </c>
      <c r="I175" t="s">
        <v>484</v>
      </c>
      <c r="L175" s="161">
        <v>0.93</v>
      </c>
      <c r="M175" t="s">
        <v>491</v>
      </c>
      <c r="O175" s="561" t="s">
        <v>510</v>
      </c>
      <c r="P175" s="402"/>
      <c r="Q175" s="239">
        <f ca="1">Q174</f>
        <v>67.575047231349771</v>
      </c>
      <c r="R175" s="238">
        <f ca="1">R174</f>
        <v>33.976988025382816</v>
      </c>
      <c r="S175" s="266">
        <f ca="1">Q175-R175</f>
        <v>33.598059205966955</v>
      </c>
      <c r="T175" s="193"/>
      <c r="Z175" s="529" t="s">
        <v>518</v>
      </c>
      <c r="AA175" s="530"/>
      <c r="AB175" s="530"/>
      <c r="AC175" s="530"/>
      <c r="AD175" s="531"/>
    </row>
    <row r="176" spans="3:33" ht="16.5" thickBot="1" x14ac:dyDescent="0.3">
      <c r="I176" t="s">
        <v>492</v>
      </c>
      <c r="L176" s="161">
        <v>0.1</v>
      </c>
      <c r="M176" t="s">
        <v>493</v>
      </c>
      <c r="O176" s="559" t="s">
        <v>511</v>
      </c>
      <c r="P176" s="560"/>
      <c r="Q176" s="267">
        <f ca="1">Q175/Q174</f>
        <v>1</v>
      </c>
      <c r="R176" s="267">
        <f ca="1">R175/R174</f>
        <v>1</v>
      </c>
      <c r="S176" s="268">
        <f ca="1">S175/S174</f>
        <v>0.37465650107649734</v>
      </c>
      <c r="T176" s="193"/>
      <c r="V176" s="488" t="s">
        <v>526</v>
      </c>
      <c r="W176" s="507"/>
      <c r="X176" s="489"/>
      <c r="Z176" s="82"/>
      <c r="AA176" s="12" t="s">
        <v>258</v>
      </c>
      <c r="AB176" s="12" t="s">
        <v>261</v>
      </c>
      <c r="AC176" s="12" t="s">
        <v>283</v>
      </c>
      <c r="AD176" s="241" t="s">
        <v>264</v>
      </c>
    </row>
    <row r="177" spans="2:32" x14ac:dyDescent="0.25">
      <c r="Q177" s="190"/>
      <c r="R177" s="190"/>
      <c r="S177" s="190"/>
      <c r="T177" s="193"/>
      <c r="V177" s="25" t="s">
        <v>283</v>
      </c>
      <c r="W177" s="571">
        <f>AB172/X172</f>
        <v>6.6987179487179471E-2</v>
      </c>
      <c r="X177" s="572"/>
      <c r="Z177" s="26" t="s">
        <v>449</v>
      </c>
      <c r="AA177" s="216">
        <f ca="1">AA178+AA179</f>
        <v>135.90795210153129</v>
      </c>
      <c r="AB177" s="217">
        <f ca="1">AB178+AB179</f>
        <v>125.84424995529693</v>
      </c>
      <c r="AC177" s="217">
        <f ca="1">AC178+AC179</f>
        <v>9.1040903811602654</v>
      </c>
      <c r="AD177" s="215">
        <f ca="1">AD178+AD179</f>
        <v>0.95961176507408041</v>
      </c>
      <c r="AE177" s="145" t="s">
        <v>505</v>
      </c>
    </row>
    <row r="178" spans="2:32" x14ac:dyDescent="0.25">
      <c r="C178" t="s">
        <v>507</v>
      </c>
      <c r="O178" s="562" t="s">
        <v>742</v>
      </c>
      <c r="P178" s="563"/>
      <c r="Q178" s="563"/>
      <c r="R178" s="563"/>
      <c r="S178" s="564"/>
      <c r="T178" s="193"/>
      <c r="V178" s="250" t="s">
        <v>264</v>
      </c>
      <c r="W178" s="573">
        <f>AD172/X172</f>
        <v>7.0607477357704108E-3</v>
      </c>
      <c r="X178" s="574"/>
      <c r="Z178" s="22" t="s">
        <v>452</v>
      </c>
      <c r="AA178" s="249">
        <f ca="1">X164</f>
        <v>46.230983706668425</v>
      </c>
      <c r="AB178" s="251">
        <f ca="1">AA178-AC178-AD178</f>
        <v>42.807675189711659</v>
      </c>
      <c r="AC178" s="251">
        <f ca="1">AA178*W177</f>
        <v>3.0968832034274674</v>
      </c>
      <c r="AD178" s="252">
        <f ca="1">AA178*W178</f>
        <v>0.32642531352929782</v>
      </c>
      <c r="AE178" t="s">
        <v>516</v>
      </c>
    </row>
    <row r="179" spans="2:32" x14ac:dyDescent="0.25">
      <c r="C179" t="s">
        <v>508</v>
      </c>
      <c r="O179" s="565"/>
      <c r="P179" s="566"/>
      <c r="Q179" s="566"/>
      <c r="R179" s="566"/>
      <c r="S179" s="567"/>
      <c r="T179" s="193"/>
      <c r="Z179" s="22" t="s">
        <v>453</v>
      </c>
      <c r="AA179" s="214">
        <f ca="1">X165</f>
        <v>89.676968394862854</v>
      </c>
      <c r="AB179" s="251">
        <f ca="1">AA179-AC179-AD179</f>
        <v>83.036574765585272</v>
      </c>
      <c r="AC179" s="251">
        <f ca="1">AA179*W177</f>
        <v>6.0072071777327984</v>
      </c>
      <c r="AD179" s="252">
        <f ca="1">AA179*W178</f>
        <v>0.63318645154478259</v>
      </c>
    </row>
    <row r="180" spans="2:32" x14ac:dyDescent="0.25">
      <c r="O180" s="568"/>
      <c r="P180" s="569"/>
      <c r="Q180" s="569"/>
      <c r="R180" s="569"/>
      <c r="S180" s="570"/>
      <c r="T180" s="193"/>
      <c r="AC180" s="144"/>
      <c r="AD180" s="144"/>
      <c r="AE180" s="144"/>
      <c r="AF180" s="145"/>
    </row>
    <row r="181" spans="2:32" ht="16.5" thickBot="1" x14ac:dyDescent="0.3">
      <c r="B181" s="69"/>
      <c r="C181" s="69"/>
      <c r="D181" s="69"/>
      <c r="E181" s="69"/>
      <c r="F181" s="69"/>
      <c r="G181" s="69"/>
      <c r="H181" s="69"/>
      <c r="I181" s="69"/>
      <c r="J181" s="69"/>
      <c r="K181" s="69"/>
      <c r="L181" s="69"/>
      <c r="M181" s="69"/>
      <c r="N181" s="69"/>
      <c r="O181" s="69"/>
      <c r="P181" s="69"/>
      <c r="Q181" s="69"/>
      <c r="R181" s="69"/>
      <c r="S181" s="69"/>
      <c r="T181" s="195"/>
      <c r="U181" s="69"/>
      <c r="V181" s="69"/>
      <c r="W181" s="69"/>
      <c r="X181" s="69"/>
      <c r="Y181" s="69"/>
      <c r="Z181" s="69"/>
      <c r="AA181" s="69"/>
      <c r="AB181" s="69"/>
      <c r="AC181" s="69"/>
      <c r="AD181" s="69"/>
      <c r="AE181" s="69"/>
    </row>
    <row r="182" spans="2:32" x14ac:dyDescent="0.25">
      <c r="T182" s="261"/>
    </row>
    <row r="183" spans="2:32" x14ac:dyDescent="0.25">
      <c r="B183" s="404" t="s">
        <v>262</v>
      </c>
      <c r="C183" s="404"/>
      <c r="D183" s="404"/>
      <c r="E183" s="404"/>
      <c r="F183" s="404"/>
      <c r="G183" s="404"/>
      <c r="I183" s="142" t="s">
        <v>23</v>
      </c>
      <c r="J183" t="s">
        <v>261</v>
      </c>
      <c r="K183" t="s">
        <v>263</v>
      </c>
      <c r="L183" t="s">
        <v>265</v>
      </c>
      <c r="M183" s="142" t="s">
        <v>2</v>
      </c>
      <c r="O183" s="220" t="s">
        <v>23</v>
      </c>
      <c r="P183" s="220" t="s">
        <v>380</v>
      </c>
      <c r="T183" s="193"/>
      <c r="V183" s="488" t="s">
        <v>524</v>
      </c>
      <c r="W183" s="507"/>
      <c r="X183" s="507"/>
      <c r="Y183" s="507"/>
      <c r="Z183" s="507"/>
      <c r="AA183" s="507"/>
      <c r="AB183" s="489"/>
    </row>
    <row r="184" spans="2:32" x14ac:dyDescent="0.25">
      <c r="B184" s="404"/>
      <c r="C184" s="404"/>
      <c r="D184" s="404"/>
      <c r="E184" s="404"/>
      <c r="F184" s="404"/>
      <c r="G184" s="404"/>
      <c r="I184" t="s">
        <v>350</v>
      </c>
      <c r="J184" s="175">
        <f t="shared" ref="J184:J191" si="29">K158</f>
        <v>2497.5736344539614</v>
      </c>
      <c r="K184" s="175">
        <f>J184-L184</f>
        <v>2497.549748858075</v>
      </c>
      <c r="L184" s="285">
        <f>L187/1000</f>
        <v>2.3885595886605358E-2</v>
      </c>
      <c r="M184" t="s">
        <v>204</v>
      </c>
      <c r="O184" s="262" t="s">
        <v>350</v>
      </c>
      <c r="P184" s="223"/>
      <c r="T184" s="193"/>
      <c r="V184" s="401" t="s">
        <v>486</v>
      </c>
      <c r="W184" s="402"/>
      <c r="X184" s="402"/>
      <c r="Y184" s="402"/>
      <c r="Z184" s="402"/>
      <c r="AA184" s="402"/>
      <c r="AB184" s="403"/>
    </row>
    <row r="185" spans="2:32" x14ac:dyDescent="0.25">
      <c r="I185" t="s">
        <v>24</v>
      </c>
      <c r="J185" s="176">
        <f ca="1">K159</f>
        <v>65.087180588433966</v>
      </c>
      <c r="K185" s="176">
        <f ca="1">J185-L185</f>
        <v>64.703751288701113</v>
      </c>
      <c r="L185" s="176">
        <f ca="1">S175-Z194</f>
        <v>0.38342929973284612</v>
      </c>
      <c r="M185" t="s">
        <v>36</v>
      </c>
      <c r="O185" s="262" t="s">
        <v>24</v>
      </c>
      <c r="P185" s="226">
        <f>AVERAGE(0.05,0.1)</f>
        <v>7.5000000000000011E-2</v>
      </c>
      <c r="T185" s="193"/>
      <c r="V185" s="82"/>
      <c r="W185" s="488" t="s">
        <v>261</v>
      </c>
      <c r="X185" s="489"/>
      <c r="Y185" s="488" t="s">
        <v>263</v>
      </c>
      <c r="Z185" s="489"/>
      <c r="AA185" s="488" t="s">
        <v>265</v>
      </c>
      <c r="AB185" s="489"/>
    </row>
    <row r="186" spans="2:32" x14ac:dyDescent="0.25">
      <c r="E186" s="12" t="s">
        <v>265</v>
      </c>
      <c r="I186" t="s">
        <v>25</v>
      </c>
      <c r="J186" s="176">
        <f ca="1">K160</f>
        <v>175.92932439889506</v>
      </c>
      <c r="K186" s="176">
        <f ca="1">J186-L186</f>
        <v>100.22691923759933</v>
      </c>
      <c r="L186" s="176">
        <f ca="1">AB186</f>
        <v>75.702405161295729</v>
      </c>
      <c r="M186" t="s">
        <v>36</v>
      </c>
      <c r="O186" s="262" t="s">
        <v>25</v>
      </c>
      <c r="P186" s="226">
        <f>AVERAGE(0.05,0.12)</f>
        <v>8.4999999999999992E-2</v>
      </c>
      <c r="T186" s="193"/>
      <c r="V186" s="82" t="s">
        <v>25</v>
      </c>
      <c r="W186" s="208">
        <f t="shared" ref="W186:W194" si="30">Y157</f>
        <v>1</v>
      </c>
      <c r="X186" s="254">
        <f t="shared" ref="X186:X194" ca="1" si="31">Z157</f>
        <v>175.92932439889506</v>
      </c>
      <c r="Y186" s="208">
        <f t="shared" ref="Y186:Y194" ca="1" si="32">Z186/$Z$186</f>
        <v>1</v>
      </c>
      <c r="Z186" s="209">
        <f ca="1">X186-AB186</f>
        <v>100.22691923759933</v>
      </c>
      <c r="AA186" s="208">
        <f ca="1">AB186/$AB$186</f>
        <v>1</v>
      </c>
      <c r="AB186" s="209">
        <f ca="1">AB194+AB193</f>
        <v>75.702405161295729</v>
      </c>
      <c r="AC186" s="144"/>
      <c r="AD186" s="144"/>
    </row>
    <row r="187" spans="2:32" x14ac:dyDescent="0.25">
      <c r="C187" s="12" t="s">
        <v>261</v>
      </c>
      <c r="D187" s="395" t="s">
        <v>262</v>
      </c>
      <c r="E187" s="395"/>
      <c r="F187" s="12" t="s">
        <v>263</v>
      </c>
      <c r="I187" t="s">
        <v>26</v>
      </c>
      <c r="J187" s="176">
        <f t="shared" si="29"/>
        <v>39.809326477675597</v>
      </c>
      <c r="K187" s="176">
        <f t="shared" ref="K187:K191" si="33">J187-L187</f>
        <v>15.923730591070239</v>
      </c>
      <c r="L187" s="176">
        <f>AB199</f>
        <v>23.885595886605358</v>
      </c>
      <c r="M187" t="s">
        <v>36</v>
      </c>
      <c r="O187" s="262" t="s">
        <v>26</v>
      </c>
      <c r="P187" s="229">
        <f>AVERAGE(0.2,0.4)</f>
        <v>0.30000000000000004</v>
      </c>
      <c r="T187" s="193"/>
      <c r="V187" s="82" t="s">
        <v>446</v>
      </c>
      <c r="W187" s="208">
        <f t="shared" ca="1" si="30"/>
        <v>0.66511687685252663</v>
      </c>
      <c r="X187" s="254">
        <f t="shared" ca="1" si="31"/>
        <v>117.01356279096808</v>
      </c>
      <c r="Y187" s="208">
        <f t="shared" ca="1" si="32"/>
        <v>0.67039492426512215</v>
      </c>
      <c r="Z187" s="209">
        <f ca="1">X187-AB187</f>
        <v>67.191617931616918</v>
      </c>
      <c r="AA187" s="208">
        <f ca="1">AB187/$AB$186</f>
        <v>0.6581289557867781</v>
      </c>
      <c r="AB187" s="209">
        <f ca="1">AB194</f>
        <v>49.821944859351163</v>
      </c>
      <c r="AC187" t="s">
        <v>471</v>
      </c>
    </row>
    <row r="188" spans="2:32" x14ac:dyDescent="0.25">
      <c r="D188" s="395"/>
      <c r="E188" s="395"/>
      <c r="I188" t="s">
        <v>27</v>
      </c>
      <c r="J188" s="176">
        <f t="shared" si="29"/>
        <v>11.852725028482824</v>
      </c>
      <c r="K188" s="176">
        <f t="shared" si="33"/>
        <v>11.852725028482824</v>
      </c>
      <c r="L188" s="175">
        <v>0</v>
      </c>
      <c r="M188" t="s">
        <v>36</v>
      </c>
      <c r="O188" s="262" t="s">
        <v>27</v>
      </c>
      <c r="P188" s="229">
        <v>0</v>
      </c>
      <c r="T188" s="193"/>
      <c r="V188" s="82" t="s">
        <v>447</v>
      </c>
      <c r="W188" s="208">
        <f t="shared" ca="1" si="30"/>
        <v>0.33488312314747337</v>
      </c>
      <c r="X188" s="254">
        <f t="shared" ca="1" si="31"/>
        <v>58.915761607926974</v>
      </c>
      <c r="Y188" s="208">
        <f t="shared" ca="1" si="32"/>
        <v>0.58782373095056872</v>
      </c>
      <c r="Z188" s="209">
        <f ca="1">X188</f>
        <v>58.915761607926974</v>
      </c>
      <c r="AA188" s="208">
        <v>0</v>
      </c>
      <c r="AB188" s="209">
        <v>0</v>
      </c>
    </row>
    <row r="189" spans="2:32" x14ac:dyDescent="0.25">
      <c r="I189" t="s">
        <v>28</v>
      </c>
      <c r="J189" s="176">
        <f>K163</f>
        <v>2.0466962436040044</v>
      </c>
      <c r="K189" s="176">
        <f>J189-L189</f>
        <v>2.0466962436040044</v>
      </c>
      <c r="L189" s="175">
        <v>0</v>
      </c>
      <c r="M189" t="s">
        <v>36</v>
      </c>
      <c r="O189" s="262" t="s">
        <v>28</v>
      </c>
      <c r="P189" s="229">
        <v>0</v>
      </c>
      <c r="T189" s="193"/>
      <c r="V189" s="82" t="s">
        <v>448</v>
      </c>
      <c r="W189" s="208">
        <f t="shared" ca="1" si="30"/>
        <v>0.28283317349214659</v>
      </c>
      <c r="X189" s="254">
        <f t="shared" ca="1" si="31"/>
        <v>49.758649130068832</v>
      </c>
      <c r="Y189" s="208">
        <f t="shared" ca="1" si="32"/>
        <v>0.49645992821659302</v>
      </c>
      <c r="Z189" s="209">
        <f ca="1">X189</f>
        <v>49.758649130068832</v>
      </c>
      <c r="AA189" s="208">
        <v>0</v>
      </c>
      <c r="AB189" s="209">
        <v>0</v>
      </c>
      <c r="AD189" s="161"/>
    </row>
    <row r="190" spans="2:32" x14ac:dyDescent="0.25">
      <c r="I190" t="s">
        <v>351</v>
      </c>
      <c r="J190" s="176">
        <f t="shared" si="29"/>
        <v>2.1434246544645563</v>
      </c>
      <c r="K190" s="176">
        <f t="shared" si="33"/>
        <v>2.1434246544645563</v>
      </c>
      <c r="L190" s="175">
        <v>0</v>
      </c>
      <c r="M190" t="s">
        <v>36</v>
      </c>
      <c r="O190" s="262" t="s">
        <v>351</v>
      </c>
      <c r="P190" s="226">
        <f>AVERAGE(0.05,0.1)</f>
        <v>7.5000000000000011E-2</v>
      </c>
      <c r="T190" s="193"/>
      <c r="V190" s="82" t="s">
        <v>449</v>
      </c>
      <c r="W190" s="208">
        <f t="shared" ca="1" si="30"/>
        <v>0.71716682650785335</v>
      </c>
      <c r="X190" s="254">
        <f t="shared" ca="1" si="31"/>
        <v>126.17067526882622</v>
      </c>
      <c r="Y190" s="208">
        <f t="shared" ca="1" si="32"/>
        <v>0.50354007178340687</v>
      </c>
      <c r="Z190" s="209">
        <f ca="1">X190-AB190</f>
        <v>50.468270107530486</v>
      </c>
      <c r="AA190" s="208">
        <f ca="1">AB190/$AB$186</f>
        <v>1</v>
      </c>
      <c r="AB190" s="209">
        <f ca="1">AB193+AB194</f>
        <v>75.702405161295729</v>
      </c>
      <c r="AC190" t="s">
        <v>472</v>
      </c>
    </row>
    <row r="191" spans="2:32" x14ac:dyDescent="0.25">
      <c r="I191" t="s">
        <v>352</v>
      </c>
      <c r="J191" s="176">
        <f t="shared" si="29"/>
        <v>0.66483623015471738</v>
      </c>
      <c r="K191" s="176">
        <f t="shared" si="33"/>
        <v>0.66483623015471738</v>
      </c>
      <c r="L191" s="175">
        <v>0</v>
      </c>
      <c r="M191" t="s">
        <v>36</v>
      </c>
      <c r="O191" s="262" t="s">
        <v>352</v>
      </c>
      <c r="P191" s="229">
        <v>0</v>
      </c>
      <c r="T191" s="193"/>
      <c r="V191" s="82" t="s">
        <v>450</v>
      </c>
      <c r="W191" s="208">
        <f t="shared" ca="1" si="30"/>
        <v>8.9704551294150989E-2</v>
      </c>
      <c r="X191" s="254">
        <f t="shared" ca="1" si="31"/>
        <v>15.781661104686011</v>
      </c>
      <c r="Y191" s="204">
        <f t="shared" ca="1" si="32"/>
        <v>0.15745930559108362</v>
      </c>
      <c r="Z191" s="209">
        <f ca="1">X191</f>
        <v>15.781661104686011</v>
      </c>
      <c r="AA191" s="204">
        <v>0</v>
      </c>
      <c r="AB191" s="209">
        <v>0</v>
      </c>
    </row>
    <row r="192" spans="2:32" x14ac:dyDescent="0.25">
      <c r="I192" s="141"/>
      <c r="J192" s="146"/>
      <c r="K192" s="146"/>
      <c r="L192" s="146"/>
      <c r="T192" s="193"/>
      <c r="V192" s="82" t="s">
        <v>451</v>
      </c>
      <c r="W192" s="208">
        <f t="shared" ca="1" si="30"/>
        <v>0.19312862219799562</v>
      </c>
      <c r="X192" s="254">
        <f t="shared" ca="1" si="31"/>
        <v>33.976988025382816</v>
      </c>
      <c r="Y192" s="204">
        <f t="shared" ca="1" si="32"/>
        <v>0.33900062262550934</v>
      </c>
      <c r="Z192" s="209">
        <f ca="1">X192</f>
        <v>33.976988025382816</v>
      </c>
      <c r="AA192" s="204">
        <v>0</v>
      </c>
      <c r="AB192" s="209">
        <v>0</v>
      </c>
      <c r="AC192" t="s">
        <v>471</v>
      </c>
    </row>
    <row r="193" spans="3:32" x14ac:dyDescent="0.25">
      <c r="C193" t="s">
        <v>374</v>
      </c>
      <c r="I193" s="141"/>
      <c r="J193" s="146"/>
      <c r="K193" s="146"/>
      <c r="L193" s="146"/>
      <c r="T193" s="193"/>
      <c r="V193" s="82" t="s">
        <v>452</v>
      </c>
      <c r="W193" s="208">
        <f t="shared" ca="1" si="30"/>
        <v>0.2451785718533224</v>
      </c>
      <c r="X193" s="254">
        <f t="shared" ca="1" si="31"/>
        <v>43.134100503240958</v>
      </c>
      <c r="Y193" s="204">
        <f t="shared" ca="1" si="32"/>
        <v>0.17214577014379406</v>
      </c>
      <c r="Z193" s="209">
        <f ca="1">X193-AB193</f>
        <v>17.253640201296385</v>
      </c>
      <c r="AA193" s="208">
        <f ca="1">AB193/$AB$186</f>
        <v>0.34187104421322195</v>
      </c>
      <c r="AB193" s="209">
        <f ca="1">Z207</f>
        <v>25.880460301944574</v>
      </c>
    </row>
    <row r="194" spans="3:32" x14ac:dyDescent="0.25">
      <c r="C194" t="s">
        <v>375</v>
      </c>
      <c r="I194" s="141"/>
      <c r="J194" s="146"/>
      <c r="K194" s="146"/>
      <c r="L194" s="146"/>
      <c r="T194" s="193"/>
      <c r="V194" s="92" t="s">
        <v>453</v>
      </c>
      <c r="W194" s="210">
        <f t="shared" ca="1" si="30"/>
        <v>0.47198825465453098</v>
      </c>
      <c r="X194" s="255">
        <f t="shared" ca="1" si="31"/>
        <v>83.036574765585272</v>
      </c>
      <c r="Y194" s="212">
        <f t="shared" ca="1" si="32"/>
        <v>0.33139430163961286</v>
      </c>
      <c r="Z194" s="211">
        <f ca="1">X194-AB194</f>
        <v>33.214629906234109</v>
      </c>
      <c r="AA194" s="212">
        <f ca="1">AB194/$AB$186</f>
        <v>0.6581289557867781</v>
      </c>
      <c r="AB194" s="211">
        <f ca="1">Z208</f>
        <v>49.821944859351163</v>
      </c>
      <c r="AC194" t="s">
        <v>502</v>
      </c>
    </row>
    <row r="195" spans="3:32" x14ac:dyDescent="0.25">
      <c r="C195" t="s">
        <v>383</v>
      </c>
      <c r="I195" s="141"/>
      <c r="J195" s="146"/>
      <c r="K195" s="146"/>
      <c r="L195" s="146"/>
      <c r="T195" s="193"/>
    </row>
    <row r="196" spans="3:32" x14ac:dyDescent="0.25">
      <c r="C196" t="s">
        <v>519</v>
      </c>
      <c r="I196" s="141"/>
      <c r="J196" s="146"/>
      <c r="K196" s="146"/>
      <c r="L196" s="146"/>
      <c r="T196" s="193"/>
      <c r="V196" s="526" t="s">
        <v>523</v>
      </c>
      <c r="W196" s="527"/>
      <c r="X196" s="527"/>
      <c r="Y196" s="527"/>
      <c r="Z196" s="527"/>
      <c r="AA196" s="527"/>
      <c r="AB196" s="528"/>
      <c r="AF196" s="180"/>
    </row>
    <row r="197" spans="3:32" x14ac:dyDescent="0.25">
      <c r="C197" t="s">
        <v>520</v>
      </c>
      <c r="E197" s="161"/>
      <c r="F197" s="161">
        <v>0.6</v>
      </c>
      <c r="K197" s="146"/>
      <c r="L197" s="146"/>
      <c r="T197" s="193"/>
      <c r="V197" s="441" t="s">
        <v>486</v>
      </c>
      <c r="W197" s="416"/>
      <c r="X197" s="416"/>
      <c r="Y197" s="416"/>
      <c r="Z197" s="416"/>
      <c r="AA197" s="416"/>
      <c r="AB197" s="442"/>
    </row>
    <row r="198" spans="3:32" x14ac:dyDescent="0.25">
      <c r="C198" s="157"/>
      <c r="F198" s="162"/>
      <c r="T198" s="193"/>
      <c r="V198" s="82"/>
      <c r="W198" s="488" t="s">
        <v>261</v>
      </c>
      <c r="X198" s="489"/>
      <c r="Y198" s="488" t="s">
        <v>263</v>
      </c>
      <c r="Z198" s="489"/>
      <c r="AA198" s="488" t="s">
        <v>265</v>
      </c>
      <c r="AB198" s="489"/>
    </row>
    <row r="199" spans="3:32" x14ac:dyDescent="0.25">
      <c r="T199" s="193"/>
      <c r="V199" s="82" t="s">
        <v>26</v>
      </c>
      <c r="W199" s="204">
        <f>Y170</f>
        <v>1</v>
      </c>
      <c r="X199" s="203">
        <f>Z170</f>
        <v>39.809326477675597</v>
      </c>
      <c r="Y199" s="257">
        <v>1</v>
      </c>
      <c r="Z199" s="256">
        <f>X199-AB199</f>
        <v>15.923730591070239</v>
      </c>
      <c r="AA199" s="258">
        <v>1</v>
      </c>
      <c r="AB199" s="256">
        <f>X199*$F$197</f>
        <v>23.885595886605358</v>
      </c>
      <c r="AC199" t="s">
        <v>521</v>
      </c>
    </row>
    <row r="200" spans="3:32" x14ac:dyDescent="0.25">
      <c r="C200" t="s">
        <v>527</v>
      </c>
      <c r="T200" s="193"/>
      <c r="V200" s="82" t="s">
        <v>495</v>
      </c>
      <c r="W200" s="204">
        <f t="shared" ref="W200" si="34">Y171</f>
        <v>1.5001855795718102E-2</v>
      </c>
      <c r="X200" s="203">
        <f>Z171</f>
        <v>0.59721377514275176</v>
      </c>
      <c r="Y200" s="258">
        <f>Z200/Z199</f>
        <v>1.5001855795718104E-2</v>
      </c>
      <c r="Z200" s="256">
        <f>X200-AB200</f>
        <v>0.23888551005710074</v>
      </c>
      <c r="AA200" s="258">
        <f>AB200/AB199</f>
        <v>1.50018557957181E-2</v>
      </c>
      <c r="AB200" s="256">
        <f>X200*$F$197</f>
        <v>0.35832826508565102</v>
      </c>
    </row>
    <row r="201" spans="3:32" x14ac:dyDescent="0.25">
      <c r="C201" t="s">
        <v>743</v>
      </c>
      <c r="T201" s="193"/>
      <c r="V201" s="92" t="s">
        <v>476</v>
      </c>
      <c r="W201" s="212">
        <f t="shared" ref="W201" si="35">Y172</f>
        <v>0.984998144204282</v>
      </c>
      <c r="X201" s="218">
        <f>Z172</f>
        <v>39.212112702532849</v>
      </c>
      <c r="Y201" s="260">
        <f>Z201/Z199</f>
        <v>0.984998144204282</v>
      </c>
      <c r="Z201" s="259">
        <f>X201-AB201</f>
        <v>15.68484508101314</v>
      </c>
      <c r="AA201" s="260">
        <f>AB201/AB199</f>
        <v>0.984998144204282</v>
      </c>
      <c r="AB201" s="259">
        <f>X201*$F$197</f>
        <v>23.527267621519709</v>
      </c>
      <c r="AC201" t="s">
        <v>522</v>
      </c>
    </row>
    <row r="202" spans="3:32" x14ac:dyDescent="0.25">
      <c r="T202" s="193"/>
    </row>
    <row r="203" spans="3:32" x14ac:dyDescent="0.25">
      <c r="T203" s="193"/>
    </row>
    <row r="204" spans="3:32" x14ac:dyDescent="0.25">
      <c r="T204" s="193"/>
      <c r="W204" s="529" t="s">
        <v>518</v>
      </c>
      <c r="X204" s="530"/>
      <c r="Y204" s="530"/>
      <c r="Z204" s="531"/>
    </row>
    <row r="205" spans="3:32" x14ac:dyDescent="0.25">
      <c r="T205" s="193"/>
      <c r="W205" s="82"/>
      <c r="X205" s="12" t="s">
        <v>261</v>
      </c>
      <c r="Y205" s="12" t="s">
        <v>263</v>
      </c>
      <c r="Z205" s="241" t="s">
        <v>265</v>
      </c>
    </row>
    <row r="206" spans="3:32" x14ac:dyDescent="0.25">
      <c r="T206" s="193"/>
      <c r="W206" s="26" t="s">
        <v>449</v>
      </c>
      <c r="X206" s="216">
        <f ca="1">X207+X208</f>
        <v>126.17067526882623</v>
      </c>
      <c r="Y206" s="217">
        <f ca="1">Y207+Y208</f>
        <v>50.468270107530493</v>
      </c>
      <c r="Z206" s="253">
        <f ca="1">Z207+Z208</f>
        <v>75.702405161295729</v>
      </c>
    </row>
    <row r="207" spans="3:32" x14ac:dyDescent="0.25">
      <c r="T207" s="193"/>
      <c r="W207" s="22" t="s">
        <v>452</v>
      </c>
      <c r="X207" s="249">
        <f ca="1">X193</f>
        <v>43.134100503240958</v>
      </c>
      <c r="Y207" s="251">
        <f ca="1">X207-Z207</f>
        <v>17.253640201296385</v>
      </c>
      <c r="Z207" s="252">
        <f ca="1">X207*F197</f>
        <v>25.880460301944574</v>
      </c>
    </row>
    <row r="208" spans="3:32" x14ac:dyDescent="0.25">
      <c r="T208" s="193"/>
      <c r="W208" s="22" t="s">
        <v>453</v>
      </c>
      <c r="X208" s="214">
        <f ca="1">X194</f>
        <v>83.036574765585272</v>
      </c>
      <c r="Y208" s="251">
        <f ca="1">X208-Z208</f>
        <v>33.214629906234109</v>
      </c>
      <c r="Z208" s="215">
        <f ca="1">X208*F197</f>
        <v>49.821944859351163</v>
      </c>
    </row>
    <row r="209" spans="2:31" ht="16.5" thickBot="1" x14ac:dyDescent="0.3">
      <c r="B209" s="269"/>
      <c r="C209" s="269"/>
      <c r="D209" s="269"/>
      <c r="E209" s="269"/>
      <c r="F209" s="269"/>
      <c r="G209" s="269"/>
      <c r="H209" s="269"/>
      <c r="I209" s="269"/>
      <c r="J209" s="269"/>
      <c r="K209" s="269"/>
      <c r="L209" s="269"/>
      <c r="M209" s="269"/>
      <c r="N209" s="269"/>
      <c r="O209" s="269"/>
      <c r="P209" s="269"/>
      <c r="Q209" s="269"/>
      <c r="R209" s="269"/>
      <c r="S209" s="269"/>
      <c r="T209" s="270"/>
      <c r="U209" s="271"/>
      <c r="V209" s="269"/>
      <c r="W209" s="269"/>
      <c r="X209" s="269"/>
      <c r="Y209" s="269"/>
      <c r="Z209" s="269"/>
      <c r="AA209" s="269"/>
      <c r="AB209" s="272"/>
      <c r="AC209" s="269"/>
      <c r="AD209" s="269"/>
      <c r="AE209" s="269"/>
    </row>
    <row r="210" spans="2:31" ht="16.5" thickTop="1" x14ac:dyDescent="0.25">
      <c r="T210" s="279"/>
    </row>
    <row r="211" spans="2:31" x14ac:dyDescent="0.25">
      <c r="T211" s="193"/>
    </row>
    <row r="212" spans="2:31" x14ac:dyDescent="0.25">
      <c r="T212" s="193"/>
    </row>
    <row r="213" spans="2:31" x14ac:dyDescent="0.25">
      <c r="T213" s="193"/>
    </row>
    <row r="214" spans="2:31" x14ac:dyDescent="0.25">
      <c r="B214" s="404" t="s">
        <v>266</v>
      </c>
      <c r="C214" s="404"/>
      <c r="D214" s="404"/>
      <c r="E214" s="404"/>
      <c r="F214" s="404"/>
      <c r="G214" s="404"/>
      <c r="I214" s="142" t="s">
        <v>23</v>
      </c>
      <c r="J214" t="s">
        <v>263</v>
      </c>
      <c r="K214" t="s">
        <v>267</v>
      </c>
      <c r="L214" s="142" t="s">
        <v>2</v>
      </c>
      <c r="N214" s="402"/>
      <c r="O214" s="402"/>
      <c r="P214" s="402"/>
      <c r="Q214" s="402"/>
      <c r="T214" s="193"/>
    </row>
    <row r="215" spans="2:31" x14ac:dyDescent="0.25">
      <c r="B215" s="404"/>
      <c r="C215" s="404"/>
      <c r="D215" s="404"/>
      <c r="E215" s="404"/>
      <c r="F215" s="404"/>
      <c r="G215" s="404"/>
      <c r="I215" t="s">
        <v>350</v>
      </c>
      <c r="J215" s="175">
        <f t="shared" ref="J215:J222" si="36">K184</f>
        <v>2497.549748858075</v>
      </c>
      <c r="K215" s="175">
        <f>J215</f>
        <v>2497.549748858075</v>
      </c>
      <c r="L215" t="s">
        <v>204</v>
      </c>
      <c r="N215" s="237"/>
      <c r="O215" s="161"/>
      <c r="P215" s="237"/>
      <c r="Q215" s="150"/>
      <c r="T215" s="193"/>
    </row>
    <row r="216" spans="2:31" x14ac:dyDescent="0.25">
      <c r="I216" t="s">
        <v>24</v>
      </c>
      <c r="J216" s="176">
        <f ca="1">K185</f>
        <v>64.703751288701113</v>
      </c>
      <c r="K216" s="176">
        <f ca="1">J216</f>
        <v>64.703751288701113</v>
      </c>
      <c r="L216" t="s">
        <v>36</v>
      </c>
      <c r="N216" s="145"/>
      <c r="O216" s="174"/>
      <c r="P216" s="145"/>
      <c r="Q216" s="150"/>
      <c r="T216" s="193"/>
    </row>
    <row r="217" spans="2:31" x14ac:dyDescent="0.25">
      <c r="I217" t="s">
        <v>25</v>
      </c>
      <c r="J217" s="176">
        <f ca="1">K186</f>
        <v>100.22691923759933</v>
      </c>
      <c r="K217" s="176">
        <f ca="1">J217</f>
        <v>100.22691923759933</v>
      </c>
      <c r="L217" t="s">
        <v>36</v>
      </c>
      <c r="N217" s="13"/>
      <c r="O217" s="281"/>
      <c r="P217" s="145"/>
      <c r="Q217" s="150"/>
      <c r="T217" s="193"/>
    </row>
    <row r="218" spans="2:31" x14ac:dyDescent="0.25">
      <c r="C218" s="12" t="s">
        <v>263</v>
      </c>
      <c r="D218" s="395" t="s">
        <v>266</v>
      </c>
      <c r="E218" s="395"/>
      <c r="F218" s="12" t="s">
        <v>267</v>
      </c>
      <c r="I218" t="s">
        <v>26</v>
      </c>
      <c r="J218" s="176">
        <f t="shared" si="36"/>
        <v>15.923730591070239</v>
      </c>
      <c r="K218" s="176">
        <f t="shared" ref="K218:K222" si="37">J218</f>
        <v>15.923730591070239</v>
      </c>
      <c r="L218" t="s">
        <v>36</v>
      </c>
      <c r="N218" s="145"/>
      <c r="O218" s="174"/>
      <c r="P218" s="145"/>
      <c r="Q218" s="150"/>
      <c r="T218" s="193"/>
    </row>
    <row r="219" spans="2:31" x14ac:dyDescent="0.25">
      <c r="D219" s="395"/>
      <c r="E219" s="395"/>
      <c r="I219" t="s">
        <v>27</v>
      </c>
      <c r="J219" s="176">
        <f t="shared" si="36"/>
        <v>11.852725028482824</v>
      </c>
      <c r="K219" s="176">
        <f t="shared" si="37"/>
        <v>11.852725028482824</v>
      </c>
      <c r="L219" t="s">
        <v>36</v>
      </c>
      <c r="N219" s="145"/>
      <c r="O219" s="174"/>
      <c r="P219" s="145"/>
      <c r="Q219" s="150"/>
      <c r="T219" s="193"/>
    </row>
    <row r="220" spans="2:31" x14ac:dyDescent="0.25">
      <c r="I220" t="s">
        <v>28</v>
      </c>
      <c r="J220" s="176">
        <f>K189</f>
        <v>2.0466962436040044</v>
      </c>
      <c r="K220" s="176">
        <f>J220</f>
        <v>2.0466962436040044</v>
      </c>
      <c r="L220" t="s">
        <v>36</v>
      </c>
      <c r="N220" s="145"/>
      <c r="O220" s="174"/>
      <c r="P220" s="145"/>
      <c r="Q220" s="150"/>
      <c r="T220" s="193"/>
    </row>
    <row r="221" spans="2:31" x14ac:dyDescent="0.25">
      <c r="I221" t="s">
        <v>351</v>
      </c>
      <c r="J221" s="176">
        <f t="shared" si="36"/>
        <v>2.1434246544645563</v>
      </c>
      <c r="K221" s="176">
        <f t="shared" si="37"/>
        <v>2.1434246544645563</v>
      </c>
      <c r="L221" t="s">
        <v>36</v>
      </c>
      <c r="N221" s="145"/>
      <c r="O221" s="174"/>
      <c r="P221" s="145"/>
      <c r="Q221" s="150"/>
      <c r="T221" s="193"/>
    </row>
    <row r="222" spans="2:31" x14ac:dyDescent="0.25">
      <c r="I222" t="s">
        <v>352</v>
      </c>
      <c r="J222" s="176">
        <f t="shared" si="36"/>
        <v>0.66483623015471738</v>
      </c>
      <c r="K222" s="176">
        <f t="shared" si="37"/>
        <v>0.66483623015471738</v>
      </c>
      <c r="L222" t="s">
        <v>36</v>
      </c>
      <c r="M222" s="149"/>
      <c r="N222" s="145"/>
      <c r="O222" s="174"/>
      <c r="Q222" s="150"/>
      <c r="T222" s="193"/>
    </row>
    <row r="223" spans="2:31" x14ac:dyDescent="0.25">
      <c r="I223" s="141"/>
      <c r="J223" s="146"/>
      <c r="K223" s="146"/>
      <c r="L223" s="146"/>
      <c r="M223" s="150"/>
      <c r="N223" s="150"/>
      <c r="O223" s="174"/>
      <c r="Q223" s="162"/>
      <c r="T223" s="193"/>
    </row>
    <row r="224" spans="2:31" x14ac:dyDescent="0.25">
      <c r="C224" t="s">
        <v>376</v>
      </c>
      <c r="K224" s="146"/>
      <c r="L224" s="146"/>
      <c r="T224" s="193"/>
    </row>
    <row r="225" spans="2:37" x14ac:dyDescent="0.25">
      <c r="C225" t="s">
        <v>398</v>
      </c>
      <c r="M225" s="150"/>
      <c r="N225" s="150"/>
      <c r="T225" s="193"/>
    </row>
    <row r="226" spans="2:37" x14ac:dyDescent="0.25">
      <c r="C226" t="s">
        <v>384</v>
      </c>
      <c r="K226" s="162"/>
      <c r="M226" s="150"/>
      <c r="N226" s="150"/>
      <c r="T226" s="193"/>
    </row>
    <row r="227" spans="2:37" x14ac:dyDescent="0.25">
      <c r="K227" s="162"/>
      <c r="M227" s="150"/>
      <c r="N227" s="150"/>
      <c r="T227" s="193"/>
    </row>
    <row r="228" spans="2:37" x14ac:dyDescent="0.25">
      <c r="M228" s="150"/>
      <c r="N228" s="150"/>
      <c r="T228" s="193"/>
      <c r="AF228" s="385" t="s">
        <v>752</v>
      </c>
    </row>
    <row r="229" spans="2:37" ht="16.5" thickBot="1" x14ac:dyDescent="0.3">
      <c r="B229" s="269"/>
      <c r="C229" s="269"/>
      <c r="D229" s="269"/>
      <c r="E229" s="269"/>
      <c r="F229" s="269"/>
      <c r="G229" s="269"/>
      <c r="H229" s="269"/>
      <c r="I229" s="269"/>
      <c r="J229" s="269"/>
      <c r="K229" s="269"/>
      <c r="L229" s="269"/>
      <c r="M229" s="280"/>
      <c r="N229" s="280"/>
      <c r="O229" s="269"/>
      <c r="P229" s="269"/>
      <c r="Q229" s="269"/>
      <c r="R229" s="269"/>
      <c r="S229" s="269"/>
      <c r="T229" s="270"/>
      <c r="U229" s="269"/>
      <c r="V229" s="269"/>
      <c r="W229" s="269"/>
      <c r="X229" s="269"/>
      <c r="Y229" s="269"/>
      <c r="Z229" s="269"/>
      <c r="AA229" s="269"/>
      <c r="AB229" s="269"/>
      <c r="AC229" s="269"/>
      <c r="AD229" s="269"/>
      <c r="AE229" s="269"/>
      <c r="AF229" s="385"/>
    </row>
    <row r="230" spans="2:37" ht="16.5" thickTop="1" x14ac:dyDescent="0.25">
      <c r="T230" s="193"/>
      <c r="AF230" s="385"/>
    </row>
    <row r="231" spans="2:37" ht="15.95" customHeight="1" x14ac:dyDescent="0.25">
      <c r="T231" s="193"/>
      <c r="V231" s="501" t="s">
        <v>750</v>
      </c>
      <c r="W231" s="502"/>
      <c r="X231" s="502"/>
      <c r="Y231" s="502"/>
      <c r="Z231" s="502"/>
      <c r="AA231" s="502"/>
      <c r="AB231" s="502"/>
      <c r="AC231" s="502"/>
      <c r="AD231" s="502"/>
      <c r="AE231" s="503"/>
    </row>
    <row r="232" spans="2:37" ht="15.95" customHeight="1" x14ac:dyDescent="0.25">
      <c r="T232" s="193"/>
      <c r="V232" s="504"/>
      <c r="W232" s="505"/>
      <c r="X232" s="505"/>
      <c r="Y232" s="505"/>
      <c r="Z232" s="505"/>
      <c r="AA232" s="505"/>
      <c r="AB232" s="505"/>
      <c r="AC232" s="505"/>
      <c r="AD232" s="505"/>
      <c r="AE232" s="506"/>
    </row>
    <row r="233" spans="2:37" x14ac:dyDescent="0.25">
      <c r="T233" s="193"/>
      <c r="V233" s="488"/>
      <c r="W233" s="507"/>
      <c r="X233" s="507"/>
      <c r="Y233" s="507"/>
      <c r="Z233" s="507"/>
      <c r="AA233" s="507"/>
      <c r="AB233" s="507"/>
      <c r="AC233" s="507"/>
      <c r="AD233" s="507"/>
      <c r="AE233" s="489"/>
    </row>
    <row r="234" spans="2:37" ht="15.95" customHeight="1" x14ac:dyDescent="0.25">
      <c r="B234" s="405" t="s">
        <v>385</v>
      </c>
      <c r="C234" s="405"/>
      <c r="D234" s="405"/>
      <c r="E234" s="405"/>
      <c r="F234" s="405"/>
      <c r="G234" s="405"/>
      <c r="J234" s="307"/>
      <c r="K234" s="307"/>
      <c r="L234" s="307"/>
      <c r="M234" s="307"/>
      <c r="N234" s="307"/>
      <c r="T234" s="193"/>
      <c r="V234" s="397"/>
      <c r="W234" s="398"/>
      <c r="X234" s="398"/>
      <c r="Y234" s="398"/>
      <c r="Z234" s="398"/>
      <c r="AA234" s="398"/>
      <c r="AB234" s="398"/>
      <c r="AC234" s="398"/>
      <c r="AD234" s="398"/>
      <c r="AE234" s="498"/>
    </row>
    <row r="235" spans="2:37" ht="15.95" customHeight="1" x14ac:dyDescent="0.25">
      <c r="B235" s="405"/>
      <c r="C235" s="405"/>
      <c r="D235" s="405"/>
      <c r="E235" s="405"/>
      <c r="F235" s="405"/>
      <c r="G235" s="405"/>
      <c r="J235" s="307"/>
      <c r="K235" s="307"/>
      <c r="L235" s="307"/>
      <c r="M235" s="307"/>
      <c r="N235" s="307"/>
      <c r="T235" s="193"/>
      <c r="AK235" t="s">
        <v>734</v>
      </c>
    </row>
    <row r="236" spans="2:37" x14ac:dyDescent="0.25">
      <c r="T236" s="193"/>
      <c r="AB236" s="398" t="s">
        <v>22</v>
      </c>
      <c r="AC236" s="398"/>
      <c r="AD236" s="398" t="s">
        <v>574</v>
      </c>
      <c r="AE236" s="398"/>
    </row>
    <row r="237" spans="2:37" x14ac:dyDescent="0.25">
      <c r="D237" s="12" t="s">
        <v>270</v>
      </c>
      <c r="G237" s="12" t="s">
        <v>273</v>
      </c>
      <c r="T237" s="193"/>
      <c r="V237" s="432" t="s">
        <v>540</v>
      </c>
      <c r="W237" s="433"/>
      <c r="X237" s="413" t="s">
        <v>542</v>
      </c>
      <c r="Y237" s="414"/>
      <c r="Z237" s="434" t="s">
        <v>543</v>
      </c>
      <c r="AA237" s="414"/>
      <c r="AB237" s="386" t="s">
        <v>578</v>
      </c>
      <c r="AC237" s="366" t="s">
        <v>558</v>
      </c>
      <c r="AD237" s="368" t="s">
        <v>578</v>
      </c>
      <c r="AE237" s="366" t="s">
        <v>558</v>
      </c>
    </row>
    <row r="238" spans="2:37" x14ac:dyDescent="0.25">
      <c r="B238" s="12" t="s">
        <v>267</v>
      </c>
      <c r="C238" s="395" t="s">
        <v>268</v>
      </c>
      <c r="D238" s="395"/>
      <c r="E238" s="12" t="s">
        <v>269</v>
      </c>
      <c r="F238" s="395" t="s">
        <v>271</v>
      </c>
      <c r="G238" s="395"/>
      <c r="H238" s="12" t="s">
        <v>272</v>
      </c>
      <c r="I238" s="395" t="s">
        <v>274</v>
      </c>
      <c r="J238" s="395"/>
      <c r="K238" s="12" t="s">
        <v>275</v>
      </c>
      <c r="T238" s="193"/>
      <c r="V238" s="401" t="s">
        <v>541</v>
      </c>
      <c r="W238" s="402"/>
      <c r="X238" s="441" t="s">
        <v>544</v>
      </c>
      <c r="Y238" s="442"/>
      <c r="Z238" s="416">
        <f>2*12+4+2*16</f>
        <v>60</v>
      </c>
      <c r="AA238" s="442"/>
      <c r="AB238" s="387">
        <f ca="1">C248/G273</f>
        <v>73.526990100796723</v>
      </c>
      <c r="AC238" s="369">
        <f ca="1">AB238/Z238*1000</f>
        <v>1225.4498350132787</v>
      </c>
      <c r="AD238" s="390">
        <f t="shared" ref="AD238:AD242" ca="1" si="38">AE238*Z238/1000</f>
        <v>59.141713249099638</v>
      </c>
      <c r="AE238" s="369">
        <f ca="1">SUM(AC238,X246)</f>
        <v>985.69522081832724</v>
      </c>
    </row>
    <row r="239" spans="2:37" x14ac:dyDescent="0.25">
      <c r="C239" s="395"/>
      <c r="D239" s="395"/>
      <c r="F239" s="395"/>
      <c r="G239" s="395"/>
      <c r="I239" s="395"/>
      <c r="J239" s="395"/>
      <c r="T239" s="193"/>
      <c r="V239" s="401" t="s">
        <v>545</v>
      </c>
      <c r="W239" s="402"/>
      <c r="X239" s="401" t="s">
        <v>546</v>
      </c>
      <c r="Y239" s="403"/>
      <c r="Z239" s="402">
        <f>5*12+7+14+2*16</f>
        <v>113</v>
      </c>
      <c r="AA239" s="403"/>
      <c r="AB239" s="12">
        <v>0</v>
      </c>
      <c r="AC239" s="241">
        <v>0</v>
      </c>
      <c r="AD239" s="248">
        <f t="shared" si="38"/>
        <v>18.422744554740078</v>
      </c>
      <c r="AE239" s="369">
        <f>SUM(AC239,X247)</f>
        <v>163.03313765256706</v>
      </c>
    </row>
    <row r="240" spans="2:37" x14ac:dyDescent="0.25">
      <c r="D240" s="12" t="s">
        <v>281</v>
      </c>
      <c r="G240" s="12" t="s">
        <v>279</v>
      </c>
      <c r="I240" s="138" t="s">
        <v>280</v>
      </c>
      <c r="J240" s="139" t="s">
        <v>282</v>
      </c>
      <c r="T240" s="193"/>
      <c r="V240" s="401" t="s">
        <v>547</v>
      </c>
      <c r="W240" s="402"/>
      <c r="X240" s="401" t="s">
        <v>548</v>
      </c>
      <c r="Y240" s="403"/>
      <c r="Z240" s="402">
        <f>2*16</f>
        <v>32</v>
      </c>
      <c r="AA240" s="403"/>
      <c r="AB240" s="12">
        <v>0</v>
      </c>
      <c r="AC240" s="241">
        <v>0</v>
      </c>
      <c r="AD240" s="248">
        <f t="shared" si="38"/>
        <v>-8.4393624196622952</v>
      </c>
      <c r="AE240" s="369">
        <f>SUM(AC240,X248)</f>
        <v>-263.73007561444672</v>
      </c>
      <c r="AF240" s="298" t="s">
        <v>577</v>
      </c>
    </row>
    <row r="241" spans="2:31" ht="15.95" customHeight="1" x14ac:dyDescent="0.25">
      <c r="T241" s="193"/>
      <c r="V241" s="401" t="s">
        <v>748</v>
      </c>
      <c r="W241" s="402"/>
      <c r="X241" s="401" t="s">
        <v>749</v>
      </c>
      <c r="Y241" s="403"/>
      <c r="Z241" s="402">
        <v>94.97</v>
      </c>
      <c r="AA241" s="403"/>
      <c r="AB241" s="364">
        <f>C252</f>
        <v>2.0466962436040044</v>
      </c>
      <c r="AC241" s="388">
        <f>AB241/Z241*1000</f>
        <v>21.550976556849577</v>
      </c>
      <c r="AD241" s="375">
        <f t="shared" si="38"/>
        <v>0.22513658679644044</v>
      </c>
      <c r="AE241" s="389">
        <f>SUM(AC241,X249)</f>
        <v>2.3706074212534531</v>
      </c>
    </row>
    <row r="242" spans="2:31" x14ac:dyDescent="0.25">
      <c r="T242" s="193"/>
      <c r="V242" s="397" t="s">
        <v>551</v>
      </c>
      <c r="W242" s="398"/>
      <c r="X242" s="397" t="s">
        <v>552</v>
      </c>
      <c r="Y242" s="498"/>
      <c r="Z242" s="398">
        <f>12+2*16</f>
        <v>44</v>
      </c>
      <c r="AA242" s="498"/>
      <c r="AB242" s="367">
        <v>0</v>
      </c>
      <c r="AC242" s="372">
        <v>0</v>
      </c>
      <c r="AD242" s="394">
        <f t="shared" si="38"/>
        <v>12.448059569001881</v>
      </c>
      <c r="AE242" s="371">
        <f>SUM(AC242,X250)</f>
        <v>282.91044475004276</v>
      </c>
    </row>
    <row r="243" spans="2:31" x14ac:dyDescent="0.25">
      <c r="T243" s="193"/>
    </row>
    <row r="244" spans="2:31" x14ac:dyDescent="0.25">
      <c r="T244" s="193"/>
      <c r="V244" s="432" t="s">
        <v>754</v>
      </c>
      <c r="W244" s="433"/>
      <c r="X244" s="433"/>
      <c r="Y244" s="494"/>
    </row>
    <row r="245" spans="2:31" x14ac:dyDescent="0.25">
      <c r="T245" s="193"/>
      <c r="V245" s="432" t="s">
        <v>540</v>
      </c>
      <c r="W245" s="494"/>
      <c r="X245" s="433" t="s">
        <v>755</v>
      </c>
      <c r="Y245" s="494"/>
    </row>
    <row r="246" spans="2:31" x14ac:dyDescent="0.25">
      <c r="B246" s="142" t="s">
        <v>23</v>
      </c>
      <c r="C246" t="s">
        <v>267</v>
      </c>
      <c r="D246" s="282" t="s">
        <v>269</v>
      </c>
      <c r="E246" s="282" t="s">
        <v>272</v>
      </c>
      <c r="F246" t="s">
        <v>275</v>
      </c>
      <c r="G246" s="402" t="s">
        <v>387</v>
      </c>
      <c r="H246" s="402"/>
      <c r="I246" t="s">
        <v>281</v>
      </c>
      <c r="J246" t="s">
        <v>282</v>
      </c>
      <c r="K246" s="589" t="s">
        <v>388</v>
      </c>
      <c r="L246" s="589"/>
      <c r="M246" s="142" t="s">
        <v>2</v>
      </c>
      <c r="T246" s="193"/>
      <c r="V246" s="401" t="s">
        <v>541</v>
      </c>
      <c r="W246" s="403"/>
      <c r="X246" s="508">
        <f>X249*0.5/0.04</f>
        <v>-239.75461419495153</v>
      </c>
      <c r="Y246" s="509"/>
    </row>
    <row r="247" spans="2:31" x14ac:dyDescent="0.25">
      <c r="B247" t="s">
        <v>350</v>
      </c>
      <c r="C247" s="175">
        <f t="shared" ref="C247:C254" si="39">K215</f>
        <v>2497.549748858075</v>
      </c>
      <c r="D247" s="283"/>
      <c r="E247" s="282"/>
      <c r="F247" s="175">
        <f>C247</f>
        <v>2497.549748858075</v>
      </c>
      <c r="G247" s="586">
        <f>G250/G255</f>
        <v>3330.449931272407</v>
      </c>
      <c r="H247" s="586"/>
      <c r="I247" s="175">
        <f>G270*J119</f>
        <v>1211.5333163391422</v>
      </c>
      <c r="J247">
        <v>0</v>
      </c>
      <c r="K247" s="590"/>
      <c r="L247" s="590"/>
      <c r="M247" t="s">
        <v>204</v>
      </c>
      <c r="T247" s="193"/>
      <c r="V247" s="401" t="s">
        <v>545</v>
      </c>
      <c r="W247" s="403"/>
      <c r="X247" s="508">
        <f>-X249*0.34/0.04</f>
        <v>163.03313765256706</v>
      </c>
      <c r="Y247" s="509"/>
    </row>
    <row r="248" spans="2:31" x14ac:dyDescent="0.25">
      <c r="B248" t="s">
        <v>24</v>
      </c>
      <c r="C248" s="176">
        <f ca="1">K216</f>
        <v>64.703751288701113</v>
      </c>
      <c r="D248" s="284"/>
      <c r="E248" s="282"/>
      <c r="F248" s="177">
        <f ca="1">AD260*G273</f>
        <v>5.2044707659207665</v>
      </c>
      <c r="G248" s="579">
        <v>0</v>
      </c>
      <c r="H248" s="579"/>
      <c r="I248" s="144">
        <v>0</v>
      </c>
      <c r="J248">
        <v>0</v>
      </c>
      <c r="K248" s="585"/>
      <c r="L248" s="585"/>
      <c r="M248" t="s">
        <v>36</v>
      </c>
      <c r="N248" t="s">
        <v>584</v>
      </c>
      <c r="T248" s="193"/>
      <c r="V248" s="401" t="s">
        <v>547</v>
      </c>
      <c r="W248" s="403"/>
      <c r="X248" s="508">
        <f>X249*0.55/0.04</f>
        <v>-263.73007561444672</v>
      </c>
      <c r="Y248" s="509"/>
    </row>
    <row r="249" spans="2:31" x14ac:dyDescent="0.25">
      <c r="B249" t="s">
        <v>25</v>
      </c>
      <c r="C249" s="176">
        <f ca="1">K217</f>
        <v>100.22691923759933</v>
      </c>
      <c r="D249" s="284"/>
      <c r="E249" s="282"/>
      <c r="F249" s="177">
        <f ca="1">C249*(1-C261)</f>
        <v>6.013615154255965</v>
      </c>
      <c r="G249" s="579">
        <v>0</v>
      </c>
      <c r="H249" s="579"/>
      <c r="I249" s="144">
        <v>0</v>
      </c>
      <c r="J249">
        <v>0</v>
      </c>
      <c r="K249" s="585"/>
      <c r="L249" s="585"/>
      <c r="M249" t="s">
        <v>36</v>
      </c>
      <c r="T249" s="193"/>
      <c r="V249" s="401" t="s">
        <v>748</v>
      </c>
      <c r="W249" s="403"/>
      <c r="X249" s="510">
        <f>-AC241*C264</f>
        <v>-19.180369135596123</v>
      </c>
      <c r="Y249" s="511"/>
    </row>
    <row r="250" spans="2:31" x14ac:dyDescent="0.25">
      <c r="B250" t="s">
        <v>26</v>
      </c>
      <c r="C250" s="176">
        <f t="shared" si="39"/>
        <v>15.923730591070239</v>
      </c>
      <c r="D250" s="284"/>
      <c r="E250" s="282"/>
      <c r="F250" s="177">
        <f>C250*(1-C262)</f>
        <v>0.79618652955351266</v>
      </c>
      <c r="G250" s="587">
        <f>AB287</f>
        <v>33.304499312724069</v>
      </c>
      <c r="H250" s="587"/>
      <c r="I250" s="176">
        <f>G250/$G$247*$I$247</f>
        <v>12.115333163391423</v>
      </c>
      <c r="J250">
        <v>0</v>
      </c>
      <c r="K250" s="585"/>
      <c r="L250" s="585"/>
      <c r="M250" t="s">
        <v>36</v>
      </c>
      <c r="N250" t="s">
        <v>583</v>
      </c>
      <c r="T250" s="193"/>
      <c r="V250" s="397" t="s">
        <v>551</v>
      </c>
      <c r="W250" s="498"/>
      <c r="X250" s="499">
        <f>-X249*0.59/0.04</f>
        <v>282.91044475004276</v>
      </c>
      <c r="Y250" s="500"/>
    </row>
    <row r="251" spans="2:31" x14ac:dyDescent="0.25">
      <c r="B251" t="s">
        <v>27</v>
      </c>
      <c r="C251" s="176">
        <f t="shared" si="39"/>
        <v>11.852725028482824</v>
      </c>
      <c r="D251" s="284"/>
      <c r="E251" s="282"/>
      <c r="F251" s="177">
        <f>C251+AB289</f>
        <v>0.59263625142414078</v>
      </c>
      <c r="G251" s="579">
        <v>0</v>
      </c>
      <c r="H251" s="579"/>
      <c r="I251" s="144">
        <v>0</v>
      </c>
      <c r="J251">
        <v>0</v>
      </c>
      <c r="K251" s="585"/>
      <c r="L251" s="585"/>
      <c r="M251" t="s">
        <v>36</v>
      </c>
      <c r="N251" t="s">
        <v>389</v>
      </c>
      <c r="T251" s="193"/>
    </row>
    <row r="252" spans="2:31" x14ac:dyDescent="0.25">
      <c r="B252" t="s">
        <v>28</v>
      </c>
      <c r="C252" s="177">
        <f>K220</f>
        <v>2.0466962436040044</v>
      </c>
      <c r="D252" s="284"/>
      <c r="E252" s="282"/>
      <c r="F252" s="177">
        <f>C252-AB293</f>
        <v>0.22513658679644033</v>
      </c>
      <c r="G252" s="588">
        <f>AB293</f>
        <v>1.821559656807564</v>
      </c>
      <c r="H252" s="588"/>
      <c r="I252" s="177">
        <f>G252/$G$247*$I$247</f>
        <v>0.66263725846751076</v>
      </c>
      <c r="J252">
        <v>0</v>
      </c>
      <c r="K252" s="585"/>
      <c r="L252" s="585"/>
      <c r="M252" t="s">
        <v>36</v>
      </c>
      <c r="N252" t="s">
        <v>531</v>
      </c>
      <c r="T252" s="193"/>
      <c r="V252" t="s">
        <v>766</v>
      </c>
    </row>
    <row r="253" spans="2:31" x14ac:dyDescent="0.25">
      <c r="B253" t="s">
        <v>351</v>
      </c>
      <c r="C253" s="177">
        <f t="shared" si="39"/>
        <v>2.1434246544645563</v>
      </c>
      <c r="D253" s="284"/>
      <c r="E253" s="282"/>
      <c r="F253" s="13">
        <f>C253</f>
        <v>2.1434246544645563</v>
      </c>
      <c r="G253" s="579">
        <v>0</v>
      </c>
      <c r="H253" s="579"/>
      <c r="I253" s="144">
        <v>0</v>
      </c>
      <c r="J253">
        <v>0</v>
      </c>
      <c r="K253" s="585"/>
      <c r="L253" s="585"/>
      <c r="M253" t="s">
        <v>36</v>
      </c>
      <c r="N253" t="s">
        <v>391</v>
      </c>
      <c r="T253" s="193"/>
      <c r="V253" t="s">
        <v>753</v>
      </c>
    </row>
    <row r="254" spans="2:31" x14ac:dyDescent="0.25">
      <c r="B254" t="s">
        <v>352</v>
      </c>
      <c r="C254" s="177">
        <f t="shared" si="39"/>
        <v>0.66483623015471738</v>
      </c>
      <c r="D254" s="284"/>
      <c r="E254" s="282"/>
      <c r="F254" s="13">
        <f>C254</f>
        <v>0.66483623015471738</v>
      </c>
      <c r="G254" s="579">
        <v>0</v>
      </c>
      <c r="H254" s="579"/>
      <c r="I254" s="144">
        <v>0</v>
      </c>
      <c r="J254">
        <v>0</v>
      </c>
      <c r="K254" s="585"/>
      <c r="L254" s="585"/>
      <c r="M254" t="s">
        <v>36</v>
      </c>
      <c r="N254" t="s">
        <v>390</v>
      </c>
      <c r="T254" s="193"/>
      <c r="U254" t="s">
        <v>532</v>
      </c>
    </row>
    <row r="255" spans="2:31" ht="15.95" customHeight="1" x14ac:dyDescent="0.25">
      <c r="B255" t="s">
        <v>394</v>
      </c>
      <c r="C255" s="144"/>
      <c r="D255" s="282"/>
      <c r="E255" s="282"/>
      <c r="F255" s="13"/>
      <c r="G255" s="580">
        <v>0.01</v>
      </c>
      <c r="H255" s="580"/>
      <c r="I255" s="161"/>
      <c r="J255">
        <v>0</v>
      </c>
      <c r="K255" s="282"/>
      <c r="L255" s="282"/>
      <c r="T255" s="193"/>
      <c r="V255" s="517" t="s">
        <v>756</v>
      </c>
      <c r="W255" s="518"/>
      <c r="X255" s="518"/>
      <c r="Y255" s="518"/>
      <c r="Z255" s="518"/>
      <c r="AA255" s="518"/>
      <c r="AB255" s="518"/>
      <c r="AC255" s="518"/>
      <c r="AD255" s="518"/>
      <c r="AE255" s="519"/>
    </row>
    <row r="256" spans="2:31" ht="15.95" customHeight="1" x14ac:dyDescent="0.25">
      <c r="O256" s="26" t="s">
        <v>386</v>
      </c>
      <c r="P256" s="302" t="s">
        <v>578</v>
      </c>
      <c r="T256" s="193"/>
      <c r="V256" s="520"/>
      <c r="W256" s="521"/>
      <c r="X256" s="521"/>
      <c r="Y256" s="521"/>
      <c r="Z256" s="521"/>
      <c r="AA256" s="521"/>
      <c r="AB256" s="521"/>
      <c r="AC256" s="521"/>
      <c r="AD256" s="521"/>
      <c r="AE256" s="522"/>
    </row>
    <row r="257" spans="2:38" x14ac:dyDescent="0.25">
      <c r="G257" s="145"/>
      <c r="J257" s="145"/>
      <c r="O257" s="82" t="s">
        <v>576</v>
      </c>
      <c r="P257" s="303">
        <f>AD266-P258</f>
        <v>6.6309787964108393</v>
      </c>
      <c r="T257" s="193"/>
    </row>
    <row r="258" spans="2:38" x14ac:dyDescent="0.25">
      <c r="B258" s="142" t="s">
        <v>23</v>
      </c>
      <c r="C258" s="516" t="s">
        <v>747</v>
      </c>
      <c r="D258" s="516"/>
      <c r="E258" s="142"/>
      <c r="F258" s="142"/>
      <c r="G258" s="142"/>
      <c r="H258" s="393"/>
      <c r="I258" s="142"/>
      <c r="J258" s="142"/>
      <c r="O258" s="82" t="s">
        <v>581</v>
      </c>
      <c r="P258" s="304">
        <f>O264</f>
        <v>0.28311080353747548</v>
      </c>
      <c r="T258" s="193"/>
      <c r="AB258" s="398" t="s">
        <v>22</v>
      </c>
      <c r="AC258" s="398"/>
      <c r="AD258" s="398" t="s">
        <v>574</v>
      </c>
      <c r="AE258" s="398"/>
    </row>
    <row r="259" spans="2:38" x14ac:dyDescent="0.25">
      <c r="B259" t="s">
        <v>350</v>
      </c>
      <c r="C259" s="514" t="s">
        <v>38</v>
      </c>
      <c r="D259" s="514"/>
      <c r="E259" s="12"/>
      <c r="H259" s="376"/>
      <c r="O259" s="92" t="s">
        <v>552</v>
      </c>
      <c r="P259" s="252">
        <f ca="1">AD264</f>
        <v>49.093733641409059</v>
      </c>
      <c r="T259" s="193"/>
      <c r="V259" s="432" t="s">
        <v>540</v>
      </c>
      <c r="W259" s="433"/>
      <c r="X259" s="413" t="s">
        <v>542</v>
      </c>
      <c r="Y259" s="414"/>
      <c r="Z259" s="434" t="s">
        <v>543</v>
      </c>
      <c r="AA259" s="414"/>
      <c r="AB259" s="299" t="s">
        <v>578</v>
      </c>
      <c r="AC259" s="290" t="s">
        <v>558</v>
      </c>
      <c r="AD259" s="289" t="s">
        <v>578</v>
      </c>
      <c r="AE259" s="290" t="s">
        <v>558</v>
      </c>
      <c r="AH259" s="488" t="s">
        <v>555</v>
      </c>
      <c r="AI259" s="507"/>
      <c r="AJ259" s="507"/>
      <c r="AK259" s="507"/>
      <c r="AL259" s="489"/>
    </row>
    <row r="260" spans="2:38" x14ac:dyDescent="0.25">
      <c r="B260" t="s">
        <v>24</v>
      </c>
      <c r="C260" s="515">
        <v>0.9</v>
      </c>
      <c r="D260" s="515"/>
      <c r="E260" s="378"/>
      <c r="L260" s="402" t="s">
        <v>538</v>
      </c>
      <c r="M260" s="402"/>
      <c r="T260" s="193"/>
      <c r="V260" s="401" t="s">
        <v>541</v>
      </c>
      <c r="W260" s="402"/>
      <c r="X260" s="441" t="s">
        <v>544</v>
      </c>
      <c r="Y260" s="442"/>
      <c r="Z260" s="416">
        <f>2*12+4+2*16</f>
        <v>60</v>
      </c>
      <c r="AA260" s="442"/>
      <c r="AB260" s="387">
        <f ca="1">AD238</f>
        <v>59.141713249099638</v>
      </c>
      <c r="AC260" s="369">
        <f ca="1">AB260/Z260*1000</f>
        <v>985.69522081832724</v>
      </c>
      <c r="AD260" s="390">
        <f ca="1">AE260*Z260/1000</f>
        <v>5.9141713249099617</v>
      </c>
      <c r="AE260" s="369">
        <f t="shared" ref="AE260:AE266" ca="1" si="40">SUM(AC260,AF269)</f>
        <v>98.569522081832702</v>
      </c>
      <c r="AH260" s="551"/>
      <c r="AI260" s="552"/>
      <c r="AJ260" s="552"/>
      <c r="AK260" s="552"/>
      <c r="AL260" s="553"/>
    </row>
    <row r="261" spans="2:38" x14ac:dyDescent="0.25">
      <c r="B261" t="s">
        <v>25</v>
      </c>
      <c r="C261" s="512">
        <v>0.94</v>
      </c>
      <c r="D261" s="512"/>
      <c r="E261" s="139"/>
      <c r="H261" s="13"/>
      <c r="L261" t="s">
        <v>24</v>
      </c>
      <c r="M261" s="13">
        <v>4.9103430879990109</v>
      </c>
      <c r="O261" s="432" t="s">
        <v>582</v>
      </c>
      <c r="P261" s="433"/>
      <c r="Q261" s="494"/>
      <c r="T261" s="193"/>
      <c r="V261" s="401" t="s">
        <v>545</v>
      </c>
      <c r="W261" s="402"/>
      <c r="X261" s="401" t="s">
        <v>546</v>
      </c>
      <c r="Y261" s="403"/>
      <c r="Z261" s="402">
        <f>5*12+7+14+2*16</f>
        <v>113</v>
      </c>
      <c r="AA261" s="403"/>
      <c r="AB261" s="12">
        <v>0</v>
      </c>
      <c r="AC261" s="241">
        <v>0</v>
      </c>
      <c r="AD261" s="390">
        <f t="shared" ref="AD261:AD266" si="41">AE261*Z261/1000</f>
        <v>14.881754757983991</v>
      </c>
      <c r="AE261" s="369">
        <f t="shared" si="40"/>
        <v>131.69694476092027</v>
      </c>
      <c r="AH261" s="10"/>
    </row>
    <row r="262" spans="2:38" x14ac:dyDescent="0.25">
      <c r="B262" t="s">
        <v>26</v>
      </c>
      <c r="C262" s="512">
        <v>0.95</v>
      </c>
      <c r="D262" s="512"/>
      <c r="E262" s="139"/>
      <c r="L262" t="s">
        <v>25</v>
      </c>
      <c r="M262" s="13">
        <v>9.3393501938180457</v>
      </c>
      <c r="O262" s="305">
        <f>1*0.016</f>
        <v>1.6E-2</v>
      </c>
      <c r="P262" t="s">
        <v>568</v>
      </c>
      <c r="Q262" s="87"/>
      <c r="T262" s="193"/>
      <c r="V262" s="401" t="s">
        <v>547</v>
      </c>
      <c r="W262" s="402"/>
      <c r="X262" s="401" t="s">
        <v>548</v>
      </c>
      <c r="Y262" s="403"/>
      <c r="Z262" s="402">
        <f>2*16</f>
        <v>32</v>
      </c>
      <c r="AA262" s="403"/>
      <c r="AB262" s="12">
        <v>0</v>
      </c>
      <c r="AC262" s="241">
        <v>0</v>
      </c>
      <c r="AD262" s="390">
        <f ca="1">AE262*Z262/1000</f>
        <v>-48.610834143958591</v>
      </c>
      <c r="AE262" s="369">
        <f t="shared" ca="1" si="40"/>
        <v>-1519.088566998706</v>
      </c>
      <c r="AF262" s="298" t="s">
        <v>577</v>
      </c>
      <c r="AH262" s="488" t="s">
        <v>561</v>
      </c>
      <c r="AI262" s="507"/>
      <c r="AJ262" s="507"/>
      <c r="AK262" s="507"/>
      <c r="AL262" s="489"/>
    </row>
    <row r="263" spans="2:38" ht="15.95" customHeight="1" x14ac:dyDescent="0.25">
      <c r="B263" t="s">
        <v>27</v>
      </c>
      <c r="C263" s="515">
        <v>0.95</v>
      </c>
      <c r="D263" s="515"/>
      <c r="E263" s="382"/>
      <c r="L263" t="s">
        <v>26</v>
      </c>
      <c r="M263" s="13">
        <v>3.2228366670037416</v>
      </c>
      <c r="O263" s="306">
        <f>O262/(14*2) * 44</f>
        <v>2.5142857142857144E-2</v>
      </c>
      <c r="P263" t="s">
        <v>569</v>
      </c>
      <c r="Q263" s="87"/>
      <c r="T263" s="193"/>
      <c r="V263" s="401" t="s">
        <v>549</v>
      </c>
      <c r="W263" s="402"/>
      <c r="X263" s="401" t="s">
        <v>550</v>
      </c>
      <c r="Y263" s="403"/>
      <c r="Z263" s="402">
        <f>14+4</f>
        <v>18</v>
      </c>
      <c r="AA263" s="403"/>
      <c r="AB263" s="325">
        <f>C251</f>
        <v>11.852725028482824</v>
      </c>
      <c r="AC263" s="370">
        <f>AB263/Z263*1000</f>
        <v>658.48472380460134</v>
      </c>
      <c r="AD263" s="390">
        <f t="shared" si="41"/>
        <v>0.59263625142414167</v>
      </c>
      <c r="AE263" s="369">
        <f t="shared" si="40"/>
        <v>32.92423619023009</v>
      </c>
      <c r="AH263" s="397"/>
      <c r="AI263" s="398"/>
      <c r="AJ263" s="398"/>
      <c r="AK263" s="398"/>
      <c r="AL263" s="498"/>
    </row>
    <row r="264" spans="2:38" x14ac:dyDescent="0.25">
      <c r="B264" t="s">
        <v>28</v>
      </c>
      <c r="C264" s="512">
        <v>0.89</v>
      </c>
      <c r="D264" s="512"/>
      <c r="E264" s="381"/>
      <c r="L264" t="s">
        <v>27</v>
      </c>
      <c r="M264" s="13">
        <v>1.7176654498825858</v>
      </c>
      <c r="O264" s="306">
        <f>O263*C251*C263</f>
        <v>0.28311080353747548</v>
      </c>
      <c r="P264" t="s">
        <v>570</v>
      </c>
      <c r="Q264" s="87"/>
      <c r="T264" s="193"/>
      <c r="V264" s="401" t="s">
        <v>551</v>
      </c>
      <c r="W264" s="402"/>
      <c r="X264" s="401" t="s">
        <v>552</v>
      </c>
      <c r="Y264" s="403"/>
      <c r="Z264" s="402">
        <f>12+2*16</f>
        <v>44</v>
      </c>
      <c r="AA264" s="403"/>
      <c r="AB264" s="12">
        <v>0</v>
      </c>
      <c r="AC264" s="241">
        <v>0</v>
      </c>
      <c r="AD264" s="390">
        <f ca="1">AE264*Z264/1000</f>
        <v>49.093733641409059</v>
      </c>
      <c r="AE264" s="369">
        <f t="shared" ca="1" si="40"/>
        <v>1115.7666736683877</v>
      </c>
    </row>
    <row r="265" spans="2:38" x14ac:dyDescent="0.25">
      <c r="B265" t="s">
        <v>351</v>
      </c>
      <c r="C265" s="513"/>
      <c r="D265" s="514"/>
      <c r="E265" s="139"/>
      <c r="F265" s="161"/>
      <c r="L265" t="s">
        <v>28</v>
      </c>
      <c r="M265" s="13">
        <v>0.46363717649239894</v>
      </c>
      <c r="O265" s="249">
        <f>O264*273</f>
        <v>77.289249365730811</v>
      </c>
      <c r="P265" s="93" t="s">
        <v>571</v>
      </c>
      <c r="Q265" s="94"/>
      <c r="T265" s="193"/>
      <c r="V265" s="401" t="s">
        <v>553</v>
      </c>
      <c r="W265" s="402"/>
      <c r="X265" s="401" t="s">
        <v>554</v>
      </c>
      <c r="Y265" s="403"/>
      <c r="Z265" s="401">
        <f>14+3*16</f>
        <v>62</v>
      </c>
      <c r="AA265" s="403"/>
      <c r="AB265" s="137">
        <v>0</v>
      </c>
      <c r="AC265" s="241">
        <v>0</v>
      </c>
      <c r="AD265" s="390">
        <f t="shared" si="41"/>
        <v>0</v>
      </c>
      <c r="AE265" s="369">
        <f t="shared" si="40"/>
        <v>0</v>
      </c>
      <c r="AH265" s="488" t="s">
        <v>556</v>
      </c>
      <c r="AI265" s="507"/>
      <c r="AJ265" s="507"/>
      <c r="AK265" s="507"/>
      <c r="AL265" s="489"/>
    </row>
    <row r="266" spans="2:38" x14ac:dyDescent="0.25">
      <c r="B266" t="s">
        <v>352</v>
      </c>
      <c r="C266" s="512"/>
      <c r="D266" s="512"/>
      <c r="E266" s="139"/>
      <c r="L266" t="s">
        <v>351</v>
      </c>
      <c r="M266" s="13">
        <v>3.8947282650475845</v>
      </c>
      <c r="O266" s="145"/>
      <c r="T266" s="193"/>
      <c r="V266" s="397" t="s">
        <v>573</v>
      </c>
      <c r="W266" s="398"/>
      <c r="X266" s="399" t="s">
        <v>576</v>
      </c>
      <c r="Y266" s="400"/>
      <c r="Z266" s="399">
        <f>2*14</f>
        <v>28</v>
      </c>
      <c r="AA266" s="400"/>
      <c r="AB266" s="295">
        <v>0</v>
      </c>
      <c r="AC266" s="296">
        <v>0</v>
      </c>
      <c r="AD266" s="391">
        <f t="shared" si="41"/>
        <v>6.9140895999483147</v>
      </c>
      <c r="AE266" s="371">
        <f t="shared" si="40"/>
        <v>246.9317714267255</v>
      </c>
      <c r="AH266" s="397"/>
      <c r="AI266" s="398"/>
      <c r="AJ266" s="398"/>
      <c r="AK266" s="398"/>
      <c r="AL266" s="498"/>
    </row>
    <row r="267" spans="2:38" x14ac:dyDescent="0.25">
      <c r="E267" s="139"/>
      <c r="L267" t="s">
        <v>352</v>
      </c>
      <c r="M267" s="13">
        <v>0.22292367939686072</v>
      </c>
      <c r="O267" s="145"/>
      <c r="T267" s="193"/>
    </row>
    <row r="268" spans="2:38" x14ac:dyDescent="0.25">
      <c r="T268" s="193"/>
      <c r="V268" s="432" t="s">
        <v>540</v>
      </c>
      <c r="W268" s="433"/>
      <c r="X268" s="413" t="s">
        <v>557</v>
      </c>
      <c r="Y268" s="414"/>
      <c r="Z268" s="413" t="s">
        <v>564</v>
      </c>
      <c r="AA268" s="414"/>
      <c r="AB268" s="413" t="s">
        <v>565</v>
      </c>
      <c r="AC268" s="414"/>
      <c r="AD268" s="413" t="s">
        <v>563</v>
      </c>
      <c r="AE268" s="414"/>
      <c r="AF268" s="383" t="s">
        <v>575</v>
      </c>
      <c r="AH268" s="488" t="s">
        <v>562</v>
      </c>
      <c r="AI268" s="507"/>
      <c r="AJ268" s="507"/>
      <c r="AK268" s="507"/>
      <c r="AL268" s="489"/>
    </row>
    <row r="269" spans="2:38" x14ac:dyDescent="0.25">
      <c r="C269" s="157" t="s">
        <v>534</v>
      </c>
      <c r="G269" s="161">
        <v>0.01</v>
      </c>
      <c r="T269" s="193"/>
      <c r="V269" s="401" t="s">
        <v>541</v>
      </c>
      <c r="W269" s="402"/>
      <c r="X269" s="447">
        <f>X274*5/8</f>
        <v>-308.66471428340685</v>
      </c>
      <c r="Y269" s="448"/>
      <c r="Z269" s="447">
        <f>Z272/0.32</f>
        <v>-411.55295237787584</v>
      </c>
      <c r="AA269" s="448"/>
      <c r="AB269" s="447">
        <v>0</v>
      </c>
      <c r="AC269" s="448"/>
      <c r="AD269" s="547">
        <f ca="1">(-1)*SUM(AC260*C260,X269,Z269)</f>
        <v>-166.90803207521185</v>
      </c>
      <c r="AE269" s="548"/>
      <c r="AF269" s="183">
        <f ca="1">SUM(X269:AE269)</f>
        <v>-887.12569873649454</v>
      </c>
      <c r="AH269" s="397"/>
      <c r="AI269" s="398"/>
      <c r="AJ269" s="398"/>
      <c r="AK269" s="398"/>
      <c r="AL269" s="498"/>
    </row>
    <row r="270" spans="2:38" x14ac:dyDescent="0.25">
      <c r="C270" s="161" t="s">
        <v>533</v>
      </c>
      <c r="G270" s="161">
        <v>2.5</v>
      </c>
      <c r="T270" s="193"/>
      <c r="V270" s="401" t="s">
        <v>545</v>
      </c>
      <c r="W270" s="402"/>
      <c r="X270" s="451">
        <v>0</v>
      </c>
      <c r="Y270" s="452"/>
      <c r="Z270" s="451">
        <f>Z272*(-1)</f>
        <v>131.69694476092027</v>
      </c>
      <c r="AA270" s="452"/>
      <c r="AB270" s="451">
        <v>0</v>
      </c>
      <c r="AC270" s="452"/>
      <c r="AD270" s="451">
        <v>0</v>
      </c>
      <c r="AE270" s="452"/>
      <c r="AF270" s="183">
        <f t="shared" ref="AF270:AF275" si="42">SUM(X270:AE270)</f>
        <v>131.69694476092027</v>
      </c>
    </row>
    <row r="271" spans="2:38" x14ac:dyDescent="0.25">
      <c r="C271" s="157" t="s">
        <v>559</v>
      </c>
      <c r="G271" s="161">
        <v>0.2</v>
      </c>
      <c r="T271" s="193"/>
      <c r="V271" s="401" t="s">
        <v>547</v>
      </c>
      <c r="W271" s="402"/>
      <c r="X271" s="451">
        <v>0</v>
      </c>
      <c r="Y271" s="452"/>
      <c r="Z271" s="451">
        <f>Z272*0.48/0.32</f>
        <v>-197.5454171413804</v>
      </c>
      <c r="AA271" s="452"/>
      <c r="AB271" s="451">
        <f>2*AB272</f>
        <v>-987.72708570690202</v>
      </c>
      <c r="AC271" s="452"/>
      <c r="AD271" s="451">
        <f ca="1">AD269*2</f>
        <v>-333.8160641504237</v>
      </c>
      <c r="AE271" s="452"/>
      <c r="AF271" s="183">
        <f ca="1">SUM(X271:AE271)</f>
        <v>-1519.088566998706</v>
      </c>
    </row>
    <row r="272" spans="2:38" x14ac:dyDescent="0.25">
      <c r="C272" s="157" t="s">
        <v>560</v>
      </c>
      <c r="G272" s="161">
        <v>0.75</v>
      </c>
      <c r="T272" s="193"/>
      <c r="U272" t="s">
        <v>532</v>
      </c>
      <c r="V272" s="401" t="s">
        <v>549</v>
      </c>
      <c r="W272" s="402"/>
      <c r="X272" s="451">
        <v>0</v>
      </c>
      <c r="Y272" s="452"/>
      <c r="Z272" s="549">
        <f>(-1)*AC263*G271</f>
        <v>-131.69694476092027</v>
      </c>
      <c r="AA272" s="550"/>
      <c r="AB272" s="549">
        <f>X274</f>
        <v>-493.86354285345101</v>
      </c>
      <c r="AC272" s="550"/>
      <c r="AD272" s="451">
        <v>0</v>
      </c>
      <c r="AE272" s="452"/>
      <c r="AF272" s="183">
        <f t="shared" si="42"/>
        <v>-625.56048761437125</v>
      </c>
    </row>
    <row r="273" spans="3:32" x14ac:dyDescent="0.25">
      <c r="C273" s="157" t="s">
        <v>566</v>
      </c>
      <c r="G273">
        <v>0.88</v>
      </c>
      <c r="H273" t="s">
        <v>567</v>
      </c>
      <c r="T273" s="193"/>
      <c r="V273" s="401" t="s">
        <v>551</v>
      </c>
      <c r="W273" s="402"/>
      <c r="X273" s="451">
        <f>X274*10/8 * (-1)</f>
        <v>617.3294285668137</v>
      </c>
      <c r="Y273" s="452"/>
      <c r="Z273" s="451">
        <f>Z272*0.4/0.32 * (-1)</f>
        <v>164.62118095115034</v>
      </c>
      <c r="AA273" s="452"/>
      <c r="AB273" s="451">
        <v>0</v>
      </c>
      <c r="AC273" s="452"/>
      <c r="AD273" s="451">
        <f ca="1">AD269*2*(-1)</f>
        <v>333.8160641504237</v>
      </c>
      <c r="AE273" s="452"/>
      <c r="AF273" s="183">
        <f ca="1">SUM(X273:AE273)</f>
        <v>1115.7666736683877</v>
      </c>
    </row>
    <row r="274" spans="3:32" x14ac:dyDescent="0.25">
      <c r="C274" s="157" t="s">
        <v>586</v>
      </c>
      <c r="G274">
        <v>0.6</v>
      </c>
      <c r="H274" t="s">
        <v>585</v>
      </c>
      <c r="J274" s="146" t="s">
        <v>587</v>
      </c>
      <c r="K274" t="s">
        <v>588</v>
      </c>
      <c r="O274" s="13">
        <f>G274*Z260/Z261</f>
        <v>0.31858407079646017</v>
      </c>
      <c r="P274" t="s">
        <v>589</v>
      </c>
      <c r="T274" s="193"/>
      <c r="V274" s="401" t="s">
        <v>553</v>
      </c>
      <c r="W274" s="402"/>
      <c r="X274" s="549">
        <f>AC263*G272 * (-1)</f>
        <v>-493.86354285345101</v>
      </c>
      <c r="Y274" s="550"/>
      <c r="Z274" s="451">
        <v>0</v>
      </c>
      <c r="AA274" s="452"/>
      <c r="AB274" s="451">
        <f>AB272*(-1)</f>
        <v>493.86354285345101</v>
      </c>
      <c r="AC274" s="452"/>
      <c r="AD274" s="451">
        <v>0</v>
      </c>
      <c r="AE274" s="452"/>
      <c r="AF274" s="183">
        <f t="shared" si="42"/>
        <v>0</v>
      </c>
    </row>
    <row r="275" spans="3:32" x14ac:dyDescent="0.25">
      <c r="C275" s="156"/>
      <c r="G275" s="161"/>
      <c r="T275" s="193"/>
      <c r="V275" s="397" t="s">
        <v>573</v>
      </c>
      <c r="W275" s="398"/>
      <c r="X275" s="399">
        <f>X274*4/8 * (-1)</f>
        <v>246.9317714267255</v>
      </c>
      <c r="Y275" s="400"/>
      <c r="Z275" s="399">
        <v>0</v>
      </c>
      <c r="AA275" s="400"/>
      <c r="AB275" s="399">
        <v>0</v>
      </c>
      <c r="AC275" s="400"/>
      <c r="AD275" s="399">
        <v>0</v>
      </c>
      <c r="AE275" s="400"/>
      <c r="AF275" s="384">
        <f t="shared" si="42"/>
        <v>246.9317714267255</v>
      </c>
    </row>
    <row r="276" spans="3:32" x14ac:dyDescent="0.25">
      <c r="C276" t="s">
        <v>400</v>
      </c>
      <c r="T276" s="193"/>
    </row>
    <row r="277" spans="3:32" x14ac:dyDescent="0.25">
      <c r="C277" s="157" t="s">
        <v>746</v>
      </c>
      <c r="T277" s="193"/>
      <c r="V277" s="146" t="s">
        <v>572</v>
      </c>
    </row>
    <row r="278" spans="3:32" x14ac:dyDescent="0.25">
      <c r="C278" t="s">
        <v>745</v>
      </c>
      <c r="T278" s="193"/>
      <c r="V278" t="s">
        <v>579</v>
      </c>
    </row>
    <row r="279" spans="3:32" x14ac:dyDescent="0.25">
      <c r="C279" s="157" t="s">
        <v>744</v>
      </c>
      <c r="T279" s="193"/>
      <c r="V279" t="s">
        <v>580</v>
      </c>
    </row>
    <row r="280" spans="3:32" x14ac:dyDescent="0.25">
      <c r="T280" s="193"/>
      <c r="V280" t="s">
        <v>751</v>
      </c>
    </row>
    <row r="281" spans="3:32" x14ac:dyDescent="0.25">
      <c r="C281" s="156"/>
      <c r="T281" s="193"/>
    </row>
    <row r="282" spans="3:32" x14ac:dyDescent="0.25">
      <c r="C282" s="156"/>
      <c r="T282" s="193"/>
      <c r="V282" s="501" t="s">
        <v>757</v>
      </c>
      <c r="W282" s="502"/>
      <c r="X282" s="502"/>
      <c r="Y282" s="502"/>
      <c r="Z282" s="502"/>
      <c r="AA282" s="502"/>
      <c r="AB282" s="502"/>
      <c r="AC282" s="502"/>
      <c r="AD282" s="502"/>
      <c r="AE282" s="503"/>
    </row>
    <row r="283" spans="3:32" x14ac:dyDescent="0.25">
      <c r="C283" s="156"/>
      <c r="T283" s="193"/>
      <c r="V283" s="504"/>
      <c r="W283" s="505"/>
      <c r="X283" s="505"/>
      <c r="Y283" s="505"/>
      <c r="Z283" s="505"/>
      <c r="AA283" s="505"/>
      <c r="AB283" s="505"/>
      <c r="AC283" s="505"/>
      <c r="AD283" s="505"/>
      <c r="AE283" s="506"/>
    </row>
    <row r="284" spans="3:32" x14ac:dyDescent="0.25">
      <c r="C284" s="156"/>
      <c r="T284" s="193"/>
    </row>
    <row r="285" spans="3:32" x14ac:dyDescent="0.25">
      <c r="T285" s="193"/>
      <c r="V285" s="432" t="s">
        <v>540</v>
      </c>
      <c r="W285" s="433"/>
      <c r="X285" s="432" t="s">
        <v>758</v>
      </c>
      <c r="Y285" s="494"/>
      <c r="Z285" s="432" t="s">
        <v>759</v>
      </c>
      <c r="AA285" s="494"/>
      <c r="AB285" s="432" t="s">
        <v>760</v>
      </c>
      <c r="AC285" s="494"/>
    </row>
    <row r="286" spans="3:32" x14ac:dyDescent="0.25">
      <c r="T286" s="193"/>
      <c r="V286" s="401" t="s">
        <v>541</v>
      </c>
      <c r="W286" s="402"/>
      <c r="X286" s="495">
        <f ca="1">-(AB238-AD260)</f>
        <v>-67.612818775886765</v>
      </c>
      <c r="Y286" s="489"/>
      <c r="Z286" s="488" t="s">
        <v>762</v>
      </c>
      <c r="AA286" s="489"/>
      <c r="AB286" s="554">
        <f ca="1">X286*G273</f>
        <v>-59.499280522780353</v>
      </c>
      <c r="AC286" s="555"/>
    </row>
    <row r="287" spans="3:32" x14ac:dyDescent="0.25">
      <c r="T287" s="193"/>
      <c r="V287" s="401" t="s">
        <v>545</v>
      </c>
      <c r="W287" s="402"/>
      <c r="X287" s="496">
        <f>AD239+AD261</f>
        <v>33.304499312724069</v>
      </c>
      <c r="Y287" s="403"/>
      <c r="Z287" s="490" t="s">
        <v>761</v>
      </c>
      <c r="AA287" s="491"/>
      <c r="AB287" s="484">
        <f t="shared" ref="AB287:AB293" si="43">X287</f>
        <v>33.304499312724069</v>
      </c>
      <c r="AC287" s="485"/>
    </row>
    <row r="288" spans="3:32" x14ac:dyDescent="0.25">
      <c r="T288" s="193"/>
      <c r="V288" s="401" t="s">
        <v>547</v>
      </c>
      <c r="W288" s="402"/>
      <c r="X288" s="496">
        <f ca="1">AD262+AD240</f>
        <v>-57.050196563620887</v>
      </c>
      <c r="Y288" s="403"/>
      <c r="Z288" s="490" t="s">
        <v>765</v>
      </c>
      <c r="AA288" s="491"/>
      <c r="AB288" s="484">
        <f t="shared" ca="1" si="43"/>
        <v>-57.050196563620887</v>
      </c>
      <c r="AC288" s="485"/>
    </row>
    <row r="289" spans="2:30" x14ac:dyDescent="0.25">
      <c r="M289" s="402"/>
      <c r="N289" s="402"/>
      <c r="T289" s="193"/>
      <c r="V289" s="401" t="s">
        <v>549</v>
      </c>
      <c r="W289" s="402"/>
      <c r="X289" s="496">
        <f>-(AB263-AD263)</f>
        <v>-11.260088777058684</v>
      </c>
      <c r="Y289" s="403"/>
      <c r="Z289" s="490" t="s">
        <v>763</v>
      </c>
      <c r="AA289" s="491"/>
      <c r="AB289" s="484">
        <f t="shared" si="43"/>
        <v>-11.260088777058684</v>
      </c>
      <c r="AC289" s="485"/>
    </row>
    <row r="290" spans="2:30" x14ac:dyDescent="0.25">
      <c r="B290" s="404" t="s">
        <v>276</v>
      </c>
      <c r="C290" s="404"/>
      <c r="D290" s="404"/>
      <c r="E290" s="404"/>
      <c r="F290" s="404"/>
      <c r="G290" s="404"/>
      <c r="I290" s="142" t="s">
        <v>23</v>
      </c>
      <c r="J290" t="s">
        <v>275</v>
      </c>
      <c r="K290" t="s">
        <v>277</v>
      </c>
      <c r="L290" s="142" t="s">
        <v>2</v>
      </c>
      <c r="T290" s="193"/>
      <c r="V290" s="401" t="s">
        <v>551</v>
      </c>
      <c r="W290" s="402"/>
      <c r="X290" s="496">
        <f ca="1">SUM(AD242,AD264)</f>
        <v>61.541793210410944</v>
      </c>
      <c r="Y290" s="403"/>
      <c r="Z290" s="490" t="s">
        <v>764</v>
      </c>
      <c r="AA290" s="491"/>
      <c r="AB290" s="484">
        <f t="shared" ca="1" si="43"/>
        <v>61.541793210410944</v>
      </c>
      <c r="AC290" s="485"/>
    </row>
    <row r="291" spans="2:30" x14ac:dyDescent="0.25">
      <c r="B291" s="404"/>
      <c r="C291" s="404"/>
      <c r="D291" s="404"/>
      <c r="E291" s="404"/>
      <c r="F291" s="404"/>
      <c r="G291" s="404"/>
      <c r="I291" t="s">
        <v>350</v>
      </c>
      <c r="J291" s="175">
        <f t="shared" ref="J291:J298" si="44">F247</f>
        <v>2497.549748858075</v>
      </c>
      <c r="K291" s="175">
        <f>J291</f>
        <v>2497.549748858075</v>
      </c>
      <c r="L291" t="s">
        <v>204</v>
      </c>
      <c r="M291" s="149"/>
      <c r="N291" s="10"/>
      <c r="T291" s="193"/>
      <c r="V291" s="401" t="s">
        <v>553</v>
      </c>
      <c r="W291" s="402"/>
      <c r="X291" s="496">
        <f>AD265</f>
        <v>0</v>
      </c>
      <c r="Y291" s="403"/>
      <c r="Z291" s="490" t="s">
        <v>763</v>
      </c>
      <c r="AA291" s="491"/>
      <c r="AB291" s="484">
        <f t="shared" si="43"/>
        <v>0</v>
      </c>
      <c r="AC291" s="485"/>
    </row>
    <row r="292" spans="2:30" x14ac:dyDescent="0.25">
      <c r="I292" t="s">
        <v>24</v>
      </c>
      <c r="J292" s="175">
        <f ca="1">F248</f>
        <v>5.2044707659207665</v>
      </c>
      <c r="K292" s="175">
        <f ca="1">J292</f>
        <v>5.2044707659207665</v>
      </c>
      <c r="L292" t="s">
        <v>36</v>
      </c>
      <c r="M292" s="150"/>
      <c r="N292" s="150"/>
      <c r="T292" s="193"/>
      <c r="V292" s="401" t="s">
        <v>573</v>
      </c>
      <c r="W292" s="402"/>
      <c r="X292" s="496">
        <f>AD266</f>
        <v>6.9140895999483147</v>
      </c>
      <c r="Y292" s="403"/>
      <c r="Z292" s="490" t="s">
        <v>764</v>
      </c>
      <c r="AA292" s="491"/>
      <c r="AB292" s="484">
        <f t="shared" si="43"/>
        <v>6.9140895999483147</v>
      </c>
      <c r="AC292" s="485"/>
    </row>
    <row r="293" spans="2:30" x14ac:dyDescent="0.25">
      <c r="I293" t="s">
        <v>25</v>
      </c>
      <c r="J293" s="175">
        <f ca="1">F249</f>
        <v>6.013615154255965</v>
      </c>
      <c r="K293" s="175">
        <f ca="1">J293</f>
        <v>6.013615154255965</v>
      </c>
      <c r="L293" t="s">
        <v>36</v>
      </c>
      <c r="M293" s="150"/>
      <c r="N293" s="150"/>
      <c r="V293" s="397" t="s">
        <v>748</v>
      </c>
      <c r="W293" s="398"/>
      <c r="X293" s="497">
        <f>AB241-AD241</f>
        <v>1.821559656807564</v>
      </c>
      <c r="Y293" s="498"/>
      <c r="Z293" s="492" t="s">
        <v>767</v>
      </c>
      <c r="AA293" s="493"/>
      <c r="AB293" s="486">
        <f t="shared" si="43"/>
        <v>1.821559656807564</v>
      </c>
      <c r="AC293" s="487"/>
      <c r="AD293" t="s">
        <v>768</v>
      </c>
    </row>
    <row r="294" spans="2:30" x14ac:dyDescent="0.25">
      <c r="C294" s="12" t="s">
        <v>275</v>
      </c>
      <c r="D294" s="395" t="s">
        <v>276</v>
      </c>
      <c r="E294" s="395"/>
      <c r="F294" s="12" t="s">
        <v>277</v>
      </c>
      <c r="I294" t="s">
        <v>26</v>
      </c>
      <c r="J294" s="175">
        <f t="shared" si="44"/>
        <v>0.79618652955351266</v>
      </c>
      <c r="K294" s="175">
        <f t="shared" ref="K294:K298" si="45">J294</f>
        <v>0.79618652955351266</v>
      </c>
      <c r="L294" t="s">
        <v>36</v>
      </c>
      <c r="M294" s="150"/>
      <c r="N294" s="150"/>
    </row>
    <row r="295" spans="2:30" x14ac:dyDescent="0.25">
      <c r="D295" s="395"/>
      <c r="E295" s="395"/>
      <c r="I295" t="s">
        <v>27</v>
      </c>
      <c r="J295" s="175">
        <f t="shared" si="44"/>
        <v>0.59263625142414078</v>
      </c>
      <c r="K295" s="175">
        <f t="shared" si="45"/>
        <v>0.59263625142414078</v>
      </c>
      <c r="L295" t="s">
        <v>36</v>
      </c>
      <c r="M295" s="150"/>
      <c r="N295" s="150"/>
    </row>
    <row r="296" spans="2:30" ht="15.95" customHeight="1" x14ac:dyDescent="0.25">
      <c r="I296" t="s">
        <v>28</v>
      </c>
      <c r="J296" s="175">
        <f>F252</f>
        <v>0.22513658679644033</v>
      </c>
      <c r="K296" s="175">
        <f>J296</f>
        <v>0.22513658679644033</v>
      </c>
      <c r="L296" t="s">
        <v>36</v>
      </c>
      <c r="M296" s="150"/>
      <c r="N296" s="150"/>
    </row>
    <row r="297" spans="2:30" x14ac:dyDescent="0.25">
      <c r="I297" t="s">
        <v>351</v>
      </c>
      <c r="J297" s="175">
        <f t="shared" si="44"/>
        <v>2.1434246544645563</v>
      </c>
      <c r="K297" s="175">
        <f t="shared" si="45"/>
        <v>2.1434246544645563</v>
      </c>
      <c r="L297" t="s">
        <v>36</v>
      </c>
      <c r="M297" s="150"/>
      <c r="N297" s="150"/>
    </row>
    <row r="298" spans="2:30" x14ac:dyDescent="0.25">
      <c r="I298" t="s">
        <v>352</v>
      </c>
      <c r="J298" s="175">
        <f t="shared" si="44"/>
        <v>0.66483623015471738</v>
      </c>
      <c r="K298" s="175">
        <f t="shared" si="45"/>
        <v>0.66483623015471738</v>
      </c>
      <c r="L298" t="s">
        <v>36</v>
      </c>
      <c r="M298" s="150"/>
      <c r="N298" s="150"/>
    </row>
    <row r="299" spans="2:30" x14ac:dyDescent="0.25">
      <c r="I299" s="141"/>
      <c r="J299" s="146"/>
      <c r="K299" s="146"/>
      <c r="L299" s="146"/>
    </row>
    <row r="300" spans="2:30" x14ac:dyDescent="0.25">
      <c r="C300" t="s">
        <v>377</v>
      </c>
      <c r="K300" s="146"/>
      <c r="L300" s="146"/>
    </row>
    <row r="301" spans="2:30" x14ac:dyDescent="0.25">
      <c r="C301" t="s">
        <v>378</v>
      </c>
    </row>
    <row r="305" spans="2:18" x14ac:dyDescent="0.25">
      <c r="B305" s="404" t="s">
        <v>278</v>
      </c>
      <c r="C305" s="404"/>
      <c r="D305" s="404"/>
      <c r="E305" s="404"/>
      <c r="F305" s="404"/>
      <c r="G305" s="404"/>
      <c r="I305" s="142" t="s">
        <v>23</v>
      </c>
      <c r="J305" s="402" t="s">
        <v>387</v>
      </c>
      <c r="K305" s="402"/>
      <c r="L305" t="s">
        <v>281</v>
      </c>
      <c r="M305" t="s">
        <v>291</v>
      </c>
      <c r="N305" s="142" t="s">
        <v>2</v>
      </c>
      <c r="P305" s="142"/>
      <c r="Q305" s="142"/>
      <c r="R305" s="142"/>
    </row>
    <row r="306" spans="2:18" x14ac:dyDescent="0.25">
      <c r="B306" s="404"/>
      <c r="C306" s="404"/>
      <c r="D306" s="404"/>
      <c r="E306" s="404"/>
      <c r="F306" s="404"/>
      <c r="G306" s="404"/>
      <c r="I306" t="s">
        <v>350</v>
      </c>
      <c r="J306" s="581">
        <f t="shared" ref="J306:J314" si="46">G247</f>
        <v>3330.449931272407</v>
      </c>
      <c r="K306" s="581"/>
      <c r="L306" s="175">
        <f>I247</f>
        <v>1211.5333163391422</v>
      </c>
      <c r="M306" s="175">
        <f>J306-L306</f>
        <v>2118.916614933265</v>
      </c>
      <c r="N306" t="s">
        <v>204</v>
      </c>
      <c r="O306" s="144"/>
      <c r="Q306" s="173"/>
      <c r="R306" s="173"/>
    </row>
    <row r="307" spans="2:18" x14ac:dyDescent="0.25">
      <c r="I307" t="s">
        <v>24</v>
      </c>
      <c r="J307" s="582">
        <f t="shared" si="46"/>
        <v>0</v>
      </c>
      <c r="K307" s="582"/>
      <c r="L307" s="175">
        <v>0</v>
      </c>
      <c r="M307" s="175">
        <v>0</v>
      </c>
      <c r="N307" t="s">
        <v>36</v>
      </c>
      <c r="Q307" s="164"/>
      <c r="R307" s="12"/>
    </row>
    <row r="308" spans="2:18" x14ac:dyDescent="0.25">
      <c r="E308" s="12" t="s">
        <v>279</v>
      </c>
      <c r="I308" t="s">
        <v>25</v>
      </c>
      <c r="J308" s="582">
        <f t="shared" si="46"/>
        <v>0</v>
      </c>
      <c r="K308" s="582"/>
      <c r="L308" s="175">
        <v>0</v>
      </c>
      <c r="M308" s="175">
        <v>0</v>
      </c>
      <c r="N308" t="s">
        <v>36</v>
      </c>
      <c r="Q308" s="164"/>
      <c r="R308" s="12"/>
    </row>
    <row r="309" spans="2:18" ht="15.95" customHeight="1" x14ac:dyDescent="0.25">
      <c r="C309" s="12" t="s">
        <v>281</v>
      </c>
      <c r="D309" s="395" t="s">
        <v>278</v>
      </c>
      <c r="E309" s="395"/>
      <c r="F309" s="12" t="s">
        <v>280</v>
      </c>
      <c r="I309" t="s">
        <v>26</v>
      </c>
      <c r="J309" s="582">
        <f t="shared" si="46"/>
        <v>33.304499312724069</v>
      </c>
      <c r="K309" s="582"/>
      <c r="L309" s="175">
        <f t="shared" ref="L309" si="47">I250</f>
        <v>12.115333163391423</v>
      </c>
      <c r="M309" s="177">
        <f t="shared" ref="M309" si="48">J309-L309</f>
        <v>21.189166149332646</v>
      </c>
      <c r="N309" t="s">
        <v>36</v>
      </c>
      <c r="Q309" s="164"/>
      <c r="R309" s="12"/>
    </row>
    <row r="310" spans="2:18" x14ac:dyDescent="0.25">
      <c r="D310" s="395"/>
      <c r="E310" s="395"/>
      <c r="I310" t="s">
        <v>27</v>
      </c>
      <c r="J310" s="582">
        <f t="shared" si="46"/>
        <v>0</v>
      </c>
      <c r="K310" s="582"/>
      <c r="L310" s="175">
        <v>0</v>
      </c>
      <c r="M310" s="175">
        <v>0</v>
      </c>
      <c r="N310" t="s">
        <v>36</v>
      </c>
      <c r="Q310" s="164"/>
      <c r="R310" s="12"/>
    </row>
    <row r="311" spans="2:18" x14ac:dyDescent="0.25">
      <c r="E311" s="12" t="s">
        <v>291</v>
      </c>
      <c r="I311" t="s">
        <v>28</v>
      </c>
      <c r="J311" s="582">
        <f>G252</f>
        <v>1.821559656807564</v>
      </c>
      <c r="K311" s="582"/>
      <c r="L311" s="175">
        <f>I252</f>
        <v>0.66263725846751076</v>
      </c>
      <c r="M311" s="177">
        <f>J311-L311</f>
        <v>1.1589223983400534</v>
      </c>
      <c r="N311" t="s">
        <v>36</v>
      </c>
      <c r="Q311" s="164"/>
      <c r="R311" s="12"/>
    </row>
    <row r="312" spans="2:18" x14ac:dyDescent="0.25">
      <c r="I312" t="s">
        <v>351</v>
      </c>
      <c r="J312" s="582">
        <f t="shared" si="46"/>
        <v>0</v>
      </c>
      <c r="K312" s="582"/>
      <c r="L312" s="175">
        <v>0</v>
      </c>
      <c r="M312" s="175">
        <v>0</v>
      </c>
      <c r="N312" t="s">
        <v>36</v>
      </c>
      <c r="Q312" s="164"/>
      <c r="R312" s="12"/>
    </row>
    <row r="313" spans="2:18" x14ac:dyDescent="0.25">
      <c r="I313" t="s">
        <v>352</v>
      </c>
      <c r="J313" s="582">
        <f t="shared" si="46"/>
        <v>0</v>
      </c>
      <c r="K313" s="582"/>
      <c r="L313" s="175">
        <v>0</v>
      </c>
      <c r="M313" s="175">
        <v>0</v>
      </c>
      <c r="N313" t="s">
        <v>36</v>
      </c>
      <c r="Q313" s="164"/>
      <c r="R313" s="12"/>
    </row>
    <row r="314" spans="2:18" x14ac:dyDescent="0.25">
      <c r="I314" s="141" t="s">
        <v>394</v>
      </c>
      <c r="J314" s="583">
        <f t="shared" si="46"/>
        <v>0.01</v>
      </c>
      <c r="K314" s="583"/>
      <c r="L314" s="197">
        <f>J335</f>
        <v>0.01</v>
      </c>
      <c r="M314" s="309">
        <f>J335</f>
        <v>0.01</v>
      </c>
    </row>
    <row r="315" spans="2:18" x14ac:dyDescent="0.25">
      <c r="C315" t="s">
        <v>392</v>
      </c>
      <c r="K315" s="146"/>
    </row>
    <row r="316" spans="2:18" x14ac:dyDescent="0.25">
      <c r="C316" t="s">
        <v>393</v>
      </c>
      <c r="N316" s="156" t="s">
        <v>401</v>
      </c>
    </row>
    <row r="317" spans="2:18" x14ac:dyDescent="0.25">
      <c r="C317" s="161"/>
      <c r="F317" s="161"/>
    </row>
    <row r="318" spans="2:18" ht="15.95" customHeight="1" x14ac:dyDescent="0.25"/>
    <row r="323" spans="2:19" x14ac:dyDescent="0.25">
      <c r="B323" s="404" t="s">
        <v>286</v>
      </c>
      <c r="C323" s="404"/>
      <c r="D323" s="404"/>
      <c r="E323" s="404"/>
      <c r="F323" s="404"/>
      <c r="G323" s="404"/>
      <c r="I323" s="142" t="s">
        <v>23</v>
      </c>
      <c r="J323" t="s">
        <v>291</v>
      </c>
      <c r="K323" t="s">
        <v>287</v>
      </c>
      <c r="L323" t="s">
        <v>290</v>
      </c>
      <c r="M323" t="s">
        <v>289</v>
      </c>
      <c r="N323" s="142" t="s">
        <v>2</v>
      </c>
      <c r="P323" s="142"/>
      <c r="Q323" s="142"/>
      <c r="R323" s="142"/>
    </row>
    <row r="324" spans="2:19" x14ac:dyDescent="0.25">
      <c r="B324" s="404"/>
      <c r="C324" s="404"/>
      <c r="D324" s="404"/>
      <c r="E324" s="404"/>
      <c r="F324" s="404"/>
      <c r="G324" s="404"/>
      <c r="I324" t="s">
        <v>350</v>
      </c>
      <c r="J324" s="175">
        <f>M306</f>
        <v>2118.916614933265</v>
      </c>
      <c r="K324" s="175">
        <f>J324-M324</f>
        <v>2012.9707841866018</v>
      </c>
      <c r="L324" s="288">
        <f>L327/J339</f>
        <v>8.2770180270830648E-5</v>
      </c>
      <c r="M324" s="177">
        <f>J324*J332/M332</f>
        <v>105.94583074666325</v>
      </c>
      <c r="N324" t="s">
        <v>204</v>
      </c>
      <c r="O324" s="144"/>
      <c r="Q324" s="12"/>
      <c r="R324" s="12"/>
    </row>
    <row r="325" spans="2:19" x14ac:dyDescent="0.25">
      <c r="I325" t="s">
        <v>24</v>
      </c>
      <c r="J325" s="177">
        <f t="shared" ref="J325:J331" si="49">M307</f>
        <v>0</v>
      </c>
      <c r="K325" s="235">
        <v>0</v>
      </c>
      <c r="L325" s="373">
        <v>0</v>
      </c>
      <c r="M325" s="235">
        <v>0</v>
      </c>
      <c r="N325" t="s">
        <v>36</v>
      </c>
      <c r="Q325" s="164"/>
      <c r="R325" s="12"/>
    </row>
    <row r="326" spans="2:19" x14ac:dyDescent="0.25">
      <c r="E326" s="12" t="s">
        <v>290</v>
      </c>
      <c r="I326" t="s">
        <v>25</v>
      </c>
      <c r="J326" s="177">
        <f t="shared" si="49"/>
        <v>0</v>
      </c>
      <c r="K326" s="235">
        <v>0</v>
      </c>
      <c r="L326" s="373">
        <v>0</v>
      </c>
      <c r="M326" s="235">
        <v>0</v>
      </c>
      <c r="N326" t="s">
        <v>36</v>
      </c>
      <c r="Q326" s="164"/>
      <c r="R326" s="12"/>
    </row>
    <row r="327" spans="2:19" ht="15.95" customHeight="1" x14ac:dyDescent="0.25">
      <c r="C327" s="12" t="s">
        <v>291</v>
      </c>
      <c r="D327" s="395" t="s">
        <v>286</v>
      </c>
      <c r="E327" s="395"/>
      <c r="F327" s="12" t="s">
        <v>287</v>
      </c>
      <c r="I327" t="s">
        <v>26</v>
      </c>
      <c r="J327" s="177">
        <f t="shared" si="49"/>
        <v>21.189166149332646</v>
      </c>
      <c r="K327" s="177">
        <f t="shared" ref="K327" si="50">J327-M327</f>
        <v>0.95351247671997186</v>
      </c>
      <c r="L327" s="287">
        <f>J327*J336</f>
        <v>0.10594583074666324</v>
      </c>
      <c r="M327" s="177">
        <f>J337*J327+L327</f>
        <v>20.235653672612674</v>
      </c>
      <c r="N327" t="s">
        <v>36</v>
      </c>
      <c r="Q327" s="164"/>
      <c r="R327" s="12"/>
    </row>
    <row r="328" spans="2:19" x14ac:dyDescent="0.25">
      <c r="D328" s="395"/>
      <c r="E328" s="395"/>
      <c r="I328" t="s">
        <v>27</v>
      </c>
      <c r="J328" s="177">
        <f t="shared" si="49"/>
        <v>0</v>
      </c>
      <c r="K328" s="175">
        <v>0</v>
      </c>
      <c r="L328" s="288">
        <v>0</v>
      </c>
      <c r="M328" s="175">
        <v>0</v>
      </c>
      <c r="N328" t="s">
        <v>36</v>
      </c>
      <c r="Q328" s="164"/>
      <c r="R328" s="12"/>
    </row>
    <row r="329" spans="2:19" x14ac:dyDescent="0.25">
      <c r="E329" s="12" t="s">
        <v>289</v>
      </c>
      <c r="I329" t="s">
        <v>28</v>
      </c>
      <c r="J329" s="177">
        <f>M311</f>
        <v>1.1589223983400534</v>
      </c>
      <c r="K329" s="177">
        <f>J329-M329</f>
        <v>1.1589223983400534</v>
      </c>
      <c r="L329" s="288">
        <v>0</v>
      </c>
      <c r="M329" s="177"/>
      <c r="N329" t="s">
        <v>36</v>
      </c>
      <c r="Q329" s="164"/>
      <c r="R329" s="12"/>
    </row>
    <row r="330" spans="2:19" x14ac:dyDescent="0.25">
      <c r="I330" t="s">
        <v>351</v>
      </c>
      <c r="J330" s="175">
        <f t="shared" si="49"/>
        <v>0</v>
      </c>
      <c r="K330" s="175">
        <v>0</v>
      </c>
      <c r="L330" s="288">
        <v>0</v>
      </c>
      <c r="M330" s="175">
        <v>0</v>
      </c>
      <c r="N330" t="s">
        <v>36</v>
      </c>
      <c r="Q330" s="164"/>
      <c r="R330" s="12"/>
      <c r="S330" s="150"/>
    </row>
    <row r="331" spans="2:19" x14ac:dyDescent="0.25">
      <c r="I331" t="s">
        <v>352</v>
      </c>
      <c r="J331" s="177">
        <f t="shared" si="49"/>
        <v>0</v>
      </c>
      <c r="K331" s="175">
        <v>0</v>
      </c>
      <c r="L331" s="288">
        <v>0</v>
      </c>
      <c r="M331" s="175">
        <v>0</v>
      </c>
      <c r="N331" t="s">
        <v>36</v>
      </c>
      <c r="Q331" s="164"/>
      <c r="R331" s="12"/>
    </row>
    <row r="332" spans="2:19" x14ac:dyDescent="0.25">
      <c r="I332" t="s">
        <v>394</v>
      </c>
      <c r="J332" s="310">
        <f>J335</f>
        <v>0.01</v>
      </c>
      <c r="K332" s="165">
        <v>0</v>
      </c>
      <c r="L332" s="310">
        <v>1</v>
      </c>
      <c r="M332" s="197">
        <f>J338</f>
        <v>0.2</v>
      </c>
      <c r="N332" t="s">
        <v>38</v>
      </c>
    </row>
    <row r="333" spans="2:19" x14ac:dyDescent="0.25">
      <c r="J333" s="145"/>
      <c r="K333" s="146"/>
    </row>
    <row r="334" spans="2:19" ht="15.95" customHeight="1" x14ac:dyDescent="0.25">
      <c r="B334" t="s">
        <v>395</v>
      </c>
    </row>
    <row r="335" spans="2:19" x14ac:dyDescent="0.25">
      <c r="B335" t="s">
        <v>537</v>
      </c>
      <c r="J335" s="161">
        <v>0.01</v>
      </c>
      <c r="L335" t="s">
        <v>590</v>
      </c>
    </row>
    <row r="336" spans="2:19" x14ac:dyDescent="0.25">
      <c r="B336" t="s">
        <v>535</v>
      </c>
      <c r="C336" s="161"/>
      <c r="J336" s="162">
        <v>5.0000000000000001E-3</v>
      </c>
      <c r="K336" s="286"/>
      <c r="L336" t="s">
        <v>591</v>
      </c>
    </row>
    <row r="337" spans="2:17" x14ac:dyDescent="0.25">
      <c r="B337" t="s">
        <v>397</v>
      </c>
      <c r="J337" s="161">
        <v>0.95</v>
      </c>
      <c r="L337" t="s">
        <v>592</v>
      </c>
    </row>
    <row r="338" spans="2:17" x14ac:dyDescent="0.25">
      <c r="B338" t="s">
        <v>536</v>
      </c>
      <c r="J338" s="161">
        <v>0.2</v>
      </c>
      <c r="L338" t="s">
        <v>593</v>
      </c>
    </row>
    <row r="339" spans="2:17" x14ac:dyDescent="0.25">
      <c r="B339" t="s">
        <v>539</v>
      </c>
      <c r="J339">
        <v>1280</v>
      </c>
    </row>
    <row r="340" spans="2:17" x14ac:dyDescent="0.25">
      <c r="B340" t="s">
        <v>594</v>
      </c>
    </row>
    <row r="343" spans="2:17" x14ac:dyDescent="0.25">
      <c r="B343" s="404" t="s">
        <v>405</v>
      </c>
      <c r="C343" s="404"/>
      <c r="D343" s="404"/>
      <c r="E343" s="404"/>
      <c r="F343" s="404"/>
      <c r="G343" s="404"/>
      <c r="I343" s="142" t="s">
        <v>23</v>
      </c>
      <c r="J343" t="s">
        <v>282</v>
      </c>
      <c r="K343" t="s">
        <v>287</v>
      </c>
      <c r="L343" t="s">
        <v>288</v>
      </c>
      <c r="M343" s="142" t="s">
        <v>2</v>
      </c>
    </row>
    <row r="344" spans="2:17" x14ac:dyDescent="0.25">
      <c r="B344" s="404"/>
      <c r="C344" s="404"/>
      <c r="D344" s="404"/>
      <c r="E344" s="404"/>
      <c r="F344" s="404"/>
      <c r="G344" s="404"/>
      <c r="I344" t="s">
        <v>350</v>
      </c>
      <c r="J344" s="177">
        <f t="shared" ref="J344:J351" si="51">J247</f>
        <v>0</v>
      </c>
      <c r="K344" s="177">
        <f>K324</f>
        <v>2012.9707841866018</v>
      </c>
      <c r="L344" s="177">
        <f>J344+K344</f>
        <v>2012.9707841866018</v>
      </c>
      <c r="M344" t="s">
        <v>204</v>
      </c>
      <c r="P344" s="142"/>
    </row>
    <row r="345" spans="2:17" x14ac:dyDescent="0.25">
      <c r="I345" t="s">
        <v>24</v>
      </c>
      <c r="J345" s="177">
        <f t="shared" si="51"/>
        <v>0</v>
      </c>
      <c r="K345" s="177">
        <f t="shared" ref="K345:K351" si="52">K325</f>
        <v>0</v>
      </c>
      <c r="L345" s="175">
        <v>0</v>
      </c>
      <c r="M345" t="s">
        <v>36</v>
      </c>
      <c r="P345" s="12"/>
    </row>
    <row r="346" spans="2:17" x14ac:dyDescent="0.25">
      <c r="I346" t="s">
        <v>25</v>
      </c>
      <c r="J346" s="177">
        <f t="shared" si="51"/>
        <v>0</v>
      </c>
      <c r="K346" s="177">
        <f t="shared" si="52"/>
        <v>0</v>
      </c>
      <c r="L346" s="175">
        <v>0</v>
      </c>
      <c r="M346" t="s">
        <v>36</v>
      </c>
      <c r="P346" s="164"/>
    </row>
    <row r="347" spans="2:17" x14ac:dyDescent="0.25">
      <c r="C347" s="139" t="s">
        <v>287</v>
      </c>
      <c r="F347" t="s">
        <v>288</v>
      </c>
      <c r="I347" t="s">
        <v>26</v>
      </c>
      <c r="J347" s="177">
        <f t="shared" si="51"/>
        <v>0</v>
      </c>
      <c r="K347" s="177">
        <f t="shared" si="52"/>
        <v>0.95351247671997186</v>
      </c>
      <c r="L347" s="177">
        <f t="shared" ref="L347" si="53">J347+K347</f>
        <v>0.95351247671997186</v>
      </c>
      <c r="M347" t="s">
        <v>36</v>
      </c>
      <c r="P347" s="164"/>
    </row>
    <row r="348" spans="2:17" x14ac:dyDescent="0.25">
      <c r="E348" s="12" t="s">
        <v>282</v>
      </c>
      <c r="I348" t="s">
        <v>27</v>
      </c>
      <c r="J348" s="177">
        <f t="shared" si="51"/>
        <v>0</v>
      </c>
      <c r="K348" s="177">
        <f t="shared" si="52"/>
        <v>0</v>
      </c>
      <c r="L348" s="175">
        <v>0</v>
      </c>
      <c r="M348" t="s">
        <v>36</v>
      </c>
    </row>
    <row r="349" spans="2:17" x14ac:dyDescent="0.25">
      <c r="F349" s="10"/>
      <c r="I349" t="s">
        <v>28</v>
      </c>
      <c r="J349" s="177">
        <f t="shared" si="51"/>
        <v>0</v>
      </c>
      <c r="K349" s="177">
        <f>K329</f>
        <v>1.1589223983400534</v>
      </c>
      <c r="L349" s="177">
        <f>J349+K349</f>
        <v>1.1589223983400534</v>
      </c>
      <c r="M349" t="s">
        <v>36</v>
      </c>
      <c r="O349" s="139"/>
    </row>
    <row r="350" spans="2:17" x14ac:dyDescent="0.25">
      <c r="I350" t="s">
        <v>351</v>
      </c>
      <c r="J350" s="177">
        <f t="shared" si="51"/>
        <v>0</v>
      </c>
      <c r="K350" s="177">
        <f t="shared" si="52"/>
        <v>0</v>
      </c>
      <c r="L350" s="175">
        <v>0</v>
      </c>
      <c r="M350" t="s">
        <v>36</v>
      </c>
      <c r="Q350" s="12"/>
    </row>
    <row r="351" spans="2:17" x14ac:dyDescent="0.25">
      <c r="I351" t="s">
        <v>352</v>
      </c>
      <c r="J351" s="177">
        <f t="shared" si="51"/>
        <v>0</v>
      </c>
      <c r="K351" s="177">
        <f t="shared" si="52"/>
        <v>0</v>
      </c>
      <c r="L351" s="175">
        <v>0</v>
      </c>
      <c r="M351" t="s">
        <v>36</v>
      </c>
    </row>
    <row r="352" spans="2:17" x14ac:dyDescent="0.25">
      <c r="J352" s="144"/>
      <c r="K352" s="144"/>
      <c r="L352" s="13"/>
      <c r="P352" s="164"/>
    </row>
    <row r="353" spans="2:31" x14ac:dyDescent="0.25">
      <c r="J353" s="145"/>
      <c r="K353" s="146"/>
    </row>
    <row r="354" spans="2:31" x14ac:dyDescent="0.25">
      <c r="B354" t="s">
        <v>406</v>
      </c>
    </row>
    <row r="355" spans="2:31" x14ac:dyDescent="0.25">
      <c r="B355" t="s">
        <v>407</v>
      </c>
    </row>
    <row r="356" spans="2:31" x14ac:dyDescent="0.25">
      <c r="B356" t="s">
        <v>408</v>
      </c>
      <c r="C356" s="161"/>
    </row>
    <row r="358" spans="2:31" x14ac:dyDescent="0.25">
      <c r="AC358" s="12"/>
    </row>
    <row r="359" spans="2:31" x14ac:dyDescent="0.25">
      <c r="AC359" s="12"/>
    </row>
    <row r="363" spans="2:31" ht="16.5" thickBot="1" x14ac:dyDescent="0.3">
      <c r="B363" s="69"/>
      <c r="C363" s="69"/>
      <c r="D363" s="69"/>
      <c r="E363" s="69"/>
      <c r="F363" s="69"/>
      <c r="G363" s="69"/>
      <c r="H363" s="69"/>
      <c r="I363" s="69"/>
      <c r="J363" s="69"/>
      <c r="K363" s="69"/>
      <c r="L363" s="69"/>
      <c r="M363" s="69"/>
      <c r="N363" s="69"/>
      <c r="O363" s="69"/>
      <c r="P363" s="69"/>
      <c r="Q363" s="69"/>
      <c r="R363" s="69"/>
      <c r="S363" s="69"/>
      <c r="T363" s="195"/>
      <c r="U363" s="69"/>
      <c r="V363" s="69"/>
      <c r="W363" s="69"/>
      <c r="X363" s="69"/>
      <c r="Y363" s="69"/>
      <c r="Z363" s="69"/>
      <c r="AA363" s="69"/>
      <c r="AB363" s="69"/>
      <c r="AC363" s="69"/>
      <c r="AD363" s="69"/>
      <c r="AE363" s="69"/>
    </row>
    <row r="364" spans="2:31" x14ac:dyDescent="0.25">
      <c r="T364" s="193"/>
    </row>
    <row r="365" spans="2:31" x14ac:dyDescent="0.25">
      <c r="Q365" t="s">
        <v>382</v>
      </c>
      <c r="T365" s="193"/>
      <c r="V365" s="488" t="s">
        <v>512</v>
      </c>
      <c r="W365" s="507"/>
      <c r="X365" s="507"/>
      <c r="Y365" s="507"/>
      <c r="Z365" s="507"/>
      <c r="AA365" s="507"/>
      <c r="AB365" s="489"/>
      <c r="AC365" s="12"/>
    </row>
    <row r="366" spans="2:31" x14ac:dyDescent="0.25">
      <c r="B366" s="404" t="s">
        <v>53</v>
      </c>
      <c r="C366" s="404"/>
      <c r="D366" s="404"/>
      <c r="E366" s="404"/>
      <c r="F366" s="404"/>
      <c r="G366" s="404"/>
      <c r="I366" s="142" t="s">
        <v>23</v>
      </c>
      <c r="J366" t="s">
        <v>283</v>
      </c>
      <c r="K366" t="s">
        <v>285</v>
      </c>
      <c r="L366" t="s">
        <v>284</v>
      </c>
      <c r="M366" s="142" t="s">
        <v>2</v>
      </c>
      <c r="O366" s="142" t="s">
        <v>23</v>
      </c>
      <c r="P366" s="142" t="s">
        <v>380</v>
      </c>
      <c r="Q366" s="142" t="s">
        <v>285</v>
      </c>
      <c r="R366" s="142" t="s">
        <v>284</v>
      </c>
      <c r="T366" s="193"/>
      <c r="V366" s="401" t="s">
        <v>486</v>
      </c>
      <c r="W366" s="402"/>
      <c r="X366" s="402"/>
      <c r="Y366" s="402"/>
      <c r="Z366" s="402"/>
      <c r="AA366" s="402"/>
      <c r="AB366" s="403"/>
      <c r="AC366" s="12"/>
    </row>
    <row r="367" spans="2:31" x14ac:dyDescent="0.25">
      <c r="B367" s="404"/>
      <c r="C367" s="404"/>
      <c r="D367" s="404"/>
      <c r="E367" s="404"/>
      <c r="F367" s="404"/>
      <c r="G367" s="404"/>
      <c r="I367" t="s">
        <v>350</v>
      </c>
      <c r="J367" s="176">
        <f t="shared" ref="J367:J375" si="54">L158</f>
        <v>23.252175671541536</v>
      </c>
      <c r="K367" s="176">
        <f>J367-L367</f>
        <v>23.245083757961716</v>
      </c>
      <c r="L367" s="285">
        <f>L375/F381</f>
        <v>7.0919135798201693E-3</v>
      </c>
      <c r="M367" t="s">
        <v>204</v>
      </c>
      <c r="O367" t="s">
        <v>350</v>
      </c>
      <c r="P367" s="12" t="s">
        <v>38</v>
      </c>
      <c r="Q367" t="s">
        <v>38</v>
      </c>
      <c r="R367" t="s">
        <v>38</v>
      </c>
      <c r="T367" s="193"/>
      <c r="V367" s="82"/>
      <c r="W367" s="488" t="s">
        <v>283</v>
      </c>
      <c r="X367" s="489"/>
      <c r="Y367" s="488" t="s">
        <v>285</v>
      </c>
      <c r="Z367" s="489"/>
      <c r="AA367" s="488" t="s">
        <v>284</v>
      </c>
      <c r="AB367" s="489"/>
    </row>
    <row r="368" spans="2:31" x14ac:dyDescent="0.25">
      <c r="I368" t="s">
        <v>24</v>
      </c>
      <c r="J368" s="176">
        <f ca="1">L159</f>
        <v>2.2506392224509906</v>
      </c>
      <c r="K368" s="176">
        <f ca="1">$J368*Q368</f>
        <v>2.2506392224509906</v>
      </c>
      <c r="L368" s="175">
        <f ca="1">$J368*F379</f>
        <v>0</v>
      </c>
      <c r="M368" t="s">
        <v>36</v>
      </c>
      <c r="O368" t="s">
        <v>24</v>
      </c>
      <c r="P368" s="164"/>
      <c r="Q368" s="178">
        <f t="shared" ref="Q368:Q369" si="55">1-R368</f>
        <v>1</v>
      </c>
      <c r="R368" s="178">
        <f>F379</f>
        <v>0</v>
      </c>
      <c r="T368" s="193"/>
      <c r="V368" s="82" t="s">
        <v>25</v>
      </c>
      <c r="W368" s="208">
        <f t="shared" ref="W368:W374" si="56">AA157</f>
        <v>1</v>
      </c>
      <c r="X368" s="248">
        <f ca="1">AB157</f>
        <v>9.1040903811602654</v>
      </c>
      <c r="Y368" s="208">
        <f ca="1">Z368/$Z$368</f>
        <v>1</v>
      </c>
      <c r="Z368" s="203">
        <f ca="1">X368</f>
        <v>9.1040903811602654</v>
      </c>
      <c r="AA368" s="208" t="s">
        <v>38</v>
      </c>
      <c r="AB368" s="203" t="str">
        <f>AB375</f>
        <v>-</v>
      </c>
    </row>
    <row r="369" spans="2:31" x14ac:dyDescent="0.25">
      <c r="E369" s="12" t="s">
        <v>283</v>
      </c>
      <c r="I369" t="s">
        <v>25</v>
      </c>
      <c r="J369" s="176">
        <f ca="1">L160</f>
        <v>9.1040903811602654</v>
      </c>
      <c r="K369" s="176">
        <f ca="1">$J369*Q369</f>
        <v>9.1040903811602654</v>
      </c>
      <c r="L369" s="175">
        <f ca="1">$J369*F379</f>
        <v>0</v>
      </c>
      <c r="M369" t="s">
        <v>36</v>
      </c>
      <c r="O369" t="s">
        <v>25</v>
      </c>
      <c r="P369" s="164"/>
      <c r="Q369" s="178">
        <f t="shared" si="55"/>
        <v>1</v>
      </c>
      <c r="R369" s="178">
        <f>F379</f>
        <v>0</v>
      </c>
      <c r="T369" s="193"/>
      <c r="V369" s="82" t="s">
        <v>446</v>
      </c>
      <c r="W369" s="208">
        <f ca="1">AA158</f>
        <v>0.6598360655737705</v>
      </c>
      <c r="X369" s="248">
        <f ca="1">AB158</f>
        <v>6.0072071777327984</v>
      </c>
      <c r="Y369" s="208">
        <f ca="1">Z369/$Z$368</f>
        <v>0.6598360655737705</v>
      </c>
      <c r="Z369" s="203">
        <f ca="1">X369</f>
        <v>6.0072071777327984</v>
      </c>
      <c r="AA369" s="208" t="s">
        <v>38</v>
      </c>
      <c r="AB369" s="203" t="s">
        <v>38</v>
      </c>
      <c r="AC369" t="s">
        <v>471</v>
      </c>
    </row>
    <row r="370" spans="2:31" x14ac:dyDescent="0.25">
      <c r="D370" s="395" t="s">
        <v>53</v>
      </c>
      <c r="E370" s="395"/>
      <c r="F370" s="140" t="s">
        <v>284</v>
      </c>
      <c r="I370" t="s">
        <v>26</v>
      </c>
      <c r="J370" s="176">
        <f t="shared" si="54"/>
        <v>14.183827159640337</v>
      </c>
      <c r="K370" s="177">
        <f>Z381</f>
        <v>2.8367654319280677</v>
      </c>
      <c r="L370" s="176">
        <f>AB381</f>
        <v>11.347061727712271</v>
      </c>
      <c r="M370" t="s">
        <v>36</v>
      </c>
      <c r="O370" t="s">
        <v>26</v>
      </c>
      <c r="P370" s="164"/>
      <c r="Q370" s="178" t="s">
        <v>38</v>
      </c>
      <c r="R370" s="178" t="s">
        <v>38</v>
      </c>
      <c r="T370" s="193"/>
      <c r="V370" s="82" t="s">
        <v>447</v>
      </c>
      <c r="W370" s="208">
        <f ca="1">AA159</f>
        <v>0.3401639344262295</v>
      </c>
      <c r="X370" s="248">
        <f ca="1">AB159</f>
        <v>3.0968832034274674</v>
      </c>
      <c r="Y370" s="208">
        <f ca="1">Z370/$Z$368</f>
        <v>0.3401639344262295</v>
      </c>
      <c r="Z370" s="203">
        <f ca="1">X370</f>
        <v>3.0968832034274674</v>
      </c>
      <c r="AA370" s="208" t="s">
        <v>38</v>
      </c>
      <c r="AB370" s="203" t="str">
        <f>AB375</f>
        <v>-</v>
      </c>
    </row>
    <row r="371" spans="2:31" x14ac:dyDescent="0.25">
      <c r="D371" s="395"/>
      <c r="E371" s="395"/>
      <c r="I371" t="s">
        <v>27</v>
      </c>
      <c r="J371" s="175">
        <f t="shared" si="54"/>
        <v>0</v>
      </c>
      <c r="K371" s="175">
        <v>0</v>
      </c>
      <c r="L371" s="175">
        <v>0</v>
      </c>
      <c r="M371" t="s">
        <v>36</v>
      </c>
      <c r="O371" t="s">
        <v>27</v>
      </c>
      <c r="P371" s="164"/>
      <c r="Q371" s="178" t="s">
        <v>38</v>
      </c>
      <c r="R371" s="178" t="s">
        <v>38</v>
      </c>
      <c r="T371" s="193"/>
      <c r="V371" s="82" t="s">
        <v>448</v>
      </c>
      <c r="W371" s="208">
        <f t="shared" si="56"/>
        <v>0</v>
      </c>
      <c r="X371" s="248">
        <f t="shared" ref="X371:X374" si="57">AB160</f>
        <v>0</v>
      </c>
      <c r="Y371" s="208" t="s">
        <v>38</v>
      </c>
      <c r="Z371" s="203" t="s">
        <v>38</v>
      </c>
      <c r="AA371" s="208" t="s">
        <v>38</v>
      </c>
      <c r="AB371" s="206" t="s">
        <v>38</v>
      </c>
    </row>
    <row r="372" spans="2:31" x14ac:dyDescent="0.25">
      <c r="E372" s="12" t="s">
        <v>285</v>
      </c>
      <c r="I372" t="s">
        <v>28</v>
      </c>
      <c r="J372" s="175">
        <f t="shared" si="54"/>
        <v>0</v>
      </c>
      <c r="K372" s="175">
        <v>0</v>
      </c>
      <c r="L372" s="175">
        <v>0</v>
      </c>
      <c r="M372" t="s">
        <v>36</v>
      </c>
      <c r="O372" t="s">
        <v>28</v>
      </c>
      <c r="P372" s="164"/>
      <c r="Q372" s="178" t="s">
        <v>38</v>
      </c>
      <c r="R372" s="178" t="s">
        <v>38</v>
      </c>
      <c r="T372" s="193"/>
      <c r="V372" s="82" t="s">
        <v>449</v>
      </c>
      <c r="W372" s="208">
        <f ca="1">AA161</f>
        <v>1</v>
      </c>
      <c r="X372" s="248">
        <f ca="1">AB161</f>
        <v>9.1040903811602654</v>
      </c>
      <c r="Y372" s="208">
        <f ca="1">Z372/$Z$368</f>
        <v>1</v>
      </c>
      <c r="Z372" s="203">
        <f ca="1">X372</f>
        <v>9.1040903811602654</v>
      </c>
      <c r="AA372" s="208" t="s">
        <v>38</v>
      </c>
      <c r="AB372" s="203" t="str">
        <f>AB375</f>
        <v>-</v>
      </c>
      <c r="AC372" t="s">
        <v>472</v>
      </c>
    </row>
    <row r="373" spans="2:31" x14ac:dyDescent="0.25">
      <c r="I373" t="s">
        <v>351</v>
      </c>
      <c r="J373" s="175">
        <f t="shared" si="54"/>
        <v>0</v>
      </c>
      <c r="K373" s="175">
        <v>0</v>
      </c>
      <c r="L373" s="175">
        <v>0</v>
      </c>
      <c r="M373" t="s">
        <v>36</v>
      </c>
      <c r="O373" t="s">
        <v>351</v>
      </c>
      <c r="P373" s="164"/>
      <c r="Q373" s="178" t="s">
        <v>38</v>
      </c>
      <c r="R373" s="178" t="s">
        <v>38</v>
      </c>
      <c r="T373" s="193"/>
      <c r="V373" s="82" t="s">
        <v>450</v>
      </c>
      <c r="W373" s="208">
        <f t="shared" si="56"/>
        <v>0</v>
      </c>
      <c r="X373" s="248">
        <f t="shared" si="57"/>
        <v>0</v>
      </c>
      <c r="Y373" s="208" t="s">
        <v>38</v>
      </c>
      <c r="Z373" s="203" t="s">
        <v>38</v>
      </c>
      <c r="AA373" s="208" t="s">
        <v>38</v>
      </c>
      <c r="AB373" s="206" t="s">
        <v>38</v>
      </c>
    </row>
    <row r="374" spans="2:31" x14ac:dyDescent="0.25">
      <c r="I374" t="s">
        <v>352</v>
      </c>
      <c r="J374" s="175">
        <f t="shared" si="54"/>
        <v>0</v>
      </c>
      <c r="K374" s="175">
        <v>0</v>
      </c>
      <c r="L374" s="175">
        <v>0</v>
      </c>
      <c r="M374" t="s">
        <v>36</v>
      </c>
      <c r="O374" t="s">
        <v>352</v>
      </c>
      <c r="P374" s="164"/>
      <c r="Q374" s="178" t="s">
        <v>38</v>
      </c>
      <c r="R374" s="178" t="s">
        <v>38</v>
      </c>
      <c r="T374" s="193"/>
      <c r="V374" s="82" t="s">
        <v>451</v>
      </c>
      <c r="W374" s="208">
        <f t="shared" si="56"/>
        <v>0</v>
      </c>
      <c r="X374" s="248">
        <f t="shared" si="57"/>
        <v>0</v>
      </c>
      <c r="Y374" s="208" t="s">
        <v>38</v>
      </c>
      <c r="Z374" s="203" t="s">
        <v>38</v>
      </c>
      <c r="AA374" s="208" t="s">
        <v>38</v>
      </c>
      <c r="AB374" s="206" t="s">
        <v>38</v>
      </c>
      <c r="AC374" t="s">
        <v>471</v>
      </c>
    </row>
    <row r="375" spans="2:31" x14ac:dyDescent="0.25">
      <c r="I375" s="141" t="s">
        <v>498</v>
      </c>
      <c r="J375" s="277">
        <f t="shared" si="54"/>
        <v>11.347061727712271</v>
      </c>
      <c r="K375" s="176">
        <f>$J375-L375</f>
        <v>0</v>
      </c>
      <c r="L375" s="176">
        <f t="shared" ref="L375" si="58">$J375*R375</f>
        <v>11.347061727712271</v>
      </c>
      <c r="M375" t="s">
        <v>36</v>
      </c>
      <c r="N375" s="149"/>
      <c r="O375" s="247" t="s">
        <v>210</v>
      </c>
      <c r="P375" s="161"/>
      <c r="Q375" s="178">
        <f>1-R375</f>
        <v>0</v>
      </c>
      <c r="R375" s="178">
        <f>F380</f>
        <v>1</v>
      </c>
      <c r="T375" s="193"/>
      <c r="V375" s="82" t="s">
        <v>452</v>
      </c>
      <c r="W375" s="208">
        <f ca="1">AA164</f>
        <v>0.3401639344262295</v>
      </c>
      <c r="X375" s="248">
        <f ca="1">AB164</f>
        <v>3.0968832034274674</v>
      </c>
      <c r="Y375" s="208">
        <f ca="1">Z375/$Z$368</f>
        <v>0.3401639344262295</v>
      </c>
      <c r="Z375" s="203">
        <f ca="1">X375</f>
        <v>3.0968832034274674</v>
      </c>
      <c r="AA375" s="208" t="s">
        <v>38</v>
      </c>
      <c r="AB375" s="203" t="s">
        <v>38</v>
      </c>
    </row>
    <row r="376" spans="2:31" x14ac:dyDescent="0.25">
      <c r="B376" t="s">
        <v>379</v>
      </c>
      <c r="K376" s="146"/>
      <c r="L376" s="146"/>
      <c r="N376" s="150"/>
      <c r="O376" s="150"/>
      <c r="T376" s="193"/>
      <c r="V376" s="92" t="s">
        <v>453</v>
      </c>
      <c r="W376" s="210">
        <f ca="1">AA165</f>
        <v>0.6598360655737705</v>
      </c>
      <c r="X376" s="218">
        <f ca="1">AB165</f>
        <v>6.0072071777327984</v>
      </c>
      <c r="Y376" s="210">
        <f ca="1">Z376/$Z$368</f>
        <v>0.6598360655737705</v>
      </c>
      <c r="Z376" s="218">
        <f ca="1">X376</f>
        <v>6.0072071777327984</v>
      </c>
      <c r="AA376" s="210" t="s">
        <v>38</v>
      </c>
      <c r="AB376" s="218" t="s">
        <v>38</v>
      </c>
      <c r="AC376" t="s">
        <v>502</v>
      </c>
    </row>
    <row r="377" spans="2:31" x14ac:dyDescent="0.25">
      <c r="B377" t="s">
        <v>409</v>
      </c>
      <c r="N377" s="150"/>
      <c r="O377" s="150"/>
      <c r="T377" s="193"/>
    </row>
    <row r="378" spans="2:31" x14ac:dyDescent="0.25">
      <c r="N378" s="150"/>
      <c r="O378" s="150"/>
      <c r="T378" s="193"/>
      <c r="V378" s="488" t="s">
        <v>513</v>
      </c>
      <c r="W378" s="507"/>
      <c r="X378" s="507"/>
      <c r="Y378" s="507"/>
      <c r="Z378" s="507"/>
      <c r="AA378" s="507"/>
      <c r="AB378" s="489"/>
      <c r="AC378" s="12"/>
    </row>
    <row r="379" spans="2:31" x14ac:dyDescent="0.25">
      <c r="B379" t="s">
        <v>514</v>
      </c>
      <c r="E379" s="161"/>
      <c r="F379" s="161">
        <v>0</v>
      </c>
      <c r="T379" s="193"/>
      <c r="V379" s="401" t="s">
        <v>486</v>
      </c>
      <c r="W379" s="402"/>
      <c r="X379" s="402"/>
      <c r="Y379" s="402"/>
      <c r="Z379" s="402"/>
      <c r="AA379" s="402"/>
      <c r="AB379" s="403"/>
      <c r="AC379" s="12"/>
    </row>
    <row r="380" spans="2:31" x14ac:dyDescent="0.25">
      <c r="B380" t="s">
        <v>515</v>
      </c>
      <c r="F380" s="161">
        <v>1</v>
      </c>
      <c r="T380" s="193"/>
      <c r="V380" s="82"/>
      <c r="W380" s="488" t="s">
        <v>283</v>
      </c>
      <c r="X380" s="489"/>
      <c r="Y380" s="488" t="s">
        <v>285</v>
      </c>
      <c r="Z380" s="489"/>
      <c r="AA380" s="488" t="s">
        <v>284</v>
      </c>
      <c r="AB380" s="489"/>
    </row>
    <row r="381" spans="2:31" x14ac:dyDescent="0.25">
      <c r="B381" t="s">
        <v>434</v>
      </c>
      <c r="F381">
        <v>1600</v>
      </c>
      <c r="G381" t="s">
        <v>435</v>
      </c>
      <c r="T381" s="193"/>
      <c r="V381" s="82" t="s">
        <v>26</v>
      </c>
      <c r="W381" s="273">
        <f t="shared" ref="W381:X383" si="59">AA170</f>
        <v>1</v>
      </c>
      <c r="X381" s="274">
        <f t="shared" si="59"/>
        <v>14.183827159640337</v>
      </c>
      <c r="Y381" s="204">
        <v>1</v>
      </c>
      <c r="Z381" s="203">
        <f>Z382+Z383</f>
        <v>2.8367654319280677</v>
      </c>
      <c r="AA381" s="273">
        <v>1</v>
      </c>
      <c r="AB381" s="203">
        <f>AB382+AB383</f>
        <v>11.347061727712271</v>
      </c>
    </row>
    <row r="382" spans="2:31" x14ac:dyDescent="0.25">
      <c r="T382" s="193"/>
      <c r="V382" s="82" t="s">
        <v>495</v>
      </c>
      <c r="W382" s="273">
        <f t="shared" si="59"/>
        <v>0.8</v>
      </c>
      <c r="X382" s="274">
        <f t="shared" si="59"/>
        <v>11.347061727712271</v>
      </c>
      <c r="Y382" s="204">
        <f>Z382/Z381</f>
        <v>0</v>
      </c>
      <c r="Z382" s="203">
        <f>X382*(1-F380)</f>
        <v>0</v>
      </c>
      <c r="AA382" s="273">
        <f>AB382/AB381</f>
        <v>1</v>
      </c>
      <c r="AB382" s="203">
        <f>X382*F380</f>
        <v>11.347061727712271</v>
      </c>
      <c r="AC382" t="s">
        <v>528</v>
      </c>
    </row>
    <row r="383" spans="2:31" x14ac:dyDescent="0.25">
      <c r="T383" s="193"/>
      <c r="V383" s="92" t="s">
        <v>476</v>
      </c>
      <c r="W383" s="275">
        <f t="shared" si="59"/>
        <v>0.2</v>
      </c>
      <c r="X383" s="276">
        <f t="shared" si="59"/>
        <v>2.8367654319280677</v>
      </c>
      <c r="Y383" s="212">
        <f>Z383/Z381</f>
        <v>1</v>
      </c>
      <c r="Z383" s="218">
        <f>X383*(1-F379)</f>
        <v>2.8367654319280677</v>
      </c>
      <c r="AA383" s="275">
        <f>AB383/AB381</f>
        <v>0</v>
      </c>
      <c r="AB383" s="218">
        <f>X383*F379</f>
        <v>0</v>
      </c>
      <c r="AC383" t="s">
        <v>529</v>
      </c>
    </row>
    <row r="384" spans="2:31" ht="16.5" thickBot="1" x14ac:dyDescent="0.3">
      <c r="B384" s="269"/>
      <c r="C384" s="269"/>
      <c r="D384" s="269"/>
      <c r="E384" s="269"/>
      <c r="F384" s="269"/>
      <c r="G384" s="269"/>
      <c r="H384" s="269"/>
      <c r="I384" s="269"/>
      <c r="J384" s="269"/>
      <c r="K384" s="269"/>
      <c r="L384" s="269"/>
      <c r="M384" s="269"/>
      <c r="N384" s="278"/>
      <c r="O384" s="269"/>
      <c r="P384" s="269"/>
      <c r="Q384" s="269"/>
      <c r="R384" s="269"/>
      <c r="S384" s="269"/>
      <c r="T384" s="270"/>
      <c r="U384" s="269"/>
      <c r="V384" s="269"/>
      <c r="W384" s="269"/>
      <c r="X384" s="269"/>
      <c r="Y384" s="269"/>
      <c r="Z384" s="269"/>
      <c r="AA384" s="269"/>
      <c r="AB384" s="269"/>
      <c r="AC384" s="269"/>
      <c r="AD384" s="269"/>
      <c r="AE384" s="269"/>
    </row>
    <row r="385" spans="2:20" ht="16.5" thickTop="1" x14ac:dyDescent="0.25">
      <c r="T385" s="193"/>
    </row>
    <row r="386" spans="2:20" x14ac:dyDescent="0.25">
      <c r="T386" s="193"/>
    </row>
    <row r="387" spans="2:20" x14ac:dyDescent="0.25">
      <c r="T387" s="193"/>
    </row>
    <row r="390" spans="2:20" ht="15.95" customHeight="1" x14ac:dyDescent="0.25">
      <c r="D390" s="377"/>
      <c r="E390" s="377"/>
      <c r="F390" s="377"/>
      <c r="G390" s="377"/>
      <c r="H390" s="377"/>
      <c r="I390" s="377"/>
      <c r="J390" s="377"/>
      <c r="K390" s="377"/>
      <c r="L390" s="377"/>
    </row>
    <row r="391" spans="2:20" ht="15.95" customHeight="1" x14ac:dyDescent="0.25">
      <c r="D391" s="377"/>
      <c r="E391" s="377"/>
      <c r="F391" s="377"/>
      <c r="G391" s="377"/>
      <c r="H391" s="377"/>
      <c r="I391" s="377"/>
      <c r="J391" s="377"/>
      <c r="K391" s="377"/>
      <c r="L391" s="377"/>
    </row>
    <row r="392" spans="2:20" ht="15.95" customHeight="1" x14ac:dyDescent="0.25">
      <c r="D392" s="377"/>
      <c r="E392" s="377"/>
      <c r="F392" s="377"/>
      <c r="G392" s="377"/>
      <c r="H392" s="377"/>
      <c r="I392" s="377"/>
      <c r="J392" s="377"/>
      <c r="K392" s="377"/>
      <c r="L392" s="377"/>
    </row>
    <row r="393" spans="2:20" x14ac:dyDescent="0.25">
      <c r="B393" s="404" t="s">
        <v>104</v>
      </c>
      <c r="C393" s="404"/>
      <c r="D393" s="404"/>
      <c r="E393" s="404"/>
      <c r="F393" s="404"/>
      <c r="G393" s="404"/>
      <c r="I393" s="243" t="s">
        <v>23</v>
      </c>
      <c r="J393" s="25" t="s">
        <v>285</v>
      </c>
      <c r="K393" s="25" t="s">
        <v>288</v>
      </c>
      <c r="L393" s="25" t="s">
        <v>292</v>
      </c>
      <c r="M393" s="244" t="s">
        <v>2</v>
      </c>
    </row>
    <row r="394" spans="2:20" x14ac:dyDescent="0.25">
      <c r="B394" s="404"/>
      <c r="C394" s="404"/>
      <c r="D394" s="404"/>
      <c r="E394" s="404"/>
      <c r="F394" s="404"/>
      <c r="G394" s="404"/>
      <c r="I394" s="82" t="s">
        <v>350</v>
      </c>
      <c r="J394" s="245">
        <f>K367</f>
        <v>23.245083757961716</v>
      </c>
      <c r="K394" s="245">
        <f t="shared" ref="K394:K401" si="60">L344</f>
        <v>2012.9707841866018</v>
      </c>
      <c r="L394" s="245">
        <f>J394+K394</f>
        <v>2036.2158679445636</v>
      </c>
      <c r="M394" s="87" t="s">
        <v>204</v>
      </c>
      <c r="N394" s="293">
        <v>285.68067694789715</v>
      </c>
    </row>
    <row r="395" spans="2:20" x14ac:dyDescent="0.25">
      <c r="I395" s="82" t="s">
        <v>24</v>
      </c>
      <c r="J395" s="245">
        <f ca="1">K368</f>
        <v>2.2506392224509906</v>
      </c>
      <c r="K395" s="245">
        <f t="shared" si="60"/>
        <v>0</v>
      </c>
      <c r="L395" s="245">
        <f ca="1">J395+K395</f>
        <v>2.2506392224509906</v>
      </c>
      <c r="M395" s="87" t="s">
        <v>36</v>
      </c>
      <c r="N395" s="293">
        <v>2.2506392224509915</v>
      </c>
    </row>
    <row r="396" spans="2:20" x14ac:dyDescent="0.25">
      <c r="E396" s="12" t="s">
        <v>285</v>
      </c>
      <c r="F396" s="10"/>
      <c r="I396" s="82" t="s">
        <v>25</v>
      </c>
      <c r="J396" s="245">
        <f ca="1">K369</f>
        <v>9.1040903811602654</v>
      </c>
      <c r="K396" s="245">
        <f t="shared" si="60"/>
        <v>0</v>
      </c>
      <c r="L396" s="245">
        <f ca="1">J396+K396</f>
        <v>9.1040903811602654</v>
      </c>
      <c r="M396" s="87" t="s">
        <v>36</v>
      </c>
      <c r="N396" s="293">
        <v>9.1040903811602689</v>
      </c>
    </row>
    <row r="397" spans="2:20" x14ac:dyDescent="0.25">
      <c r="C397" s="12" t="s">
        <v>288</v>
      </c>
      <c r="D397" s="395" t="s">
        <v>104</v>
      </c>
      <c r="E397" s="395"/>
      <c r="F397" s="10" t="s">
        <v>292</v>
      </c>
      <c r="I397" s="82" t="s">
        <v>26</v>
      </c>
      <c r="J397" s="245">
        <f t="shared" ref="J397:J401" si="61">K370</f>
        <v>2.8367654319280677</v>
      </c>
      <c r="K397" s="245">
        <f t="shared" si="60"/>
        <v>0.95351247671997186</v>
      </c>
      <c r="L397" s="374">
        <v>3.7902</v>
      </c>
      <c r="M397" s="87" t="s">
        <v>36</v>
      </c>
      <c r="N397" s="293">
        <v>2.9156</v>
      </c>
      <c r="O397" s="392">
        <f>J397+K397</f>
        <v>3.7902779086480396</v>
      </c>
    </row>
    <row r="398" spans="2:20" x14ac:dyDescent="0.25">
      <c r="D398" s="395"/>
      <c r="E398" s="395"/>
      <c r="F398" s="10"/>
      <c r="I398" s="82" t="s">
        <v>27</v>
      </c>
      <c r="J398" s="245">
        <f t="shared" si="61"/>
        <v>0</v>
      </c>
      <c r="K398" s="245">
        <f t="shared" si="60"/>
        <v>0</v>
      </c>
      <c r="L398" s="245">
        <f>J398+K398</f>
        <v>0</v>
      </c>
      <c r="M398" s="87" t="s">
        <v>36</v>
      </c>
      <c r="N398" s="144">
        <v>0</v>
      </c>
      <c r="P398" t="s">
        <v>730</v>
      </c>
    </row>
    <row r="399" spans="2:20" x14ac:dyDescent="0.25">
      <c r="F399" s="10"/>
      <c r="I399" s="82" t="s">
        <v>28</v>
      </c>
      <c r="J399" s="245">
        <f t="shared" si="61"/>
        <v>0</v>
      </c>
      <c r="K399" s="245">
        <f>L349</f>
        <v>1.1589223983400534</v>
      </c>
      <c r="L399" s="374">
        <v>1.1588000000000001</v>
      </c>
      <c r="M399" s="87" t="s">
        <v>36</v>
      </c>
      <c r="N399" s="293">
        <v>0.17601983113984576</v>
      </c>
      <c r="O399" s="392">
        <f>J399+K399</f>
        <v>1.1589223983400534</v>
      </c>
    </row>
    <row r="400" spans="2:20" x14ac:dyDescent="0.25">
      <c r="I400" s="82" t="s">
        <v>351</v>
      </c>
      <c r="J400" s="245">
        <f t="shared" si="61"/>
        <v>0</v>
      </c>
      <c r="K400" s="245">
        <f t="shared" si="60"/>
        <v>0</v>
      </c>
      <c r="L400" s="245">
        <f>J400+K400</f>
        <v>0</v>
      </c>
      <c r="M400" s="87" t="s">
        <v>36</v>
      </c>
      <c r="N400" s="144">
        <v>0</v>
      </c>
    </row>
    <row r="401" spans="2:16" x14ac:dyDescent="0.25">
      <c r="I401" s="92" t="s">
        <v>352</v>
      </c>
      <c r="J401" s="246">
        <f t="shared" si="61"/>
        <v>0</v>
      </c>
      <c r="K401" s="246">
        <f t="shared" si="60"/>
        <v>0</v>
      </c>
      <c r="L401" s="246">
        <f>J401+K401</f>
        <v>0</v>
      </c>
      <c r="M401" s="94" t="s">
        <v>36</v>
      </c>
      <c r="N401" s="144">
        <v>0</v>
      </c>
      <c r="P401" s="180"/>
    </row>
    <row r="402" spans="2:16" x14ac:dyDescent="0.25">
      <c r="P402" s="180"/>
    </row>
    <row r="404" spans="2:16" x14ac:dyDescent="0.25">
      <c r="B404" t="s">
        <v>402</v>
      </c>
    </row>
    <row r="405" spans="2:16" x14ac:dyDescent="0.25">
      <c r="B405" t="s">
        <v>403</v>
      </c>
    </row>
    <row r="406" spans="2:16" x14ac:dyDescent="0.25">
      <c r="B406" t="s">
        <v>404</v>
      </c>
      <c r="C406" s="161"/>
    </row>
  </sheetData>
  <mergeCells count="424">
    <mergeCell ref="X128:Y128"/>
    <mergeCell ref="N214:O214"/>
    <mergeCell ref="P214:Q214"/>
    <mergeCell ref="L260:M260"/>
    <mergeCell ref="C238:D239"/>
    <mergeCell ref="F238:G239"/>
    <mergeCell ref="I238:J239"/>
    <mergeCell ref="G246:H246"/>
    <mergeCell ref="K254:L254"/>
    <mergeCell ref="G247:H247"/>
    <mergeCell ref="G248:H248"/>
    <mergeCell ref="G249:H249"/>
    <mergeCell ref="G250:H250"/>
    <mergeCell ref="G252:H252"/>
    <mergeCell ref="G253:H253"/>
    <mergeCell ref="G254:H254"/>
    <mergeCell ref="K246:L246"/>
    <mergeCell ref="K247:L247"/>
    <mergeCell ref="K248:L248"/>
    <mergeCell ref="K249:L249"/>
    <mergeCell ref="K250:L250"/>
    <mergeCell ref="K251:L251"/>
    <mergeCell ref="K252:L252"/>
    <mergeCell ref="K253:L253"/>
    <mergeCell ref="X120:Y120"/>
    <mergeCell ref="X121:Y121"/>
    <mergeCell ref="X122:Y122"/>
    <mergeCell ref="X123:Y123"/>
    <mergeCell ref="X124:Y124"/>
    <mergeCell ref="V126:AA126"/>
    <mergeCell ref="V127:W127"/>
    <mergeCell ref="X127:Y127"/>
    <mergeCell ref="Z127:AA127"/>
    <mergeCell ref="G251:H251"/>
    <mergeCell ref="D397:E398"/>
    <mergeCell ref="B343:G344"/>
    <mergeCell ref="D327:E328"/>
    <mergeCell ref="B366:G367"/>
    <mergeCell ref="B290:G291"/>
    <mergeCell ref="D294:E295"/>
    <mergeCell ref="M289:N289"/>
    <mergeCell ref="G255:H255"/>
    <mergeCell ref="D370:E371"/>
    <mergeCell ref="B393:G394"/>
    <mergeCell ref="B305:G306"/>
    <mergeCell ref="D309:E310"/>
    <mergeCell ref="J305:K305"/>
    <mergeCell ref="J306:K306"/>
    <mergeCell ref="J307:K307"/>
    <mergeCell ref="J308:K308"/>
    <mergeCell ref="J309:K309"/>
    <mergeCell ref="J310:K310"/>
    <mergeCell ref="J311:K311"/>
    <mergeCell ref="J312:K312"/>
    <mergeCell ref="J313:K313"/>
    <mergeCell ref="B323:G324"/>
    <mergeCell ref="J314:K314"/>
    <mergeCell ref="AE7:AF7"/>
    <mergeCell ref="AN59:AO59"/>
    <mergeCell ref="I68:J69"/>
    <mergeCell ref="O68:P69"/>
    <mergeCell ref="I60:J61"/>
    <mergeCell ref="AN58:AO58"/>
    <mergeCell ref="B118:G119"/>
    <mergeCell ref="AA6:AB6"/>
    <mergeCell ref="B49:Q51"/>
    <mergeCell ref="C55:D56"/>
    <mergeCell ref="F55:G56"/>
    <mergeCell ref="I55:J56"/>
    <mergeCell ref="L55:M56"/>
    <mergeCell ref="O55:P56"/>
    <mergeCell ref="R55:S56"/>
    <mergeCell ref="U55:V56"/>
    <mergeCell ref="X55:Y56"/>
    <mergeCell ref="AA55:AB56"/>
    <mergeCell ref="U60:V61"/>
    <mergeCell ref="V80:AC88"/>
    <mergeCell ref="V115:AA115"/>
    <mergeCell ref="V116:W116"/>
    <mergeCell ref="X116:Y116"/>
    <mergeCell ref="Z116:AA116"/>
    <mergeCell ref="B234:G235"/>
    <mergeCell ref="W177:X177"/>
    <mergeCell ref="W178:X178"/>
    <mergeCell ref="V176:X176"/>
    <mergeCell ref="Z128:AA128"/>
    <mergeCell ref="Z129:AA129"/>
    <mergeCell ref="BB49:BG57"/>
    <mergeCell ref="AG65:AI65"/>
    <mergeCell ref="AE40:AG41"/>
    <mergeCell ref="AH40:AH41"/>
    <mergeCell ref="AK65:AM65"/>
    <mergeCell ref="AN49:AT49"/>
    <mergeCell ref="AN50:AO50"/>
    <mergeCell ref="AN51:AO51"/>
    <mergeCell ref="AN52:AO52"/>
    <mergeCell ref="AN53:AO53"/>
    <mergeCell ref="AN54:AO54"/>
    <mergeCell ref="AN55:AO55"/>
    <mergeCell ref="AN56:AO56"/>
    <mergeCell ref="AN57:AO57"/>
    <mergeCell ref="AG49:AL49"/>
    <mergeCell ref="X125:Y125"/>
    <mergeCell ref="Z117:AA117"/>
    <mergeCell ref="Z125:AA125"/>
    <mergeCell ref="X117:Y117"/>
    <mergeCell ref="X118:Y118"/>
    <mergeCell ref="X119:Y119"/>
    <mergeCell ref="D122:E123"/>
    <mergeCell ref="B183:G184"/>
    <mergeCell ref="D187:E188"/>
    <mergeCell ref="B214:G215"/>
    <mergeCell ref="D218:E219"/>
    <mergeCell ref="X148:Y148"/>
    <mergeCell ref="X147:Y147"/>
    <mergeCell ref="X146:Y146"/>
    <mergeCell ref="O178:S180"/>
    <mergeCell ref="W185:X185"/>
    <mergeCell ref="Y185:Z185"/>
    <mergeCell ref="W198:X198"/>
    <mergeCell ref="Y198:Z198"/>
    <mergeCell ref="Z118:AA118"/>
    <mergeCell ref="Z119:AA119"/>
    <mergeCell ref="Z120:AA120"/>
    <mergeCell ref="Z121:AA121"/>
    <mergeCell ref="Z122:AA122"/>
    <mergeCell ref="Z123:AA123"/>
    <mergeCell ref="Z124:AA124"/>
    <mergeCell ref="B133:G134"/>
    <mergeCell ref="O176:P176"/>
    <mergeCell ref="O175:P175"/>
    <mergeCell ref="O174:P174"/>
    <mergeCell ref="V168:AD168"/>
    <mergeCell ref="AC169:AD169"/>
    <mergeCell ref="AA169:AB169"/>
    <mergeCell ref="Y169:Z169"/>
    <mergeCell ref="W169:X169"/>
    <mergeCell ref="V167:AD167"/>
    <mergeCell ref="Z175:AD175"/>
    <mergeCell ref="D161:E162"/>
    <mergeCell ref="X145:Y145"/>
    <mergeCell ref="X140:Y140"/>
    <mergeCell ref="X141:Y141"/>
    <mergeCell ref="X142:Y142"/>
    <mergeCell ref="V145:W145"/>
    <mergeCell ref="Z130:AA130"/>
    <mergeCell ref="AC156:AD156"/>
    <mergeCell ref="AA156:AB156"/>
    <mergeCell ref="Y156:Z156"/>
    <mergeCell ref="W156:X156"/>
    <mergeCell ref="V155:AD155"/>
    <mergeCell ref="V154:AD154"/>
    <mergeCell ref="V366:AB366"/>
    <mergeCell ref="V378:AB378"/>
    <mergeCell ref="V379:AB379"/>
    <mergeCell ref="AA380:AB380"/>
    <mergeCell ref="Y380:Z380"/>
    <mergeCell ref="W380:X380"/>
    <mergeCell ref="AA367:AB367"/>
    <mergeCell ref="Y367:Z367"/>
    <mergeCell ref="W367:X367"/>
    <mergeCell ref="V365:AB365"/>
    <mergeCell ref="AA185:AB185"/>
    <mergeCell ref="AA198:AB198"/>
    <mergeCell ref="Z259:AA259"/>
    <mergeCell ref="X259:Y259"/>
    <mergeCell ref="V259:W259"/>
    <mergeCell ref="Z265:AA265"/>
    <mergeCell ref="Z264:AA264"/>
    <mergeCell ref="Z263:AA263"/>
    <mergeCell ref="Z262:AA262"/>
    <mergeCell ref="Z261:AA261"/>
    <mergeCell ref="Z260:AA260"/>
    <mergeCell ref="X260:Y260"/>
    <mergeCell ref="X261:Y261"/>
    <mergeCell ref="X262:Y262"/>
    <mergeCell ref="X263:Y263"/>
    <mergeCell ref="X264:Y264"/>
    <mergeCell ref="X265:Y265"/>
    <mergeCell ref="Z268:AA268"/>
    <mergeCell ref="Z269:AA269"/>
    <mergeCell ref="Z270:AA270"/>
    <mergeCell ref="Z271:AA271"/>
    <mergeCell ref="Z272:AA272"/>
    <mergeCell ref="Z273:AA273"/>
    <mergeCell ref="AB285:AC285"/>
    <mergeCell ref="AB286:AC286"/>
    <mergeCell ref="AB287:AC287"/>
    <mergeCell ref="AB288:AC288"/>
    <mergeCell ref="Z274:AA274"/>
    <mergeCell ref="AB274:AC274"/>
    <mergeCell ref="AH262:AL262"/>
    <mergeCell ref="AH263:AL263"/>
    <mergeCell ref="V271:W271"/>
    <mergeCell ref="X271:Y271"/>
    <mergeCell ref="V272:W272"/>
    <mergeCell ref="X274:Y274"/>
    <mergeCell ref="V273:W273"/>
    <mergeCell ref="X273:Y273"/>
    <mergeCell ref="V274:W274"/>
    <mergeCell ref="V282:AE283"/>
    <mergeCell ref="V286:W286"/>
    <mergeCell ref="V265:W265"/>
    <mergeCell ref="V264:W264"/>
    <mergeCell ref="V263:W263"/>
    <mergeCell ref="V268:W268"/>
    <mergeCell ref="X268:Y268"/>
    <mergeCell ref="V269:W269"/>
    <mergeCell ref="X269:Y269"/>
    <mergeCell ref="AH259:AL259"/>
    <mergeCell ref="AH268:AL268"/>
    <mergeCell ref="AH265:AL265"/>
    <mergeCell ref="AH260:AL260"/>
    <mergeCell ref="AD258:AE258"/>
    <mergeCell ref="AH269:AL269"/>
    <mergeCell ref="AH266:AL266"/>
    <mergeCell ref="AB258:AC258"/>
    <mergeCell ref="AD268:AE268"/>
    <mergeCell ref="O261:Q261"/>
    <mergeCell ref="V275:W275"/>
    <mergeCell ref="X275:Y275"/>
    <mergeCell ref="Z275:AA275"/>
    <mergeCell ref="AB275:AC275"/>
    <mergeCell ref="AD275:AE275"/>
    <mergeCell ref="V266:W266"/>
    <mergeCell ref="X266:Y266"/>
    <mergeCell ref="Z266:AA266"/>
    <mergeCell ref="X272:Y272"/>
    <mergeCell ref="AD269:AE269"/>
    <mergeCell ref="AD270:AE270"/>
    <mergeCell ref="AD271:AE271"/>
    <mergeCell ref="AD272:AE272"/>
    <mergeCell ref="AD273:AE273"/>
    <mergeCell ref="AD274:AE274"/>
    <mergeCell ref="AB268:AC268"/>
    <mergeCell ref="AB269:AC269"/>
    <mergeCell ref="AB270:AC270"/>
    <mergeCell ref="AB271:AC271"/>
    <mergeCell ref="AB272:AC272"/>
    <mergeCell ref="AB273:AC273"/>
    <mergeCell ref="V270:W270"/>
    <mergeCell ref="X270:Y270"/>
    <mergeCell ref="AI7:AJ7"/>
    <mergeCell ref="AI8:AJ8"/>
    <mergeCell ref="AI9:AJ9"/>
    <mergeCell ref="AI10:AJ10"/>
    <mergeCell ref="AI11:AJ11"/>
    <mergeCell ref="AI12:AJ12"/>
    <mergeCell ref="AI13:AJ13"/>
    <mergeCell ref="AI14:AJ14"/>
    <mergeCell ref="AI15:AJ15"/>
    <mergeCell ref="AI16:AJ16"/>
    <mergeCell ref="AI17:AJ17"/>
    <mergeCell ref="AI18:AJ18"/>
    <mergeCell ref="AI19:AJ19"/>
    <mergeCell ref="AI20:AJ20"/>
    <mergeCell ref="AI21:AJ21"/>
    <mergeCell ref="AI22:AJ22"/>
    <mergeCell ref="AI23:AJ23"/>
    <mergeCell ref="AI24:AJ24"/>
    <mergeCell ref="AI25:AJ25"/>
    <mergeCell ref="AI26:AJ26"/>
    <mergeCell ref="AI27:AJ27"/>
    <mergeCell ref="AI28:AJ28"/>
    <mergeCell ref="AI29:AJ29"/>
    <mergeCell ref="AI30:AJ30"/>
    <mergeCell ref="AI31:AJ31"/>
    <mergeCell ref="AI32:AJ32"/>
    <mergeCell ref="AI33:AJ33"/>
    <mergeCell ref="BA22:BH22"/>
    <mergeCell ref="AW22:AX22"/>
    <mergeCell ref="AY22:AZ22"/>
    <mergeCell ref="BM22:BN22"/>
    <mergeCell ref="AR22:AS22"/>
    <mergeCell ref="AT22:AV22"/>
    <mergeCell ref="BI22:BL22"/>
    <mergeCell ref="AE6:AL6"/>
    <mergeCell ref="AK7:AL7"/>
    <mergeCell ref="AK8:AL8"/>
    <mergeCell ref="AK9:AL9"/>
    <mergeCell ref="AK10:AL10"/>
    <mergeCell ref="AK11:AL11"/>
    <mergeCell ref="AK12:AL12"/>
    <mergeCell ref="AK13:AL13"/>
    <mergeCell ref="AK14:AL14"/>
    <mergeCell ref="AK15:AL15"/>
    <mergeCell ref="AK16:AL16"/>
    <mergeCell ref="AK17:AL17"/>
    <mergeCell ref="AK18:AL18"/>
    <mergeCell ref="AK19:AL19"/>
    <mergeCell ref="AK20:AL20"/>
    <mergeCell ref="AK21:AL21"/>
    <mergeCell ref="AK22:AL22"/>
    <mergeCell ref="AK23:AL23"/>
    <mergeCell ref="AK24:AL24"/>
    <mergeCell ref="AK25:AL25"/>
    <mergeCell ref="AK26:AL26"/>
    <mergeCell ref="AK27:AL27"/>
    <mergeCell ref="AK28:AL28"/>
    <mergeCell ref="AK29:AL29"/>
    <mergeCell ref="AK30:AL30"/>
    <mergeCell ref="AK31:AL31"/>
    <mergeCell ref="BN26:BR26"/>
    <mergeCell ref="BP41:BR45"/>
    <mergeCell ref="AG43:AL45"/>
    <mergeCell ref="AK32:AL32"/>
    <mergeCell ref="AK33:AL33"/>
    <mergeCell ref="AK34:AL34"/>
    <mergeCell ref="AK35:AL35"/>
    <mergeCell ref="AK36:AL36"/>
    <mergeCell ref="AK37:AL37"/>
    <mergeCell ref="AK38:AL38"/>
    <mergeCell ref="AK39:AL39"/>
    <mergeCell ref="BE26:BH26"/>
    <mergeCell ref="AI34:AJ34"/>
    <mergeCell ref="AI35:AJ35"/>
    <mergeCell ref="AI36:AJ36"/>
    <mergeCell ref="AI37:AJ37"/>
    <mergeCell ref="AI38:AJ38"/>
    <mergeCell ref="AI39:AJ39"/>
    <mergeCell ref="AI40:AJ41"/>
    <mergeCell ref="AB236:AC236"/>
    <mergeCell ref="AD236:AE236"/>
    <mergeCell ref="V237:W237"/>
    <mergeCell ref="X237:Y237"/>
    <mergeCell ref="Z237:AA237"/>
    <mergeCell ref="V238:W238"/>
    <mergeCell ref="BM45:BN45"/>
    <mergeCell ref="BM44:BN44"/>
    <mergeCell ref="BQ27:BR27"/>
    <mergeCell ref="BO27:BP27"/>
    <mergeCell ref="V184:AB184"/>
    <mergeCell ref="V183:AB183"/>
    <mergeCell ref="V196:AB196"/>
    <mergeCell ref="V197:AB197"/>
    <mergeCell ref="W204:Z204"/>
    <mergeCell ref="X129:Y129"/>
    <mergeCell ref="X130:Y130"/>
    <mergeCell ref="V132:Z132"/>
    <mergeCell ref="X137:Y137"/>
    <mergeCell ref="X138:Y138"/>
    <mergeCell ref="X139:Y139"/>
    <mergeCell ref="V133:W133"/>
    <mergeCell ref="X133:Y133"/>
    <mergeCell ref="X134:Y134"/>
    <mergeCell ref="X240:Y240"/>
    <mergeCell ref="Z240:AA240"/>
    <mergeCell ref="V241:W241"/>
    <mergeCell ref="X241:Y241"/>
    <mergeCell ref="Z241:AA241"/>
    <mergeCell ref="Q125:R125"/>
    <mergeCell ref="Q124:R124"/>
    <mergeCell ref="C266:D266"/>
    <mergeCell ref="C265:D265"/>
    <mergeCell ref="C264:D264"/>
    <mergeCell ref="C263:D263"/>
    <mergeCell ref="C262:D262"/>
    <mergeCell ref="C261:D261"/>
    <mergeCell ref="C260:D260"/>
    <mergeCell ref="C259:D259"/>
    <mergeCell ref="C258:D258"/>
    <mergeCell ref="V255:AE256"/>
    <mergeCell ref="V262:W262"/>
    <mergeCell ref="V261:W261"/>
    <mergeCell ref="V260:W260"/>
    <mergeCell ref="X135:Y135"/>
    <mergeCell ref="X136:Y136"/>
    <mergeCell ref="D137:E138"/>
    <mergeCell ref="B157:G158"/>
    <mergeCell ref="V245:W245"/>
    <mergeCell ref="V250:W250"/>
    <mergeCell ref="X245:Y245"/>
    <mergeCell ref="X250:Y250"/>
    <mergeCell ref="V244:Y244"/>
    <mergeCell ref="V231:AE232"/>
    <mergeCell ref="V233:AE234"/>
    <mergeCell ref="V248:W248"/>
    <mergeCell ref="X248:Y248"/>
    <mergeCell ref="V249:W249"/>
    <mergeCell ref="X249:Y249"/>
    <mergeCell ref="V246:W246"/>
    <mergeCell ref="X246:Y246"/>
    <mergeCell ref="V247:W247"/>
    <mergeCell ref="X247:Y247"/>
    <mergeCell ref="V242:W242"/>
    <mergeCell ref="X242:Y242"/>
    <mergeCell ref="Z242:AA242"/>
    <mergeCell ref="X238:Y238"/>
    <mergeCell ref="Z238:AA238"/>
    <mergeCell ref="V239:W239"/>
    <mergeCell ref="X239:Y239"/>
    <mergeCell ref="Z239:AA239"/>
    <mergeCell ref="V240:W240"/>
    <mergeCell ref="V289:W289"/>
    <mergeCell ref="V290:W290"/>
    <mergeCell ref="V291:W291"/>
    <mergeCell ref="V292:W292"/>
    <mergeCell ref="V293:W293"/>
    <mergeCell ref="Z285:AA285"/>
    <mergeCell ref="X285:Y285"/>
    <mergeCell ref="V285:W285"/>
    <mergeCell ref="X286:Y286"/>
    <mergeCell ref="X287:Y287"/>
    <mergeCell ref="X288:Y288"/>
    <mergeCell ref="X289:Y289"/>
    <mergeCell ref="X290:Y290"/>
    <mergeCell ref="X291:Y291"/>
    <mergeCell ref="X292:Y292"/>
    <mergeCell ref="X293:Y293"/>
    <mergeCell ref="V287:W287"/>
    <mergeCell ref="V288:W288"/>
    <mergeCell ref="AB289:AC289"/>
    <mergeCell ref="AB290:AC290"/>
    <mergeCell ref="AB291:AC291"/>
    <mergeCell ref="AB292:AC292"/>
    <mergeCell ref="AB293:AC293"/>
    <mergeCell ref="Z286:AA286"/>
    <mergeCell ref="Z287:AA287"/>
    <mergeCell ref="Z288:AA288"/>
    <mergeCell ref="Z289:AA289"/>
    <mergeCell ref="Z290:AA290"/>
    <mergeCell ref="Z291:AA291"/>
    <mergeCell ref="Z292:AA292"/>
    <mergeCell ref="Z293:AA293"/>
  </mergeCells>
  <phoneticPr fontId="5" type="noConversion"/>
  <pageMargins left="0.7" right="0.7" top="0.75" bottom="0.75" header="0.3" footer="0.3"/>
  <pageSetup orientation="portrait" horizontalDpi="0" verticalDpi="0"/>
  <ignoredErrors>
    <ignoredError sqref="W159:W160 X158:X161 Z161 Z157 AB157 Z190 Z200:Z201" formula="1"/>
    <ignoredError sqref="AA194" evalError="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C2DF-6E49-774F-A3E7-4546AC95247C}">
  <dimension ref="B2:AD116"/>
  <sheetViews>
    <sheetView topLeftCell="A61" zoomScale="158" zoomScaleNormal="93" workbookViewId="0">
      <selection activeCell="U118" sqref="U118"/>
    </sheetView>
  </sheetViews>
  <sheetFormatPr baseColWidth="10" defaultRowHeight="15.75" x14ac:dyDescent="0.25"/>
  <cols>
    <col min="1" max="1" width="0.125" customWidth="1"/>
    <col min="2" max="2" width="19.125" bestFit="1" customWidth="1"/>
    <col min="3" max="3" width="12.5" customWidth="1"/>
    <col min="4" max="13" width="7.875" customWidth="1"/>
    <col min="14" max="15" width="7.125" customWidth="1"/>
    <col min="16" max="16" width="11" customWidth="1"/>
    <col min="18" max="18" width="16.625" bestFit="1" customWidth="1"/>
    <col min="21" max="33" width="10.875" customWidth="1"/>
  </cols>
  <sheetData>
    <row r="2" spans="18:21" x14ac:dyDescent="0.25">
      <c r="R2" s="411" t="s">
        <v>19</v>
      </c>
      <c r="S2" s="411"/>
      <c r="T2" s="411"/>
      <c r="U2" s="411"/>
    </row>
    <row r="3" spans="18:21" x14ac:dyDescent="0.25">
      <c r="R3" s="545" t="s">
        <v>1</v>
      </c>
      <c r="S3" s="545"/>
      <c r="T3" s="419" t="s">
        <v>17</v>
      </c>
      <c r="U3" s="419" t="s">
        <v>18</v>
      </c>
    </row>
    <row r="4" spans="18:21" x14ac:dyDescent="0.25">
      <c r="R4" s="592"/>
      <c r="S4" s="592"/>
      <c r="T4" s="419"/>
      <c r="U4" s="419"/>
    </row>
    <row r="5" spans="18:21" x14ac:dyDescent="0.25">
      <c r="R5" s="4" t="s">
        <v>24</v>
      </c>
      <c r="S5" s="3" t="s">
        <v>6</v>
      </c>
      <c r="T5" s="2">
        <v>25</v>
      </c>
      <c r="U5" s="2">
        <v>25</v>
      </c>
    </row>
    <row r="6" spans="18:21" x14ac:dyDescent="0.25">
      <c r="R6" s="4" t="s">
        <v>25</v>
      </c>
      <c r="S6" s="3" t="s">
        <v>6</v>
      </c>
      <c r="T6" s="1">
        <v>125</v>
      </c>
      <c r="U6" s="1">
        <v>125</v>
      </c>
    </row>
    <row r="7" spans="18:21" x14ac:dyDescent="0.25">
      <c r="R7" s="4" t="s">
        <v>26</v>
      </c>
      <c r="S7" s="3" t="s">
        <v>6</v>
      </c>
      <c r="T7" s="1">
        <v>35</v>
      </c>
      <c r="U7" s="1">
        <v>35</v>
      </c>
    </row>
    <row r="8" spans="18:21" x14ac:dyDescent="0.25">
      <c r="R8" s="4" t="s">
        <v>27</v>
      </c>
      <c r="S8" s="3" t="s">
        <v>6</v>
      </c>
      <c r="T8" s="1">
        <v>15</v>
      </c>
      <c r="U8" s="1">
        <v>15</v>
      </c>
    </row>
    <row r="9" spans="18:21" x14ac:dyDescent="0.25">
      <c r="R9" s="4" t="s">
        <v>28</v>
      </c>
      <c r="S9" s="3" t="s">
        <v>6</v>
      </c>
      <c r="T9" s="1">
        <v>2</v>
      </c>
      <c r="U9" s="1">
        <v>2</v>
      </c>
    </row>
    <row r="10" spans="18:21" x14ac:dyDescent="0.25">
      <c r="R10" s="4" t="s">
        <v>4</v>
      </c>
      <c r="S10" s="3" t="s">
        <v>7</v>
      </c>
      <c r="T10" s="1" t="s">
        <v>16</v>
      </c>
      <c r="U10" s="1" t="s">
        <v>16</v>
      </c>
    </row>
    <row r="11" spans="18:21" x14ac:dyDescent="0.25">
      <c r="R11" s="4" t="s">
        <v>8</v>
      </c>
      <c r="S11" s="3" t="s">
        <v>6</v>
      </c>
      <c r="T11" s="1">
        <v>2</v>
      </c>
      <c r="U11" s="1" t="s">
        <v>9</v>
      </c>
    </row>
    <row r="12" spans="18:21" x14ac:dyDescent="0.25">
      <c r="R12" s="4" t="s">
        <v>30</v>
      </c>
      <c r="S12" s="3" t="s">
        <v>6</v>
      </c>
      <c r="T12" s="1" t="s">
        <v>9</v>
      </c>
      <c r="U12" s="1">
        <v>25</v>
      </c>
    </row>
    <row r="13" spans="18:21" x14ac:dyDescent="0.25">
      <c r="R13" s="4" t="s">
        <v>119</v>
      </c>
      <c r="S13" s="3" t="s">
        <v>6</v>
      </c>
      <c r="T13" s="1" t="s">
        <v>9</v>
      </c>
      <c r="U13" s="1">
        <v>3</v>
      </c>
    </row>
    <row r="14" spans="18:21" x14ac:dyDescent="0.25">
      <c r="R14" s="4" t="s">
        <v>12</v>
      </c>
      <c r="S14" s="3" t="s">
        <v>13</v>
      </c>
      <c r="T14" s="1">
        <v>500</v>
      </c>
      <c r="U14" s="1">
        <v>500</v>
      </c>
    </row>
    <row r="15" spans="18:21" x14ac:dyDescent="0.25">
      <c r="R15" s="4" t="s">
        <v>14</v>
      </c>
      <c r="S15" s="3" t="s">
        <v>13</v>
      </c>
      <c r="T15" s="1">
        <v>100</v>
      </c>
      <c r="U15" s="1">
        <v>100</v>
      </c>
    </row>
    <row r="16" spans="18:21" x14ac:dyDescent="0.25">
      <c r="R16" s="4" t="s">
        <v>15</v>
      </c>
      <c r="S16" s="3" t="s">
        <v>13</v>
      </c>
      <c r="T16" s="1">
        <v>100</v>
      </c>
      <c r="U16" s="1" t="s">
        <v>9</v>
      </c>
    </row>
    <row r="20" spans="2:16" ht="15.95" customHeight="1" x14ac:dyDescent="0.25">
      <c r="C20" s="9"/>
      <c r="D20" s="9"/>
      <c r="E20" s="9"/>
      <c r="F20" s="9"/>
      <c r="G20" s="9"/>
      <c r="H20" s="9"/>
      <c r="I20" s="9"/>
      <c r="J20" s="9"/>
      <c r="K20" s="9"/>
      <c r="L20" s="9"/>
      <c r="M20" s="9"/>
      <c r="N20" s="9"/>
      <c r="O20" s="9"/>
    </row>
    <row r="21" spans="2:16" x14ac:dyDescent="0.25">
      <c r="B21" s="595" t="s">
        <v>21</v>
      </c>
      <c r="C21" s="595"/>
      <c r="D21" s="595"/>
      <c r="E21" s="595"/>
      <c r="F21" s="595"/>
      <c r="G21" s="595"/>
      <c r="H21" s="595"/>
      <c r="I21" s="595"/>
      <c r="J21" s="595"/>
      <c r="K21" s="595"/>
      <c r="L21" s="595"/>
      <c r="M21" s="595"/>
      <c r="N21" s="595"/>
      <c r="O21" s="595"/>
    </row>
    <row r="22" spans="2:16" x14ac:dyDescent="0.25">
      <c r="B22" s="410" t="s">
        <v>175</v>
      </c>
      <c r="C22" s="411"/>
      <c r="D22" s="411"/>
      <c r="E22" s="411"/>
      <c r="F22" s="411"/>
      <c r="G22" s="411"/>
      <c r="H22" s="411"/>
      <c r="I22" s="411"/>
      <c r="J22" s="411"/>
      <c r="K22" s="411"/>
      <c r="L22" s="411"/>
      <c r="M22" s="411"/>
      <c r="N22" s="411"/>
      <c r="O22" s="411"/>
      <c r="P22" s="411"/>
    </row>
    <row r="23" spans="2:16" x14ac:dyDescent="0.25">
      <c r="B23" s="24" t="s">
        <v>1</v>
      </c>
      <c r="C23" s="23" t="s">
        <v>2</v>
      </c>
      <c r="D23" s="24"/>
      <c r="E23" s="24"/>
      <c r="F23" s="24"/>
      <c r="G23" s="24"/>
      <c r="H23" s="24"/>
      <c r="I23" s="24"/>
      <c r="J23" s="24"/>
      <c r="K23" s="24"/>
      <c r="L23" s="24"/>
      <c r="M23" s="24"/>
      <c r="N23" s="24"/>
      <c r="O23" s="24"/>
      <c r="P23" s="24" t="s">
        <v>148</v>
      </c>
    </row>
    <row r="24" spans="2:16" x14ac:dyDescent="0.25">
      <c r="B24" s="5" t="s">
        <v>24</v>
      </c>
      <c r="C24" s="55" t="s">
        <v>3</v>
      </c>
      <c r="D24" s="6">
        <v>499</v>
      </c>
      <c r="E24" s="6">
        <v>416</v>
      </c>
      <c r="F24" s="6">
        <v>316</v>
      </c>
      <c r="G24" s="6">
        <v>63</v>
      </c>
      <c r="H24" s="6">
        <v>66</v>
      </c>
      <c r="I24" s="6">
        <v>49</v>
      </c>
      <c r="J24" s="6">
        <v>111</v>
      </c>
      <c r="K24" s="6">
        <v>74</v>
      </c>
      <c r="L24" s="6">
        <v>44</v>
      </c>
      <c r="M24" s="6">
        <v>33</v>
      </c>
      <c r="N24" s="6">
        <v>872</v>
      </c>
      <c r="O24" s="6">
        <v>92</v>
      </c>
      <c r="P24" s="111">
        <f>AVERAGE(D24:O24)</f>
        <v>219.58333333333334</v>
      </c>
    </row>
    <row r="25" spans="2:16" x14ac:dyDescent="0.25">
      <c r="B25" s="5" t="s">
        <v>25</v>
      </c>
      <c r="C25" s="55" t="s">
        <v>3</v>
      </c>
      <c r="D25" s="6">
        <v>1096</v>
      </c>
      <c r="E25" s="6">
        <v>900</v>
      </c>
      <c r="F25" s="6">
        <v>512</v>
      </c>
      <c r="G25" s="6">
        <v>190</v>
      </c>
      <c r="H25" s="6">
        <v>210</v>
      </c>
      <c r="I25" s="6">
        <v>98</v>
      </c>
      <c r="J25" s="6">
        <v>316</v>
      </c>
      <c r="K25" s="6">
        <v>188</v>
      </c>
      <c r="L25" s="6">
        <v>360</v>
      </c>
      <c r="M25" s="6">
        <v>60</v>
      </c>
      <c r="N25" s="6">
        <v>2840</v>
      </c>
      <c r="O25" s="6">
        <v>515</v>
      </c>
      <c r="P25" s="111">
        <f t="shared" ref="P25:P32" si="0">AVERAGE(D25:O25)</f>
        <v>607.08333333333337</v>
      </c>
    </row>
    <row r="26" spans="2:16" x14ac:dyDescent="0.25">
      <c r="B26" s="5" t="s">
        <v>26</v>
      </c>
      <c r="C26" s="55" t="s">
        <v>3</v>
      </c>
      <c r="D26" s="6">
        <v>11</v>
      </c>
      <c r="E26" s="6">
        <v>127</v>
      </c>
      <c r="F26" s="6">
        <v>92</v>
      </c>
      <c r="G26" s="6">
        <v>44</v>
      </c>
      <c r="H26" s="6">
        <v>97</v>
      </c>
      <c r="I26" s="6">
        <v>23.8</v>
      </c>
      <c r="J26" s="6">
        <v>249.6</v>
      </c>
      <c r="K26" s="6">
        <v>58.4</v>
      </c>
      <c r="L26" s="6">
        <v>56.2</v>
      </c>
      <c r="M26" s="6">
        <v>30</v>
      </c>
      <c r="N26" s="6">
        <v>2064</v>
      </c>
      <c r="O26" s="6">
        <v>522</v>
      </c>
      <c r="P26" s="111">
        <f t="shared" si="0"/>
        <v>281.25</v>
      </c>
    </row>
    <row r="27" spans="2:16" x14ac:dyDescent="0.25">
      <c r="B27" s="5" t="s">
        <v>27</v>
      </c>
      <c r="C27" s="55" t="s">
        <v>3</v>
      </c>
      <c r="D27" s="6">
        <v>172</v>
      </c>
      <c r="E27" s="6">
        <v>77</v>
      </c>
      <c r="F27" s="6">
        <v>78</v>
      </c>
      <c r="G27" s="6">
        <v>37</v>
      </c>
      <c r="H27" s="6">
        <v>56</v>
      </c>
      <c r="I27" s="6">
        <v>28.6</v>
      </c>
      <c r="J27" s="6">
        <v>33.4</v>
      </c>
      <c r="K27" s="6">
        <v>28.8</v>
      </c>
      <c r="L27" s="6">
        <v>47.5</v>
      </c>
      <c r="M27" s="6">
        <v>15.5</v>
      </c>
      <c r="N27" s="6">
        <v>45.5</v>
      </c>
      <c r="O27" s="6">
        <v>53.6</v>
      </c>
      <c r="P27" s="111">
        <f t="shared" si="0"/>
        <v>56.074999999999996</v>
      </c>
    </row>
    <row r="28" spans="2:16" ht="16.5" thickBot="1" x14ac:dyDescent="0.3">
      <c r="B28" s="5" t="s">
        <v>28</v>
      </c>
      <c r="C28" s="57" t="s">
        <v>3</v>
      </c>
      <c r="D28" s="40">
        <v>110</v>
      </c>
      <c r="E28" s="40">
        <v>9.1999999999999993</v>
      </c>
      <c r="F28" s="40">
        <v>7.8</v>
      </c>
      <c r="G28" s="40">
        <v>57</v>
      </c>
      <c r="H28" s="40">
        <v>8.3000000000000007</v>
      </c>
      <c r="I28" s="40">
        <v>3.1</v>
      </c>
      <c r="J28" s="40">
        <v>7.6</v>
      </c>
      <c r="K28" s="40">
        <v>2.6</v>
      </c>
      <c r="L28" s="40">
        <v>4.4000000000000004</v>
      </c>
      <c r="M28" s="40">
        <v>0.9</v>
      </c>
      <c r="N28" s="40">
        <v>269</v>
      </c>
      <c r="O28" s="40">
        <v>11</v>
      </c>
      <c r="P28" s="111">
        <f t="shared" si="0"/>
        <v>40.908333333333331</v>
      </c>
    </row>
    <row r="29" spans="2:16" x14ac:dyDescent="0.25">
      <c r="B29" s="58" t="s">
        <v>136</v>
      </c>
      <c r="C29" s="59" t="s">
        <v>138</v>
      </c>
      <c r="D29" s="50">
        <f>D24/D25</f>
        <v>0.45529197080291972</v>
      </c>
      <c r="E29" s="50">
        <f t="shared" ref="E29:O29" si="1">E24/E25</f>
        <v>0.4622222222222222</v>
      </c>
      <c r="F29" s="50">
        <f t="shared" si="1"/>
        <v>0.6171875</v>
      </c>
      <c r="G29" s="50">
        <f t="shared" si="1"/>
        <v>0.33157894736842103</v>
      </c>
      <c r="H29" s="50">
        <f t="shared" si="1"/>
        <v>0.31428571428571428</v>
      </c>
      <c r="I29" s="50">
        <f t="shared" si="1"/>
        <v>0.5</v>
      </c>
      <c r="J29" s="50">
        <f t="shared" si="1"/>
        <v>0.35126582278481011</v>
      </c>
      <c r="K29" s="50">
        <f t="shared" si="1"/>
        <v>0.39361702127659576</v>
      </c>
      <c r="L29" s="50">
        <f t="shared" si="1"/>
        <v>0.12222222222222222</v>
      </c>
      <c r="M29" s="50">
        <f t="shared" si="1"/>
        <v>0.55000000000000004</v>
      </c>
      <c r="N29" s="50">
        <f t="shared" si="1"/>
        <v>0.30704225352112674</v>
      </c>
      <c r="O29" s="50">
        <f t="shared" si="1"/>
        <v>0.17864077669902911</v>
      </c>
      <c r="P29" s="111">
        <f t="shared" si="0"/>
        <v>0.38194620426525511</v>
      </c>
    </row>
    <row r="30" spans="2:16" x14ac:dyDescent="0.25">
      <c r="B30" s="54" t="s">
        <v>139</v>
      </c>
      <c r="C30" s="55" t="s">
        <v>3</v>
      </c>
      <c r="D30" s="52">
        <f>D26*1.42</f>
        <v>15.62</v>
      </c>
      <c r="E30" s="52">
        <f t="shared" ref="E30:O30" si="2">E26*1.42</f>
        <v>180.34</v>
      </c>
      <c r="F30" s="52">
        <f t="shared" si="2"/>
        <v>130.63999999999999</v>
      </c>
      <c r="G30" s="52">
        <f t="shared" si="2"/>
        <v>62.48</v>
      </c>
      <c r="H30" s="52">
        <f t="shared" si="2"/>
        <v>137.73999999999998</v>
      </c>
      <c r="I30" s="52">
        <f t="shared" si="2"/>
        <v>33.795999999999999</v>
      </c>
      <c r="J30" s="52">
        <f t="shared" si="2"/>
        <v>354.43199999999996</v>
      </c>
      <c r="K30" s="52">
        <f t="shared" si="2"/>
        <v>82.927999999999997</v>
      </c>
      <c r="L30" s="52">
        <f t="shared" si="2"/>
        <v>79.804000000000002</v>
      </c>
      <c r="M30" s="52">
        <f t="shared" si="2"/>
        <v>42.599999999999994</v>
      </c>
      <c r="N30" s="68">
        <f t="shared" si="2"/>
        <v>2930.8799999999997</v>
      </c>
      <c r="O30" s="52">
        <f t="shared" si="2"/>
        <v>741.24</v>
      </c>
      <c r="P30" s="111">
        <f t="shared" si="0"/>
        <v>399.37499999999994</v>
      </c>
    </row>
    <row r="31" spans="2:16" x14ac:dyDescent="0.25">
      <c r="B31" s="54" t="s">
        <v>140</v>
      </c>
      <c r="C31" s="55" t="s">
        <v>138</v>
      </c>
      <c r="D31" s="52">
        <f>D26/D25</f>
        <v>1.0036496350364963E-2</v>
      </c>
      <c r="E31" s="52">
        <f t="shared" ref="E31:O31" si="3">E26/E25</f>
        <v>0.1411111111111111</v>
      </c>
      <c r="F31" s="52">
        <f t="shared" si="3"/>
        <v>0.1796875</v>
      </c>
      <c r="G31" s="52">
        <f t="shared" si="3"/>
        <v>0.23157894736842105</v>
      </c>
      <c r="H31" s="52">
        <f t="shared" si="3"/>
        <v>0.46190476190476193</v>
      </c>
      <c r="I31" s="52">
        <f t="shared" si="3"/>
        <v>0.24285714285714285</v>
      </c>
      <c r="J31" s="52">
        <f t="shared" si="3"/>
        <v>0.78987341772151898</v>
      </c>
      <c r="K31" s="52">
        <f t="shared" si="3"/>
        <v>0.31063829787234043</v>
      </c>
      <c r="L31" s="52">
        <f t="shared" si="3"/>
        <v>0.15611111111111112</v>
      </c>
      <c r="M31" s="52">
        <f t="shared" si="3"/>
        <v>0.5</v>
      </c>
      <c r="N31" s="52">
        <f t="shared" si="3"/>
        <v>0.72676056338028172</v>
      </c>
      <c r="O31" s="52">
        <f t="shared" si="3"/>
        <v>1.0135922330097087</v>
      </c>
      <c r="P31" s="111">
        <f t="shared" si="0"/>
        <v>0.39701263189056357</v>
      </c>
    </row>
    <row r="32" spans="2:16" x14ac:dyDescent="0.25">
      <c r="B32" s="54" t="s">
        <v>141</v>
      </c>
      <c r="C32" s="55" t="s">
        <v>138</v>
      </c>
      <c r="D32" s="52">
        <f>D26/D24</f>
        <v>2.2044088176352707E-2</v>
      </c>
      <c r="E32" s="52">
        <f t="shared" ref="E32:O32" si="4">E26/E24</f>
        <v>0.30528846153846156</v>
      </c>
      <c r="F32" s="52">
        <f t="shared" si="4"/>
        <v>0.29113924050632911</v>
      </c>
      <c r="G32" s="52">
        <f t="shared" si="4"/>
        <v>0.69841269841269837</v>
      </c>
      <c r="H32" s="52">
        <f t="shared" si="4"/>
        <v>1.4696969696969697</v>
      </c>
      <c r="I32" s="52">
        <f t="shared" si="4"/>
        <v>0.48571428571428571</v>
      </c>
      <c r="J32" s="52">
        <f t="shared" si="4"/>
        <v>2.2486486486486488</v>
      </c>
      <c r="K32" s="52">
        <f t="shared" si="4"/>
        <v>0.78918918918918912</v>
      </c>
      <c r="L32" s="52">
        <f t="shared" si="4"/>
        <v>1.2772727272727273</v>
      </c>
      <c r="M32" s="52">
        <f t="shared" si="4"/>
        <v>0.90909090909090906</v>
      </c>
      <c r="N32" s="52">
        <f t="shared" si="4"/>
        <v>2.3669724770642202</v>
      </c>
      <c r="O32" s="52">
        <f t="shared" si="4"/>
        <v>5.6739130434782608</v>
      </c>
      <c r="P32" s="111">
        <f t="shared" si="0"/>
        <v>1.3781152282324209</v>
      </c>
    </row>
    <row r="34" spans="2:16" x14ac:dyDescent="0.25">
      <c r="D34" t="s">
        <v>149</v>
      </c>
    </row>
    <row r="37" spans="2:16" x14ac:dyDescent="0.25">
      <c r="B37" s="593" t="s">
        <v>174</v>
      </c>
      <c r="C37" s="594"/>
      <c r="D37" s="594"/>
      <c r="E37" s="594"/>
      <c r="F37" s="594"/>
      <c r="G37" s="594"/>
      <c r="H37" s="594"/>
      <c r="I37" s="594"/>
      <c r="J37" s="594"/>
      <c r="K37" s="594"/>
      <c r="L37" s="594"/>
      <c r="M37" s="594"/>
      <c r="N37" s="594"/>
      <c r="O37" s="594"/>
      <c r="P37" s="594"/>
    </row>
    <row r="38" spans="2:16" x14ac:dyDescent="0.25">
      <c r="B38" s="72" t="s">
        <v>1</v>
      </c>
      <c r="C38" s="73" t="s">
        <v>2</v>
      </c>
      <c r="D38" s="73">
        <v>1.24</v>
      </c>
      <c r="E38" s="73">
        <v>2.2400000000000002</v>
      </c>
      <c r="F38" s="73">
        <v>3.24</v>
      </c>
      <c r="G38" s="73">
        <v>4.24</v>
      </c>
      <c r="H38" s="73">
        <v>5.24</v>
      </c>
      <c r="I38" s="73">
        <v>6.24</v>
      </c>
      <c r="J38" s="73">
        <v>7.24</v>
      </c>
      <c r="K38" s="73">
        <v>8.24</v>
      </c>
      <c r="L38" s="73">
        <v>9.24</v>
      </c>
      <c r="M38" s="73">
        <v>10.24</v>
      </c>
      <c r="N38" s="73">
        <v>11.24</v>
      </c>
      <c r="O38" s="73">
        <v>12.24</v>
      </c>
      <c r="P38" s="72" t="s">
        <v>117</v>
      </c>
    </row>
    <row r="39" spans="2:16" x14ac:dyDescent="0.25">
      <c r="B39" s="5" t="s">
        <v>24</v>
      </c>
      <c r="C39" s="8" t="s">
        <v>3</v>
      </c>
      <c r="D39" s="6">
        <v>18</v>
      </c>
      <c r="E39" s="6">
        <v>22</v>
      </c>
      <c r="F39" s="6">
        <v>21</v>
      </c>
      <c r="G39" s="6">
        <v>22</v>
      </c>
      <c r="H39" s="6">
        <v>20</v>
      </c>
      <c r="I39" s="6">
        <v>63</v>
      </c>
      <c r="J39" s="6">
        <v>6</v>
      </c>
      <c r="K39" s="6">
        <v>6</v>
      </c>
      <c r="L39" s="6">
        <v>13</v>
      </c>
      <c r="M39" s="6" t="s">
        <v>9</v>
      </c>
      <c r="N39" s="31">
        <v>5</v>
      </c>
      <c r="O39" s="6">
        <v>25</v>
      </c>
      <c r="P39" s="111">
        <f>AVERAGE(D39:O39)</f>
        <v>20.09090909090909</v>
      </c>
    </row>
    <row r="40" spans="2:16" x14ac:dyDescent="0.25">
      <c r="B40" s="5" t="s">
        <v>25</v>
      </c>
      <c r="C40" s="8" t="s">
        <v>3</v>
      </c>
      <c r="D40" s="6">
        <v>51</v>
      </c>
      <c r="E40" s="6">
        <v>70</v>
      </c>
      <c r="F40" s="6">
        <v>48</v>
      </c>
      <c r="G40" s="6">
        <v>50</v>
      </c>
      <c r="H40" s="6">
        <v>58</v>
      </c>
      <c r="I40" s="6">
        <v>126</v>
      </c>
      <c r="J40" s="6">
        <v>12</v>
      </c>
      <c r="K40" s="6">
        <v>34</v>
      </c>
      <c r="L40" s="6">
        <v>43</v>
      </c>
      <c r="M40" s="6" t="s">
        <v>9</v>
      </c>
      <c r="N40" s="6">
        <v>30</v>
      </c>
      <c r="O40" s="6">
        <v>41</v>
      </c>
      <c r="P40" s="111">
        <f t="shared" ref="P40:P49" si="5">AVERAGE(D40:O40)</f>
        <v>51.18181818181818</v>
      </c>
    </row>
    <row r="41" spans="2:16" x14ac:dyDescent="0.25">
      <c r="B41" s="5" t="s">
        <v>26</v>
      </c>
      <c r="C41" s="8" t="s">
        <v>3</v>
      </c>
      <c r="D41" s="6">
        <v>22</v>
      </c>
      <c r="E41" s="6">
        <v>28.4</v>
      </c>
      <c r="F41" s="6">
        <v>34.200000000000003</v>
      </c>
      <c r="G41" s="6">
        <v>15</v>
      </c>
      <c r="H41" s="6">
        <v>13.2</v>
      </c>
      <c r="I41" s="6">
        <v>16.7</v>
      </c>
      <c r="J41" s="6">
        <v>2</v>
      </c>
      <c r="K41" s="6">
        <v>2.7</v>
      </c>
      <c r="L41" s="6">
        <v>21.2</v>
      </c>
      <c r="M41" s="6" t="s">
        <v>9</v>
      </c>
      <c r="N41" s="6">
        <v>14</v>
      </c>
      <c r="O41" s="6">
        <v>5</v>
      </c>
      <c r="P41" s="111">
        <f t="shared" si="5"/>
        <v>15.854545454545452</v>
      </c>
    </row>
    <row r="42" spans="2:16" x14ac:dyDescent="0.25">
      <c r="B42" s="5" t="s">
        <v>27</v>
      </c>
      <c r="C42" s="8" t="s">
        <v>3</v>
      </c>
      <c r="D42" s="6">
        <v>13.3</v>
      </c>
      <c r="E42" s="6">
        <v>14.5</v>
      </c>
      <c r="F42" s="6">
        <v>6.6</v>
      </c>
      <c r="G42" s="6">
        <v>14.1</v>
      </c>
      <c r="H42" s="6">
        <v>14</v>
      </c>
      <c r="I42" s="6">
        <v>27.8</v>
      </c>
      <c r="J42" s="6">
        <v>3.7</v>
      </c>
      <c r="K42" s="6">
        <v>4.9000000000000004</v>
      </c>
      <c r="L42" s="6">
        <v>10.3</v>
      </c>
      <c r="M42" s="6" t="s">
        <v>9</v>
      </c>
      <c r="N42" s="6">
        <v>9.4</v>
      </c>
      <c r="O42" s="6">
        <v>9</v>
      </c>
      <c r="P42" s="111">
        <f t="shared" si="5"/>
        <v>11.600000000000001</v>
      </c>
    </row>
    <row r="43" spans="2:16" x14ac:dyDescent="0.25">
      <c r="B43" s="5" t="s">
        <v>28</v>
      </c>
      <c r="C43" s="8" t="s">
        <v>3</v>
      </c>
      <c r="D43" s="6">
        <v>0.5</v>
      </c>
      <c r="E43" s="6">
        <v>0.7</v>
      </c>
      <c r="F43" s="6">
        <v>0.6</v>
      </c>
      <c r="G43" s="6">
        <v>0.6</v>
      </c>
      <c r="H43" s="6">
        <v>0.8</v>
      </c>
      <c r="I43" s="6">
        <v>5.6</v>
      </c>
      <c r="J43" s="6">
        <v>1.2</v>
      </c>
      <c r="K43" s="6">
        <v>1.7</v>
      </c>
      <c r="L43" s="6">
        <v>0.7</v>
      </c>
      <c r="M43" s="6" t="s">
        <v>9</v>
      </c>
      <c r="N43" s="6">
        <v>1.35</v>
      </c>
      <c r="O43" s="6">
        <v>1.56</v>
      </c>
      <c r="P43" s="111">
        <f t="shared" si="5"/>
        <v>1.3918181818181816</v>
      </c>
    </row>
    <row r="44" spans="2:16" x14ac:dyDescent="0.25">
      <c r="B44" s="5" t="s">
        <v>30</v>
      </c>
      <c r="C44" s="8" t="s">
        <v>3</v>
      </c>
      <c r="D44" s="31">
        <v>5</v>
      </c>
      <c r="E44" s="31">
        <v>5</v>
      </c>
      <c r="F44" s="31">
        <v>5</v>
      </c>
      <c r="G44" s="6">
        <v>6.4</v>
      </c>
      <c r="H44" s="31">
        <v>5</v>
      </c>
      <c r="I44" s="6" t="s">
        <v>9</v>
      </c>
      <c r="J44" s="31">
        <v>5</v>
      </c>
      <c r="K44" s="31">
        <v>5</v>
      </c>
      <c r="L44" s="31">
        <v>5</v>
      </c>
      <c r="M44" s="6" t="s">
        <v>9</v>
      </c>
      <c r="N44" s="31">
        <v>0.5</v>
      </c>
      <c r="O44" s="31">
        <v>0.5</v>
      </c>
      <c r="P44" s="111">
        <f t="shared" si="5"/>
        <v>4.24</v>
      </c>
    </row>
    <row r="45" spans="2:16" ht="16.5" thickBot="1" x14ac:dyDescent="0.3">
      <c r="B45" s="38" t="s">
        <v>119</v>
      </c>
      <c r="C45" s="39" t="s">
        <v>3</v>
      </c>
      <c r="D45" s="40">
        <v>0.6</v>
      </c>
      <c r="E45" s="40">
        <v>0.4</v>
      </c>
      <c r="F45" s="40">
        <v>0.3</v>
      </c>
      <c r="G45" s="40">
        <v>0.3</v>
      </c>
      <c r="H45" s="40">
        <v>0.9</v>
      </c>
      <c r="I45" s="40" t="s">
        <v>9</v>
      </c>
      <c r="J45" s="40">
        <v>0.4</v>
      </c>
      <c r="K45" s="40">
        <v>0.5</v>
      </c>
      <c r="L45" s="40">
        <v>0.2</v>
      </c>
      <c r="M45" s="40" t="s">
        <v>9</v>
      </c>
      <c r="N45" s="48">
        <v>0.2</v>
      </c>
      <c r="O45" s="48">
        <v>0.2</v>
      </c>
      <c r="P45" s="111">
        <f t="shared" si="5"/>
        <v>0.4</v>
      </c>
    </row>
    <row r="46" spans="2:16" x14ac:dyDescent="0.25">
      <c r="B46" s="35" t="s">
        <v>136</v>
      </c>
      <c r="C46" s="36" t="s">
        <v>138</v>
      </c>
      <c r="D46" s="50">
        <f>D39/D40</f>
        <v>0.35294117647058826</v>
      </c>
      <c r="E46" s="50">
        <f t="shared" ref="E46:O46" si="6">E39/E40</f>
        <v>0.31428571428571428</v>
      </c>
      <c r="F46" s="50">
        <f t="shared" si="6"/>
        <v>0.4375</v>
      </c>
      <c r="G46" s="50">
        <f t="shared" si="6"/>
        <v>0.44</v>
      </c>
      <c r="H46" s="50">
        <f t="shared" si="6"/>
        <v>0.34482758620689657</v>
      </c>
      <c r="I46" s="50">
        <f t="shared" si="6"/>
        <v>0.5</v>
      </c>
      <c r="J46" s="50">
        <f t="shared" si="6"/>
        <v>0.5</v>
      </c>
      <c r="K46" s="50">
        <f t="shared" si="6"/>
        <v>0.17647058823529413</v>
      </c>
      <c r="L46" s="50">
        <f t="shared" si="6"/>
        <v>0.30232558139534882</v>
      </c>
      <c r="M46" s="49" t="s">
        <v>9</v>
      </c>
      <c r="N46" s="50">
        <f t="shared" si="6"/>
        <v>0.16666666666666666</v>
      </c>
      <c r="O46" s="50">
        <f t="shared" si="6"/>
        <v>0.6097560975609756</v>
      </c>
      <c r="P46" s="111">
        <f>AVERAGE(D46:O46)</f>
        <v>0.37679758280195313</v>
      </c>
    </row>
    <row r="47" spans="2:16" x14ac:dyDescent="0.25">
      <c r="B47" s="5" t="s">
        <v>139</v>
      </c>
      <c r="C47" s="8" t="s">
        <v>3</v>
      </c>
      <c r="D47" s="51">
        <f>D41*1.42</f>
        <v>31.24</v>
      </c>
      <c r="E47" s="51">
        <f t="shared" ref="E47:O47" si="7">E41*1.42</f>
        <v>40.327999999999996</v>
      </c>
      <c r="F47" s="51">
        <f t="shared" si="7"/>
        <v>48.564</v>
      </c>
      <c r="G47" s="51">
        <f t="shared" si="7"/>
        <v>21.299999999999997</v>
      </c>
      <c r="H47" s="51">
        <f t="shared" si="7"/>
        <v>18.744</v>
      </c>
      <c r="I47" s="51">
        <f t="shared" si="7"/>
        <v>23.713999999999999</v>
      </c>
      <c r="J47" s="51">
        <f t="shared" si="7"/>
        <v>2.84</v>
      </c>
      <c r="K47" s="51">
        <f t="shared" si="7"/>
        <v>3.8340000000000001</v>
      </c>
      <c r="L47" s="51">
        <f t="shared" si="7"/>
        <v>30.103999999999999</v>
      </c>
      <c r="M47" s="49" t="s">
        <v>9</v>
      </c>
      <c r="N47" s="51">
        <f t="shared" si="7"/>
        <v>19.88</v>
      </c>
      <c r="O47" s="51">
        <f t="shared" si="7"/>
        <v>7.1</v>
      </c>
      <c r="P47" s="111">
        <f t="shared" si="5"/>
        <v>22.513454545454547</v>
      </c>
    </row>
    <row r="48" spans="2:16" x14ac:dyDescent="0.25">
      <c r="B48" s="5" t="s">
        <v>140</v>
      </c>
      <c r="C48" s="8" t="s">
        <v>138</v>
      </c>
      <c r="D48" s="52">
        <f>D41/D40</f>
        <v>0.43137254901960786</v>
      </c>
      <c r="E48" s="52">
        <f t="shared" ref="E48:O48" si="8">E41/E40</f>
        <v>0.40571428571428569</v>
      </c>
      <c r="F48" s="52">
        <f t="shared" si="8"/>
        <v>0.71250000000000002</v>
      </c>
      <c r="G48" s="52">
        <f t="shared" si="8"/>
        <v>0.3</v>
      </c>
      <c r="H48" s="52">
        <f t="shared" si="8"/>
        <v>0.22758620689655171</v>
      </c>
      <c r="I48" s="52">
        <f t="shared" si="8"/>
        <v>0.13253968253968254</v>
      </c>
      <c r="J48" s="52">
        <f t="shared" si="8"/>
        <v>0.16666666666666666</v>
      </c>
      <c r="K48" s="52">
        <f t="shared" si="8"/>
        <v>7.9411764705882362E-2</v>
      </c>
      <c r="L48" s="52">
        <f t="shared" si="8"/>
        <v>0.49302325581395345</v>
      </c>
      <c r="M48" s="49" t="s">
        <v>9</v>
      </c>
      <c r="N48" s="52">
        <f t="shared" si="8"/>
        <v>0.46666666666666667</v>
      </c>
      <c r="O48" s="52">
        <f t="shared" si="8"/>
        <v>0.12195121951219512</v>
      </c>
      <c r="P48" s="111">
        <f t="shared" si="5"/>
        <v>0.32158475432140843</v>
      </c>
    </row>
    <row r="49" spans="2:30" x14ac:dyDescent="0.25">
      <c r="B49" s="5" t="s">
        <v>141</v>
      </c>
      <c r="C49" s="8" t="s">
        <v>138</v>
      </c>
      <c r="D49" s="52">
        <f>D41/D39</f>
        <v>1.2222222222222223</v>
      </c>
      <c r="E49" s="52">
        <f t="shared" ref="E49:O49" si="9">E41/E39</f>
        <v>1.2909090909090908</v>
      </c>
      <c r="F49" s="52">
        <f t="shared" si="9"/>
        <v>1.6285714285714288</v>
      </c>
      <c r="G49" s="52">
        <f t="shared" si="9"/>
        <v>0.68181818181818177</v>
      </c>
      <c r="H49" s="52">
        <f t="shared" si="9"/>
        <v>0.65999999999999992</v>
      </c>
      <c r="I49" s="52">
        <f t="shared" si="9"/>
        <v>0.26507936507936508</v>
      </c>
      <c r="J49" s="52">
        <f t="shared" si="9"/>
        <v>0.33333333333333331</v>
      </c>
      <c r="K49" s="52">
        <f t="shared" si="9"/>
        <v>0.45</v>
      </c>
      <c r="L49" s="52">
        <f t="shared" si="9"/>
        <v>1.6307692307692307</v>
      </c>
      <c r="M49" s="49" t="s">
        <v>9</v>
      </c>
      <c r="N49" s="52">
        <f t="shared" si="9"/>
        <v>2.8</v>
      </c>
      <c r="O49" s="52">
        <f t="shared" si="9"/>
        <v>0.2</v>
      </c>
      <c r="P49" s="111">
        <f t="shared" si="5"/>
        <v>1.0147911684275321</v>
      </c>
    </row>
    <row r="52" spans="2:30" ht="16.5" thickBot="1" x14ac:dyDescent="0.3">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row>
    <row r="55" spans="2:30" ht="15.95" customHeight="1" x14ac:dyDescent="0.25">
      <c r="B55" s="410" t="s">
        <v>172</v>
      </c>
      <c r="C55" s="411"/>
      <c r="D55" s="411"/>
      <c r="E55" s="411"/>
      <c r="F55" s="411"/>
      <c r="G55" s="411"/>
      <c r="H55" s="411"/>
      <c r="I55" s="411"/>
      <c r="J55" s="411"/>
      <c r="K55" s="411"/>
      <c r="L55" s="411"/>
      <c r="M55" s="411"/>
      <c r="Q55" s="410" t="s">
        <v>173</v>
      </c>
      <c r="R55" s="411"/>
      <c r="S55" s="411"/>
      <c r="T55" s="411"/>
      <c r="U55" s="411"/>
      <c r="V55" s="411"/>
    </row>
    <row r="56" spans="2:30" x14ac:dyDescent="0.25">
      <c r="B56" s="24" t="s">
        <v>1</v>
      </c>
      <c r="C56" s="23" t="s">
        <v>2</v>
      </c>
      <c r="D56" s="24"/>
      <c r="E56" s="24"/>
      <c r="F56" s="24"/>
      <c r="G56" s="24"/>
      <c r="H56" s="24"/>
      <c r="I56" s="24"/>
      <c r="J56" s="24"/>
      <c r="K56" s="24"/>
      <c r="L56" s="24"/>
      <c r="M56" s="23" t="s">
        <v>117</v>
      </c>
      <c r="Q56" s="24" t="s">
        <v>1</v>
      </c>
      <c r="R56" s="23" t="s">
        <v>2</v>
      </c>
      <c r="S56" s="24" t="s">
        <v>120</v>
      </c>
      <c r="T56" s="24" t="s">
        <v>121</v>
      </c>
      <c r="U56" s="24" t="s">
        <v>116</v>
      </c>
      <c r="V56" s="24" t="s">
        <v>128</v>
      </c>
    </row>
    <row r="57" spans="2:30" x14ac:dyDescent="0.25">
      <c r="B57" s="54" t="s">
        <v>164</v>
      </c>
      <c r="C57" s="55" t="s">
        <v>203</v>
      </c>
      <c r="D57" s="6" cm="1">
        <f t="array" ref="D57:K57">TRANSPOSE(R73:R80)</f>
        <v>652</v>
      </c>
      <c r="E57" s="6">
        <v>641</v>
      </c>
      <c r="F57" s="6">
        <v>846</v>
      </c>
      <c r="G57" s="6">
        <v>451</v>
      </c>
      <c r="H57" s="6">
        <v>515</v>
      </c>
      <c r="I57" s="6">
        <v>376</v>
      </c>
      <c r="J57" s="6">
        <v>299</v>
      </c>
      <c r="K57" s="6">
        <v>198</v>
      </c>
      <c r="L57" s="6">
        <f>R84</f>
        <v>523</v>
      </c>
      <c r="M57" s="110">
        <f>AVERAGE(D57:L57)</f>
        <v>500.11111111111109</v>
      </c>
      <c r="Q57" s="5" t="s">
        <v>24</v>
      </c>
      <c r="R57" s="8" t="s">
        <v>3</v>
      </c>
      <c r="S57" s="30">
        <f>M58</f>
        <v>187.33333333333334</v>
      </c>
      <c r="T57" s="30">
        <f>M73</f>
        <v>22.555555555555557</v>
      </c>
      <c r="U57" s="30">
        <f>S57-T57</f>
        <v>164.77777777777777</v>
      </c>
      <c r="V57" s="32">
        <f>U57/S57</f>
        <v>0.87959667852906276</v>
      </c>
    </row>
    <row r="58" spans="2:30" x14ac:dyDescent="0.25">
      <c r="B58" s="54" t="s">
        <v>24</v>
      </c>
      <c r="C58" s="55" t="s">
        <v>3</v>
      </c>
      <c r="D58" s="6" cm="1">
        <f t="array" ref="D58:K58">D24:K24</f>
        <v>499</v>
      </c>
      <c r="E58" s="6">
        <v>416</v>
      </c>
      <c r="F58" s="6">
        <v>316</v>
      </c>
      <c r="G58" s="6">
        <v>63</v>
      </c>
      <c r="H58" s="6">
        <v>66</v>
      </c>
      <c r="I58" s="6">
        <v>49</v>
      </c>
      <c r="J58" s="6">
        <v>111</v>
      </c>
      <c r="K58" s="6">
        <v>74</v>
      </c>
      <c r="L58" s="6">
        <f>O24</f>
        <v>92</v>
      </c>
      <c r="M58" s="110">
        <f t="shared" ref="M58:M66" si="10">AVERAGE(D58:L58)</f>
        <v>187.33333333333334</v>
      </c>
      <c r="Q58" s="5" t="s">
        <v>25</v>
      </c>
      <c r="R58" s="8" t="s">
        <v>3</v>
      </c>
      <c r="S58" s="30">
        <f>M59</f>
        <v>447.22222222222223</v>
      </c>
      <c r="T58" s="30">
        <f t="shared" ref="T58:T63" si="11">M74</f>
        <v>54.444444444444443</v>
      </c>
      <c r="U58" s="30">
        <f>S58-T58</f>
        <v>392.77777777777777</v>
      </c>
      <c r="V58" s="32">
        <f>U58/S58</f>
        <v>0.87826086956521732</v>
      </c>
    </row>
    <row r="59" spans="2:30" x14ac:dyDescent="0.25">
      <c r="B59" s="54" t="s">
        <v>25</v>
      </c>
      <c r="C59" s="55" t="s">
        <v>3</v>
      </c>
      <c r="D59" s="6" cm="1">
        <f t="array" ref="D59:K59">D25:K25</f>
        <v>1096</v>
      </c>
      <c r="E59" s="6">
        <v>900</v>
      </c>
      <c r="F59" s="6">
        <v>512</v>
      </c>
      <c r="G59" s="6">
        <v>190</v>
      </c>
      <c r="H59" s="6">
        <v>210</v>
      </c>
      <c r="I59" s="6">
        <v>98</v>
      </c>
      <c r="J59" s="6">
        <v>316</v>
      </c>
      <c r="K59" s="6">
        <v>188</v>
      </c>
      <c r="L59" s="6">
        <f>O25</f>
        <v>515</v>
      </c>
      <c r="M59" s="110">
        <f t="shared" si="10"/>
        <v>447.22222222222223</v>
      </c>
      <c r="Q59" s="5" t="s">
        <v>26</v>
      </c>
      <c r="R59" s="8" t="s">
        <v>3</v>
      </c>
      <c r="S59" s="30">
        <f>M60</f>
        <v>136.08888888888887</v>
      </c>
      <c r="T59" s="30">
        <f t="shared" si="11"/>
        <v>15.466666666666665</v>
      </c>
      <c r="U59" s="30">
        <f>S59-T59</f>
        <v>120.62222222222221</v>
      </c>
      <c r="V59" s="32">
        <f>U59/S59</f>
        <v>0.88634879163945135</v>
      </c>
    </row>
    <row r="60" spans="2:30" x14ac:dyDescent="0.25">
      <c r="B60" s="54" t="s">
        <v>26</v>
      </c>
      <c r="C60" s="55" t="s">
        <v>3</v>
      </c>
      <c r="D60" s="6" cm="1">
        <f t="array" ref="D60:K60">D26:K26</f>
        <v>11</v>
      </c>
      <c r="E60" s="6">
        <v>127</v>
      </c>
      <c r="F60" s="6">
        <v>92</v>
      </c>
      <c r="G60" s="6">
        <v>44</v>
      </c>
      <c r="H60" s="6">
        <v>97</v>
      </c>
      <c r="I60" s="6">
        <v>23.8</v>
      </c>
      <c r="J60" s="6">
        <v>249.6</v>
      </c>
      <c r="K60" s="6">
        <v>58.4</v>
      </c>
      <c r="L60" s="6">
        <f>O26</f>
        <v>522</v>
      </c>
      <c r="M60" s="110">
        <f t="shared" si="10"/>
        <v>136.08888888888887</v>
      </c>
      <c r="Q60" s="5" t="s">
        <v>27</v>
      </c>
      <c r="R60" s="8" t="s">
        <v>3</v>
      </c>
      <c r="S60" s="30">
        <f>M61</f>
        <v>62.711111111111109</v>
      </c>
      <c r="T60" s="30">
        <f t="shared" si="11"/>
        <v>11.988888888888889</v>
      </c>
      <c r="U60" s="30">
        <f>S60-T60</f>
        <v>50.722222222222221</v>
      </c>
      <c r="V60" s="32">
        <f>U60/S60</f>
        <v>0.80882352941176472</v>
      </c>
    </row>
    <row r="61" spans="2:30" x14ac:dyDescent="0.25">
      <c r="B61" s="54" t="s">
        <v>27</v>
      </c>
      <c r="C61" s="55" t="s">
        <v>3</v>
      </c>
      <c r="D61" s="6" cm="1">
        <f t="array" ref="D61:K61">D27:K27</f>
        <v>172</v>
      </c>
      <c r="E61" s="6">
        <v>77</v>
      </c>
      <c r="F61" s="6">
        <v>78</v>
      </c>
      <c r="G61" s="6">
        <v>37</v>
      </c>
      <c r="H61" s="6">
        <v>56</v>
      </c>
      <c r="I61" s="6">
        <v>28.6</v>
      </c>
      <c r="J61" s="6">
        <v>33.4</v>
      </c>
      <c r="K61" s="6">
        <v>28.8</v>
      </c>
      <c r="L61" s="6">
        <f>O27</f>
        <v>53.6</v>
      </c>
      <c r="M61" s="110">
        <f t="shared" si="10"/>
        <v>62.711111111111109</v>
      </c>
      <c r="Q61" s="5" t="s">
        <v>28</v>
      </c>
      <c r="R61" s="8" t="s">
        <v>3</v>
      </c>
      <c r="S61" s="30">
        <f>M62</f>
        <v>24.066666666666666</v>
      </c>
      <c r="T61" s="30">
        <f t="shared" si="11"/>
        <v>1.4733333333333334</v>
      </c>
      <c r="U61" s="30">
        <f>S61-T61</f>
        <v>22.593333333333334</v>
      </c>
      <c r="V61" s="32">
        <f>U61/S61</f>
        <v>0.93878116343490303</v>
      </c>
    </row>
    <row r="62" spans="2:30" ht="16.5" thickBot="1" x14ac:dyDescent="0.3">
      <c r="B62" s="56" t="s">
        <v>28</v>
      </c>
      <c r="C62" s="57" t="s">
        <v>3</v>
      </c>
      <c r="D62" s="40" cm="1">
        <f t="array" ref="D62:K62">D28:K28</f>
        <v>110</v>
      </c>
      <c r="E62" s="40">
        <v>9.1999999999999993</v>
      </c>
      <c r="F62" s="40">
        <v>7.8</v>
      </c>
      <c r="G62" s="40">
        <v>57</v>
      </c>
      <c r="H62" s="40">
        <v>8.3000000000000007</v>
      </c>
      <c r="I62" s="40">
        <v>3.1</v>
      </c>
      <c r="J62" s="40">
        <v>7.6</v>
      </c>
      <c r="K62" s="40">
        <v>2.6</v>
      </c>
      <c r="L62" s="40">
        <f>O28</f>
        <v>11</v>
      </c>
      <c r="M62" s="113">
        <f t="shared" si="10"/>
        <v>24.066666666666666</v>
      </c>
      <c r="Q62" s="5" t="s">
        <v>30</v>
      </c>
      <c r="R62" s="8" t="s">
        <v>3</v>
      </c>
      <c r="S62" s="6" t="s">
        <v>107</v>
      </c>
      <c r="T62" s="30">
        <f t="shared" si="11"/>
        <v>4.6124999999999998</v>
      </c>
      <c r="U62" s="30" t="s">
        <v>107</v>
      </c>
      <c r="V62" s="30" t="s">
        <v>107</v>
      </c>
    </row>
    <row r="63" spans="2:30" x14ac:dyDescent="0.25">
      <c r="B63" s="58" t="s">
        <v>136</v>
      </c>
      <c r="C63" s="59" t="s">
        <v>138</v>
      </c>
      <c r="D63" s="50">
        <f>D58/D59</f>
        <v>0.45529197080291972</v>
      </c>
      <c r="E63" s="50">
        <f t="shared" ref="E63:L63" si="12">E58/E59</f>
        <v>0.4622222222222222</v>
      </c>
      <c r="F63" s="50">
        <f t="shared" si="12"/>
        <v>0.6171875</v>
      </c>
      <c r="G63" s="50">
        <f t="shared" si="12"/>
        <v>0.33157894736842103</v>
      </c>
      <c r="H63" s="50">
        <f t="shared" si="12"/>
        <v>0.31428571428571428</v>
      </c>
      <c r="I63" s="50">
        <f t="shared" si="12"/>
        <v>0.5</v>
      </c>
      <c r="J63" s="50">
        <f t="shared" si="12"/>
        <v>0.35126582278481011</v>
      </c>
      <c r="K63" s="50">
        <f t="shared" si="12"/>
        <v>0.39361702127659576</v>
      </c>
      <c r="L63" s="50">
        <f t="shared" si="12"/>
        <v>0.17864077669902911</v>
      </c>
      <c r="M63" s="109">
        <f t="shared" si="10"/>
        <v>0.40045444171552358</v>
      </c>
      <c r="Q63" s="5" t="s">
        <v>119</v>
      </c>
      <c r="R63" s="8" t="s">
        <v>3</v>
      </c>
      <c r="S63" s="6" t="s">
        <v>107</v>
      </c>
      <c r="T63" s="30">
        <f t="shared" si="11"/>
        <v>0.45</v>
      </c>
      <c r="U63" s="30" t="s">
        <v>107</v>
      </c>
      <c r="V63" s="30" t="s">
        <v>107</v>
      </c>
    </row>
    <row r="64" spans="2:30" x14ac:dyDescent="0.25">
      <c r="B64" s="54" t="s">
        <v>139</v>
      </c>
      <c r="C64" s="55" t="s">
        <v>3</v>
      </c>
      <c r="D64" s="51">
        <f>D60*1.42</f>
        <v>15.62</v>
      </c>
      <c r="E64" s="51">
        <f t="shared" ref="E64:L64" si="13">E60*1.42</f>
        <v>180.34</v>
      </c>
      <c r="F64" s="51">
        <f t="shared" si="13"/>
        <v>130.63999999999999</v>
      </c>
      <c r="G64" s="51">
        <f t="shared" si="13"/>
        <v>62.48</v>
      </c>
      <c r="H64" s="51">
        <f t="shared" si="13"/>
        <v>137.73999999999998</v>
      </c>
      <c r="I64" s="51">
        <f t="shared" si="13"/>
        <v>33.795999999999999</v>
      </c>
      <c r="J64" s="51">
        <f t="shared" si="13"/>
        <v>354.43199999999996</v>
      </c>
      <c r="K64" s="51">
        <f t="shared" si="13"/>
        <v>82.927999999999997</v>
      </c>
      <c r="L64" s="51">
        <f t="shared" si="13"/>
        <v>741.24</v>
      </c>
      <c r="M64" s="110">
        <f t="shared" si="10"/>
        <v>193.2462222222222</v>
      </c>
      <c r="Q64" s="5" t="s">
        <v>164</v>
      </c>
      <c r="R64" s="55" t="s">
        <v>204</v>
      </c>
      <c r="S64" s="51">
        <f>M90</f>
        <v>16.389869402216451</v>
      </c>
      <c r="T64" s="122">
        <f>M105</f>
        <v>16.389869402216451</v>
      </c>
      <c r="U64" s="30" t="s">
        <v>107</v>
      </c>
      <c r="V64" s="30" t="s">
        <v>107</v>
      </c>
    </row>
    <row r="65" spans="2:19" x14ac:dyDescent="0.25">
      <c r="B65" s="54" t="s">
        <v>140</v>
      </c>
      <c r="C65" s="55" t="s">
        <v>138</v>
      </c>
      <c r="D65" s="52">
        <f>D60/D59</f>
        <v>1.0036496350364963E-2</v>
      </c>
      <c r="E65" s="52">
        <f t="shared" ref="E65:L65" si="14">E60/E59</f>
        <v>0.1411111111111111</v>
      </c>
      <c r="F65" s="52">
        <f t="shared" si="14"/>
        <v>0.1796875</v>
      </c>
      <c r="G65" s="52">
        <f t="shared" si="14"/>
        <v>0.23157894736842105</v>
      </c>
      <c r="H65" s="52">
        <f t="shared" si="14"/>
        <v>0.46190476190476193</v>
      </c>
      <c r="I65" s="52">
        <f t="shared" si="14"/>
        <v>0.24285714285714285</v>
      </c>
      <c r="J65" s="52">
        <f t="shared" si="14"/>
        <v>0.78987341772151898</v>
      </c>
      <c r="K65" s="52">
        <f t="shared" si="14"/>
        <v>0.31063829787234043</v>
      </c>
      <c r="L65" s="52">
        <f t="shared" si="14"/>
        <v>1.0135922330097087</v>
      </c>
      <c r="M65" s="111">
        <f t="shared" si="10"/>
        <v>0.37569776757726342</v>
      </c>
    </row>
    <row r="66" spans="2:19" x14ac:dyDescent="0.25">
      <c r="B66" s="54" t="s">
        <v>141</v>
      </c>
      <c r="C66" s="55" t="s">
        <v>138</v>
      </c>
      <c r="D66" s="52">
        <f>D60/D58</f>
        <v>2.2044088176352707E-2</v>
      </c>
      <c r="E66" s="52">
        <f t="shared" ref="E66:L66" si="15">E60/E58</f>
        <v>0.30528846153846156</v>
      </c>
      <c r="F66" s="52">
        <f t="shared" si="15"/>
        <v>0.29113924050632911</v>
      </c>
      <c r="G66" s="52">
        <f t="shared" si="15"/>
        <v>0.69841269841269837</v>
      </c>
      <c r="H66" s="52">
        <f t="shared" si="15"/>
        <v>1.4696969696969697</v>
      </c>
      <c r="I66" s="52">
        <f t="shared" si="15"/>
        <v>0.48571428571428571</v>
      </c>
      <c r="J66" s="52">
        <f t="shared" si="15"/>
        <v>2.2486486486486488</v>
      </c>
      <c r="K66" s="52">
        <f t="shared" si="15"/>
        <v>0.78918918918918912</v>
      </c>
      <c r="L66" s="52">
        <f t="shared" si="15"/>
        <v>5.6739130434782608</v>
      </c>
      <c r="M66" s="111">
        <f t="shared" si="10"/>
        <v>1.3315607361512438</v>
      </c>
    </row>
    <row r="67" spans="2:19" x14ac:dyDescent="0.25">
      <c r="O67" t="s">
        <v>165</v>
      </c>
    </row>
    <row r="68" spans="2:19" x14ac:dyDescent="0.25">
      <c r="O68" t="s">
        <v>166</v>
      </c>
    </row>
    <row r="70" spans="2:19" x14ac:dyDescent="0.25">
      <c r="B70" s="593" t="s">
        <v>171</v>
      </c>
      <c r="C70" s="594"/>
      <c r="D70" s="594"/>
      <c r="E70" s="594"/>
      <c r="F70" s="594"/>
      <c r="G70" s="594"/>
      <c r="H70" s="594"/>
      <c r="I70" s="594"/>
      <c r="J70" s="594"/>
      <c r="K70" s="594"/>
      <c r="L70" s="594"/>
      <c r="M70" s="594"/>
      <c r="Q70" s="406" t="s">
        <v>176</v>
      </c>
      <c r="R70" s="406"/>
      <c r="S70" s="406"/>
    </row>
    <row r="71" spans="2:19" x14ac:dyDescent="0.25">
      <c r="B71" s="72" t="s">
        <v>1</v>
      </c>
      <c r="C71" s="73" t="s">
        <v>2</v>
      </c>
      <c r="D71" s="73">
        <v>1.24</v>
      </c>
      <c r="E71" s="73">
        <v>2.2400000000000002</v>
      </c>
      <c r="F71" s="73">
        <v>3.24</v>
      </c>
      <c r="G71" s="73">
        <v>4.24</v>
      </c>
      <c r="H71" s="73">
        <v>5.24</v>
      </c>
      <c r="I71" s="73">
        <v>6.24</v>
      </c>
      <c r="J71" s="73">
        <v>7.24</v>
      </c>
      <c r="K71" s="73">
        <v>8.24</v>
      </c>
      <c r="L71" s="73">
        <v>12.24</v>
      </c>
      <c r="M71" s="73" t="s">
        <v>117</v>
      </c>
      <c r="Q71" s="419" t="s">
        <v>163</v>
      </c>
      <c r="R71" s="420" t="s">
        <v>18</v>
      </c>
      <c r="S71" s="421"/>
    </row>
    <row r="72" spans="2:19" x14ac:dyDescent="0.25">
      <c r="B72" s="54" t="s">
        <v>164</v>
      </c>
      <c r="C72" s="55" t="s">
        <v>203</v>
      </c>
      <c r="D72" s="6">
        <v>652</v>
      </c>
      <c r="E72" s="6">
        <v>641</v>
      </c>
      <c r="F72" s="6">
        <v>846</v>
      </c>
      <c r="G72" s="6">
        <v>451</v>
      </c>
      <c r="H72" s="6">
        <v>515</v>
      </c>
      <c r="I72" s="6">
        <v>376</v>
      </c>
      <c r="J72" s="6">
        <v>299</v>
      </c>
      <c r="K72" s="6">
        <v>198</v>
      </c>
      <c r="L72" s="6">
        <v>523</v>
      </c>
      <c r="M72" s="110">
        <f>AVERAGE(D72:L72)</f>
        <v>500.11111111111109</v>
      </c>
      <c r="Q72" s="419"/>
      <c r="R72" s="422"/>
      <c r="S72" s="423"/>
    </row>
    <row r="73" spans="2:19" x14ac:dyDescent="0.25">
      <c r="B73" s="5" t="s">
        <v>24</v>
      </c>
      <c r="C73" s="8" t="s">
        <v>3</v>
      </c>
      <c r="D73" s="6" cm="1">
        <f t="array" ref="D73:K73">D39:K39</f>
        <v>18</v>
      </c>
      <c r="E73" s="6">
        <v>22</v>
      </c>
      <c r="F73" s="6">
        <v>21</v>
      </c>
      <c r="G73" s="6">
        <v>22</v>
      </c>
      <c r="H73" s="6">
        <v>20</v>
      </c>
      <c r="I73" s="6">
        <v>63</v>
      </c>
      <c r="J73" s="6">
        <v>6</v>
      </c>
      <c r="K73" s="6">
        <v>6</v>
      </c>
      <c r="L73" s="6">
        <f>O39</f>
        <v>25</v>
      </c>
      <c r="M73" s="110">
        <f t="shared" ref="M73:M83" si="16">AVERAGE(D73:L73)</f>
        <v>22.555555555555557</v>
      </c>
      <c r="Q73" s="8" t="s">
        <v>150</v>
      </c>
      <c r="R73" s="413">
        <f>'Ambas EDAR'!M6</f>
        <v>652</v>
      </c>
      <c r="S73" s="414"/>
    </row>
    <row r="74" spans="2:19" x14ac:dyDescent="0.25">
      <c r="B74" s="5" t="s">
        <v>25</v>
      </c>
      <c r="C74" s="8" t="s">
        <v>3</v>
      </c>
      <c r="D74" s="6" cm="1">
        <f t="array" ref="D74:K74">D40:K40</f>
        <v>51</v>
      </c>
      <c r="E74" s="6">
        <v>70</v>
      </c>
      <c r="F74" s="6">
        <v>48</v>
      </c>
      <c r="G74" s="6">
        <v>50</v>
      </c>
      <c r="H74" s="6">
        <v>58</v>
      </c>
      <c r="I74" s="6">
        <v>126</v>
      </c>
      <c r="J74" s="6">
        <v>12</v>
      </c>
      <c r="K74" s="6">
        <v>34</v>
      </c>
      <c r="L74" s="6">
        <f t="shared" ref="L74:L79" si="17">O40</f>
        <v>41</v>
      </c>
      <c r="M74" s="110">
        <f t="shared" si="16"/>
        <v>54.444444444444443</v>
      </c>
      <c r="Q74" s="8" t="s">
        <v>151</v>
      </c>
      <c r="R74" s="413">
        <f>'Ambas EDAR'!M7</f>
        <v>641</v>
      </c>
      <c r="S74" s="414"/>
    </row>
    <row r="75" spans="2:19" x14ac:dyDescent="0.25">
      <c r="B75" s="5" t="s">
        <v>26</v>
      </c>
      <c r="C75" s="8" t="s">
        <v>3</v>
      </c>
      <c r="D75" s="6" cm="1">
        <f t="array" ref="D75:K75">D41:K41</f>
        <v>22</v>
      </c>
      <c r="E75" s="6">
        <v>28.4</v>
      </c>
      <c r="F75" s="6">
        <v>34.200000000000003</v>
      </c>
      <c r="G75" s="6">
        <v>15</v>
      </c>
      <c r="H75" s="6">
        <v>13.2</v>
      </c>
      <c r="I75" s="6">
        <v>16.7</v>
      </c>
      <c r="J75" s="6">
        <v>2</v>
      </c>
      <c r="K75" s="6">
        <v>2.7</v>
      </c>
      <c r="L75" s="6">
        <f t="shared" si="17"/>
        <v>5</v>
      </c>
      <c r="M75" s="110">
        <f t="shared" si="16"/>
        <v>15.466666666666665</v>
      </c>
      <c r="Q75" s="8" t="s">
        <v>152</v>
      </c>
      <c r="R75" s="413">
        <f>'Ambas EDAR'!M8</f>
        <v>846</v>
      </c>
      <c r="S75" s="414"/>
    </row>
    <row r="76" spans="2:19" x14ac:dyDescent="0.25">
      <c r="B76" s="5" t="s">
        <v>27</v>
      </c>
      <c r="C76" s="8" t="s">
        <v>3</v>
      </c>
      <c r="D76" s="6" cm="1">
        <f t="array" ref="D76:K76">D42:K42</f>
        <v>13.3</v>
      </c>
      <c r="E76" s="6">
        <v>14.5</v>
      </c>
      <c r="F76" s="6">
        <v>6.6</v>
      </c>
      <c r="G76" s="6">
        <v>14.1</v>
      </c>
      <c r="H76" s="6">
        <v>14</v>
      </c>
      <c r="I76" s="6">
        <v>27.8</v>
      </c>
      <c r="J76" s="6">
        <v>3.7</v>
      </c>
      <c r="K76" s="6">
        <v>4.9000000000000004</v>
      </c>
      <c r="L76" s="6">
        <f t="shared" si="17"/>
        <v>9</v>
      </c>
      <c r="M76" s="110">
        <f t="shared" si="16"/>
        <v>11.988888888888889</v>
      </c>
      <c r="Q76" s="8" t="s">
        <v>153</v>
      </c>
      <c r="R76" s="413">
        <f>'Ambas EDAR'!M9</f>
        <v>451</v>
      </c>
      <c r="S76" s="414"/>
    </row>
    <row r="77" spans="2:19" x14ac:dyDescent="0.25">
      <c r="B77" s="5" t="s">
        <v>28</v>
      </c>
      <c r="C77" s="8" t="s">
        <v>3</v>
      </c>
      <c r="D77" s="6" cm="1">
        <f t="array" ref="D77:K77">D43:K43</f>
        <v>0.5</v>
      </c>
      <c r="E77" s="6">
        <v>0.7</v>
      </c>
      <c r="F77" s="6">
        <v>0.6</v>
      </c>
      <c r="G77" s="6">
        <v>0.6</v>
      </c>
      <c r="H77" s="6">
        <v>0.8</v>
      </c>
      <c r="I77" s="6">
        <v>5.6</v>
      </c>
      <c r="J77" s="6">
        <v>1.2</v>
      </c>
      <c r="K77" s="6">
        <v>1.7</v>
      </c>
      <c r="L77" s="6">
        <f t="shared" si="17"/>
        <v>1.56</v>
      </c>
      <c r="M77" s="111">
        <f t="shared" si="16"/>
        <v>1.4733333333333334</v>
      </c>
      <c r="Q77" s="8" t="s">
        <v>154</v>
      </c>
      <c r="R77" s="413">
        <f>'Ambas EDAR'!M10</f>
        <v>515</v>
      </c>
      <c r="S77" s="414"/>
    </row>
    <row r="78" spans="2:19" x14ac:dyDescent="0.25">
      <c r="B78" s="5" t="s">
        <v>30</v>
      </c>
      <c r="C78" s="8" t="s">
        <v>3</v>
      </c>
      <c r="D78" s="31" cm="1">
        <f t="array" ref="D78:K78">D44:K44</f>
        <v>5</v>
      </c>
      <c r="E78" s="31">
        <v>5</v>
      </c>
      <c r="F78" s="31">
        <v>5</v>
      </c>
      <c r="G78" s="6">
        <v>6.4</v>
      </c>
      <c r="H78" s="31">
        <v>5</v>
      </c>
      <c r="I78" s="6" t="str">
        <v>---</v>
      </c>
      <c r="J78" s="31">
        <v>5</v>
      </c>
      <c r="K78" s="31">
        <v>5</v>
      </c>
      <c r="L78" s="31">
        <f t="shared" si="17"/>
        <v>0.5</v>
      </c>
      <c r="M78" s="106">
        <f t="shared" si="16"/>
        <v>4.6124999999999998</v>
      </c>
      <c r="Q78" s="8" t="s">
        <v>155</v>
      </c>
      <c r="R78" s="413">
        <f>'Ambas EDAR'!M11</f>
        <v>376</v>
      </c>
      <c r="S78" s="414"/>
    </row>
    <row r="79" spans="2:19" ht="16.5" thickBot="1" x14ac:dyDescent="0.3">
      <c r="B79" s="38" t="s">
        <v>119</v>
      </c>
      <c r="C79" s="39" t="s">
        <v>3</v>
      </c>
      <c r="D79" s="40" cm="1">
        <f t="array" ref="D79:K79">D45:K45</f>
        <v>0.6</v>
      </c>
      <c r="E79" s="40">
        <v>0.4</v>
      </c>
      <c r="F79" s="40">
        <v>0.3</v>
      </c>
      <c r="G79" s="40">
        <v>0.3</v>
      </c>
      <c r="H79" s="40">
        <v>0.9</v>
      </c>
      <c r="I79" s="40" t="str">
        <v>---</v>
      </c>
      <c r="J79" s="40">
        <v>0.4</v>
      </c>
      <c r="K79" s="40">
        <v>0.5</v>
      </c>
      <c r="L79" s="48">
        <f t="shared" si="17"/>
        <v>0.2</v>
      </c>
      <c r="M79" s="112">
        <f t="shared" si="16"/>
        <v>0.45</v>
      </c>
      <c r="Q79" s="8" t="s">
        <v>156</v>
      </c>
      <c r="R79" s="413">
        <f>'Ambas EDAR'!M12</f>
        <v>299</v>
      </c>
      <c r="S79" s="414"/>
    </row>
    <row r="80" spans="2:19" x14ac:dyDescent="0.25">
      <c r="B80" s="35" t="s">
        <v>136</v>
      </c>
      <c r="C80" s="36" t="s">
        <v>138</v>
      </c>
      <c r="D80" s="50">
        <f t="shared" ref="D80:L80" si="18">D73/D74</f>
        <v>0.35294117647058826</v>
      </c>
      <c r="E80" s="50">
        <f t="shared" si="18"/>
        <v>0.31428571428571428</v>
      </c>
      <c r="F80" s="50">
        <f t="shared" si="18"/>
        <v>0.4375</v>
      </c>
      <c r="G80" s="50">
        <f t="shared" si="18"/>
        <v>0.44</v>
      </c>
      <c r="H80" s="50">
        <f t="shared" si="18"/>
        <v>0.34482758620689657</v>
      </c>
      <c r="I80" s="50">
        <f t="shared" si="18"/>
        <v>0.5</v>
      </c>
      <c r="J80" s="50">
        <f t="shared" si="18"/>
        <v>0.5</v>
      </c>
      <c r="K80" s="50">
        <f t="shared" si="18"/>
        <v>0.17647058823529413</v>
      </c>
      <c r="L80" s="50">
        <f t="shared" si="18"/>
        <v>0.6097560975609756</v>
      </c>
      <c r="M80" s="109">
        <f t="shared" si="16"/>
        <v>0.40842012919549653</v>
      </c>
      <c r="Q80" s="8" t="s">
        <v>157</v>
      </c>
      <c r="R80" s="413">
        <f>'Ambas EDAR'!M13</f>
        <v>198</v>
      </c>
      <c r="S80" s="414"/>
    </row>
    <row r="81" spans="2:19" x14ac:dyDescent="0.25">
      <c r="B81" s="5" t="s">
        <v>139</v>
      </c>
      <c r="C81" s="8" t="s">
        <v>3</v>
      </c>
      <c r="D81" s="51">
        <f t="shared" ref="D81:L81" si="19">D75*1.42</f>
        <v>31.24</v>
      </c>
      <c r="E81" s="51">
        <f t="shared" si="19"/>
        <v>40.327999999999996</v>
      </c>
      <c r="F81" s="51">
        <f t="shared" si="19"/>
        <v>48.564</v>
      </c>
      <c r="G81" s="51">
        <f t="shared" si="19"/>
        <v>21.299999999999997</v>
      </c>
      <c r="H81" s="51">
        <f t="shared" si="19"/>
        <v>18.744</v>
      </c>
      <c r="I81" s="51">
        <f t="shared" si="19"/>
        <v>23.713999999999999</v>
      </c>
      <c r="J81" s="51">
        <f t="shared" si="19"/>
        <v>2.84</v>
      </c>
      <c r="K81" s="51">
        <f t="shared" si="19"/>
        <v>3.8340000000000001</v>
      </c>
      <c r="L81" s="51">
        <f t="shared" si="19"/>
        <v>7.1</v>
      </c>
      <c r="M81" s="110">
        <f t="shared" si="16"/>
        <v>21.962666666666667</v>
      </c>
      <c r="Q81" s="8" t="s">
        <v>158</v>
      </c>
      <c r="R81" s="591" t="s">
        <v>9</v>
      </c>
      <c r="S81" s="414"/>
    </row>
    <row r="82" spans="2:19" x14ac:dyDescent="0.25">
      <c r="B82" s="5" t="s">
        <v>140</v>
      </c>
      <c r="C82" s="8" t="s">
        <v>138</v>
      </c>
      <c r="D82" s="52">
        <f t="shared" ref="D82:L82" si="20">D75/D74</f>
        <v>0.43137254901960786</v>
      </c>
      <c r="E82" s="52">
        <f t="shared" si="20"/>
        <v>0.40571428571428569</v>
      </c>
      <c r="F82" s="52">
        <f t="shared" si="20"/>
        <v>0.71250000000000002</v>
      </c>
      <c r="G82" s="52">
        <f t="shared" si="20"/>
        <v>0.3</v>
      </c>
      <c r="H82" s="52">
        <f t="shared" si="20"/>
        <v>0.22758620689655171</v>
      </c>
      <c r="I82" s="52">
        <f t="shared" si="20"/>
        <v>0.13253968253968254</v>
      </c>
      <c r="J82" s="52">
        <f t="shared" si="20"/>
        <v>0.16666666666666666</v>
      </c>
      <c r="K82" s="52">
        <f t="shared" si="20"/>
        <v>7.9411764705882362E-2</v>
      </c>
      <c r="L82" s="52">
        <f t="shared" si="20"/>
        <v>0.12195121951219512</v>
      </c>
      <c r="M82" s="111">
        <f t="shared" si="16"/>
        <v>0.28641581945054134</v>
      </c>
      <c r="Q82" s="8" t="s">
        <v>159</v>
      </c>
      <c r="R82" s="591" t="s">
        <v>9</v>
      </c>
      <c r="S82" s="414"/>
    </row>
    <row r="83" spans="2:19" x14ac:dyDescent="0.25">
      <c r="B83" s="5" t="s">
        <v>141</v>
      </c>
      <c r="C83" s="8" t="s">
        <v>138</v>
      </c>
      <c r="D83" s="52">
        <f t="shared" ref="D83:L83" si="21">D75/D73</f>
        <v>1.2222222222222223</v>
      </c>
      <c r="E83" s="52">
        <f t="shared" si="21"/>
        <v>1.2909090909090908</v>
      </c>
      <c r="F83" s="52">
        <f t="shared" si="21"/>
        <v>1.6285714285714288</v>
      </c>
      <c r="G83" s="52">
        <f t="shared" si="21"/>
        <v>0.68181818181818177</v>
      </c>
      <c r="H83" s="52">
        <f t="shared" si="21"/>
        <v>0.65999999999999992</v>
      </c>
      <c r="I83" s="52">
        <f t="shared" si="21"/>
        <v>0.26507936507936508</v>
      </c>
      <c r="J83" s="52">
        <f t="shared" si="21"/>
        <v>0.33333333333333331</v>
      </c>
      <c r="K83" s="52">
        <f t="shared" si="21"/>
        <v>0.45</v>
      </c>
      <c r="L83" s="52">
        <f t="shared" si="21"/>
        <v>0.2</v>
      </c>
      <c r="M83" s="111">
        <f t="shared" si="16"/>
        <v>0.74799262465929139</v>
      </c>
      <c r="Q83" s="8" t="s">
        <v>160</v>
      </c>
      <c r="R83" s="413">
        <f>'Ambas EDAR'!M16</f>
        <v>485</v>
      </c>
      <c r="S83" s="414"/>
    </row>
    <row r="84" spans="2:19" x14ac:dyDescent="0.25">
      <c r="Q84" s="8" t="s">
        <v>161</v>
      </c>
      <c r="R84" s="413">
        <f>'Ambas EDAR'!M17</f>
        <v>523</v>
      </c>
      <c r="S84" s="414"/>
    </row>
    <row r="88" spans="2:19" x14ac:dyDescent="0.25">
      <c r="B88" s="406" t="s">
        <v>169</v>
      </c>
      <c r="C88" s="406"/>
      <c r="D88" s="406"/>
      <c r="E88" s="406"/>
      <c r="F88" s="406"/>
      <c r="G88" s="406"/>
      <c r="H88" s="406"/>
      <c r="I88" s="406"/>
      <c r="J88" s="406"/>
      <c r="K88" s="406"/>
      <c r="L88" s="406"/>
      <c r="M88" s="406"/>
    </row>
    <row r="89" spans="2:19" x14ac:dyDescent="0.25">
      <c r="B89" s="24" t="s">
        <v>1</v>
      </c>
      <c r="C89" s="23" t="s">
        <v>2</v>
      </c>
      <c r="D89" s="24">
        <v>1.24</v>
      </c>
      <c r="E89" s="24">
        <v>2.2400000000000002</v>
      </c>
      <c r="F89" s="24">
        <v>3.24</v>
      </c>
      <c r="G89" s="24">
        <v>4.24</v>
      </c>
      <c r="H89" s="24">
        <v>5.24</v>
      </c>
      <c r="I89" s="24">
        <v>6.24</v>
      </c>
      <c r="J89" s="24">
        <v>7.24</v>
      </c>
      <c r="K89" s="24">
        <v>8.24</v>
      </c>
      <c r="L89" s="24">
        <v>12.24</v>
      </c>
      <c r="M89" s="23" t="s">
        <v>117</v>
      </c>
    </row>
    <row r="90" spans="2:19" x14ac:dyDescent="0.25">
      <c r="B90" s="54" t="s">
        <v>164</v>
      </c>
      <c r="C90" s="55" t="s">
        <v>204</v>
      </c>
      <c r="D90" s="51">
        <f>D57 * (1/31)</f>
        <v>21.032258064516128</v>
      </c>
      <c r="E90" s="51">
        <f>E57 * (1/29)</f>
        <v>22.103448275862068</v>
      </c>
      <c r="F90" s="51">
        <f>F57 * (1/31)</f>
        <v>27.29032258064516</v>
      </c>
      <c r="G90" s="51">
        <f>G57 * (1/30)</f>
        <v>15.033333333333333</v>
      </c>
      <c r="H90" s="51">
        <f>H57 * (1/31)</f>
        <v>16.612903225806452</v>
      </c>
      <c r="I90" s="51">
        <f>I57 * (1/30)</f>
        <v>12.533333333333333</v>
      </c>
      <c r="J90" s="51">
        <f>J57 * (1/31)</f>
        <v>9.6451612903225801</v>
      </c>
      <c r="K90" s="51">
        <f>K57 * (1/31)</f>
        <v>6.387096774193548</v>
      </c>
      <c r="L90" s="51">
        <f>L57 * (1/31)</f>
        <v>16.870967741935484</v>
      </c>
      <c r="M90" s="106">
        <f>AVERAGE(D90:L90)</f>
        <v>16.389869402216451</v>
      </c>
    </row>
    <row r="91" spans="2:19" x14ac:dyDescent="0.25">
      <c r="B91" s="54" t="s">
        <v>24</v>
      </c>
      <c r="C91" s="55" t="s">
        <v>36</v>
      </c>
      <c r="D91" s="74">
        <f>D58*D$90 * (1/1000)</f>
        <v>10.495096774193547</v>
      </c>
      <c r="E91" s="74">
        <f t="shared" ref="E91:L91" si="22">E58*E$90 * (1/1000)</f>
        <v>9.1950344827586203</v>
      </c>
      <c r="F91" s="74">
        <f t="shared" si="22"/>
        <v>8.6237419354838707</v>
      </c>
      <c r="G91" s="74">
        <f t="shared" si="22"/>
        <v>0.94710000000000005</v>
      </c>
      <c r="H91" s="74">
        <f t="shared" si="22"/>
        <v>1.0964516129032258</v>
      </c>
      <c r="I91" s="74">
        <f t="shared" si="22"/>
        <v>0.61413333333333331</v>
      </c>
      <c r="J91" s="74">
        <f t="shared" si="22"/>
        <v>1.0706129032258063</v>
      </c>
      <c r="K91" s="74">
        <f t="shared" si="22"/>
        <v>0.47264516129032258</v>
      </c>
      <c r="L91" s="74">
        <f t="shared" si="22"/>
        <v>1.5521290322580648</v>
      </c>
      <c r="M91" s="107">
        <f t="shared" ref="M91:M99" si="23">AVERAGE(D91:L91)</f>
        <v>3.785216137271866</v>
      </c>
    </row>
    <row r="92" spans="2:19" x14ac:dyDescent="0.25">
      <c r="B92" s="54" t="s">
        <v>25</v>
      </c>
      <c r="C92" s="55" t="s">
        <v>36</v>
      </c>
      <c r="D92" s="74">
        <f t="shared" ref="D92:L92" si="24">D59*D$90 * (1/1000)</f>
        <v>23.051354838709678</v>
      </c>
      <c r="E92" s="74">
        <f t="shared" si="24"/>
        <v>19.893103448275863</v>
      </c>
      <c r="F92" s="74">
        <f t="shared" si="24"/>
        <v>13.972645161290322</v>
      </c>
      <c r="G92" s="74">
        <f t="shared" si="24"/>
        <v>2.8563333333333336</v>
      </c>
      <c r="H92" s="74">
        <f t="shared" si="24"/>
        <v>3.4887096774193553</v>
      </c>
      <c r="I92" s="74">
        <f t="shared" si="24"/>
        <v>1.2282666666666666</v>
      </c>
      <c r="J92" s="74">
        <f t="shared" si="24"/>
        <v>3.0478709677419351</v>
      </c>
      <c r="K92" s="74">
        <f t="shared" si="24"/>
        <v>1.2007741935483871</v>
      </c>
      <c r="L92" s="74">
        <f t="shared" si="24"/>
        <v>8.688548387096775</v>
      </c>
      <c r="M92" s="107">
        <f>AVERAGE(D92:L92)</f>
        <v>8.6030674082313663</v>
      </c>
    </row>
    <row r="93" spans="2:19" x14ac:dyDescent="0.25">
      <c r="B93" s="54" t="s">
        <v>26</v>
      </c>
      <c r="C93" s="55" t="s">
        <v>36</v>
      </c>
      <c r="D93" s="74">
        <f t="shared" ref="D93:L93" si="25">D60*D$90 * (1/1000)</f>
        <v>0.23135483870967741</v>
      </c>
      <c r="E93" s="74">
        <f t="shared" si="25"/>
        <v>2.8071379310344828</v>
      </c>
      <c r="F93" s="74">
        <f t="shared" si="25"/>
        <v>2.5107096774193547</v>
      </c>
      <c r="G93" s="74">
        <f t="shared" si="25"/>
        <v>0.66146666666666676</v>
      </c>
      <c r="H93" s="74">
        <f t="shared" si="25"/>
        <v>1.6114516129032259</v>
      </c>
      <c r="I93" s="74">
        <f t="shared" si="25"/>
        <v>0.29829333333333335</v>
      </c>
      <c r="J93" s="74">
        <f t="shared" si="25"/>
        <v>2.407432258064516</v>
      </c>
      <c r="K93" s="74">
        <f t="shared" si="25"/>
        <v>0.37300645161290324</v>
      </c>
      <c r="L93" s="74">
        <f t="shared" si="25"/>
        <v>8.8066451612903229</v>
      </c>
      <c r="M93" s="107">
        <f t="shared" si="23"/>
        <v>2.1897219923371645</v>
      </c>
    </row>
    <row r="94" spans="2:19" x14ac:dyDescent="0.25">
      <c r="B94" s="54" t="s">
        <v>27</v>
      </c>
      <c r="C94" s="55" t="s">
        <v>36</v>
      </c>
      <c r="D94" s="74">
        <f t="shared" ref="D94:L94" si="26">D61*D$90 * (1/1000)</f>
        <v>3.6175483870967744</v>
      </c>
      <c r="E94" s="74">
        <f t="shared" si="26"/>
        <v>1.7019655172413792</v>
      </c>
      <c r="F94" s="74">
        <f t="shared" si="26"/>
        <v>2.1286451612903226</v>
      </c>
      <c r="G94" s="74">
        <f t="shared" si="26"/>
        <v>0.55623333333333336</v>
      </c>
      <c r="H94" s="74">
        <f t="shared" si="26"/>
        <v>0.93032258064516138</v>
      </c>
      <c r="I94" s="74">
        <f t="shared" si="26"/>
        <v>0.3584533333333334</v>
      </c>
      <c r="J94" s="74">
        <f t="shared" si="26"/>
        <v>0.32214838709677418</v>
      </c>
      <c r="K94" s="74">
        <f t="shared" si="26"/>
        <v>0.18394838709677419</v>
      </c>
      <c r="L94" s="74">
        <f t="shared" si="26"/>
        <v>0.90428387096774199</v>
      </c>
      <c r="M94" s="107">
        <f>AVERAGE(D94:L94)</f>
        <v>1.1892832175668435</v>
      </c>
    </row>
    <row r="95" spans="2:19" ht="16.5" thickBot="1" x14ac:dyDescent="0.3">
      <c r="B95" s="56" t="s">
        <v>28</v>
      </c>
      <c r="C95" s="57" t="s">
        <v>36</v>
      </c>
      <c r="D95" s="76">
        <f t="shared" ref="D95:L95" si="27">D62*D$90 * (1/1000)</f>
        <v>2.3135483870967741</v>
      </c>
      <c r="E95" s="76">
        <f t="shared" si="27"/>
        <v>0.20335172413793101</v>
      </c>
      <c r="F95" s="76">
        <f t="shared" si="27"/>
        <v>0.21286451612903223</v>
      </c>
      <c r="G95" s="76">
        <f t="shared" si="27"/>
        <v>0.8569</v>
      </c>
      <c r="H95" s="76">
        <f t="shared" si="27"/>
        <v>0.13788709677419356</v>
      </c>
      <c r="I95" s="76">
        <f t="shared" si="27"/>
        <v>3.885333333333333E-2</v>
      </c>
      <c r="J95" s="76">
        <f t="shared" si="27"/>
        <v>7.3303225806451613E-2</v>
      </c>
      <c r="K95" s="76">
        <f t="shared" si="27"/>
        <v>1.6606451612903226E-2</v>
      </c>
      <c r="L95" s="76">
        <f t="shared" si="27"/>
        <v>0.18558064516129033</v>
      </c>
      <c r="M95" s="108">
        <f t="shared" si="23"/>
        <v>0.44876615333910103</v>
      </c>
    </row>
    <row r="96" spans="2:19" x14ac:dyDescent="0.25">
      <c r="B96" s="58" t="s">
        <v>136</v>
      </c>
      <c r="C96" s="59" t="s">
        <v>138</v>
      </c>
      <c r="D96" s="50">
        <f>D91/D92</f>
        <v>0.45529197080291961</v>
      </c>
      <c r="E96" s="50">
        <f t="shared" ref="E96:L96" si="28">E91/E92</f>
        <v>0.4622222222222222</v>
      </c>
      <c r="F96" s="50">
        <f t="shared" si="28"/>
        <v>0.6171875</v>
      </c>
      <c r="G96" s="50">
        <f t="shared" si="28"/>
        <v>0.33157894736842103</v>
      </c>
      <c r="H96" s="50">
        <f t="shared" si="28"/>
        <v>0.31428571428571422</v>
      </c>
      <c r="I96" s="50">
        <f t="shared" si="28"/>
        <v>0.5</v>
      </c>
      <c r="J96" s="50">
        <f t="shared" si="28"/>
        <v>0.35126582278481011</v>
      </c>
      <c r="K96" s="50">
        <f t="shared" si="28"/>
        <v>0.39361702127659576</v>
      </c>
      <c r="L96" s="50">
        <f t="shared" si="28"/>
        <v>0.17864077669902914</v>
      </c>
      <c r="M96" s="109">
        <f t="shared" si="23"/>
        <v>0.40045444171552358</v>
      </c>
    </row>
    <row r="97" spans="2:24" x14ac:dyDescent="0.25">
      <c r="B97" s="54" t="s">
        <v>139</v>
      </c>
      <c r="C97" s="55" t="s">
        <v>36</v>
      </c>
      <c r="D97" s="68">
        <f>D93*1.42</f>
        <v>0.32852387096774188</v>
      </c>
      <c r="E97" s="68">
        <f t="shared" ref="E97:L97" si="29">E93*1.42</f>
        <v>3.9861358620689655</v>
      </c>
      <c r="F97" s="68">
        <f t="shared" si="29"/>
        <v>3.5652077419354833</v>
      </c>
      <c r="G97" s="68">
        <f t="shared" si="29"/>
        <v>0.93928266666666671</v>
      </c>
      <c r="H97" s="68">
        <f t="shared" si="29"/>
        <v>2.2882612903225805</v>
      </c>
      <c r="I97" s="68">
        <f t="shared" si="29"/>
        <v>0.42357653333333334</v>
      </c>
      <c r="J97" s="68">
        <f t="shared" si="29"/>
        <v>3.4185538064516123</v>
      </c>
      <c r="K97" s="68">
        <f t="shared" si="29"/>
        <v>0.5296691612903226</v>
      </c>
      <c r="L97" s="68">
        <f t="shared" si="29"/>
        <v>12.505436129032258</v>
      </c>
      <c r="M97" s="110">
        <f t="shared" si="23"/>
        <v>3.1094052291187739</v>
      </c>
    </row>
    <row r="98" spans="2:24" x14ac:dyDescent="0.25">
      <c r="B98" s="54" t="s">
        <v>140</v>
      </c>
      <c r="C98" s="55" t="s">
        <v>138</v>
      </c>
      <c r="D98" s="52">
        <f>D93/D92</f>
        <v>1.0036496350364963E-2</v>
      </c>
      <c r="E98" s="52">
        <f>E93/E92</f>
        <v>0.1411111111111111</v>
      </c>
      <c r="F98" s="52">
        <f t="shared" ref="F98:L98" si="30">F93/F92</f>
        <v>0.1796875</v>
      </c>
      <c r="G98" s="52">
        <f t="shared" si="30"/>
        <v>0.23157894736842105</v>
      </c>
      <c r="H98" s="52">
        <f t="shared" si="30"/>
        <v>0.46190476190476187</v>
      </c>
      <c r="I98" s="52">
        <f t="shared" si="30"/>
        <v>0.24285714285714288</v>
      </c>
      <c r="J98" s="52">
        <f t="shared" si="30"/>
        <v>0.78987341772151909</v>
      </c>
      <c r="K98" s="52">
        <f t="shared" si="30"/>
        <v>0.31063829787234043</v>
      </c>
      <c r="L98" s="52">
        <f t="shared" si="30"/>
        <v>1.0135922330097087</v>
      </c>
      <c r="M98" s="111">
        <f t="shared" si="23"/>
        <v>0.37569776757726331</v>
      </c>
    </row>
    <row r="99" spans="2:24" x14ac:dyDescent="0.25">
      <c r="B99" s="54" t="s">
        <v>141</v>
      </c>
      <c r="C99" s="55" t="s">
        <v>138</v>
      </c>
      <c r="D99" s="52">
        <f>D93/D91</f>
        <v>2.2044088176352707E-2</v>
      </c>
      <c r="E99" s="52">
        <f t="shared" ref="E99:L99" si="31">E93/E91</f>
        <v>0.30528846153846156</v>
      </c>
      <c r="F99" s="52">
        <f t="shared" si="31"/>
        <v>0.29113924050632911</v>
      </c>
      <c r="G99" s="52">
        <f t="shared" si="31"/>
        <v>0.69841269841269848</v>
      </c>
      <c r="H99" s="52">
        <f t="shared" si="31"/>
        <v>1.4696969696969697</v>
      </c>
      <c r="I99" s="52">
        <f t="shared" si="31"/>
        <v>0.48571428571428577</v>
      </c>
      <c r="J99" s="52">
        <f t="shared" si="31"/>
        <v>2.2486486486486488</v>
      </c>
      <c r="K99" s="52">
        <f t="shared" si="31"/>
        <v>0.78918918918918923</v>
      </c>
      <c r="L99" s="52">
        <f t="shared" si="31"/>
        <v>5.6739130434782599</v>
      </c>
      <c r="M99" s="111">
        <f t="shared" si="23"/>
        <v>1.3315607361512438</v>
      </c>
    </row>
    <row r="103" spans="2:24" x14ac:dyDescent="0.25">
      <c r="B103" s="476" t="s">
        <v>170</v>
      </c>
      <c r="C103" s="476"/>
      <c r="D103" s="476"/>
      <c r="E103" s="476"/>
      <c r="F103" s="476"/>
      <c r="G103" s="476"/>
      <c r="H103" s="476"/>
      <c r="I103" s="476"/>
      <c r="J103" s="476"/>
      <c r="K103" s="476"/>
      <c r="L103" s="476"/>
      <c r="M103" s="476"/>
    </row>
    <row r="104" spans="2:24" x14ac:dyDescent="0.25">
      <c r="B104" s="72" t="s">
        <v>1</v>
      </c>
      <c r="C104" s="73" t="s">
        <v>2</v>
      </c>
      <c r="D104" s="73">
        <v>1.24</v>
      </c>
      <c r="E104" s="73">
        <v>2.2400000000000002</v>
      </c>
      <c r="F104" s="73">
        <v>3.24</v>
      </c>
      <c r="G104" s="73">
        <v>4.24</v>
      </c>
      <c r="H104" s="73">
        <v>5.24</v>
      </c>
      <c r="I104" s="73">
        <v>6.24</v>
      </c>
      <c r="J104" s="73">
        <v>7.24</v>
      </c>
      <c r="K104" s="73">
        <v>8.24</v>
      </c>
      <c r="L104" s="73">
        <v>12.24</v>
      </c>
      <c r="M104" s="73" t="s">
        <v>117</v>
      </c>
    </row>
    <row r="105" spans="2:24" x14ac:dyDescent="0.25">
      <c r="B105" s="54" t="s">
        <v>164</v>
      </c>
      <c r="C105" s="55" t="s">
        <v>204</v>
      </c>
      <c r="D105" s="51">
        <f>D72 * (1/31)</f>
        <v>21.032258064516128</v>
      </c>
      <c r="E105" s="51">
        <f>E72 * (1/29)</f>
        <v>22.103448275862068</v>
      </c>
      <c r="F105" s="51">
        <f>F72 * (1/31)</f>
        <v>27.29032258064516</v>
      </c>
      <c r="G105" s="51">
        <f>G72 * (1/30)</f>
        <v>15.033333333333333</v>
      </c>
      <c r="H105" s="51">
        <f>H72 * (1/31)</f>
        <v>16.612903225806452</v>
      </c>
      <c r="I105" s="51">
        <f>I72 * (1/30)</f>
        <v>12.533333333333333</v>
      </c>
      <c r="J105" s="51">
        <f>J72 * (1/31)</f>
        <v>9.6451612903225801</v>
      </c>
      <c r="K105" s="51">
        <f>K72 * (1/31)</f>
        <v>6.387096774193548</v>
      </c>
      <c r="L105" s="51">
        <f>L72 * (1/31)</f>
        <v>16.870967741935484</v>
      </c>
      <c r="M105" s="106">
        <f>AVERAGE(D105:L105)</f>
        <v>16.389869402216451</v>
      </c>
    </row>
    <row r="106" spans="2:24" x14ac:dyDescent="0.25">
      <c r="B106" s="54" t="s">
        <v>24</v>
      </c>
      <c r="C106" s="55" t="s">
        <v>36</v>
      </c>
      <c r="D106" s="74">
        <f>D73*D$105 * (1/1000)</f>
        <v>0.37858064516129031</v>
      </c>
      <c r="E106" s="74">
        <f t="shared" ref="E106:L106" si="32">E73*E$105 * (1/1000)</f>
        <v>0.4862758620689655</v>
      </c>
      <c r="F106" s="74">
        <f t="shared" si="32"/>
        <v>0.57309677419354843</v>
      </c>
      <c r="G106" s="74">
        <f t="shared" si="32"/>
        <v>0.33073333333333338</v>
      </c>
      <c r="H106" s="74">
        <f t="shared" si="32"/>
        <v>0.33225806451612905</v>
      </c>
      <c r="I106" s="74">
        <f t="shared" si="32"/>
        <v>0.78960000000000008</v>
      </c>
      <c r="J106" s="74">
        <f t="shared" si="32"/>
        <v>5.7870967741935481E-2</v>
      </c>
      <c r="K106" s="74">
        <f t="shared" si="32"/>
        <v>3.8322580645161287E-2</v>
      </c>
      <c r="L106" s="74">
        <f t="shared" si="32"/>
        <v>0.42177419354838708</v>
      </c>
      <c r="M106" s="107">
        <f t="shared" ref="M106:M116" si="33">AVERAGE(D106:L106)</f>
        <v>0.37872360235652786</v>
      </c>
      <c r="S106" s="406" t="s">
        <v>167</v>
      </c>
      <c r="T106" s="406"/>
      <c r="U106" s="406"/>
      <c r="V106" s="406"/>
      <c r="W106" s="406"/>
      <c r="X106" s="406"/>
    </row>
    <row r="107" spans="2:24" x14ac:dyDescent="0.25">
      <c r="B107" s="54" t="s">
        <v>25</v>
      </c>
      <c r="C107" s="55" t="s">
        <v>36</v>
      </c>
      <c r="D107" s="74">
        <f t="shared" ref="D107:L107" si="34">D74*D$105 * (1/1000)</f>
        <v>1.0726451612903225</v>
      </c>
      <c r="E107" s="74">
        <f t="shared" si="34"/>
        <v>1.5472413793103448</v>
      </c>
      <c r="F107" s="74">
        <f t="shared" si="34"/>
        <v>1.3099354838709678</v>
      </c>
      <c r="G107" s="74">
        <f t="shared" si="34"/>
        <v>0.75166666666666659</v>
      </c>
      <c r="H107" s="74">
        <f t="shared" si="34"/>
        <v>0.96354838709677426</v>
      </c>
      <c r="I107" s="74">
        <f t="shared" si="34"/>
        <v>1.5792000000000002</v>
      </c>
      <c r="J107" s="74">
        <f t="shared" si="34"/>
        <v>0.11574193548387096</v>
      </c>
      <c r="K107" s="74">
        <f t="shared" si="34"/>
        <v>0.21716129032258064</v>
      </c>
      <c r="L107" s="74">
        <f t="shared" si="34"/>
        <v>0.69170967741935485</v>
      </c>
      <c r="M107" s="107">
        <f t="shared" si="33"/>
        <v>0.9165388868289871</v>
      </c>
      <c r="S107" s="24" t="s">
        <v>1</v>
      </c>
      <c r="T107" s="23" t="s">
        <v>2</v>
      </c>
      <c r="U107" s="24" t="s">
        <v>120</v>
      </c>
      <c r="V107" s="24" t="s">
        <v>121</v>
      </c>
      <c r="W107" s="24" t="s">
        <v>116</v>
      </c>
      <c r="X107" s="103" t="s">
        <v>128</v>
      </c>
    </row>
    <row r="108" spans="2:24" x14ac:dyDescent="0.25">
      <c r="B108" s="54" t="s">
        <v>26</v>
      </c>
      <c r="C108" s="55" t="s">
        <v>36</v>
      </c>
      <c r="D108" s="74">
        <f t="shared" ref="D108:L108" si="35">D75*D$105 * (1/1000)</f>
        <v>0.46270967741935481</v>
      </c>
      <c r="E108" s="74">
        <f t="shared" si="35"/>
        <v>0.62773793103448272</v>
      </c>
      <c r="F108" s="74">
        <f t="shared" si="35"/>
        <v>0.93332903225806463</v>
      </c>
      <c r="G108" s="74">
        <f t="shared" si="35"/>
        <v>0.22550000000000001</v>
      </c>
      <c r="H108" s="74">
        <f t="shared" si="35"/>
        <v>0.21929032258064515</v>
      </c>
      <c r="I108" s="74">
        <f t="shared" si="35"/>
        <v>0.20930666666666664</v>
      </c>
      <c r="J108" s="74">
        <f t="shared" si="35"/>
        <v>1.9290322580645159E-2</v>
      </c>
      <c r="K108" s="74">
        <f t="shared" si="35"/>
        <v>1.724516129032258E-2</v>
      </c>
      <c r="L108" s="74">
        <f t="shared" si="35"/>
        <v>8.4354838709677429E-2</v>
      </c>
      <c r="M108" s="107">
        <f t="shared" si="33"/>
        <v>0.31097377250442876</v>
      </c>
      <c r="S108" s="5" t="s">
        <v>24</v>
      </c>
      <c r="T108" s="55" t="s">
        <v>36</v>
      </c>
      <c r="U108" s="78">
        <f>M91</f>
        <v>3.785216137271866</v>
      </c>
      <c r="V108" s="78">
        <f t="shared" ref="V108:V114" si="36">M106</f>
        <v>0.37872360235652786</v>
      </c>
      <c r="W108" s="78">
        <f>U108-V108</f>
        <v>3.4064925349153383</v>
      </c>
      <c r="X108" s="32">
        <f>W108/U108</f>
        <v>0.89994663749122483</v>
      </c>
    </row>
    <row r="109" spans="2:24" x14ac:dyDescent="0.25">
      <c r="B109" s="54" t="s">
        <v>27</v>
      </c>
      <c r="C109" s="55" t="s">
        <v>36</v>
      </c>
      <c r="D109" s="74">
        <f t="shared" ref="D109:L109" si="37">D76*D$105 * (1/1000)</f>
        <v>0.27972903225806456</v>
      </c>
      <c r="E109" s="74">
        <f t="shared" si="37"/>
        <v>0.32050000000000001</v>
      </c>
      <c r="F109" s="74">
        <f t="shared" si="37"/>
        <v>0.18011612903225804</v>
      </c>
      <c r="G109" s="74">
        <f t="shared" si="37"/>
        <v>0.21196999999999999</v>
      </c>
      <c r="H109" s="74">
        <f t="shared" si="37"/>
        <v>0.23258064516129034</v>
      </c>
      <c r="I109" s="74">
        <f t="shared" si="37"/>
        <v>0.34842666666666666</v>
      </c>
      <c r="J109" s="74">
        <f t="shared" si="37"/>
        <v>3.5687096774193551E-2</v>
      </c>
      <c r="K109" s="74">
        <f>K76*K$105 * (1/1000)</f>
        <v>3.1296774193548385E-2</v>
      </c>
      <c r="L109" s="74">
        <f t="shared" si="37"/>
        <v>0.15183870967741936</v>
      </c>
      <c r="M109" s="107">
        <f t="shared" si="33"/>
        <v>0.19912722819593787</v>
      </c>
      <c r="S109" s="5" t="s">
        <v>25</v>
      </c>
      <c r="T109" s="55" t="s">
        <v>36</v>
      </c>
      <c r="U109" s="78">
        <f>M92</f>
        <v>8.6030674082313663</v>
      </c>
      <c r="V109" s="78">
        <f t="shared" si="36"/>
        <v>0.9165388868289871</v>
      </c>
      <c r="W109" s="78">
        <f>U109-V109</f>
        <v>7.6865285214023791</v>
      </c>
      <c r="X109" s="32">
        <f>W109/U109</f>
        <v>0.89346370970520961</v>
      </c>
    </row>
    <row r="110" spans="2:24" x14ac:dyDescent="0.25">
      <c r="B110" s="54" t="s">
        <v>28</v>
      </c>
      <c r="C110" s="55" t="s">
        <v>36</v>
      </c>
      <c r="D110" s="74">
        <f t="shared" ref="D110:L110" si="38">D77*D$105 * (1/1000)</f>
        <v>1.0516129032258065E-2</v>
      </c>
      <c r="E110" s="74">
        <f t="shared" si="38"/>
        <v>1.5472413793103447E-2</v>
      </c>
      <c r="F110" s="74">
        <f t="shared" si="38"/>
        <v>1.6374193548387095E-2</v>
      </c>
      <c r="G110" s="74">
        <f t="shared" si="38"/>
        <v>9.0200000000000002E-3</v>
      </c>
      <c r="H110" s="74">
        <f t="shared" si="38"/>
        <v>1.3290322580645162E-2</v>
      </c>
      <c r="I110" s="74">
        <f t="shared" si="38"/>
        <v>7.0186666666666675E-2</v>
      </c>
      <c r="J110" s="74">
        <f t="shared" si="38"/>
        <v>1.1574193548387094E-2</v>
      </c>
      <c r="K110" s="74">
        <f t="shared" si="38"/>
        <v>1.0858064516129032E-2</v>
      </c>
      <c r="L110" s="74">
        <f t="shared" si="38"/>
        <v>2.6318709677419356E-2</v>
      </c>
      <c r="M110" s="107">
        <f t="shared" si="33"/>
        <v>2.0401188151443993E-2</v>
      </c>
      <c r="S110" s="5" t="s">
        <v>26</v>
      </c>
      <c r="T110" s="55" t="s">
        <v>36</v>
      </c>
      <c r="U110" s="78">
        <f>M93</f>
        <v>2.1897219923371645</v>
      </c>
      <c r="V110" s="78">
        <f t="shared" si="36"/>
        <v>0.31097377250442876</v>
      </c>
      <c r="W110" s="78">
        <f>U110-V110</f>
        <v>1.8787482198327357</v>
      </c>
      <c r="X110" s="32">
        <f>W110/U110</f>
        <v>0.85798481561007844</v>
      </c>
    </row>
    <row r="111" spans="2:24" x14ac:dyDescent="0.25">
      <c r="B111" s="54" t="s">
        <v>30</v>
      </c>
      <c r="C111" s="55" t="s">
        <v>36</v>
      </c>
      <c r="D111" s="74">
        <f t="shared" ref="D111:L111" si="39">D78*D$105 * (1/1000)</f>
        <v>0.10516129032258065</v>
      </c>
      <c r="E111" s="74">
        <f t="shared" si="39"/>
        <v>0.11051724137931034</v>
      </c>
      <c r="F111" s="74">
        <f t="shared" si="39"/>
        <v>0.1364516129032258</v>
      </c>
      <c r="G111" s="74">
        <f t="shared" si="39"/>
        <v>9.6213333333333345E-2</v>
      </c>
      <c r="H111" s="74">
        <f t="shared" si="39"/>
        <v>8.3064516129032262E-2</v>
      </c>
      <c r="I111" s="75" t="s">
        <v>9</v>
      </c>
      <c r="J111" s="74">
        <f t="shared" si="39"/>
        <v>4.8225806451612896E-2</v>
      </c>
      <c r="K111" s="74">
        <f t="shared" si="39"/>
        <v>3.1935483870967743E-2</v>
      </c>
      <c r="L111" s="74">
        <f t="shared" si="39"/>
        <v>8.4354838709677429E-3</v>
      </c>
      <c r="M111" s="107">
        <f t="shared" si="33"/>
        <v>7.7500596032628863E-2</v>
      </c>
      <c r="S111" s="5" t="s">
        <v>27</v>
      </c>
      <c r="T111" s="55" t="s">
        <v>36</v>
      </c>
      <c r="U111" s="78">
        <f>M94</f>
        <v>1.1892832175668435</v>
      </c>
      <c r="V111" s="78">
        <f t="shared" si="36"/>
        <v>0.19912722819593787</v>
      </c>
      <c r="W111" s="78">
        <f>U111-V111</f>
        <v>0.99015598937090565</v>
      </c>
      <c r="X111" s="32">
        <f>W111/U111</f>
        <v>0.83256534250661285</v>
      </c>
    </row>
    <row r="112" spans="2:24" ht="16.5" thickBot="1" x14ac:dyDescent="0.3">
      <c r="B112" s="56" t="s">
        <v>119</v>
      </c>
      <c r="C112" s="57" t="s">
        <v>36</v>
      </c>
      <c r="D112" s="76">
        <f t="shared" ref="D112:L112" si="40">D79*D$105 * (1/1000)</f>
        <v>1.2619354838709677E-2</v>
      </c>
      <c r="E112" s="76">
        <f t="shared" si="40"/>
        <v>8.8413793103448279E-3</v>
      </c>
      <c r="F112" s="76">
        <f t="shared" si="40"/>
        <v>8.1870967741935474E-3</v>
      </c>
      <c r="G112" s="76">
        <f t="shared" si="40"/>
        <v>4.5100000000000001E-3</v>
      </c>
      <c r="H112" s="76">
        <f t="shared" si="40"/>
        <v>1.4951612903225808E-2</v>
      </c>
      <c r="I112" s="77" t="s">
        <v>9</v>
      </c>
      <c r="J112" s="76">
        <f t="shared" si="40"/>
        <v>3.8580645161290323E-3</v>
      </c>
      <c r="K112" s="76">
        <f t="shared" si="40"/>
        <v>3.193548387096774E-3</v>
      </c>
      <c r="L112" s="76">
        <f t="shared" si="40"/>
        <v>3.3741935483870972E-3</v>
      </c>
      <c r="M112" s="108">
        <f t="shared" si="33"/>
        <v>7.4419062847608458E-3</v>
      </c>
      <c r="S112" s="5" t="s">
        <v>28</v>
      </c>
      <c r="T112" s="55" t="s">
        <v>36</v>
      </c>
      <c r="U112" s="78">
        <f>M95</f>
        <v>0.44876615333910103</v>
      </c>
      <c r="V112" s="78">
        <f t="shared" si="36"/>
        <v>2.0401188151443993E-2</v>
      </c>
      <c r="W112" s="78">
        <f>U112-V112</f>
        <v>0.42836496518765704</v>
      </c>
      <c r="X112" s="32">
        <f>W112/U112</f>
        <v>0.95453937869501437</v>
      </c>
    </row>
    <row r="113" spans="2:24" x14ac:dyDescent="0.25">
      <c r="B113" s="58" t="s">
        <v>136</v>
      </c>
      <c r="C113" s="59" t="s">
        <v>138</v>
      </c>
      <c r="D113" s="50">
        <f>D106/D107</f>
        <v>0.35294117647058826</v>
      </c>
      <c r="E113" s="50">
        <f t="shared" ref="E113:K113" si="41">E106/E107</f>
        <v>0.31428571428571428</v>
      </c>
      <c r="F113" s="50">
        <f t="shared" si="41"/>
        <v>0.4375</v>
      </c>
      <c r="G113" s="50">
        <f t="shared" si="41"/>
        <v>0.44000000000000011</v>
      </c>
      <c r="H113" s="50">
        <f t="shared" si="41"/>
        <v>0.34482758620689652</v>
      </c>
      <c r="I113" s="50">
        <f t="shared" si="41"/>
        <v>0.5</v>
      </c>
      <c r="J113" s="50">
        <f t="shared" si="41"/>
        <v>0.5</v>
      </c>
      <c r="K113" s="50">
        <f t="shared" si="41"/>
        <v>0.1764705882352941</v>
      </c>
      <c r="L113" s="50">
        <f>L106/L107</f>
        <v>0.6097560975609756</v>
      </c>
      <c r="M113" s="109">
        <f t="shared" si="33"/>
        <v>0.40842012919549653</v>
      </c>
      <c r="S113" s="5" t="s">
        <v>30</v>
      </c>
      <c r="T113" s="55" t="s">
        <v>36</v>
      </c>
      <c r="U113" s="6" t="s">
        <v>107</v>
      </c>
      <c r="V113" s="78">
        <f t="shared" si="36"/>
        <v>7.7500596032628863E-2</v>
      </c>
      <c r="W113" s="30" t="s">
        <v>107</v>
      </c>
      <c r="X113" s="30" t="s">
        <v>107</v>
      </c>
    </row>
    <row r="114" spans="2:24" x14ac:dyDescent="0.25">
      <c r="B114" s="54" t="s">
        <v>139</v>
      </c>
      <c r="C114" s="55" t="s">
        <v>177</v>
      </c>
      <c r="D114" s="51">
        <f t="shared" ref="D114:K114" si="42">D108*1.42</f>
        <v>0.65704774193548376</v>
      </c>
      <c r="E114" s="51">
        <f t="shared" si="42"/>
        <v>0.89138786206896536</v>
      </c>
      <c r="F114" s="51">
        <f t="shared" si="42"/>
        <v>1.3253272258064517</v>
      </c>
      <c r="G114" s="51">
        <f t="shared" si="42"/>
        <v>0.32020999999999999</v>
      </c>
      <c r="H114" s="51">
        <f t="shared" si="42"/>
        <v>0.31139225806451609</v>
      </c>
      <c r="I114" s="51">
        <f t="shared" si="42"/>
        <v>0.29721546666666659</v>
      </c>
      <c r="J114" s="51">
        <f t="shared" si="42"/>
        <v>2.7392258064516124E-2</v>
      </c>
      <c r="K114" s="51">
        <f t="shared" si="42"/>
        <v>2.4488129032258062E-2</v>
      </c>
      <c r="L114" s="51">
        <f>L108*1.42</f>
        <v>0.11978387096774194</v>
      </c>
      <c r="M114" s="110">
        <f t="shared" si="33"/>
        <v>0.4415827569562889</v>
      </c>
      <c r="S114" s="5" t="s">
        <v>119</v>
      </c>
      <c r="T114" s="55" t="s">
        <v>36</v>
      </c>
      <c r="U114" s="6" t="s">
        <v>107</v>
      </c>
      <c r="V114" s="78">
        <f t="shared" si="36"/>
        <v>7.4419062847608458E-3</v>
      </c>
      <c r="W114" s="30" t="s">
        <v>107</v>
      </c>
      <c r="X114" s="30" t="s">
        <v>107</v>
      </c>
    </row>
    <row r="115" spans="2:24" x14ac:dyDescent="0.25">
      <c r="B115" s="54" t="s">
        <v>140</v>
      </c>
      <c r="C115" s="55" t="s">
        <v>138</v>
      </c>
      <c r="D115" s="52">
        <f t="shared" ref="D115:K115" si="43">D108/D107</f>
        <v>0.43137254901960786</v>
      </c>
      <c r="E115" s="52">
        <f t="shared" si="43"/>
        <v>0.40571428571428569</v>
      </c>
      <c r="F115" s="52">
        <f t="shared" si="43"/>
        <v>0.71250000000000002</v>
      </c>
      <c r="G115" s="52">
        <f t="shared" si="43"/>
        <v>0.30000000000000004</v>
      </c>
      <c r="H115" s="52">
        <f t="shared" si="43"/>
        <v>0.22758620689655171</v>
      </c>
      <c r="I115" s="52">
        <f t="shared" si="43"/>
        <v>0.13253968253968251</v>
      </c>
      <c r="J115" s="52">
        <f t="shared" si="43"/>
        <v>0.16666666666666666</v>
      </c>
      <c r="K115" s="52">
        <f t="shared" si="43"/>
        <v>7.9411764705882348E-2</v>
      </c>
      <c r="L115" s="52">
        <f>L108/L107</f>
        <v>0.12195121951219513</v>
      </c>
      <c r="M115" s="111">
        <f t="shared" si="33"/>
        <v>0.28641581945054134</v>
      </c>
      <c r="S115" s="5" t="s">
        <v>164</v>
      </c>
      <c r="T115" s="55" t="s">
        <v>204</v>
      </c>
      <c r="U115" s="51">
        <f>M90</f>
        <v>16.389869402216451</v>
      </c>
      <c r="V115" s="122">
        <f>M105</f>
        <v>16.389869402216451</v>
      </c>
      <c r="W115" s="30" t="s">
        <v>107</v>
      </c>
      <c r="X115" s="30" t="s">
        <v>107</v>
      </c>
    </row>
    <row r="116" spans="2:24" x14ac:dyDescent="0.25">
      <c r="B116" s="54" t="s">
        <v>141</v>
      </c>
      <c r="C116" s="55" t="s">
        <v>138</v>
      </c>
      <c r="D116" s="52">
        <f t="shared" ref="D116:K116" si="44">D108/D106</f>
        <v>1.2222222222222221</v>
      </c>
      <c r="E116" s="52">
        <f t="shared" si="44"/>
        <v>1.2909090909090908</v>
      </c>
      <c r="F116" s="52">
        <f t="shared" si="44"/>
        <v>1.6285714285714286</v>
      </c>
      <c r="G116" s="52">
        <f t="shared" si="44"/>
        <v>0.68181818181818177</v>
      </c>
      <c r="H116" s="52">
        <f t="shared" si="44"/>
        <v>0.65999999999999992</v>
      </c>
      <c r="I116" s="52">
        <f t="shared" si="44"/>
        <v>0.26507936507936503</v>
      </c>
      <c r="J116" s="52">
        <f t="shared" si="44"/>
        <v>0.33333333333333331</v>
      </c>
      <c r="K116" s="52">
        <f t="shared" si="44"/>
        <v>0.45</v>
      </c>
      <c r="L116" s="52">
        <f>L108/L106</f>
        <v>0.20000000000000004</v>
      </c>
      <c r="M116" s="111">
        <f t="shared" si="33"/>
        <v>0.74799262465929128</v>
      </c>
    </row>
  </sheetData>
  <mergeCells count="28">
    <mergeCell ref="B70:M70"/>
    <mergeCell ref="R71:S72"/>
    <mergeCell ref="B55:M55"/>
    <mergeCell ref="Q55:V55"/>
    <mergeCell ref="B21:O21"/>
    <mergeCell ref="Q70:S70"/>
    <mergeCell ref="Q71:Q72"/>
    <mergeCell ref="R2:U2"/>
    <mergeCell ref="R3:S4"/>
    <mergeCell ref="T3:T4"/>
    <mergeCell ref="U3:U4"/>
    <mergeCell ref="B37:P37"/>
    <mergeCell ref="B22:P22"/>
    <mergeCell ref="R73:S73"/>
    <mergeCell ref="R74:S74"/>
    <mergeCell ref="R75:S75"/>
    <mergeCell ref="R76:S76"/>
    <mergeCell ref="R77:S77"/>
    <mergeCell ref="R78:S78"/>
    <mergeCell ref="R79:S79"/>
    <mergeCell ref="R80:S80"/>
    <mergeCell ref="R81:S81"/>
    <mergeCell ref="R82:S82"/>
    <mergeCell ref="R83:S83"/>
    <mergeCell ref="R84:S84"/>
    <mergeCell ref="B88:M88"/>
    <mergeCell ref="B103:M103"/>
    <mergeCell ref="S106:X106"/>
  </mergeCells>
  <pageMargins left="0.7" right="0.7" top="0.75" bottom="0.75" header="0.3" footer="0.3"/>
  <ignoredErrors>
    <ignoredError sqref="E90 G90:I90 E105:I105" formula="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E00-5316-B341-A999-096611CFD3B7}">
  <dimension ref="A2:AU236"/>
  <sheetViews>
    <sheetView tabSelected="1" topLeftCell="J33" zoomScale="135" zoomScaleNormal="200" workbookViewId="0">
      <selection activeCell="G39" sqref="G39"/>
    </sheetView>
  </sheetViews>
  <sheetFormatPr baseColWidth="10" defaultRowHeight="15.75" x14ac:dyDescent="0.25"/>
  <cols>
    <col min="1" max="26" width="8.875" customWidth="1"/>
  </cols>
  <sheetData>
    <row r="2" spans="18:34" x14ac:dyDescent="0.25">
      <c r="R2" s="406" t="str">
        <f>'Vedra tabla'!Q70</f>
        <v>Caudales mensuales en m3</v>
      </c>
      <c r="S2" s="406">
        <f>'Vedra tabla'!R70</f>
        <v>0</v>
      </c>
      <c r="T2" s="406">
        <f>'Vedra tabla'!S70</f>
        <v>0</v>
      </c>
    </row>
    <row r="3" spans="18:34" x14ac:dyDescent="0.25">
      <c r="R3" s="419" t="str">
        <f>'Vedra tabla'!Q71</f>
        <v>Mes</v>
      </c>
      <c r="S3" s="420" t="str">
        <f>'Vedra tabla'!R71</f>
        <v>EDAR VEDRA</v>
      </c>
      <c r="T3" s="421">
        <f>'Vedra tabla'!S71</f>
        <v>0</v>
      </c>
      <c r="AA3" s="406" t="s">
        <v>46</v>
      </c>
      <c r="AB3" s="406"/>
      <c r="AC3" s="406"/>
      <c r="AD3" s="406"/>
      <c r="AE3" s="406"/>
      <c r="AF3" s="406"/>
      <c r="AG3" s="406"/>
      <c r="AH3" s="406"/>
    </row>
    <row r="4" spans="18:34" x14ac:dyDescent="0.25">
      <c r="R4" s="419">
        <f>'Vedra tabla'!Q72</f>
        <v>0</v>
      </c>
      <c r="S4" s="422">
        <f>'Vedra tabla'!R72</f>
        <v>0</v>
      </c>
      <c r="T4" s="423">
        <f>'Vedra tabla'!S72</f>
        <v>0</v>
      </c>
      <c r="AA4" s="406" t="s">
        <v>40</v>
      </c>
      <c r="AB4" s="406"/>
      <c r="AC4" s="24" t="s">
        <v>42</v>
      </c>
      <c r="AD4" s="24" t="s">
        <v>129</v>
      </c>
      <c r="AE4" s="406" t="s">
        <v>595</v>
      </c>
      <c r="AF4" s="406"/>
      <c r="AG4" s="406" t="s">
        <v>605</v>
      </c>
      <c r="AH4" s="406"/>
    </row>
    <row r="5" spans="18:34" x14ac:dyDescent="0.25">
      <c r="R5" s="8" t="str">
        <f>'Vedra tabla'!Q73</f>
        <v>1. -24</v>
      </c>
      <c r="S5" s="413">
        <f>'Vedra tabla'!R73</f>
        <v>652</v>
      </c>
      <c r="T5" s="414">
        <f>'Vedra tabla'!S73</f>
        <v>0</v>
      </c>
      <c r="AA5" s="322" t="s">
        <v>56</v>
      </c>
      <c r="AB5" s="322" t="s">
        <v>109</v>
      </c>
      <c r="AC5" s="322">
        <v>1</v>
      </c>
      <c r="AD5" s="322">
        <v>0.75</v>
      </c>
      <c r="AE5" s="424">
        <f>SUM(AB19:AB30)</f>
        <v>151</v>
      </c>
      <c r="AF5" s="424"/>
      <c r="AG5" s="436">
        <f>AD5*AE5</f>
        <v>113.25</v>
      </c>
      <c r="AH5" s="436"/>
    </row>
    <row r="6" spans="18:34" x14ac:dyDescent="0.25">
      <c r="R6" s="8" t="str">
        <f>'Vedra tabla'!Q74</f>
        <v>2. -24</v>
      </c>
      <c r="S6" s="413">
        <f>'Vedra tabla'!R74</f>
        <v>641</v>
      </c>
      <c r="T6" s="414">
        <f>'Vedra tabla'!S74</f>
        <v>0</v>
      </c>
      <c r="AA6" s="322" t="s">
        <v>47</v>
      </c>
      <c r="AB6" s="322" t="s">
        <v>614</v>
      </c>
      <c r="AC6" s="322">
        <v>2</v>
      </c>
      <c r="AD6" s="322">
        <v>1.9</v>
      </c>
      <c r="AE6" s="424">
        <f>SUM(AC19:AD30)</f>
        <v>3158</v>
      </c>
      <c r="AF6" s="424"/>
      <c r="AG6" s="436">
        <f t="shared" ref="AG6:AG12" si="0">AD6*AE6</f>
        <v>6000.2</v>
      </c>
      <c r="AH6" s="436"/>
    </row>
    <row r="7" spans="18:34" x14ac:dyDescent="0.25">
      <c r="R7" s="8" t="str">
        <f>'Vedra tabla'!Q75</f>
        <v>3. -24</v>
      </c>
      <c r="S7" s="413">
        <f>'Vedra tabla'!R75</f>
        <v>846</v>
      </c>
      <c r="T7" s="414">
        <f>'Vedra tabla'!S75</f>
        <v>0</v>
      </c>
      <c r="AA7" s="322" t="s">
        <v>49</v>
      </c>
      <c r="AB7" s="322" t="s">
        <v>110</v>
      </c>
      <c r="AC7" s="322">
        <v>1</v>
      </c>
      <c r="AD7" s="322">
        <v>0.79</v>
      </c>
      <c r="AE7" s="424">
        <f>SUM(AE19:AE30)</f>
        <v>3500</v>
      </c>
      <c r="AF7" s="424"/>
      <c r="AG7" s="436">
        <f t="shared" si="0"/>
        <v>2765</v>
      </c>
      <c r="AH7" s="436"/>
    </row>
    <row r="8" spans="18:34" x14ac:dyDescent="0.25">
      <c r="R8" s="8" t="str">
        <f>'Vedra tabla'!Q76</f>
        <v>4. -24</v>
      </c>
      <c r="S8" s="413">
        <f>'Vedra tabla'!R76</f>
        <v>451</v>
      </c>
      <c r="T8" s="414">
        <f>'Vedra tabla'!S76</f>
        <v>0</v>
      </c>
      <c r="AA8" s="22" t="s">
        <v>50</v>
      </c>
      <c r="AB8" s="1" t="s">
        <v>107</v>
      </c>
      <c r="AC8" s="6" t="s">
        <v>107</v>
      </c>
      <c r="AD8" s="1" t="s">
        <v>107</v>
      </c>
      <c r="AE8" s="417" t="s">
        <v>38</v>
      </c>
      <c r="AF8" s="417"/>
      <c r="AG8" s="437" t="s">
        <v>38</v>
      </c>
      <c r="AH8" s="437"/>
    </row>
    <row r="9" spans="18:34" x14ac:dyDescent="0.25">
      <c r="R9" s="8" t="str">
        <f>'Vedra tabla'!Q77</f>
        <v>5. -24</v>
      </c>
      <c r="S9" s="413">
        <f>'Vedra tabla'!R77</f>
        <v>515</v>
      </c>
      <c r="T9" s="414">
        <f>'Vedra tabla'!S77</f>
        <v>0</v>
      </c>
      <c r="AA9" s="323" t="s">
        <v>52</v>
      </c>
      <c r="AB9" s="22" t="s">
        <v>111</v>
      </c>
      <c r="AC9" s="22">
        <v>1</v>
      </c>
      <c r="AD9" s="22">
        <v>5.65</v>
      </c>
      <c r="AE9" s="425">
        <f>365*24</f>
        <v>8760</v>
      </c>
      <c r="AF9" s="425"/>
      <c r="AG9" s="437">
        <f>AD9*AE9</f>
        <v>49494</v>
      </c>
      <c r="AH9" s="437"/>
    </row>
    <row r="10" spans="18:34" x14ac:dyDescent="0.25">
      <c r="R10" s="8" t="str">
        <f>'Vedra tabla'!Q78</f>
        <v>6. -24</v>
      </c>
      <c r="S10" s="413">
        <f>'Vedra tabla'!R78</f>
        <v>376</v>
      </c>
      <c r="T10" s="414">
        <f>'Vedra tabla'!S78</f>
        <v>0</v>
      </c>
      <c r="AA10" s="322" t="s">
        <v>54</v>
      </c>
      <c r="AB10" s="322" t="s">
        <v>112</v>
      </c>
      <c r="AC10" s="322">
        <v>1</v>
      </c>
      <c r="AD10" s="322">
        <v>1.2</v>
      </c>
      <c r="AE10" s="424">
        <f>SUM(AH19:AH30)</f>
        <v>3158</v>
      </c>
      <c r="AF10" s="424"/>
      <c r="AG10" s="436">
        <f t="shared" si="0"/>
        <v>3789.6</v>
      </c>
      <c r="AH10" s="436"/>
    </row>
    <row r="11" spans="18:34" x14ac:dyDescent="0.25">
      <c r="R11" s="8" t="str">
        <f>'Vedra tabla'!Q79</f>
        <v>7. -24</v>
      </c>
      <c r="S11" s="413">
        <f>'Vedra tabla'!R79</f>
        <v>299</v>
      </c>
      <c r="T11" s="414">
        <f>'Vedra tabla'!S79</f>
        <v>0</v>
      </c>
      <c r="AA11" s="323" t="s">
        <v>57</v>
      </c>
      <c r="AB11" s="22" t="s">
        <v>113</v>
      </c>
      <c r="AC11" s="22">
        <v>1</v>
      </c>
      <c r="AD11" s="22">
        <v>0.25</v>
      </c>
      <c r="AE11" s="425"/>
      <c r="AF11" s="425"/>
      <c r="AG11" s="437"/>
      <c r="AH11" s="437"/>
    </row>
    <row r="12" spans="18:34" x14ac:dyDescent="0.25">
      <c r="R12" s="8" t="str">
        <f>'Vedra tabla'!Q80</f>
        <v>8. -24</v>
      </c>
      <c r="S12" s="413">
        <f>'Vedra tabla'!R80</f>
        <v>198</v>
      </c>
      <c r="T12" s="414">
        <f>'Vedra tabla'!S80</f>
        <v>0</v>
      </c>
      <c r="AA12" s="322" t="s">
        <v>59</v>
      </c>
      <c r="AB12" s="322" t="s">
        <v>114</v>
      </c>
      <c r="AC12" s="322">
        <v>2</v>
      </c>
      <c r="AD12" s="322">
        <v>0.05</v>
      </c>
      <c r="AE12" s="424">
        <f>SUM(AF19:AG30)</f>
        <v>16522</v>
      </c>
      <c r="AF12" s="424"/>
      <c r="AG12" s="436">
        <f t="shared" si="0"/>
        <v>826.1</v>
      </c>
      <c r="AH12" s="436"/>
    </row>
    <row r="13" spans="18:34" x14ac:dyDescent="0.25">
      <c r="R13" s="362" t="str">
        <f>'Vedra tabla'!Q81</f>
        <v>9. -24</v>
      </c>
      <c r="S13" s="407" t="str">
        <f>'Vedra tabla'!R81</f>
        <v>---</v>
      </c>
      <c r="T13" s="408">
        <f>'Vedra tabla'!S81</f>
        <v>0</v>
      </c>
      <c r="V13" s="415" t="s">
        <v>647</v>
      </c>
      <c r="W13" s="415"/>
      <c r="X13" s="415"/>
      <c r="Y13" s="415"/>
      <c r="AA13" s="92"/>
      <c r="AB13" s="93"/>
      <c r="AC13" s="93"/>
      <c r="AD13" s="93"/>
      <c r="AE13" s="402"/>
      <c r="AF13" s="402"/>
      <c r="AG13" s="402"/>
      <c r="AH13" s="402"/>
    </row>
    <row r="14" spans="18:34" x14ac:dyDescent="0.25">
      <c r="R14" s="362" t="str">
        <f>'Vedra tabla'!Q82</f>
        <v>10. -24</v>
      </c>
      <c r="S14" s="407" t="str">
        <f>'Vedra tabla'!R82</f>
        <v>---</v>
      </c>
      <c r="T14" s="408">
        <f>'Vedra tabla'!S82</f>
        <v>0</v>
      </c>
      <c r="V14" s="415"/>
      <c r="W14" s="415"/>
      <c r="X14" s="415"/>
      <c r="Y14" s="415"/>
      <c r="AA14" s="439" t="s">
        <v>108</v>
      </c>
      <c r="AB14" s="439"/>
      <c r="AC14" s="439"/>
      <c r="AD14" s="27">
        <f>SUMPRODUCT(AC5:AC12,AD5:AD12)</f>
        <v>12.54</v>
      </c>
      <c r="AE14" s="435" t="s">
        <v>38</v>
      </c>
      <c r="AF14" s="435"/>
      <c r="AG14" s="438">
        <f>SUM(AG5:AH12)</f>
        <v>62988.149999999994</v>
      </c>
      <c r="AH14" s="435"/>
    </row>
    <row r="15" spans="18:34" x14ac:dyDescent="0.25">
      <c r="R15" s="362" t="str">
        <f>'Vedra tabla'!Q83</f>
        <v>11. -24</v>
      </c>
      <c r="S15" s="409">
        <f>'Vedra tabla'!R83</f>
        <v>485</v>
      </c>
      <c r="T15" s="408">
        <f>'Vedra tabla'!S83</f>
        <v>0</v>
      </c>
      <c r="V15" s="415"/>
      <c r="W15" s="415"/>
      <c r="X15" s="415"/>
      <c r="Y15" s="415"/>
    </row>
    <row r="16" spans="18:34" x14ac:dyDescent="0.25">
      <c r="R16" s="8" t="str">
        <f>'Vedra tabla'!Q84</f>
        <v>12. -24</v>
      </c>
      <c r="S16" s="413">
        <f>'Vedra tabla'!R84</f>
        <v>523</v>
      </c>
      <c r="T16" s="414">
        <f>'Vedra tabla'!S84</f>
        <v>0</v>
      </c>
    </row>
    <row r="17" spans="2:47" x14ac:dyDescent="0.25">
      <c r="AA17" s="25"/>
      <c r="AB17" s="426" t="s">
        <v>606</v>
      </c>
      <c r="AC17" s="427"/>
      <c r="AD17" s="427"/>
      <c r="AE17" s="427"/>
      <c r="AF17" s="427"/>
      <c r="AG17" s="427"/>
      <c r="AH17" s="428"/>
      <c r="AJ17" s="25"/>
      <c r="AK17" s="426" t="s">
        <v>641</v>
      </c>
      <c r="AL17" s="427"/>
      <c r="AM17" s="427"/>
      <c r="AN17" s="427"/>
      <c r="AO17" s="428"/>
      <c r="AR17" s="429" t="s">
        <v>631</v>
      </c>
      <c r="AS17" s="430"/>
      <c r="AT17" s="430"/>
      <c r="AU17" s="431"/>
    </row>
    <row r="18" spans="2:47" x14ac:dyDescent="0.25">
      <c r="AA18" s="358"/>
      <c r="AB18" s="133" t="s">
        <v>607</v>
      </c>
      <c r="AC18" s="133" t="s">
        <v>608</v>
      </c>
      <c r="AD18" s="133" t="s">
        <v>609</v>
      </c>
      <c r="AE18" s="133" t="s">
        <v>610</v>
      </c>
      <c r="AF18" s="133" t="s">
        <v>611</v>
      </c>
      <c r="AG18" s="133" t="s">
        <v>612</v>
      </c>
      <c r="AH18" s="354" t="s">
        <v>613</v>
      </c>
      <c r="AJ18" s="358"/>
      <c r="AK18" s="133" t="s">
        <v>607</v>
      </c>
      <c r="AL18" s="133" t="s">
        <v>639</v>
      </c>
      <c r="AM18" s="133" t="s">
        <v>610</v>
      </c>
      <c r="AN18" s="133" t="s">
        <v>640</v>
      </c>
      <c r="AO18" s="354" t="s">
        <v>613</v>
      </c>
      <c r="AR18" s="359" t="s">
        <v>618</v>
      </c>
      <c r="AS18" s="360" t="s">
        <v>617</v>
      </c>
      <c r="AT18" s="360" t="s">
        <v>116</v>
      </c>
      <c r="AU18" s="361" t="s">
        <v>619</v>
      </c>
    </row>
    <row r="19" spans="2:47" x14ac:dyDescent="0.25">
      <c r="AA19" s="321">
        <v>1.24</v>
      </c>
      <c r="AB19" s="356">
        <v>2</v>
      </c>
      <c r="AC19" s="356">
        <v>148</v>
      </c>
      <c r="AD19" s="356">
        <v>245</v>
      </c>
      <c r="AE19" s="356">
        <v>407</v>
      </c>
      <c r="AF19" s="356">
        <v>838</v>
      </c>
      <c r="AG19" s="356">
        <v>838</v>
      </c>
      <c r="AH19" s="357">
        <v>393</v>
      </c>
      <c r="AJ19" s="321">
        <v>1.24</v>
      </c>
      <c r="AK19" s="355">
        <f t="shared" ref="AK19:AK30" si="1">AB19*$AD$5</f>
        <v>1.5</v>
      </c>
      <c r="AL19" s="356">
        <f t="shared" ref="AL19:AL30" si="2">SUM(AC19:AD19)*$AD$6</f>
        <v>746.69999999999993</v>
      </c>
      <c r="AM19" s="356">
        <f t="shared" ref="AM19:AM30" si="3">AE19*$AD$7</f>
        <v>321.53000000000003</v>
      </c>
      <c r="AN19" s="356">
        <f t="shared" ref="AN19:AN30" si="4">SUM(AF19:AG19)*$AD$12</f>
        <v>83.800000000000011</v>
      </c>
      <c r="AO19" s="357">
        <f t="shared" ref="AO19:AO30" si="5">AH19*$AD$10</f>
        <v>471.59999999999997</v>
      </c>
      <c r="AQ19" s="135">
        <v>1.24</v>
      </c>
      <c r="AR19" s="340">
        <f t="shared" ref="AR19:AR30" si="6">SUM(AK19:AO19)</f>
        <v>1625.1299999999999</v>
      </c>
      <c r="AS19" s="320"/>
      <c r="AT19" s="333" t="str">
        <f t="shared" ref="AT19:AT30" si="7">IF(ISBLANK(AS19), "", AS19-AR19)</f>
        <v/>
      </c>
      <c r="AU19" s="345" t="str">
        <f t="shared" ref="AU19:AU30" si="8">IF(ISBLANK(AS19), "",AT19/AS19)</f>
        <v/>
      </c>
    </row>
    <row r="20" spans="2:47" x14ac:dyDescent="0.25">
      <c r="AA20" s="321">
        <v>2.2400000000000002</v>
      </c>
      <c r="AB20" s="135">
        <v>2</v>
      </c>
      <c r="AC20" s="135">
        <v>122</v>
      </c>
      <c r="AD20" s="135">
        <v>191</v>
      </c>
      <c r="AE20" s="135">
        <v>330</v>
      </c>
      <c r="AF20" s="135">
        <v>685</v>
      </c>
      <c r="AG20" s="135">
        <v>685</v>
      </c>
      <c r="AH20" s="315">
        <v>313</v>
      </c>
      <c r="AJ20" s="321">
        <v>2.2400000000000002</v>
      </c>
      <c r="AK20" s="314">
        <f t="shared" si="1"/>
        <v>1.5</v>
      </c>
      <c r="AL20" s="135">
        <f t="shared" si="2"/>
        <v>594.69999999999993</v>
      </c>
      <c r="AM20" s="135">
        <f t="shared" si="3"/>
        <v>260.7</v>
      </c>
      <c r="AN20" s="135">
        <f t="shared" si="4"/>
        <v>68.5</v>
      </c>
      <c r="AO20" s="315">
        <f t="shared" si="5"/>
        <v>375.59999999999997</v>
      </c>
      <c r="AQ20" s="135">
        <v>2.2400000000000002</v>
      </c>
      <c r="AR20" s="329">
        <f t="shared" si="6"/>
        <v>1300.9999999999998</v>
      </c>
      <c r="AS20" s="320"/>
      <c r="AT20" s="332" t="str">
        <f t="shared" si="7"/>
        <v/>
      </c>
      <c r="AU20" s="345" t="str">
        <f t="shared" si="8"/>
        <v/>
      </c>
    </row>
    <row r="21" spans="2:47" x14ac:dyDescent="0.25">
      <c r="B21" s="410" t="str">
        <f>'Vedra tabla'!Q55</f>
        <v>Concentraciones de la EDAR de Vedra</v>
      </c>
      <c r="C21" s="411">
        <f>'Vedra tabla'!R55</f>
        <v>0</v>
      </c>
      <c r="D21" s="411">
        <f>'Vedra tabla'!S55</f>
        <v>0</v>
      </c>
      <c r="E21" s="411">
        <f>'Vedra tabla'!T55</f>
        <v>0</v>
      </c>
      <c r="F21" s="411">
        <f>'Vedra tabla'!U55</f>
        <v>0</v>
      </c>
      <c r="G21" s="411">
        <f>'Vedra tabla'!V55</f>
        <v>0</v>
      </c>
      <c r="I21" s="406" t="str">
        <f>'Vedra tabla'!S106</f>
        <v>Cargas en la EDAR de Vedra</v>
      </c>
      <c r="J21" s="406"/>
      <c r="K21" s="406"/>
      <c r="L21" s="406"/>
      <c r="M21" s="406"/>
      <c r="N21" s="406"/>
      <c r="P21" s="406" t="s">
        <v>208</v>
      </c>
      <c r="Q21" s="406"/>
      <c r="R21" s="406"/>
      <c r="AA21" s="321">
        <v>3.24</v>
      </c>
      <c r="AB21" s="135">
        <v>2</v>
      </c>
      <c r="AC21" s="135">
        <v>203</v>
      </c>
      <c r="AD21" s="135">
        <v>246</v>
      </c>
      <c r="AE21" s="135">
        <v>490</v>
      </c>
      <c r="AF21" s="135">
        <v>674</v>
      </c>
      <c r="AG21" s="135">
        <v>674</v>
      </c>
      <c r="AH21" s="315">
        <v>449</v>
      </c>
      <c r="AJ21" s="321">
        <v>3.24</v>
      </c>
      <c r="AK21" s="314">
        <f t="shared" si="1"/>
        <v>1.5</v>
      </c>
      <c r="AL21" s="135">
        <f t="shared" si="2"/>
        <v>853.09999999999991</v>
      </c>
      <c r="AM21" s="135">
        <f t="shared" si="3"/>
        <v>387.1</v>
      </c>
      <c r="AN21" s="135">
        <f t="shared" si="4"/>
        <v>67.400000000000006</v>
      </c>
      <c r="AO21" s="315">
        <f t="shared" si="5"/>
        <v>538.79999999999995</v>
      </c>
      <c r="AQ21" s="135">
        <v>3.24</v>
      </c>
      <c r="AR21" s="329">
        <f t="shared" si="6"/>
        <v>1847.8999999999999</v>
      </c>
      <c r="AS21" s="320"/>
      <c r="AT21" s="332" t="str">
        <f t="shared" si="7"/>
        <v/>
      </c>
      <c r="AU21" s="345" t="str">
        <f t="shared" si="8"/>
        <v/>
      </c>
    </row>
    <row r="22" spans="2:47" x14ac:dyDescent="0.25">
      <c r="B22" s="24" t="str">
        <f>'Vedra tabla'!Q56</f>
        <v>Parámetros</v>
      </c>
      <c r="C22" s="23" t="str">
        <f>'Vedra tabla'!R56</f>
        <v>Unidades</v>
      </c>
      <c r="D22" s="24" t="str">
        <f>'Vedra tabla'!S56</f>
        <v>Media IN</v>
      </c>
      <c r="E22" s="24" t="str">
        <f>'Vedra tabla'!T56</f>
        <v>Media OUT</v>
      </c>
      <c r="F22" s="24" t="str">
        <f>'Vedra tabla'!U56</f>
        <v>Diferencia</v>
      </c>
      <c r="G22" s="24" t="str">
        <f>'Vedra tabla'!V56</f>
        <v>% eliminación</v>
      </c>
      <c r="I22" s="24" t="str">
        <f>'Vedra tabla'!S107</f>
        <v>Parámetros</v>
      </c>
      <c r="J22" s="23" t="str">
        <f>'Vedra tabla'!T107</f>
        <v>Unidades</v>
      </c>
      <c r="K22" s="24" t="str">
        <f>'Vedra tabla'!U107</f>
        <v>Media IN</v>
      </c>
      <c r="L22" s="24" t="str">
        <f>'Vedra tabla'!V107</f>
        <v>Media OUT</v>
      </c>
      <c r="M22" s="24" t="str">
        <f>'Vedra tabla'!W107</f>
        <v>Diferencia</v>
      </c>
      <c r="N22" s="103" t="str">
        <f>'Vedra tabla'!X107</f>
        <v>% eliminación</v>
      </c>
      <c r="P22" s="23" t="s">
        <v>209</v>
      </c>
      <c r="Q22" s="23" t="s">
        <v>42</v>
      </c>
      <c r="R22" s="23" t="s">
        <v>29</v>
      </c>
      <c r="AA22" s="321">
        <v>4.24</v>
      </c>
      <c r="AB22" s="135">
        <v>2</v>
      </c>
      <c r="AC22" s="135">
        <v>82</v>
      </c>
      <c r="AD22" s="135">
        <v>188</v>
      </c>
      <c r="AE22" s="135">
        <v>279</v>
      </c>
      <c r="AF22" s="135">
        <v>784</v>
      </c>
      <c r="AG22" s="135">
        <v>776</v>
      </c>
      <c r="AH22" s="315">
        <v>270</v>
      </c>
      <c r="AJ22" s="321">
        <v>4.24</v>
      </c>
      <c r="AK22" s="314">
        <f t="shared" si="1"/>
        <v>1.5</v>
      </c>
      <c r="AL22" s="135">
        <f t="shared" si="2"/>
        <v>513</v>
      </c>
      <c r="AM22" s="135">
        <f t="shared" si="3"/>
        <v>220.41</v>
      </c>
      <c r="AN22" s="135">
        <f t="shared" si="4"/>
        <v>78</v>
      </c>
      <c r="AO22" s="315">
        <f t="shared" si="5"/>
        <v>324</v>
      </c>
      <c r="AQ22" s="135">
        <v>4.24</v>
      </c>
      <c r="AR22" s="329">
        <f t="shared" si="6"/>
        <v>1136.9099999999999</v>
      </c>
      <c r="AS22" s="320"/>
      <c r="AT22" s="332" t="str">
        <f t="shared" si="7"/>
        <v/>
      </c>
      <c r="AU22" s="345" t="str">
        <f t="shared" si="8"/>
        <v/>
      </c>
    </row>
    <row r="23" spans="2:47" x14ac:dyDescent="0.25">
      <c r="B23" s="5" t="str">
        <f>'Vedra tabla'!Q57</f>
        <v>DBO5</v>
      </c>
      <c r="C23" s="8" t="str">
        <f>'Vedra tabla'!R57</f>
        <v>mg/L</v>
      </c>
      <c r="D23" s="30">
        <f>'Vedra tabla'!S57</f>
        <v>187.33333333333334</v>
      </c>
      <c r="E23" s="30">
        <f>'Vedra tabla'!T57</f>
        <v>22.555555555555557</v>
      </c>
      <c r="F23" s="30">
        <f>'Vedra tabla'!U57</f>
        <v>164.77777777777777</v>
      </c>
      <c r="G23" s="32">
        <f>'Vedra tabla'!V57</f>
        <v>0.87959667852906276</v>
      </c>
      <c r="I23" s="5" t="str">
        <f>'Vedra tabla'!S108</f>
        <v>DBO5</v>
      </c>
      <c r="J23" s="55" t="str">
        <f>'Vedra tabla'!T108</f>
        <v>kg/d</v>
      </c>
      <c r="K23" s="78">
        <f>'Vedra tabla'!U108</f>
        <v>3.785216137271866</v>
      </c>
      <c r="L23" s="78">
        <f>'Vedra tabla'!V108</f>
        <v>0.37872360235652786</v>
      </c>
      <c r="M23" s="78">
        <f>'Vedra tabla'!W108</f>
        <v>3.4064925349153383</v>
      </c>
      <c r="N23" s="32">
        <f>'Vedra tabla'!X108</f>
        <v>0.89994663749122483</v>
      </c>
      <c r="P23" s="250" t="s">
        <v>215</v>
      </c>
      <c r="Q23" s="250">
        <v>30</v>
      </c>
      <c r="R23" s="250" t="s">
        <v>655</v>
      </c>
      <c r="AA23" s="321">
        <v>5.24</v>
      </c>
      <c r="AB23" s="135">
        <v>2</v>
      </c>
      <c r="AC23" s="135">
        <v>90</v>
      </c>
      <c r="AD23" s="135">
        <v>172</v>
      </c>
      <c r="AE23" s="135">
        <v>276</v>
      </c>
      <c r="AF23" s="135">
        <v>694</v>
      </c>
      <c r="AG23" s="135">
        <v>695</v>
      </c>
      <c r="AH23" s="315">
        <v>262</v>
      </c>
      <c r="AJ23" s="321">
        <v>5.24</v>
      </c>
      <c r="AK23" s="314">
        <f t="shared" si="1"/>
        <v>1.5</v>
      </c>
      <c r="AL23" s="135">
        <f t="shared" si="2"/>
        <v>497.79999999999995</v>
      </c>
      <c r="AM23" s="135">
        <f t="shared" si="3"/>
        <v>218.04000000000002</v>
      </c>
      <c r="AN23" s="135">
        <f t="shared" si="4"/>
        <v>69.45</v>
      </c>
      <c r="AO23" s="315">
        <f t="shared" si="5"/>
        <v>314.39999999999998</v>
      </c>
      <c r="AQ23" s="135">
        <v>5.24</v>
      </c>
      <c r="AR23" s="329">
        <f t="shared" si="6"/>
        <v>1101.19</v>
      </c>
      <c r="AS23" s="320"/>
      <c r="AT23" s="332" t="str">
        <f t="shared" si="7"/>
        <v/>
      </c>
      <c r="AU23" s="345" t="str">
        <f t="shared" si="8"/>
        <v/>
      </c>
    </row>
    <row r="24" spans="2:47" x14ac:dyDescent="0.25">
      <c r="B24" s="5" t="str">
        <f>'Vedra tabla'!Q58</f>
        <v>DQO</v>
      </c>
      <c r="C24" s="8" t="str">
        <f>'Vedra tabla'!R58</f>
        <v>mg/L</v>
      </c>
      <c r="D24" s="30">
        <f>'Vedra tabla'!S58</f>
        <v>447.22222222222223</v>
      </c>
      <c r="E24" s="30">
        <f>'Vedra tabla'!T58</f>
        <v>54.444444444444443</v>
      </c>
      <c r="F24" s="30">
        <f>'Vedra tabla'!U58</f>
        <v>392.77777777777777</v>
      </c>
      <c r="G24" s="32">
        <f>'Vedra tabla'!V58</f>
        <v>0.87826086956521732</v>
      </c>
      <c r="I24" s="5" t="str">
        <f>'Vedra tabla'!S109</f>
        <v>DQO</v>
      </c>
      <c r="J24" s="55" t="str">
        <f>'Vedra tabla'!T109</f>
        <v>kg/d</v>
      </c>
      <c r="K24" s="78">
        <f>'Vedra tabla'!U109</f>
        <v>8.6030674082313663</v>
      </c>
      <c r="L24" s="78">
        <f>'Vedra tabla'!V109</f>
        <v>0.9165388868289871</v>
      </c>
      <c r="M24" s="78">
        <f>'Vedra tabla'!W109</f>
        <v>7.6865285214023791</v>
      </c>
      <c r="N24" s="32">
        <f>'Vedra tabla'!X109</f>
        <v>0.89346370970520961</v>
      </c>
      <c r="P24" s="250" t="s">
        <v>215</v>
      </c>
      <c r="Q24" s="363">
        <f>Q23*1000/365</f>
        <v>82.191780821917803</v>
      </c>
      <c r="R24" s="250" t="s">
        <v>36</v>
      </c>
      <c r="S24" t="s">
        <v>703</v>
      </c>
      <c r="AA24" s="321">
        <v>6.24</v>
      </c>
      <c r="AB24" s="135">
        <v>2</v>
      </c>
      <c r="AC24" s="135">
        <v>59</v>
      </c>
      <c r="AD24" s="135">
        <v>119</v>
      </c>
      <c r="AE24" s="135">
        <v>202</v>
      </c>
      <c r="AF24" s="135">
        <v>693</v>
      </c>
      <c r="AG24" s="135">
        <v>702</v>
      </c>
      <c r="AH24" s="315">
        <v>178</v>
      </c>
      <c r="AJ24" s="321">
        <v>6.24</v>
      </c>
      <c r="AK24" s="314">
        <f t="shared" si="1"/>
        <v>1.5</v>
      </c>
      <c r="AL24" s="135">
        <f t="shared" si="2"/>
        <v>338.2</v>
      </c>
      <c r="AM24" s="135">
        <f t="shared" si="3"/>
        <v>159.58000000000001</v>
      </c>
      <c r="AN24">
        <f t="shared" si="4"/>
        <v>69.75</v>
      </c>
      <c r="AO24" s="315">
        <f t="shared" si="5"/>
        <v>213.6</v>
      </c>
      <c r="AQ24" s="135">
        <v>6.24</v>
      </c>
      <c r="AR24" s="329">
        <f t="shared" si="6"/>
        <v>782.63</v>
      </c>
      <c r="AS24" s="320"/>
      <c r="AT24" s="332" t="str">
        <f t="shared" si="7"/>
        <v/>
      </c>
      <c r="AU24" s="345" t="str">
        <f t="shared" si="8"/>
        <v/>
      </c>
    </row>
    <row r="25" spans="2:47" x14ac:dyDescent="0.25">
      <c r="B25" s="5" t="str">
        <f>'Vedra tabla'!Q59</f>
        <v>SST</v>
      </c>
      <c r="C25" s="8" t="str">
        <f>'Vedra tabla'!R59</f>
        <v>mg/L</v>
      </c>
      <c r="D25" s="30">
        <f>'Vedra tabla'!S59</f>
        <v>136.08888888888887</v>
      </c>
      <c r="E25" s="30">
        <f>'Vedra tabla'!T59</f>
        <v>15.466666666666665</v>
      </c>
      <c r="F25" s="30">
        <f>'Vedra tabla'!U59</f>
        <v>120.62222222222221</v>
      </c>
      <c r="G25" s="32">
        <f>'Vedra tabla'!V59</f>
        <v>0.88634879163945135</v>
      </c>
      <c r="I25" s="5" t="str">
        <f>'Vedra tabla'!S110</f>
        <v>SST</v>
      </c>
      <c r="J25" s="55" t="str">
        <f>'Vedra tabla'!T110</f>
        <v>kg/d</v>
      </c>
      <c r="K25" s="78">
        <f>'Vedra tabla'!U110</f>
        <v>2.1897219923371645</v>
      </c>
      <c r="L25" s="78">
        <f>'Vedra tabla'!V110</f>
        <v>0.31097377250442876</v>
      </c>
      <c r="M25" s="78">
        <f>'Vedra tabla'!W110</f>
        <v>1.8787482198327357</v>
      </c>
      <c r="N25" s="32">
        <f>'Vedra tabla'!X110</f>
        <v>0.85798481561007844</v>
      </c>
      <c r="AA25" s="321">
        <v>7.24</v>
      </c>
      <c r="AB25" s="135">
        <v>3</v>
      </c>
      <c r="AC25" s="135">
        <v>53</v>
      </c>
      <c r="AD25" s="135">
        <v>92</v>
      </c>
      <c r="AE25" s="135">
        <v>208</v>
      </c>
      <c r="AF25" s="135">
        <v>561</v>
      </c>
      <c r="AG25" s="135">
        <v>838</v>
      </c>
      <c r="AH25" s="315">
        <v>145</v>
      </c>
      <c r="AJ25" s="321">
        <v>7.24</v>
      </c>
      <c r="AK25" s="314">
        <f t="shared" si="1"/>
        <v>2.25</v>
      </c>
      <c r="AL25" s="135">
        <f t="shared" si="2"/>
        <v>275.5</v>
      </c>
      <c r="AM25" s="135">
        <f t="shared" si="3"/>
        <v>164.32</v>
      </c>
      <c r="AN25" s="135">
        <f t="shared" si="4"/>
        <v>69.95</v>
      </c>
      <c r="AO25" s="315">
        <f t="shared" si="5"/>
        <v>174</v>
      </c>
      <c r="AQ25" s="135">
        <v>7.24</v>
      </c>
      <c r="AR25" s="329">
        <f t="shared" si="6"/>
        <v>686.02</v>
      </c>
      <c r="AS25" s="320"/>
      <c r="AT25" s="332" t="str">
        <f t="shared" si="7"/>
        <v/>
      </c>
      <c r="AU25" s="345" t="str">
        <f t="shared" si="8"/>
        <v/>
      </c>
    </row>
    <row r="26" spans="2:47" x14ac:dyDescent="0.25">
      <c r="B26" s="5" t="str">
        <f>'Vedra tabla'!Q60</f>
        <v>NT</v>
      </c>
      <c r="C26" s="8" t="str">
        <f>'Vedra tabla'!R60</f>
        <v>mg/L</v>
      </c>
      <c r="D26" s="30">
        <f>'Vedra tabla'!S60</f>
        <v>62.711111111111109</v>
      </c>
      <c r="E26" s="30">
        <f>'Vedra tabla'!T60</f>
        <v>11.988888888888889</v>
      </c>
      <c r="F26" s="30">
        <f>'Vedra tabla'!U60</f>
        <v>50.722222222222221</v>
      </c>
      <c r="G26" s="32">
        <f>'Vedra tabla'!V60</f>
        <v>0.80882352941176472</v>
      </c>
      <c r="I26" s="5" t="str">
        <f>'Vedra tabla'!S111</f>
        <v>NT</v>
      </c>
      <c r="J26" s="55" t="str">
        <f>'Vedra tabla'!T111</f>
        <v>kg/d</v>
      </c>
      <c r="K26" s="78">
        <f>'Vedra tabla'!U111</f>
        <v>1.1892832175668435</v>
      </c>
      <c r="L26" s="78">
        <f>'Vedra tabla'!V111</f>
        <v>0.19912722819593787</v>
      </c>
      <c r="M26" s="78">
        <f>'Vedra tabla'!W111</f>
        <v>0.99015598937090565</v>
      </c>
      <c r="N26" s="32">
        <f>'Vedra tabla'!X111</f>
        <v>0.83256534250661285</v>
      </c>
      <c r="AA26" s="321">
        <v>8.24</v>
      </c>
      <c r="AB26" s="135">
        <v>127</v>
      </c>
      <c r="AC26" s="135">
        <v>32</v>
      </c>
      <c r="AD26" s="135">
        <v>61</v>
      </c>
      <c r="AE26" s="135">
        <v>105</v>
      </c>
      <c r="AF26" s="135">
        <v>94</v>
      </c>
      <c r="AG26" s="135">
        <v>734</v>
      </c>
      <c r="AH26" s="315">
        <v>93</v>
      </c>
      <c r="AJ26" s="321">
        <v>8.24</v>
      </c>
      <c r="AK26" s="314">
        <f t="shared" si="1"/>
        <v>95.25</v>
      </c>
      <c r="AL26" s="135">
        <f t="shared" si="2"/>
        <v>176.7</v>
      </c>
      <c r="AM26" s="135">
        <f t="shared" si="3"/>
        <v>82.95</v>
      </c>
      <c r="AN26" s="135">
        <f t="shared" si="4"/>
        <v>41.400000000000006</v>
      </c>
      <c r="AO26" s="315">
        <f t="shared" si="5"/>
        <v>111.6</v>
      </c>
      <c r="AQ26" s="135">
        <v>8.24</v>
      </c>
      <c r="AR26" s="329">
        <f t="shared" si="6"/>
        <v>507.9</v>
      </c>
      <c r="AS26" s="320"/>
      <c r="AT26" s="332" t="str">
        <f t="shared" si="7"/>
        <v/>
      </c>
      <c r="AU26" s="345" t="str">
        <f t="shared" si="8"/>
        <v/>
      </c>
    </row>
    <row r="27" spans="2:47" x14ac:dyDescent="0.25">
      <c r="B27" s="5" t="str">
        <f>'Vedra tabla'!Q61</f>
        <v>PT</v>
      </c>
      <c r="C27" s="8" t="str">
        <f>'Vedra tabla'!R61</f>
        <v>mg/L</v>
      </c>
      <c r="D27" s="30">
        <f>'Vedra tabla'!S61</f>
        <v>24.066666666666666</v>
      </c>
      <c r="E27" s="30">
        <f>'Vedra tabla'!T61</f>
        <v>1.4733333333333334</v>
      </c>
      <c r="F27" s="30">
        <f>'Vedra tabla'!U61</f>
        <v>22.593333333333334</v>
      </c>
      <c r="G27" s="32">
        <f>'Vedra tabla'!V61</f>
        <v>0.93878116343490303</v>
      </c>
      <c r="I27" s="5" t="str">
        <f>'Vedra tabla'!S112</f>
        <v>PT</v>
      </c>
      <c r="J27" s="55" t="str">
        <f>'Vedra tabla'!T112</f>
        <v>kg/d</v>
      </c>
      <c r="K27" s="78">
        <f>'Vedra tabla'!U112</f>
        <v>0.44876615333910103</v>
      </c>
      <c r="L27" s="78">
        <f>'Vedra tabla'!V112</f>
        <v>2.0401188151443993E-2</v>
      </c>
      <c r="M27" s="78">
        <f>'Vedra tabla'!W112</f>
        <v>0.42836496518765704</v>
      </c>
      <c r="N27" s="32">
        <f>'Vedra tabla'!X112</f>
        <v>0.95453937869501437</v>
      </c>
      <c r="Q27" s="145"/>
      <c r="AA27" s="321">
        <v>9.24</v>
      </c>
      <c r="AB27" s="135">
        <v>4</v>
      </c>
      <c r="AC27" s="135">
        <v>76</v>
      </c>
      <c r="AD27" s="135">
        <v>129</v>
      </c>
      <c r="AE27" s="135">
        <v>273</v>
      </c>
      <c r="AF27" s="135">
        <v>297</v>
      </c>
      <c r="AG27" s="135">
        <v>900</v>
      </c>
      <c r="AH27" s="315">
        <v>205</v>
      </c>
      <c r="AJ27" s="321">
        <v>9.24</v>
      </c>
      <c r="AK27" s="314">
        <f t="shared" si="1"/>
        <v>3</v>
      </c>
      <c r="AL27" s="135">
        <f t="shared" si="2"/>
        <v>389.5</v>
      </c>
      <c r="AM27" s="135">
        <f t="shared" si="3"/>
        <v>215.67000000000002</v>
      </c>
      <c r="AN27" s="135">
        <f t="shared" si="4"/>
        <v>59.85</v>
      </c>
      <c r="AO27" s="315">
        <f t="shared" si="5"/>
        <v>246</v>
      </c>
      <c r="AQ27" s="135">
        <v>9.24</v>
      </c>
      <c r="AR27" s="329">
        <f t="shared" si="6"/>
        <v>914.0200000000001</v>
      </c>
      <c r="AS27" s="320"/>
      <c r="AT27" s="332" t="str">
        <f t="shared" si="7"/>
        <v/>
      </c>
      <c r="AU27" s="345" t="str">
        <f t="shared" si="8"/>
        <v/>
      </c>
    </row>
    <row r="28" spans="2:47" x14ac:dyDescent="0.25">
      <c r="B28" s="5" t="str">
        <f>'Vedra tabla'!Q62</f>
        <v>A y G</v>
      </c>
      <c r="C28" s="8" t="str">
        <f>'Vedra tabla'!R62</f>
        <v>mg/L</v>
      </c>
      <c r="D28" s="6" t="str">
        <f>'Vedra tabla'!S62</f>
        <v>–</v>
      </c>
      <c r="E28" s="30">
        <f>'Vedra tabla'!T62</f>
        <v>4.6124999999999998</v>
      </c>
      <c r="F28" s="30" t="str">
        <f>'Vedra tabla'!U62</f>
        <v>–</v>
      </c>
      <c r="G28" s="30" t="str">
        <f>'Vedra tabla'!V62</f>
        <v>–</v>
      </c>
      <c r="I28" s="5" t="str">
        <f>'Vedra tabla'!S113</f>
        <v>A y G</v>
      </c>
      <c r="J28" s="55" t="str">
        <f>'Vedra tabla'!T113</f>
        <v>kg/d</v>
      </c>
      <c r="K28" s="6" t="str">
        <f>'Vedra tabla'!U113</f>
        <v>–</v>
      </c>
      <c r="L28" s="78">
        <f>'Vedra tabla'!V113</f>
        <v>7.7500596032628863E-2</v>
      </c>
      <c r="M28" s="30" t="str">
        <f>'Vedra tabla'!W113</f>
        <v>–</v>
      </c>
      <c r="N28" s="30" t="str">
        <f>'Vedra tabla'!X113</f>
        <v>–</v>
      </c>
      <c r="AA28" s="321">
        <v>10.24</v>
      </c>
      <c r="AB28" s="135">
        <v>2</v>
      </c>
      <c r="AC28" s="135">
        <v>116</v>
      </c>
      <c r="AD28" s="135">
        <v>215</v>
      </c>
      <c r="AE28" s="135">
        <v>350</v>
      </c>
      <c r="AF28" s="135">
        <v>671</v>
      </c>
      <c r="AG28" s="135">
        <v>710</v>
      </c>
      <c r="AH28" s="315">
        <v>331</v>
      </c>
      <c r="AJ28" s="321">
        <v>10.24</v>
      </c>
      <c r="AK28" s="314">
        <f t="shared" si="1"/>
        <v>1.5</v>
      </c>
      <c r="AL28" s="135">
        <f t="shared" si="2"/>
        <v>628.9</v>
      </c>
      <c r="AM28" s="135">
        <f t="shared" si="3"/>
        <v>276.5</v>
      </c>
      <c r="AN28" s="135">
        <f t="shared" si="4"/>
        <v>69.05</v>
      </c>
      <c r="AO28" s="315">
        <f t="shared" si="5"/>
        <v>397.2</v>
      </c>
      <c r="AQ28" s="135">
        <v>10.24</v>
      </c>
      <c r="AR28" s="329">
        <f t="shared" si="6"/>
        <v>1373.1499999999999</v>
      </c>
      <c r="AS28" s="320"/>
      <c r="AT28" s="332" t="str">
        <f t="shared" si="7"/>
        <v/>
      </c>
      <c r="AU28" s="345" t="str">
        <f t="shared" si="8"/>
        <v/>
      </c>
    </row>
    <row r="29" spans="2:47" x14ac:dyDescent="0.25">
      <c r="B29" s="5" t="str">
        <f>'Vedra tabla'!Q63</f>
        <v>Det. Anion.</v>
      </c>
      <c r="C29" s="8" t="str">
        <f>'Vedra tabla'!R63</f>
        <v>mg/L</v>
      </c>
      <c r="D29" s="6" t="str">
        <f>'Vedra tabla'!S63</f>
        <v>–</v>
      </c>
      <c r="E29" s="30">
        <f>'Vedra tabla'!T63</f>
        <v>0.45</v>
      </c>
      <c r="F29" s="30" t="str">
        <f>'Vedra tabla'!U63</f>
        <v>–</v>
      </c>
      <c r="G29" s="30" t="str">
        <f>'Vedra tabla'!V63</f>
        <v>–</v>
      </c>
      <c r="I29" s="5" t="str">
        <f>'Vedra tabla'!S114</f>
        <v>Det. Anion.</v>
      </c>
      <c r="J29" s="55" t="str">
        <f>'Vedra tabla'!T114</f>
        <v>kg/d</v>
      </c>
      <c r="K29" s="6" t="str">
        <f>'Vedra tabla'!U114</f>
        <v>–</v>
      </c>
      <c r="L29" s="78">
        <f>'Vedra tabla'!V114</f>
        <v>7.4419062847608458E-3</v>
      </c>
      <c r="M29" s="30" t="str">
        <f>'Vedra tabla'!W114</f>
        <v>–</v>
      </c>
      <c r="N29" s="30" t="str">
        <f>'Vedra tabla'!X114</f>
        <v>–</v>
      </c>
      <c r="AA29" s="321">
        <v>11.24</v>
      </c>
      <c r="AB29" s="135">
        <v>2</v>
      </c>
      <c r="AC29" s="135">
        <v>66</v>
      </c>
      <c r="AD29" s="135">
        <v>160</v>
      </c>
      <c r="AE29" s="135">
        <v>286</v>
      </c>
      <c r="AF29" s="135">
        <v>773</v>
      </c>
      <c r="AG29" s="135">
        <v>819</v>
      </c>
      <c r="AH29" s="315">
        <v>226</v>
      </c>
      <c r="AJ29" s="321">
        <v>11.24</v>
      </c>
      <c r="AK29" s="314">
        <f t="shared" si="1"/>
        <v>1.5</v>
      </c>
      <c r="AL29" s="135">
        <f t="shared" si="2"/>
        <v>429.4</v>
      </c>
      <c r="AM29" s="135">
        <f t="shared" si="3"/>
        <v>225.94</v>
      </c>
      <c r="AN29" s="135">
        <f t="shared" si="4"/>
        <v>79.600000000000009</v>
      </c>
      <c r="AO29" s="315">
        <f t="shared" si="5"/>
        <v>271.2</v>
      </c>
      <c r="AQ29" s="135">
        <v>11.24</v>
      </c>
      <c r="AR29" s="329">
        <f t="shared" si="6"/>
        <v>1007.6399999999999</v>
      </c>
      <c r="AS29" s="320"/>
      <c r="AT29" s="332" t="str">
        <f t="shared" si="7"/>
        <v/>
      </c>
      <c r="AU29" s="345" t="str">
        <f t="shared" si="8"/>
        <v/>
      </c>
    </row>
    <row r="30" spans="2:47" x14ac:dyDescent="0.25">
      <c r="B30" s="5" t="str">
        <f>'Vedra tabla'!Q64</f>
        <v>Caudal</v>
      </c>
      <c r="C30" s="8" t="str">
        <f>'Vedra tabla'!R64</f>
        <v>m3/d</v>
      </c>
      <c r="D30" s="6">
        <f>'Vedra tabla'!S64</f>
        <v>16.389869402216451</v>
      </c>
      <c r="E30" s="30">
        <f>'Vedra tabla'!T64</f>
        <v>16.389869402216451</v>
      </c>
      <c r="F30" s="30" t="str">
        <f>'Vedra tabla'!U64</f>
        <v>–</v>
      </c>
      <c r="G30" s="30" t="str">
        <f>'Vedra tabla'!V64</f>
        <v>–</v>
      </c>
      <c r="I30" s="5" t="str">
        <f>'Vedra tabla'!S115</f>
        <v>Caudal</v>
      </c>
      <c r="J30" s="55" t="str">
        <f>'Vedra tabla'!T115</f>
        <v>m3/d</v>
      </c>
      <c r="K30" s="51">
        <f>'Vedra tabla'!U115</f>
        <v>16.389869402216451</v>
      </c>
      <c r="L30" s="122">
        <f>'Vedra tabla'!V115</f>
        <v>16.389869402216451</v>
      </c>
      <c r="M30" s="30" t="str">
        <f>'Vedra tabla'!W115</f>
        <v>–</v>
      </c>
      <c r="N30" s="30" t="str">
        <f>'Vedra tabla'!X115</f>
        <v>–</v>
      </c>
      <c r="AA30" s="321">
        <v>12.24</v>
      </c>
      <c r="AB30" s="135">
        <v>1</v>
      </c>
      <c r="AC30" s="135">
        <v>76</v>
      </c>
      <c r="AD30" s="135">
        <v>217</v>
      </c>
      <c r="AE30" s="135">
        <v>294</v>
      </c>
      <c r="AF30" s="135">
        <v>674</v>
      </c>
      <c r="AG30" s="135">
        <v>713</v>
      </c>
      <c r="AH30" s="315">
        <v>293</v>
      </c>
      <c r="AJ30" s="321">
        <v>12.24</v>
      </c>
      <c r="AK30" s="316">
        <f t="shared" si="1"/>
        <v>0.75</v>
      </c>
      <c r="AL30" s="317">
        <f t="shared" si="2"/>
        <v>556.69999999999993</v>
      </c>
      <c r="AM30" s="317">
        <f t="shared" si="3"/>
        <v>232.26000000000002</v>
      </c>
      <c r="AN30" s="317">
        <f t="shared" si="4"/>
        <v>69.350000000000009</v>
      </c>
      <c r="AO30" s="318">
        <f t="shared" si="5"/>
        <v>351.59999999999997</v>
      </c>
      <c r="AQ30" s="135">
        <v>12.24</v>
      </c>
      <c r="AR30" s="330">
        <f t="shared" si="6"/>
        <v>1210.6599999999999</v>
      </c>
      <c r="AS30" s="250"/>
      <c r="AT30" s="334" t="str">
        <f t="shared" si="7"/>
        <v/>
      </c>
      <c r="AU30" s="346" t="str">
        <f t="shared" si="8"/>
        <v/>
      </c>
    </row>
    <row r="31" spans="2:47" x14ac:dyDescent="0.25">
      <c r="AA31" s="92"/>
      <c r="AB31" s="335" t="str">
        <f>AA5</f>
        <v>E.T.1</v>
      </c>
      <c r="AC31" s="335" t="str">
        <f>AA6</f>
        <v>E.T.2</v>
      </c>
      <c r="AD31" s="335" t="str">
        <f>AA6</f>
        <v>E.T.2</v>
      </c>
      <c r="AE31" s="335" t="str">
        <f>AA7</f>
        <v>E.T.3</v>
      </c>
      <c r="AF31" s="335" t="str">
        <f>AA12</f>
        <v>E.T.8</v>
      </c>
      <c r="AG31" s="335" t="str">
        <f>AA12</f>
        <v>E.T.8</v>
      </c>
      <c r="AH31" s="336" t="str">
        <f>AA10</f>
        <v>E.T.6</v>
      </c>
      <c r="AJ31" s="92"/>
      <c r="AK31" s="93" t="str">
        <f>AA5</f>
        <v>E.T.1</v>
      </c>
      <c r="AL31" s="93" t="str">
        <f>AA6</f>
        <v>E.T.2</v>
      </c>
      <c r="AM31" s="93" t="str">
        <f>AA7</f>
        <v>E.T.3</v>
      </c>
      <c r="AN31" s="93" t="str">
        <f>AA12</f>
        <v>E.T.8</v>
      </c>
      <c r="AO31" s="94" t="str">
        <f>AA10</f>
        <v>E.T.6</v>
      </c>
    </row>
    <row r="33" spans="2:33" x14ac:dyDescent="0.25">
      <c r="B33" s="418" t="s">
        <v>253</v>
      </c>
      <c r="C33" s="418"/>
      <c r="D33" s="418"/>
      <c r="E33" s="418"/>
      <c r="F33" s="418"/>
      <c r="G33" s="418"/>
      <c r="H33" s="418"/>
      <c r="I33" s="418"/>
      <c r="J33" s="418"/>
      <c r="K33" s="418"/>
      <c r="L33" s="418"/>
      <c r="M33" s="418"/>
      <c r="N33" s="418"/>
      <c r="O33" s="418"/>
      <c r="P33" s="418"/>
      <c r="Q33" s="418"/>
      <c r="Y33" s="396" t="s">
        <v>733</v>
      </c>
      <c r="Z33" s="396"/>
    </row>
    <row r="34" spans="2:33" x14ac:dyDescent="0.25">
      <c r="B34" s="418"/>
      <c r="C34" s="418"/>
      <c r="D34" s="418"/>
      <c r="E34" s="418"/>
      <c r="F34" s="418"/>
      <c r="G34" s="418"/>
      <c r="H34" s="418"/>
      <c r="I34" s="418"/>
      <c r="J34" s="418"/>
      <c r="K34" s="418"/>
      <c r="L34" s="418"/>
      <c r="M34" s="418"/>
      <c r="N34" s="418"/>
      <c r="O34" s="418"/>
      <c r="P34" s="418"/>
      <c r="Q34" s="418"/>
      <c r="Y34" s="396"/>
      <c r="Z34" s="396"/>
      <c r="AA34" t="s">
        <v>731</v>
      </c>
    </row>
    <row r="35" spans="2:33" x14ac:dyDescent="0.25">
      <c r="B35" s="418"/>
      <c r="C35" s="418"/>
      <c r="D35" s="418"/>
      <c r="E35" s="418"/>
      <c r="F35" s="418"/>
      <c r="G35" s="418"/>
      <c r="H35" s="418"/>
      <c r="I35" s="418"/>
      <c r="J35" s="418"/>
      <c r="K35" s="418"/>
      <c r="L35" s="418"/>
      <c r="M35" s="418"/>
      <c r="N35" s="418"/>
      <c r="O35" s="418"/>
      <c r="P35" s="418"/>
      <c r="Q35" s="418"/>
      <c r="AA35" s="440" t="s">
        <v>43</v>
      </c>
      <c r="AB35" s="440"/>
      <c r="AC35" s="440"/>
    </row>
    <row r="36" spans="2:33" x14ac:dyDescent="0.25">
      <c r="AA36" s="11" t="s">
        <v>44</v>
      </c>
      <c r="AB36" s="11" t="s">
        <v>34</v>
      </c>
      <c r="AC36" s="11" t="s">
        <v>29</v>
      </c>
    </row>
    <row r="37" spans="2:33" x14ac:dyDescent="0.25">
      <c r="Y37" t="s">
        <v>124</v>
      </c>
      <c r="Z37" s="12" t="s">
        <v>711</v>
      </c>
      <c r="AA37" t="s">
        <v>707</v>
      </c>
      <c r="AB37" s="13">
        <f xml:space="preserve"> 1 * 25 / 30</f>
        <v>0.83333333333333337</v>
      </c>
      <c r="AC37" t="s">
        <v>125</v>
      </c>
      <c r="AD37" t="s">
        <v>126</v>
      </c>
      <c r="AG37" s="396" t="s">
        <v>732</v>
      </c>
    </row>
    <row r="38" spans="2:33" x14ac:dyDescent="0.25">
      <c r="AA38" t="s">
        <v>123</v>
      </c>
      <c r="AB38">
        <f>12 * 25 / 30</f>
        <v>10</v>
      </c>
      <c r="AC38" t="s">
        <v>125</v>
      </c>
      <c r="AD38" t="s">
        <v>127</v>
      </c>
      <c r="AG38" s="396"/>
    </row>
    <row r="39" spans="2:33" x14ac:dyDescent="0.25">
      <c r="D39" s="12" t="s">
        <v>285</v>
      </c>
      <c r="I39" s="138" t="s">
        <v>280</v>
      </c>
      <c r="J39" s="139" t="s">
        <v>281</v>
      </c>
      <c r="M39" s="12" t="s">
        <v>282</v>
      </c>
    </row>
    <row r="40" spans="2:33" x14ac:dyDescent="0.25">
      <c r="B40" s="12" t="s">
        <v>254</v>
      </c>
      <c r="C40" s="417" t="s">
        <v>649</v>
      </c>
      <c r="D40" s="417"/>
      <c r="E40" s="12" t="s">
        <v>256</v>
      </c>
      <c r="F40" s="395" t="s">
        <v>650</v>
      </c>
      <c r="G40" s="395"/>
      <c r="H40" s="12" t="s">
        <v>258</v>
      </c>
      <c r="I40" s="395" t="s">
        <v>651</v>
      </c>
      <c r="J40" s="395"/>
      <c r="K40" s="12" t="s">
        <v>261</v>
      </c>
      <c r="L40" s="395" t="s">
        <v>652</v>
      </c>
      <c r="M40" s="395"/>
      <c r="N40" s="12" t="s">
        <v>263</v>
      </c>
      <c r="O40" s="395" t="s">
        <v>653</v>
      </c>
      <c r="P40" s="395"/>
      <c r="Q40" s="12" t="s">
        <v>267</v>
      </c>
      <c r="R40" s="395" t="s">
        <v>654</v>
      </c>
      <c r="S40" s="395"/>
      <c r="T40" s="12" t="s">
        <v>269</v>
      </c>
      <c r="U40" s="395" t="s">
        <v>276</v>
      </c>
      <c r="V40" s="395"/>
      <c r="W40" s="12" t="s">
        <v>272</v>
      </c>
    </row>
    <row r="41" spans="2:33" x14ac:dyDescent="0.25">
      <c r="C41" s="417"/>
      <c r="D41" s="417"/>
      <c r="F41" s="395"/>
      <c r="G41" s="395"/>
      <c r="I41" s="395"/>
      <c r="J41" s="395"/>
      <c r="L41" s="395"/>
      <c r="M41" s="395"/>
      <c r="O41" s="395"/>
      <c r="P41" s="395"/>
      <c r="R41" s="395"/>
      <c r="S41" s="395"/>
      <c r="U41" s="395"/>
      <c r="V41" s="395"/>
      <c r="AA41" t="s">
        <v>712</v>
      </c>
      <c r="AB41">
        <v>0.83099999999999996</v>
      </c>
      <c r="AC41" t="s">
        <v>710</v>
      </c>
      <c r="AD41" t="s">
        <v>688</v>
      </c>
    </row>
    <row r="42" spans="2:33" x14ac:dyDescent="0.25">
      <c r="C42" s="138" t="s">
        <v>283</v>
      </c>
      <c r="D42" s="139" t="s">
        <v>277</v>
      </c>
      <c r="I42" s="138" t="s">
        <v>279</v>
      </c>
      <c r="J42" s="139" t="s">
        <v>275</v>
      </c>
      <c r="O42" t="s">
        <v>275</v>
      </c>
      <c r="P42" s="139" t="s">
        <v>277</v>
      </c>
      <c r="R42" s="138"/>
      <c r="S42" s="12" t="s">
        <v>291</v>
      </c>
      <c r="AA42" t="s">
        <v>709</v>
      </c>
      <c r="AB42">
        <v>0.79200000000000004</v>
      </c>
      <c r="AC42" t="s">
        <v>710</v>
      </c>
      <c r="AD42" t="s">
        <v>716</v>
      </c>
    </row>
    <row r="43" spans="2:33" x14ac:dyDescent="0.25">
      <c r="I43" s="139"/>
    </row>
    <row r="44" spans="2:33" x14ac:dyDescent="0.25">
      <c r="K44" t="s">
        <v>656</v>
      </c>
      <c r="AA44" t="s">
        <v>714</v>
      </c>
      <c r="AB44">
        <v>1.42</v>
      </c>
      <c r="AC44" t="s">
        <v>715</v>
      </c>
      <c r="AD44" t="s">
        <v>716</v>
      </c>
    </row>
    <row r="47" spans="2:33" x14ac:dyDescent="0.25">
      <c r="H47" t="s">
        <v>657</v>
      </c>
    </row>
    <row r="49" spans="2:30" x14ac:dyDescent="0.25">
      <c r="W49" s="443" t="s">
        <v>634</v>
      </c>
      <c r="X49" s="443"/>
      <c r="Y49" s="443"/>
      <c r="Z49" s="443"/>
    </row>
    <row r="50" spans="2:30" x14ac:dyDescent="0.25">
      <c r="B50" t="s">
        <v>659</v>
      </c>
      <c r="E50" t="s">
        <v>667</v>
      </c>
      <c r="W50" s="444" t="s">
        <v>635</v>
      </c>
      <c r="X50" s="444"/>
      <c r="Y50" s="444"/>
      <c r="Z50" s="444"/>
      <c r="AA50" s="133"/>
    </row>
    <row r="51" spans="2:30" x14ac:dyDescent="0.25">
      <c r="B51" t="s">
        <v>660</v>
      </c>
      <c r="E51" t="s">
        <v>668</v>
      </c>
      <c r="W51" s="443" t="s">
        <v>636</v>
      </c>
      <c r="X51" s="443"/>
      <c r="Y51" s="443"/>
      <c r="Z51" s="443"/>
      <c r="AA51" s="135"/>
    </row>
    <row r="52" spans="2:30" x14ac:dyDescent="0.25">
      <c r="B52" t="s">
        <v>661</v>
      </c>
      <c r="E52" t="s">
        <v>669</v>
      </c>
      <c r="W52" s="425" t="s">
        <v>713</v>
      </c>
      <c r="X52" s="425"/>
      <c r="Y52" s="425"/>
      <c r="Z52" s="425"/>
      <c r="AA52" s="135"/>
      <c r="AB52" s="135"/>
      <c r="AC52" s="135"/>
      <c r="AD52" s="135"/>
    </row>
    <row r="53" spans="2:30" x14ac:dyDescent="0.25">
      <c r="B53" t="s">
        <v>662</v>
      </c>
      <c r="E53" t="s">
        <v>670</v>
      </c>
      <c r="W53" s="443" t="s">
        <v>637</v>
      </c>
      <c r="X53" s="443"/>
      <c r="Y53" s="443"/>
      <c r="Z53" s="443"/>
      <c r="AA53" s="135"/>
      <c r="AB53" s="135"/>
      <c r="AC53" s="135"/>
      <c r="AD53" s="135"/>
    </row>
    <row r="54" spans="2:30" x14ac:dyDescent="0.25">
      <c r="B54" t="s">
        <v>663</v>
      </c>
      <c r="E54" t="s">
        <v>708</v>
      </c>
      <c r="X54" s="135"/>
      <c r="Y54" s="135"/>
      <c r="Z54" s="135"/>
      <c r="AA54" s="135"/>
      <c r="AB54" s="135"/>
      <c r="AC54" s="135"/>
      <c r="AD54" s="135"/>
    </row>
    <row r="55" spans="2:30" x14ac:dyDescent="0.25">
      <c r="B55" t="s">
        <v>664</v>
      </c>
      <c r="E55" t="s">
        <v>673</v>
      </c>
      <c r="W55" s="135"/>
      <c r="X55" s="135"/>
      <c r="Y55" s="135"/>
      <c r="Z55" s="135"/>
      <c r="AA55" s="135"/>
      <c r="AB55" s="135"/>
      <c r="AC55" s="135"/>
      <c r="AD55" s="135"/>
    </row>
    <row r="56" spans="2:30" x14ac:dyDescent="0.25">
      <c r="B56" t="s">
        <v>665</v>
      </c>
      <c r="E56" t="s">
        <v>671</v>
      </c>
      <c r="W56" s="135"/>
      <c r="X56" s="135"/>
      <c r="Y56" s="135"/>
      <c r="Z56" s="135"/>
      <c r="AA56" s="135"/>
      <c r="AB56" s="135"/>
      <c r="AC56" s="135"/>
      <c r="AD56" s="135"/>
    </row>
    <row r="57" spans="2:30" x14ac:dyDescent="0.25">
      <c r="B57" t="s">
        <v>666</v>
      </c>
      <c r="E57" t="s">
        <v>672</v>
      </c>
      <c r="W57" s="135"/>
      <c r="X57" s="135"/>
      <c r="Y57" s="135"/>
      <c r="Z57" s="135"/>
      <c r="AA57" s="135"/>
      <c r="AB57" s="135"/>
      <c r="AC57" s="135"/>
      <c r="AD57" s="135"/>
    </row>
    <row r="58" spans="2:30" x14ac:dyDescent="0.25">
      <c r="E58" t="s">
        <v>689</v>
      </c>
      <c r="W58" s="135"/>
      <c r="X58" s="135"/>
      <c r="Y58" s="135"/>
      <c r="Z58" s="135"/>
      <c r="AA58" s="135"/>
      <c r="AB58" s="135"/>
      <c r="AC58" s="135"/>
      <c r="AD58" s="135"/>
    </row>
    <row r="59" spans="2:30" x14ac:dyDescent="0.25">
      <c r="W59" s="135"/>
      <c r="X59" s="135"/>
      <c r="Y59" s="135"/>
      <c r="Z59" s="135"/>
      <c r="AA59" s="135"/>
      <c r="AB59" s="135"/>
      <c r="AC59" s="135"/>
      <c r="AD59" s="135"/>
    </row>
    <row r="60" spans="2:30" x14ac:dyDescent="0.25">
      <c r="B60" t="s">
        <v>704</v>
      </c>
      <c r="W60" s="135"/>
      <c r="X60" s="135"/>
      <c r="Y60" s="135"/>
      <c r="Z60" s="135"/>
      <c r="AA60" s="135"/>
      <c r="AB60" s="135"/>
      <c r="AC60" s="135"/>
      <c r="AD60" s="135"/>
    </row>
    <row r="61" spans="2:30" x14ac:dyDescent="0.25">
      <c r="W61" s="135"/>
      <c r="X61" s="135"/>
      <c r="Y61" s="135"/>
      <c r="Z61" s="135"/>
      <c r="AA61" s="135"/>
      <c r="AB61" s="135"/>
      <c r="AC61" s="135"/>
      <c r="AD61" s="135"/>
    </row>
    <row r="62" spans="2:30" x14ac:dyDescent="0.25">
      <c r="C62" s="5" t="s">
        <v>254</v>
      </c>
      <c r="D62" s="5" t="s">
        <v>272</v>
      </c>
      <c r="E62" s="5" t="s">
        <v>706</v>
      </c>
      <c r="F62" s="5" t="s">
        <v>279</v>
      </c>
      <c r="G62" s="5" t="s">
        <v>280</v>
      </c>
      <c r="H62" s="5" t="s">
        <v>2</v>
      </c>
      <c r="W62" s="135"/>
      <c r="X62" s="135"/>
      <c r="Y62" s="135"/>
      <c r="Z62" s="135"/>
      <c r="AA62" s="135"/>
      <c r="AB62" s="135"/>
      <c r="AC62" s="135"/>
      <c r="AD62" s="135"/>
    </row>
    <row r="63" spans="2:30" x14ac:dyDescent="0.25">
      <c r="B63" s="5" t="s">
        <v>164</v>
      </c>
      <c r="C63" s="325">
        <f>K30</f>
        <v>16.389869402216451</v>
      </c>
      <c r="D63" s="325">
        <f>L30</f>
        <v>16.389869402216451</v>
      </c>
      <c r="E63" s="12" t="s">
        <v>38</v>
      </c>
      <c r="F63" s="12" t="s">
        <v>38</v>
      </c>
      <c r="G63" s="12" t="s">
        <v>38</v>
      </c>
      <c r="H63" s="12" t="s">
        <v>204</v>
      </c>
    </row>
    <row r="64" spans="2:30" x14ac:dyDescent="0.25">
      <c r="B64" s="5" t="s">
        <v>24</v>
      </c>
      <c r="C64" s="173">
        <f t="shared" ref="C64:D70" si="9">K23</f>
        <v>3.785216137271866</v>
      </c>
      <c r="D64" s="173">
        <f t="shared" si="9"/>
        <v>0.37872360235652786</v>
      </c>
      <c r="E64" s="12" t="s">
        <v>38</v>
      </c>
      <c r="F64" s="12" t="s">
        <v>38</v>
      </c>
      <c r="G64" s="12" t="s">
        <v>38</v>
      </c>
      <c r="H64" s="12" t="s">
        <v>36</v>
      </c>
    </row>
    <row r="65" spans="1:20" x14ac:dyDescent="0.25">
      <c r="B65" s="5" t="s">
        <v>25</v>
      </c>
      <c r="C65" s="173">
        <f t="shared" si="9"/>
        <v>8.6030674082313663</v>
      </c>
      <c r="D65" s="173">
        <f t="shared" si="9"/>
        <v>0.9165388868289871</v>
      </c>
      <c r="E65" s="12" t="s">
        <v>38</v>
      </c>
      <c r="F65" s="12" t="s">
        <v>38</v>
      </c>
      <c r="G65" s="364">
        <f>G73*AB44</f>
        <v>11.2464</v>
      </c>
      <c r="H65" s="12" t="s">
        <v>36</v>
      </c>
    </row>
    <row r="66" spans="1:20" x14ac:dyDescent="0.25">
      <c r="B66" s="5" t="s">
        <v>26</v>
      </c>
      <c r="C66" s="173">
        <f t="shared" si="9"/>
        <v>2.1897219923371645</v>
      </c>
      <c r="D66" s="173">
        <f t="shared" si="9"/>
        <v>0.31097377250442876</v>
      </c>
      <c r="E66" s="12" t="s">
        <v>38</v>
      </c>
      <c r="F66" s="12" t="s">
        <v>38</v>
      </c>
      <c r="G66" s="12" t="s">
        <v>38</v>
      </c>
      <c r="H66" s="12" t="s">
        <v>36</v>
      </c>
    </row>
    <row r="67" spans="1:20" x14ac:dyDescent="0.25">
      <c r="B67" s="5" t="s">
        <v>27</v>
      </c>
      <c r="C67" s="173">
        <f t="shared" si="9"/>
        <v>1.1892832175668435</v>
      </c>
      <c r="D67" s="173">
        <f t="shared" si="9"/>
        <v>0.19912722819593787</v>
      </c>
      <c r="E67" s="12" t="s">
        <v>38</v>
      </c>
      <c r="F67" s="12" t="s">
        <v>38</v>
      </c>
      <c r="G67" s="12" t="s">
        <v>38</v>
      </c>
      <c r="H67" s="12" t="s">
        <v>36</v>
      </c>
    </row>
    <row r="68" spans="1:20" x14ac:dyDescent="0.25">
      <c r="A68" s="326"/>
      <c r="B68" s="5" t="s">
        <v>28</v>
      </c>
      <c r="C68" s="173">
        <f t="shared" si="9"/>
        <v>0.44876615333910103</v>
      </c>
      <c r="D68" s="173">
        <f t="shared" si="9"/>
        <v>2.0401188151443993E-2</v>
      </c>
      <c r="E68" s="12" t="s">
        <v>38</v>
      </c>
      <c r="F68" s="12" t="s">
        <v>38</v>
      </c>
      <c r="G68" s="12" t="s">
        <v>38</v>
      </c>
      <c r="H68" s="12" t="s">
        <v>36</v>
      </c>
    </row>
    <row r="69" spans="1:20" x14ac:dyDescent="0.25">
      <c r="B69" s="5" t="s">
        <v>30</v>
      </c>
      <c r="C69" s="173" t="str">
        <f t="shared" si="9"/>
        <v>–</v>
      </c>
      <c r="D69" s="173">
        <f t="shared" si="9"/>
        <v>7.7500596032628863E-2</v>
      </c>
      <c r="E69" s="12" t="s">
        <v>38</v>
      </c>
      <c r="F69" s="12" t="s">
        <v>38</v>
      </c>
      <c r="G69" s="12" t="s">
        <v>38</v>
      </c>
      <c r="H69" s="12" t="s">
        <v>36</v>
      </c>
    </row>
    <row r="70" spans="1:20" x14ac:dyDescent="0.25">
      <c r="B70" s="5" t="s">
        <v>705</v>
      </c>
      <c r="C70" s="173" t="str">
        <f t="shared" si="9"/>
        <v>–</v>
      </c>
      <c r="D70" s="173">
        <f t="shared" si="9"/>
        <v>7.4419062847608458E-3</v>
      </c>
      <c r="E70" s="12" t="s">
        <v>38</v>
      </c>
      <c r="F70" s="12" t="s">
        <v>38</v>
      </c>
      <c r="G70" s="12" t="s">
        <v>38</v>
      </c>
      <c r="H70" s="12" t="s">
        <v>36</v>
      </c>
    </row>
    <row r="71" spans="1:20" x14ac:dyDescent="0.25">
      <c r="B71" s="19" t="s">
        <v>215</v>
      </c>
      <c r="C71" s="12" t="s">
        <v>38</v>
      </c>
      <c r="D71" s="12" t="s">
        <v>38</v>
      </c>
      <c r="E71" s="325">
        <f>Q24</f>
        <v>82.191780821917803</v>
      </c>
      <c r="F71" s="12" t="s">
        <v>38</v>
      </c>
      <c r="G71" s="12" t="s">
        <v>38</v>
      </c>
      <c r="H71" s="12" t="s">
        <v>36</v>
      </c>
    </row>
    <row r="72" spans="1:20" x14ac:dyDescent="0.25">
      <c r="B72" s="5" t="s">
        <v>707</v>
      </c>
      <c r="C72" s="12" t="s">
        <v>38</v>
      </c>
      <c r="D72" s="12" t="s">
        <v>38</v>
      </c>
      <c r="E72" s="12" t="s">
        <v>38</v>
      </c>
      <c r="F72" s="364">
        <f>AB37*AB41</f>
        <v>0.6925</v>
      </c>
      <c r="G72" s="12" t="s">
        <v>38</v>
      </c>
      <c r="H72" s="12" t="s">
        <v>36</v>
      </c>
    </row>
    <row r="73" spans="1:20" x14ac:dyDescent="0.25">
      <c r="B73" s="5" t="s">
        <v>123</v>
      </c>
      <c r="C73" s="12" t="s">
        <v>38</v>
      </c>
      <c r="D73" s="12" t="s">
        <v>38</v>
      </c>
      <c r="E73" s="12" t="s">
        <v>38</v>
      </c>
      <c r="F73" s="12" t="s">
        <v>38</v>
      </c>
      <c r="G73" s="12">
        <f>AB38*AB42</f>
        <v>7.92</v>
      </c>
      <c r="H73" s="12" t="s">
        <v>36</v>
      </c>
    </row>
    <row r="76" spans="1:20" x14ac:dyDescent="0.25">
      <c r="T76" s="193"/>
    </row>
    <row r="77" spans="1:20" x14ac:dyDescent="0.25">
      <c r="T77" s="193"/>
    </row>
    <row r="78" spans="1:20" x14ac:dyDescent="0.25">
      <c r="B78" s="405" t="s">
        <v>649</v>
      </c>
      <c r="C78" s="405"/>
      <c r="D78" s="405"/>
      <c r="E78" s="405"/>
      <c r="F78" s="405"/>
      <c r="G78" s="405"/>
      <c r="I78" s="142" t="s">
        <v>23</v>
      </c>
      <c r="J78" t="s">
        <v>254</v>
      </c>
      <c r="K78" t="s">
        <v>256</v>
      </c>
      <c r="L78" t="s">
        <v>277</v>
      </c>
      <c r="M78" t="s">
        <v>283</v>
      </c>
      <c r="N78" t="s">
        <v>285</v>
      </c>
      <c r="O78" s="142" t="s">
        <v>2</v>
      </c>
      <c r="T78" s="193"/>
    </row>
    <row r="79" spans="1:20" x14ac:dyDescent="0.25">
      <c r="B79" s="405"/>
      <c r="C79" s="405"/>
      <c r="D79" s="405"/>
      <c r="E79" s="405"/>
      <c r="F79" s="405"/>
      <c r="G79" s="405"/>
      <c r="I79" t="s">
        <v>164</v>
      </c>
      <c r="J79" s="176">
        <f>K30</f>
        <v>16.389869402216451</v>
      </c>
      <c r="K79" s="145">
        <f>J79+L79-M79</f>
        <v>16.389869402216451</v>
      </c>
      <c r="L79" s="13"/>
      <c r="M79" s="144"/>
      <c r="N79" s="178" t="s">
        <v>38</v>
      </c>
      <c r="O79" t="s">
        <v>204</v>
      </c>
      <c r="T79" s="193"/>
    </row>
    <row r="80" spans="1:20" x14ac:dyDescent="0.25">
      <c r="I80" t="s">
        <v>24</v>
      </c>
      <c r="J80" s="177">
        <f>K23</f>
        <v>3.785216137271866</v>
      </c>
      <c r="K80" s="145"/>
      <c r="L80" s="13"/>
      <c r="O80" t="s">
        <v>36</v>
      </c>
      <c r="R80" s="150"/>
      <c r="T80" s="193"/>
    </row>
    <row r="81" spans="3:20" x14ac:dyDescent="0.25">
      <c r="E81" s="12" t="s">
        <v>285</v>
      </c>
      <c r="I81" t="s">
        <v>25</v>
      </c>
      <c r="J81" s="177">
        <f t="shared" ref="J81:J84" si="10">K24</f>
        <v>8.6030674082313663</v>
      </c>
      <c r="K81" s="145"/>
      <c r="L81" s="13"/>
      <c r="O81" t="s">
        <v>36</v>
      </c>
      <c r="R81" s="150"/>
      <c r="T81" s="193"/>
    </row>
    <row r="82" spans="3:20" ht="15.95" customHeight="1" x14ac:dyDescent="0.25">
      <c r="C82" s="12" t="s">
        <v>254</v>
      </c>
      <c r="D82" s="417" t="s">
        <v>649</v>
      </c>
      <c r="E82" s="417"/>
      <c r="F82" s="12" t="s">
        <v>256</v>
      </c>
      <c r="I82" t="s">
        <v>26</v>
      </c>
      <c r="J82" s="177">
        <f t="shared" si="10"/>
        <v>2.1897219923371645</v>
      </c>
      <c r="K82" s="145"/>
      <c r="L82" s="13"/>
      <c r="M82" s="144"/>
      <c r="O82" t="s">
        <v>36</v>
      </c>
      <c r="R82" s="150"/>
      <c r="T82" s="193"/>
    </row>
    <row r="83" spans="3:20" x14ac:dyDescent="0.25">
      <c r="D83" s="417"/>
      <c r="E83" s="417"/>
      <c r="I83" t="s">
        <v>27</v>
      </c>
      <c r="J83" s="177">
        <f t="shared" si="10"/>
        <v>1.1892832175668435</v>
      </c>
      <c r="K83" s="145"/>
      <c r="L83" s="13"/>
      <c r="N83" s="178" t="s">
        <v>38</v>
      </c>
      <c r="O83" t="s">
        <v>36</v>
      </c>
      <c r="R83" s="150"/>
      <c r="T83" s="193"/>
    </row>
    <row r="84" spans="3:20" x14ac:dyDescent="0.25">
      <c r="D84" s="138" t="s">
        <v>283</v>
      </c>
      <c r="E84" s="139" t="s">
        <v>277</v>
      </c>
      <c r="I84" t="s">
        <v>28</v>
      </c>
      <c r="J84" s="177">
        <f t="shared" si="10"/>
        <v>0.44876615333910103</v>
      </c>
      <c r="K84" s="145"/>
      <c r="L84" s="13"/>
      <c r="N84" s="178" t="s">
        <v>38</v>
      </c>
      <c r="O84" s="150" t="s">
        <v>36</v>
      </c>
      <c r="R84" s="150"/>
      <c r="T84" s="193"/>
    </row>
    <row r="85" spans="3:20" x14ac:dyDescent="0.25">
      <c r="I85" t="s">
        <v>700</v>
      </c>
      <c r="J85" s="176" t="s">
        <v>38</v>
      </c>
      <c r="K85" s="176" t="s">
        <v>38</v>
      </c>
      <c r="L85" s="177" t="s">
        <v>38</v>
      </c>
      <c r="M85" s="178" t="s">
        <v>38</v>
      </c>
      <c r="O85" s="150" t="s">
        <v>36</v>
      </c>
      <c r="R85" s="150"/>
      <c r="T85" s="193"/>
    </row>
    <row r="86" spans="3:20" x14ac:dyDescent="0.25">
      <c r="J86" s="145"/>
      <c r="K86" s="145"/>
      <c r="L86" s="13"/>
      <c r="O86" s="150"/>
      <c r="R86" s="150"/>
      <c r="T86" s="193"/>
    </row>
    <row r="87" spans="3:20" x14ac:dyDescent="0.25">
      <c r="C87" t="s">
        <v>658</v>
      </c>
      <c r="I87" s="141"/>
      <c r="J87" s="144"/>
      <c r="K87" s="144"/>
      <c r="L87" s="146"/>
      <c r="T87" s="193"/>
    </row>
    <row r="88" spans="3:20" x14ac:dyDescent="0.25">
      <c r="C88" s="415" t="s">
        <v>720</v>
      </c>
      <c r="D88" s="415"/>
      <c r="E88" s="415"/>
      <c r="F88">
        <v>80</v>
      </c>
      <c r="G88" t="s">
        <v>721</v>
      </c>
      <c r="H88" s="145"/>
      <c r="K88" s="146"/>
      <c r="L88" s="146"/>
      <c r="T88" s="193"/>
    </row>
    <row r="89" spans="3:20" x14ac:dyDescent="0.25">
      <c r="C89" s="415"/>
      <c r="D89" s="415"/>
      <c r="E89" s="415"/>
      <c r="F89" s="145">
        <f>F88*'Ambas EDAR'!I59/365</f>
        <v>109.58904109589041</v>
      </c>
      <c r="G89" t="s">
        <v>125</v>
      </c>
      <c r="T89" s="193"/>
    </row>
    <row r="90" spans="3:20" x14ac:dyDescent="0.25">
      <c r="C90" t="s">
        <v>728</v>
      </c>
      <c r="F90" s="161">
        <v>0.01</v>
      </c>
      <c r="K90" t="s">
        <v>722</v>
      </c>
      <c r="M90">
        <v>2.75</v>
      </c>
      <c r="N90" t="s">
        <v>724</v>
      </c>
    </row>
    <row r="91" spans="3:20" x14ac:dyDescent="0.25">
      <c r="K91" s="156" t="s">
        <v>729</v>
      </c>
      <c r="M91">
        <v>8</v>
      </c>
      <c r="N91" t="s">
        <v>724</v>
      </c>
    </row>
    <row r="92" spans="3:20" x14ac:dyDescent="0.25">
      <c r="K92" s="416" t="s">
        <v>723</v>
      </c>
      <c r="L92" s="416"/>
      <c r="M92" s="145">
        <f>PI()*M90^2 / 4 * M91</f>
        <v>47.516588885545623</v>
      </c>
      <c r="N92" t="s">
        <v>725</v>
      </c>
    </row>
    <row r="93" spans="3:20" x14ac:dyDescent="0.25">
      <c r="K93" s="416"/>
      <c r="L93" s="416"/>
      <c r="M93" s="157">
        <f>M92*1000</f>
        <v>47516.588885545621</v>
      </c>
      <c r="N93" t="s">
        <v>726</v>
      </c>
    </row>
    <row r="94" spans="3:20" x14ac:dyDescent="0.25">
      <c r="K94" t="s">
        <v>727</v>
      </c>
      <c r="M94">
        <f>M93/F89</f>
        <v>433.58887358060383</v>
      </c>
      <c r="N94" t="s">
        <v>645</v>
      </c>
    </row>
    <row r="95" spans="3:20" x14ac:dyDescent="0.25">
      <c r="T95" s="193"/>
    </row>
    <row r="96" spans="3:20" x14ac:dyDescent="0.25">
      <c r="T96" s="193"/>
    </row>
    <row r="97" spans="2:20" x14ac:dyDescent="0.25">
      <c r="T97" s="193"/>
    </row>
    <row r="98" spans="2:20" ht="16.5" thickBot="1" x14ac:dyDescent="0.3">
      <c r="B98" s="69"/>
      <c r="C98" s="69"/>
      <c r="D98" s="69"/>
      <c r="E98" s="69"/>
      <c r="F98" s="69"/>
      <c r="G98" s="69"/>
      <c r="H98" s="69"/>
      <c r="I98" s="69"/>
      <c r="J98" s="69"/>
      <c r="K98" s="69"/>
      <c r="L98" s="69"/>
      <c r="M98" s="69"/>
      <c r="N98" s="69"/>
      <c r="O98" s="69"/>
      <c r="P98" s="69"/>
      <c r="Q98" s="69"/>
      <c r="R98" s="69"/>
      <c r="S98" s="69"/>
      <c r="T98" s="195"/>
    </row>
    <row r="99" spans="2:20" x14ac:dyDescent="0.25">
      <c r="T99" s="193"/>
    </row>
    <row r="100" spans="2:20" x14ac:dyDescent="0.25">
      <c r="T100" s="193"/>
    </row>
    <row r="101" spans="2:20" x14ac:dyDescent="0.25">
      <c r="B101" s="412" t="s">
        <v>674</v>
      </c>
      <c r="C101" s="412"/>
      <c r="D101" s="412"/>
      <c r="E101" s="412"/>
      <c r="F101" s="412"/>
      <c r="G101" s="412"/>
      <c r="I101" s="142" t="s">
        <v>23</v>
      </c>
      <c r="J101" t="s">
        <v>256</v>
      </c>
      <c r="K101" t="s">
        <v>258</v>
      </c>
      <c r="L101" s="142" t="s">
        <v>2</v>
      </c>
      <c r="T101" s="193"/>
    </row>
    <row r="102" spans="2:20" x14ac:dyDescent="0.25">
      <c r="B102" s="412"/>
      <c r="C102" s="412"/>
      <c r="D102" s="412"/>
      <c r="E102" s="412"/>
      <c r="F102" s="412"/>
      <c r="G102" s="412"/>
      <c r="I102" t="s">
        <v>164</v>
      </c>
      <c r="J102" s="175">
        <f>K79</f>
        <v>16.389869402216451</v>
      </c>
      <c r="K102" s="175">
        <f>J102</f>
        <v>16.389869402216451</v>
      </c>
      <c r="L102" t="s">
        <v>204</v>
      </c>
      <c r="M102" s="144"/>
      <c r="T102" s="193"/>
    </row>
    <row r="103" spans="2:20" x14ac:dyDescent="0.25">
      <c r="I103" t="s">
        <v>24</v>
      </c>
      <c r="J103" s="175">
        <f t="shared" ref="J103:J107" si="11">K80</f>
        <v>0</v>
      </c>
      <c r="K103" s="175">
        <f t="shared" ref="K103:K107" si="12">J103</f>
        <v>0</v>
      </c>
      <c r="L103" t="s">
        <v>36</v>
      </c>
      <c r="R103" s="150"/>
      <c r="T103" s="193"/>
    </row>
    <row r="104" spans="2:20" x14ac:dyDescent="0.25">
      <c r="E104" s="12"/>
      <c r="I104" t="s">
        <v>25</v>
      </c>
      <c r="J104" s="175">
        <f t="shared" si="11"/>
        <v>0</v>
      </c>
      <c r="K104" s="175">
        <f t="shared" si="12"/>
        <v>0</v>
      </c>
      <c r="L104" t="s">
        <v>36</v>
      </c>
      <c r="R104" s="150"/>
      <c r="T104" s="193"/>
    </row>
    <row r="105" spans="2:20" x14ac:dyDescent="0.25">
      <c r="C105" s="12" t="s">
        <v>256</v>
      </c>
      <c r="D105" s="395" t="s">
        <v>650</v>
      </c>
      <c r="E105" s="395"/>
      <c r="F105" s="12" t="s">
        <v>258</v>
      </c>
      <c r="I105" t="s">
        <v>26</v>
      </c>
      <c r="J105" s="175">
        <f t="shared" si="11"/>
        <v>0</v>
      </c>
      <c r="K105" s="175">
        <f t="shared" si="12"/>
        <v>0</v>
      </c>
      <c r="L105" t="s">
        <v>36</v>
      </c>
      <c r="M105" s="144"/>
      <c r="R105" s="150"/>
      <c r="T105" s="193"/>
    </row>
    <row r="106" spans="2:20" x14ac:dyDescent="0.25">
      <c r="D106" s="395"/>
      <c r="E106" s="395"/>
      <c r="I106" t="s">
        <v>27</v>
      </c>
      <c r="J106" s="175">
        <f t="shared" si="11"/>
        <v>0</v>
      </c>
      <c r="K106" s="175">
        <f t="shared" si="12"/>
        <v>0</v>
      </c>
      <c r="L106" t="s">
        <v>36</v>
      </c>
      <c r="R106" s="150"/>
      <c r="T106" s="193"/>
    </row>
    <row r="107" spans="2:20" x14ac:dyDescent="0.25">
      <c r="D107" s="138"/>
      <c r="E107" s="139"/>
      <c r="I107" t="s">
        <v>28</v>
      </c>
      <c r="J107" s="175">
        <f t="shared" si="11"/>
        <v>0</v>
      </c>
      <c r="K107" s="175">
        <f t="shared" si="12"/>
        <v>0</v>
      </c>
      <c r="L107" s="150" t="s">
        <v>36</v>
      </c>
      <c r="R107" s="150"/>
      <c r="T107" s="193"/>
    </row>
    <row r="108" spans="2:20" x14ac:dyDescent="0.25">
      <c r="J108" s="145"/>
      <c r="K108" s="145"/>
      <c r="L108" s="13"/>
      <c r="O108" s="150"/>
      <c r="R108" s="150"/>
      <c r="T108" s="193"/>
    </row>
    <row r="109" spans="2:20" x14ac:dyDescent="0.25">
      <c r="J109" s="145"/>
      <c r="K109" s="145"/>
      <c r="L109" s="13"/>
      <c r="O109" s="150"/>
      <c r="R109" s="150"/>
      <c r="T109" s="193"/>
    </row>
    <row r="110" spans="2:20" x14ac:dyDescent="0.25">
      <c r="C110" t="s">
        <v>675</v>
      </c>
      <c r="I110" s="141"/>
      <c r="J110" s="144"/>
      <c r="K110" s="144"/>
      <c r="L110" s="146"/>
      <c r="T110" s="193"/>
    </row>
    <row r="111" spans="2:20" x14ac:dyDescent="0.25">
      <c r="K111" s="146"/>
      <c r="L111" s="146"/>
      <c r="T111" s="193"/>
    </row>
    <row r="112" spans="2:20" x14ac:dyDescent="0.25">
      <c r="T112" s="193"/>
    </row>
    <row r="113" spans="2:37" x14ac:dyDescent="0.25">
      <c r="T113" s="193"/>
    </row>
    <row r="114" spans="2:37" x14ac:dyDescent="0.25">
      <c r="L114" s="162"/>
      <c r="T114" s="193"/>
    </row>
    <row r="115" spans="2:37" x14ac:dyDescent="0.25">
      <c r="T115" s="193"/>
    </row>
    <row r="116" spans="2:37" x14ac:dyDescent="0.25">
      <c r="J116" s="156"/>
      <c r="T116" s="193"/>
    </row>
    <row r="117" spans="2:37" x14ac:dyDescent="0.25">
      <c r="T117" s="193"/>
    </row>
    <row r="118" spans="2:37" x14ac:dyDescent="0.25">
      <c r="T118" s="193"/>
    </row>
    <row r="119" spans="2:37" x14ac:dyDescent="0.25">
      <c r="T119" s="193"/>
    </row>
    <row r="120" spans="2:37" x14ac:dyDescent="0.25">
      <c r="T120" s="193"/>
    </row>
    <row r="121" spans="2:37" ht="16.5" thickBot="1" x14ac:dyDescent="0.3">
      <c r="B121" s="69"/>
      <c r="C121" s="69"/>
      <c r="D121" s="69"/>
      <c r="E121" s="69"/>
      <c r="F121" s="69"/>
      <c r="G121" s="69"/>
      <c r="H121" s="69"/>
      <c r="I121" s="69"/>
      <c r="J121" s="69"/>
      <c r="K121" s="69"/>
      <c r="L121" s="69"/>
      <c r="M121" s="69"/>
      <c r="N121" s="69"/>
      <c r="O121" s="69"/>
      <c r="P121" s="69"/>
      <c r="Q121" s="69"/>
      <c r="R121" s="69"/>
      <c r="S121" s="69"/>
      <c r="T121" s="195"/>
    </row>
    <row r="122" spans="2:37" x14ac:dyDescent="0.25">
      <c r="T122" s="193"/>
    </row>
    <row r="123" spans="2:37" x14ac:dyDescent="0.25">
      <c r="T123" s="193"/>
    </row>
    <row r="124" spans="2:37" x14ac:dyDescent="0.25">
      <c r="B124" s="405" t="s">
        <v>651</v>
      </c>
      <c r="C124" s="405"/>
      <c r="D124" s="405"/>
      <c r="E124" s="405"/>
      <c r="F124" s="405"/>
      <c r="G124" s="405"/>
      <c r="I124" s="142" t="s">
        <v>23</v>
      </c>
      <c r="J124" t="s">
        <v>258</v>
      </c>
      <c r="K124" t="s">
        <v>261</v>
      </c>
      <c r="L124" t="s">
        <v>275</v>
      </c>
      <c r="M124" t="s">
        <v>279</v>
      </c>
      <c r="N124" t="s">
        <v>280</v>
      </c>
      <c r="O124" t="s">
        <v>281</v>
      </c>
      <c r="P124" s="142" t="s">
        <v>2</v>
      </c>
      <c r="T124" s="193"/>
      <c r="U124" s="405" t="s">
        <v>685</v>
      </c>
      <c r="V124" s="405"/>
      <c r="W124" s="405"/>
      <c r="X124" s="405"/>
      <c r="Y124" s="405"/>
      <c r="Z124" s="405"/>
    </row>
    <row r="125" spans="2:37" x14ac:dyDescent="0.25">
      <c r="B125" s="405"/>
      <c r="C125" s="405"/>
      <c r="D125" s="405"/>
      <c r="E125" s="405"/>
      <c r="F125" s="405"/>
      <c r="G125" s="405"/>
      <c r="I125" t="s">
        <v>164</v>
      </c>
      <c r="J125" s="175">
        <f>K102</f>
        <v>16.389869402216451</v>
      </c>
      <c r="K125" s="144"/>
      <c r="L125" s="13"/>
      <c r="M125" s="144"/>
      <c r="O125" t="s">
        <v>38</v>
      </c>
      <c r="P125" t="s">
        <v>204</v>
      </c>
      <c r="T125" s="193"/>
      <c r="U125" s="405"/>
      <c r="V125" s="405"/>
      <c r="W125" s="405"/>
      <c r="X125" s="405"/>
      <c r="Y125" s="405"/>
      <c r="Z125" s="405"/>
    </row>
    <row r="126" spans="2:37" x14ac:dyDescent="0.25">
      <c r="E126" s="145"/>
      <c r="F126" s="145"/>
      <c r="I126" t="s">
        <v>24</v>
      </c>
      <c r="J126" s="175">
        <f t="shared" ref="J126:J130" si="13">K103</f>
        <v>0</v>
      </c>
      <c r="K126" s="145"/>
      <c r="L126" s="13"/>
      <c r="P126" t="s">
        <v>36</v>
      </c>
      <c r="R126" s="150"/>
      <c r="T126" s="193"/>
      <c r="X126" s="145"/>
      <c r="Y126" s="145"/>
      <c r="AK126" s="150"/>
    </row>
    <row r="127" spans="2:37" x14ac:dyDescent="0.25">
      <c r="D127" s="138" t="s">
        <v>280</v>
      </c>
      <c r="E127" s="139" t="s">
        <v>281</v>
      </c>
      <c r="I127" t="s">
        <v>25</v>
      </c>
      <c r="J127" s="175">
        <f t="shared" si="13"/>
        <v>0</v>
      </c>
      <c r="K127" s="145"/>
      <c r="L127" s="13"/>
      <c r="P127" t="s">
        <v>36</v>
      </c>
      <c r="R127" s="150"/>
      <c r="T127" s="193"/>
      <c r="W127" s="138" t="s">
        <v>280</v>
      </c>
      <c r="X127" s="139" t="s">
        <v>281</v>
      </c>
      <c r="AA127" s="12" t="s">
        <v>282</v>
      </c>
      <c r="AG127" s="150"/>
    </row>
    <row r="128" spans="2:37" x14ac:dyDescent="0.25">
      <c r="C128" s="12" t="s">
        <v>258</v>
      </c>
      <c r="D128" s="395" t="s">
        <v>651</v>
      </c>
      <c r="E128" s="395"/>
      <c r="F128" s="12" t="s">
        <v>261</v>
      </c>
      <c r="I128" t="s">
        <v>26</v>
      </c>
      <c r="J128" s="175">
        <f t="shared" si="13"/>
        <v>0</v>
      </c>
      <c r="K128" s="145"/>
      <c r="L128" s="13"/>
      <c r="M128" s="144"/>
      <c r="P128" t="s">
        <v>36</v>
      </c>
      <c r="R128" s="150"/>
      <c r="T128" s="193"/>
      <c r="V128" s="12" t="s">
        <v>258</v>
      </c>
      <c r="W128" s="395" t="s">
        <v>651</v>
      </c>
      <c r="X128" s="395"/>
      <c r="Y128" s="12" t="s">
        <v>261</v>
      </c>
      <c r="Z128" s="395" t="s">
        <v>652</v>
      </c>
      <c r="AA128" s="395"/>
      <c r="AB128" s="12" t="s">
        <v>263</v>
      </c>
      <c r="AC128" s="395" t="s">
        <v>653</v>
      </c>
      <c r="AD128" s="395"/>
      <c r="AE128" s="12" t="s">
        <v>267</v>
      </c>
      <c r="AG128" s="150"/>
    </row>
    <row r="129" spans="2:37" x14ac:dyDescent="0.25">
      <c r="D129" s="395"/>
      <c r="E129" s="395"/>
      <c r="I129" t="s">
        <v>27</v>
      </c>
      <c r="J129" s="175">
        <f t="shared" si="13"/>
        <v>0</v>
      </c>
      <c r="K129" s="145"/>
      <c r="L129" s="13"/>
      <c r="P129" t="s">
        <v>36</v>
      </c>
      <c r="R129" s="150"/>
      <c r="T129" s="193"/>
      <c r="W129" s="395"/>
      <c r="X129" s="395"/>
      <c r="Z129" s="395"/>
      <c r="AA129" s="395"/>
      <c r="AC129" s="395"/>
      <c r="AD129" s="395"/>
      <c r="AG129" s="150"/>
    </row>
    <row r="130" spans="2:37" x14ac:dyDescent="0.25">
      <c r="D130" s="138" t="s">
        <v>279</v>
      </c>
      <c r="E130" s="139" t="s">
        <v>275</v>
      </c>
      <c r="I130" t="s">
        <v>28</v>
      </c>
      <c r="J130" s="175">
        <f t="shared" si="13"/>
        <v>0</v>
      </c>
      <c r="K130" s="145"/>
      <c r="L130" s="13"/>
      <c r="P130" s="150" t="s">
        <v>36</v>
      </c>
      <c r="R130" s="150"/>
      <c r="T130" s="193"/>
      <c r="W130" s="138" t="s">
        <v>279</v>
      </c>
      <c r="X130" s="139" t="s">
        <v>275</v>
      </c>
      <c r="AC130" t="s">
        <v>275</v>
      </c>
      <c r="AD130" s="139" t="s">
        <v>277</v>
      </c>
      <c r="AG130" s="150"/>
    </row>
    <row r="131" spans="2:37" x14ac:dyDescent="0.25">
      <c r="J131" s="145"/>
      <c r="K131" s="145"/>
      <c r="L131" s="13"/>
      <c r="O131" s="150"/>
      <c r="R131" s="150"/>
      <c r="T131" s="193"/>
      <c r="W131" s="139"/>
      <c r="AE131" s="13"/>
      <c r="AH131" s="150"/>
      <c r="AK131" s="150"/>
    </row>
    <row r="132" spans="2:37" x14ac:dyDescent="0.25">
      <c r="J132" s="145"/>
      <c r="K132" s="145"/>
      <c r="L132" s="13"/>
      <c r="O132" s="150"/>
      <c r="R132" s="150"/>
      <c r="T132" s="193"/>
      <c r="Y132" t="s">
        <v>656</v>
      </c>
      <c r="AE132" s="13"/>
      <c r="AH132" s="150"/>
      <c r="AK132" s="150"/>
    </row>
    <row r="133" spans="2:37" x14ac:dyDescent="0.25">
      <c r="C133" t="s">
        <v>701</v>
      </c>
      <c r="J133" s="144"/>
      <c r="K133" s="144"/>
      <c r="L133" s="146"/>
      <c r="T133" s="193"/>
      <c r="AD133" s="144"/>
      <c r="AE133" s="146"/>
    </row>
    <row r="134" spans="2:37" x14ac:dyDescent="0.25">
      <c r="H134" t="s">
        <v>702</v>
      </c>
      <c r="K134" s="146"/>
      <c r="L134" s="146"/>
      <c r="T134" s="193"/>
      <c r="V134" s="142" t="s">
        <v>23</v>
      </c>
      <c r="W134" t="s">
        <v>258</v>
      </c>
      <c r="X134" t="s">
        <v>261</v>
      </c>
      <c r="Y134" t="s">
        <v>263</v>
      </c>
      <c r="Z134" t="s">
        <v>267</v>
      </c>
      <c r="AA134" t="s">
        <v>275</v>
      </c>
      <c r="AB134" t="s">
        <v>277</v>
      </c>
      <c r="AC134" t="s">
        <v>279</v>
      </c>
      <c r="AD134" s="146" t="s">
        <v>280</v>
      </c>
      <c r="AE134" s="146" t="s">
        <v>281</v>
      </c>
      <c r="AF134" t="s">
        <v>282</v>
      </c>
      <c r="AI134" s="142" t="s">
        <v>2</v>
      </c>
    </row>
    <row r="135" spans="2:37" x14ac:dyDescent="0.25">
      <c r="T135" s="193"/>
      <c r="V135" t="s">
        <v>164</v>
      </c>
      <c r="W135" s="175">
        <f t="shared" ref="W135:W140" si="14">AD102</f>
        <v>0</v>
      </c>
      <c r="X135" s="144"/>
      <c r="Y135" s="13"/>
      <c r="Z135" s="144"/>
      <c r="AD135" t="s">
        <v>38</v>
      </c>
      <c r="AI135" t="s">
        <v>204</v>
      </c>
    </row>
    <row r="136" spans="2:37" x14ac:dyDescent="0.25">
      <c r="T136" s="193"/>
      <c r="V136" t="s">
        <v>24</v>
      </c>
      <c r="W136" s="175">
        <f t="shared" si="14"/>
        <v>0</v>
      </c>
      <c r="X136" s="145"/>
      <c r="Y136" s="13"/>
      <c r="AI136" t="s">
        <v>36</v>
      </c>
    </row>
    <row r="137" spans="2:37" x14ac:dyDescent="0.25">
      <c r="L137" s="162"/>
      <c r="T137" s="193"/>
      <c r="V137" t="s">
        <v>25</v>
      </c>
      <c r="W137" s="175">
        <f t="shared" si="14"/>
        <v>0</v>
      </c>
      <c r="X137" s="145"/>
      <c r="Y137" s="13"/>
      <c r="AD137" s="13">
        <f>G65</f>
        <v>11.2464</v>
      </c>
      <c r="AE137" s="162"/>
      <c r="AI137" t="s">
        <v>36</v>
      </c>
    </row>
    <row r="138" spans="2:37" x14ac:dyDescent="0.25">
      <c r="T138" s="193"/>
      <c r="V138" t="s">
        <v>26</v>
      </c>
      <c r="W138" s="175">
        <f t="shared" si="14"/>
        <v>0</v>
      </c>
      <c r="X138" s="145"/>
      <c r="Y138" s="13"/>
      <c r="Z138" s="144"/>
      <c r="AD138" t="s">
        <v>38</v>
      </c>
      <c r="AI138" t="s">
        <v>36</v>
      </c>
    </row>
    <row r="139" spans="2:37" x14ac:dyDescent="0.25">
      <c r="J139" s="156"/>
      <c r="T139" s="193"/>
      <c r="V139" t="s">
        <v>27</v>
      </c>
      <c r="W139" s="175">
        <f t="shared" si="14"/>
        <v>0</v>
      </c>
      <c r="X139" s="145"/>
      <c r="Y139" s="13"/>
      <c r="AD139" t="s">
        <v>38</v>
      </c>
      <c r="AI139" t="s">
        <v>36</v>
      </c>
    </row>
    <row r="140" spans="2:37" x14ac:dyDescent="0.25">
      <c r="T140" s="193"/>
      <c r="V140" t="s">
        <v>28</v>
      </c>
      <c r="W140" s="175">
        <f t="shared" si="14"/>
        <v>0</v>
      </c>
      <c r="X140" s="145"/>
      <c r="Y140" s="13"/>
      <c r="AD140" t="s">
        <v>38</v>
      </c>
      <c r="AI140" s="150" t="s">
        <v>36</v>
      </c>
    </row>
    <row r="141" spans="2:37" x14ac:dyDescent="0.25">
      <c r="T141" s="193"/>
      <c r="V141" t="s">
        <v>707</v>
      </c>
      <c r="W141" t="s">
        <v>38</v>
      </c>
      <c r="X141" t="s">
        <v>38</v>
      </c>
      <c r="Y141" t="s">
        <v>38</v>
      </c>
      <c r="Z141" t="s">
        <v>38</v>
      </c>
      <c r="AA141" t="s">
        <v>38</v>
      </c>
      <c r="AB141" t="s">
        <v>38</v>
      </c>
      <c r="AC141" t="s">
        <v>38</v>
      </c>
      <c r="AD141" t="s">
        <v>38</v>
      </c>
      <c r="AE141" t="s">
        <v>38</v>
      </c>
      <c r="AF141" t="s">
        <v>38</v>
      </c>
    </row>
    <row r="142" spans="2:37" x14ac:dyDescent="0.25">
      <c r="T142" s="193"/>
      <c r="V142" t="s">
        <v>123</v>
      </c>
      <c r="W142" t="s">
        <v>38</v>
      </c>
      <c r="X142" t="s">
        <v>38</v>
      </c>
      <c r="Y142" t="s">
        <v>38</v>
      </c>
      <c r="Z142" t="s">
        <v>38</v>
      </c>
      <c r="AA142" t="s">
        <v>38</v>
      </c>
      <c r="AB142" t="s">
        <v>38</v>
      </c>
      <c r="AC142" t="s">
        <v>38</v>
      </c>
      <c r="AD142">
        <f>G73</f>
        <v>7.92</v>
      </c>
      <c r="AE142" t="s">
        <v>38</v>
      </c>
      <c r="AF142" t="s">
        <v>38</v>
      </c>
    </row>
    <row r="143" spans="2:37" x14ac:dyDescent="0.25">
      <c r="T143" s="193"/>
    </row>
    <row r="144" spans="2:37" ht="16.5" thickBot="1" x14ac:dyDescent="0.3">
      <c r="B144" s="69"/>
      <c r="C144" s="69"/>
      <c r="D144" s="69"/>
      <c r="E144" s="69"/>
      <c r="F144" s="69"/>
      <c r="G144" s="69"/>
      <c r="H144" s="69"/>
      <c r="I144" s="69"/>
      <c r="J144" s="69"/>
      <c r="K144" s="69"/>
      <c r="L144" s="69"/>
      <c r="M144" s="69"/>
      <c r="N144" s="69"/>
      <c r="O144" s="69"/>
      <c r="P144" s="69"/>
      <c r="Q144" s="69"/>
      <c r="R144" s="69"/>
      <c r="S144" s="69"/>
      <c r="T144" s="195"/>
      <c r="V144" t="s">
        <v>686</v>
      </c>
    </row>
    <row r="145" spans="2:36" x14ac:dyDescent="0.25">
      <c r="T145" s="193"/>
      <c r="V145" t="s">
        <v>718</v>
      </c>
    </row>
    <row r="146" spans="2:36" x14ac:dyDescent="0.25">
      <c r="T146" s="193"/>
      <c r="V146" t="s">
        <v>719</v>
      </c>
    </row>
    <row r="147" spans="2:36" x14ac:dyDescent="0.25">
      <c r="B147" s="405" t="s">
        <v>652</v>
      </c>
      <c r="C147" s="405"/>
      <c r="D147" s="405"/>
      <c r="E147" s="405"/>
      <c r="F147" s="405"/>
      <c r="G147" s="405"/>
      <c r="I147" s="142" t="s">
        <v>23</v>
      </c>
      <c r="J147" t="s">
        <v>261</v>
      </c>
      <c r="K147" t="s">
        <v>263</v>
      </c>
      <c r="L147" t="s">
        <v>282</v>
      </c>
      <c r="M147" s="142" t="s">
        <v>2</v>
      </c>
      <c r="T147" s="193"/>
      <c r="AB147" s="398" t="s">
        <v>22</v>
      </c>
      <c r="AC147" s="398"/>
      <c r="AD147" s="398" t="s">
        <v>574</v>
      </c>
      <c r="AE147" s="398"/>
      <c r="AG147" s="10"/>
      <c r="AJ147" t="s">
        <v>557</v>
      </c>
    </row>
    <row r="148" spans="2:36" x14ac:dyDescent="0.25">
      <c r="B148" s="405"/>
      <c r="C148" s="405"/>
      <c r="D148" s="405"/>
      <c r="E148" s="405"/>
      <c r="F148" s="405"/>
      <c r="G148" s="405"/>
      <c r="I148" t="s">
        <v>164</v>
      </c>
      <c r="J148" s="175">
        <f>K125</f>
        <v>0</v>
      </c>
      <c r="K148" s="144"/>
      <c r="L148" s="13"/>
      <c r="M148" t="s">
        <v>204</v>
      </c>
      <c r="T148" s="193"/>
      <c r="V148" s="432" t="s">
        <v>540</v>
      </c>
      <c r="W148" s="433"/>
      <c r="X148" s="413" t="s">
        <v>542</v>
      </c>
      <c r="Y148" s="414"/>
      <c r="Z148" s="434" t="s">
        <v>543</v>
      </c>
      <c r="AA148" s="414"/>
      <c r="AB148" s="299" t="s">
        <v>578</v>
      </c>
      <c r="AC148" s="290" t="s">
        <v>558</v>
      </c>
      <c r="AD148" s="289" t="s">
        <v>578</v>
      </c>
      <c r="AE148" s="290" t="s">
        <v>558</v>
      </c>
    </row>
    <row r="149" spans="2:36" x14ac:dyDescent="0.25">
      <c r="I149" t="s">
        <v>24</v>
      </c>
      <c r="J149" s="175">
        <f t="shared" ref="J149:J153" si="15">K126</f>
        <v>0</v>
      </c>
      <c r="K149" s="145"/>
      <c r="L149" s="13"/>
      <c r="M149" t="s">
        <v>36</v>
      </c>
      <c r="R149" s="150"/>
      <c r="T149" s="193"/>
      <c r="V149" s="401" t="s">
        <v>123</v>
      </c>
      <c r="W149" s="402"/>
      <c r="X149" s="441" t="s">
        <v>717</v>
      </c>
      <c r="Y149" s="442"/>
      <c r="Z149" s="416">
        <f>1*12+4+1*16</f>
        <v>32</v>
      </c>
      <c r="AA149" s="442"/>
      <c r="AB149" s="291">
        <f>AD142</f>
        <v>7.92</v>
      </c>
      <c r="AC149" s="365">
        <f>AB149/Z149 * 1000</f>
        <v>247.5</v>
      </c>
      <c r="AD149" s="300"/>
      <c r="AE149" s="292"/>
    </row>
    <row r="150" spans="2:36" x14ac:dyDescent="0.25">
      <c r="E150" s="12" t="s">
        <v>282</v>
      </c>
      <c r="I150" t="s">
        <v>25</v>
      </c>
      <c r="J150" s="175">
        <f t="shared" si="15"/>
        <v>0</v>
      </c>
      <c r="K150" s="145"/>
      <c r="L150" s="13"/>
      <c r="M150" t="s">
        <v>36</v>
      </c>
      <c r="R150" s="150"/>
      <c r="T150" s="193"/>
      <c r="V150" s="401" t="s">
        <v>545</v>
      </c>
      <c r="W150" s="402"/>
      <c r="X150" s="401" t="s">
        <v>546</v>
      </c>
      <c r="Y150" s="403"/>
      <c r="Z150" s="402">
        <f>5*12+7+14+2*16</f>
        <v>113</v>
      </c>
      <c r="AA150" s="403"/>
      <c r="AB150" s="12" t="s">
        <v>38</v>
      </c>
      <c r="AC150" s="241" t="s">
        <v>38</v>
      </c>
      <c r="AD150" s="300"/>
      <c r="AE150" s="292"/>
    </row>
    <row r="151" spans="2:36" x14ac:dyDescent="0.25">
      <c r="C151" s="12" t="s">
        <v>261</v>
      </c>
      <c r="D151" s="395" t="s">
        <v>652</v>
      </c>
      <c r="E151" s="395"/>
      <c r="F151" s="12" t="s">
        <v>263</v>
      </c>
      <c r="I151" t="s">
        <v>26</v>
      </c>
      <c r="J151" s="175">
        <f t="shared" si="15"/>
        <v>0</v>
      </c>
      <c r="K151" s="145"/>
      <c r="L151" s="13"/>
      <c r="M151" t="s">
        <v>36</v>
      </c>
      <c r="R151" s="150"/>
      <c r="T151" s="193"/>
      <c r="V151" s="401" t="s">
        <v>547</v>
      </c>
      <c r="W151" s="402"/>
      <c r="X151" s="401" t="s">
        <v>548</v>
      </c>
      <c r="Y151" s="403"/>
      <c r="Z151" s="402">
        <f>2*16</f>
        <v>32</v>
      </c>
      <c r="AA151" s="403"/>
      <c r="AB151" s="12" t="s">
        <v>38</v>
      </c>
      <c r="AC151" s="241" t="s">
        <v>38</v>
      </c>
      <c r="AD151" s="300"/>
      <c r="AE151" s="292"/>
      <c r="AF151" s="298" t="s">
        <v>577</v>
      </c>
    </row>
    <row r="152" spans="2:36" x14ac:dyDescent="0.25">
      <c r="D152" s="395"/>
      <c r="E152" s="395"/>
      <c r="I152" t="s">
        <v>27</v>
      </c>
      <c r="J152" s="175">
        <f t="shared" si="15"/>
        <v>0</v>
      </c>
      <c r="K152" s="145"/>
      <c r="L152" s="13"/>
      <c r="M152" t="s">
        <v>36</v>
      </c>
      <c r="R152" s="150"/>
      <c r="T152" s="193"/>
      <c r="V152" s="401" t="s">
        <v>549</v>
      </c>
      <c r="W152" s="402"/>
      <c r="X152" s="401" t="s">
        <v>550</v>
      </c>
      <c r="Y152" s="403"/>
      <c r="Z152" s="402">
        <f>14+4</f>
        <v>18</v>
      </c>
      <c r="AA152" s="403"/>
      <c r="AB152" s="145"/>
      <c r="AC152" s="294"/>
      <c r="AD152" s="300"/>
      <c r="AE152" s="292"/>
    </row>
    <row r="153" spans="2:36" x14ac:dyDescent="0.25">
      <c r="I153" t="s">
        <v>28</v>
      </c>
      <c r="J153" s="175">
        <f t="shared" si="15"/>
        <v>0</v>
      </c>
      <c r="K153" s="145"/>
      <c r="L153" s="13"/>
      <c r="M153" s="150" t="s">
        <v>36</v>
      </c>
      <c r="R153" s="150"/>
      <c r="T153" s="193"/>
      <c r="V153" s="401" t="s">
        <v>551</v>
      </c>
      <c r="W153" s="402"/>
      <c r="X153" s="401" t="s">
        <v>552</v>
      </c>
      <c r="Y153" s="403"/>
      <c r="Z153" s="402">
        <f>12+2*16</f>
        <v>44</v>
      </c>
      <c r="AA153" s="403"/>
      <c r="AB153" s="12" t="s">
        <v>38</v>
      </c>
      <c r="AC153" s="241" t="s">
        <v>38</v>
      </c>
      <c r="AD153" s="300"/>
      <c r="AE153" s="292"/>
    </row>
    <row r="154" spans="2:36" x14ac:dyDescent="0.25">
      <c r="J154" s="145"/>
      <c r="K154" s="145"/>
      <c r="L154" s="13"/>
      <c r="O154" s="150"/>
      <c r="R154" s="150"/>
      <c r="T154" s="193"/>
      <c r="V154" s="401" t="s">
        <v>553</v>
      </c>
      <c r="W154" s="402"/>
      <c r="X154" s="401" t="s">
        <v>554</v>
      </c>
      <c r="Y154" s="403"/>
      <c r="Z154" s="401">
        <f>14+3*16</f>
        <v>62</v>
      </c>
      <c r="AA154" s="403"/>
      <c r="AB154" s="137" t="s">
        <v>38</v>
      </c>
      <c r="AC154" s="241" t="s">
        <v>38</v>
      </c>
      <c r="AD154" s="300"/>
      <c r="AE154" s="292"/>
    </row>
    <row r="155" spans="2:36" x14ac:dyDescent="0.25">
      <c r="J155" s="145"/>
      <c r="K155" s="145"/>
      <c r="L155" s="13"/>
      <c r="O155" s="150"/>
      <c r="R155" s="150"/>
      <c r="T155" s="193"/>
      <c r="V155" s="397" t="s">
        <v>573</v>
      </c>
      <c r="W155" s="398"/>
      <c r="X155" s="399" t="s">
        <v>576</v>
      </c>
      <c r="Y155" s="400"/>
      <c r="Z155" s="399">
        <f>2*14</f>
        <v>28</v>
      </c>
      <c r="AA155" s="400"/>
      <c r="AB155" s="295" t="s">
        <v>38</v>
      </c>
      <c r="AC155" s="296" t="s">
        <v>38</v>
      </c>
      <c r="AD155" s="301"/>
      <c r="AE155" s="297"/>
    </row>
    <row r="156" spans="2:36" x14ac:dyDescent="0.25">
      <c r="C156" t="s">
        <v>676</v>
      </c>
      <c r="I156" s="141"/>
      <c r="J156" s="144"/>
      <c r="K156" s="144"/>
      <c r="L156" s="146"/>
      <c r="T156" s="193"/>
    </row>
    <row r="157" spans="2:36" x14ac:dyDescent="0.25">
      <c r="K157" s="146"/>
      <c r="L157" s="146"/>
      <c r="T157" s="193"/>
      <c r="V157" s="432" t="s">
        <v>540</v>
      </c>
      <c r="W157" s="433"/>
      <c r="X157" s="413" t="s">
        <v>557</v>
      </c>
      <c r="Y157" s="414"/>
      <c r="Z157" s="413" t="s">
        <v>564</v>
      </c>
      <c r="AA157" s="414"/>
      <c r="AB157" s="413" t="s">
        <v>565</v>
      </c>
      <c r="AC157" s="414"/>
      <c r="AD157" s="413" t="s">
        <v>563</v>
      </c>
      <c r="AE157" s="414"/>
      <c r="AF157" s="445" t="s">
        <v>575</v>
      </c>
      <c r="AG157" s="446"/>
    </row>
    <row r="158" spans="2:36" x14ac:dyDescent="0.25">
      <c r="T158" s="193"/>
      <c r="V158" s="401" t="s">
        <v>541</v>
      </c>
      <c r="W158" s="402"/>
      <c r="X158" s="447"/>
      <c r="Y158" s="448"/>
      <c r="Z158" s="447"/>
      <c r="AA158" s="448"/>
      <c r="AB158" s="447"/>
      <c r="AC158" s="448"/>
      <c r="AD158" s="449"/>
      <c r="AE158" s="450"/>
      <c r="AF158" s="447"/>
      <c r="AG158" s="448"/>
    </row>
    <row r="159" spans="2:36" x14ac:dyDescent="0.25">
      <c r="T159" s="193"/>
      <c r="V159" s="401" t="s">
        <v>545</v>
      </c>
      <c r="W159" s="402"/>
      <c r="X159" s="451"/>
      <c r="Y159" s="452"/>
      <c r="Z159" s="451"/>
      <c r="AA159" s="452"/>
      <c r="AB159" s="451"/>
      <c r="AC159" s="452"/>
      <c r="AD159" s="451"/>
      <c r="AE159" s="452"/>
      <c r="AF159" s="447"/>
      <c r="AG159" s="448"/>
    </row>
    <row r="160" spans="2:36" x14ac:dyDescent="0.25">
      <c r="L160" s="162"/>
      <c r="T160" s="193"/>
      <c r="V160" s="401" t="s">
        <v>547</v>
      </c>
      <c r="W160" s="402"/>
      <c r="X160" s="451"/>
      <c r="Y160" s="452"/>
      <c r="Z160" s="451"/>
      <c r="AA160" s="452"/>
      <c r="AB160" s="451"/>
      <c r="AC160" s="452"/>
      <c r="AD160" s="451"/>
      <c r="AE160" s="452"/>
      <c r="AF160" s="447"/>
      <c r="AG160" s="448"/>
    </row>
    <row r="161" spans="2:33" x14ac:dyDescent="0.25">
      <c r="T161" s="193"/>
      <c r="V161" s="401" t="s">
        <v>549</v>
      </c>
      <c r="W161" s="402"/>
      <c r="X161" s="451"/>
      <c r="Y161" s="452"/>
      <c r="Z161" s="453"/>
      <c r="AA161" s="454"/>
      <c r="AB161" s="453"/>
      <c r="AC161" s="454"/>
      <c r="AD161" s="451"/>
      <c r="AE161" s="452"/>
      <c r="AF161" s="447"/>
      <c r="AG161" s="448"/>
    </row>
    <row r="162" spans="2:33" x14ac:dyDescent="0.25">
      <c r="J162" s="156"/>
      <c r="T162" s="193"/>
      <c r="V162" s="401" t="s">
        <v>551</v>
      </c>
      <c r="W162" s="402"/>
      <c r="X162" s="451"/>
      <c r="Y162" s="452"/>
      <c r="Z162" s="451"/>
      <c r="AA162" s="452"/>
      <c r="AB162" s="451"/>
      <c r="AC162" s="452"/>
      <c r="AD162" s="451"/>
      <c r="AE162" s="452"/>
      <c r="AF162" s="447"/>
      <c r="AG162" s="448"/>
    </row>
    <row r="163" spans="2:33" x14ac:dyDescent="0.25">
      <c r="T163" s="193"/>
      <c r="V163" s="401" t="s">
        <v>553</v>
      </c>
      <c r="W163" s="402"/>
      <c r="X163" s="453"/>
      <c r="Y163" s="454"/>
      <c r="Z163" s="451"/>
      <c r="AA163" s="452"/>
      <c r="AB163" s="451"/>
      <c r="AC163" s="452"/>
      <c r="AD163" s="451"/>
      <c r="AE163" s="452"/>
      <c r="AF163" s="447"/>
      <c r="AG163" s="448"/>
    </row>
    <row r="164" spans="2:33" x14ac:dyDescent="0.25">
      <c r="T164" s="193"/>
      <c r="V164" s="397" t="s">
        <v>573</v>
      </c>
      <c r="W164" s="398"/>
      <c r="X164" s="399"/>
      <c r="Y164" s="400"/>
      <c r="Z164" s="399"/>
      <c r="AA164" s="400"/>
      <c r="AB164" s="399"/>
      <c r="AC164" s="400"/>
      <c r="AD164" s="399"/>
      <c r="AE164" s="400"/>
      <c r="AF164" s="455"/>
      <c r="AG164" s="456"/>
    </row>
    <row r="165" spans="2:33" x14ac:dyDescent="0.25">
      <c r="T165" s="193"/>
      <c r="V165" s="146" t="s">
        <v>572</v>
      </c>
    </row>
    <row r="166" spans="2:33" x14ac:dyDescent="0.25">
      <c r="T166" s="193"/>
      <c r="V166" t="s">
        <v>579</v>
      </c>
      <c r="AB166" s="293"/>
      <c r="AC166" s="293"/>
    </row>
    <row r="167" spans="2:33" ht="16.5" thickBot="1" x14ac:dyDescent="0.3">
      <c r="B167" s="69"/>
      <c r="C167" s="69"/>
      <c r="D167" s="69"/>
      <c r="E167" s="69"/>
      <c r="F167" s="69"/>
      <c r="G167" s="69"/>
      <c r="H167" s="69"/>
      <c r="I167" s="69"/>
      <c r="J167" s="69"/>
      <c r="K167" s="69"/>
      <c r="L167" s="69"/>
      <c r="M167" s="69"/>
      <c r="N167" s="69"/>
      <c r="O167" s="69"/>
      <c r="P167" s="69"/>
      <c r="Q167" s="69"/>
      <c r="R167" s="69"/>
      <c r="S167" s="69"/>
      <c r="T167" s="195"/>
      <c r="V167" t="s">
        <v>580</v>
      </c>
    </row>
    <row r="168" spans="2:33" x14ac:dyDescent="0.25">
      <c r="T168" s="193"/>
    </row>
    <row r="169" spans="2:33" x14ac:dyDescent="0.25">
      <c r="T169" s="193"/>
    </row>
    <row r="170" spans="2:33" x14ac:dyDescent="0.25">
      <c r="B170" s="405" t="s">
        <v>274</v>
      </c>
      <c r="C170" s="405"/>
      <c r="D170" s="405"/>
      <c r="E170" s="405"/>
      <c r="F170" s="405"/>
      <c r="G170" s="405"/>
      <c r="I170" s="142" t="s">
        <v>23</v>
      </c>
      <c r="J170" t="s">
        <v>263</v>
      </c>
      <c r="K170" t="s">
        <v>267</v>
      </c>
      <c r="L170" t="s">
        <v>275</v>
      </c>
      <c r="M170" t="s">
        <v>277</v>
      </c>
      <c r="N170" s="142" t="s">
        <v>2</v>
      </c>
      <c r="T170" s="193"/>
    </row>
    <row r="171" spans="2:33" x14ac:dyDescent="0.25">
      <c r="B171" s="405"/>
      <c r="C171" s="405"/>
      <c r="D171" s="405"/>
      <c r="E171" s="405"/>
      <c r="F171" s="405"/>
      <c r="G171" s="405"/>
      <c r="I171" t="s">
        <v>164</v>
      </c>
      <c r="J171" s="175">
        <f>K148</f>
        <v>0</v>
      </c>
      <c r="K171" s="144"/>
      <c r="L171" s="13"/>
      <c r="M171" s="144"/>
      <c r="N171" t="s">
        <v>204</v>
      </c>
      <c r="T171" s="193"/>
    </row>
    <row r="172" spans="2:33" x14ac:dyDescent="0.25">
      <c r="I172" t="s">
        <v>24</v>
      </c>
      <c r="J172" s="175">
        <f t="shared" ref="J172:J176" si="16">K149</f>
        <v>0</v>
      </c>
      <c r="K172" s="145"/>
      <c r="L172" s="13"/>
      <c r="N172" t="s">
        <v>36</v>
      </c>
      <c r="R172" s="150"/>
      <c r="T172" s="193"/>
    </row>
    <row r="173" spans="2:33" x14ac:dyDescent="0.25">
      <c r="I173" t="s">
        <v>25</v>
      </c>
      <c r="J173" s="175">
        <f t="shared" si="16"/>
        <v>0</v>
      </c>
      <c r="K173" s="145"/>
      <c r="L173" s="13"/>
      <c r="N173" t="s">
        <v>36</v>
      </c>
      <c r="R173" s="150"/>
      <c r="T173" s="193"/>
    </row>
    <row r="174" spans="2:33" x14ac:dyDescent="0.25">
      <c r="C174" s="12" t="s">
        <v>263</v>
      </c>
      <c r="D174" s="395" t="s">
        <v>653</v>
      </c>
      <c r="E174" s="395"/>
      <c r="F174" s="12" t="s">
        <v>267</v>
      </c>
      <c r="I174" t="s">
        <v>26</v>
      </c>
      <c r="J174" s="175">
        <f t="shared" si="16"/>
        <v>0</v>
      </c>
      <c r="K174" s="145"/>
      <c r="L174" s="13"/>
      <c r="M174" s="144"/>
      <c r="N174" t="s">
        <v>36</v>
      </c>
      <c r="R174" s="150"/>
      <c r="T174" s="193"/>
    </row>
    <row r="175" spans="2:33" x14ac:dyDescent="0.25">
      <c r="D175" s="395"/>
      <c r="E175" s="395"/>
      <c r="I175" t="s">
        <v>27</v>
      </c>
      <c r="J175" s="175">
        <f t="shared" si="16"/>
        <v>0</v>
      </c>
      <c r="K175" s="145"/>
      <c r="L175" s="13"/>
      <c r="N175" t="s">
        <v>36</v>
      </c>
      <c r="R175" s="150"/>
      <c r="T175" s="193"/>
    </row>
    <row r="176" spans="2:33" x14ac:dyDescent="0.25">
      <c r="D176" s="138" t="s">
        <v>275</v>
      </c>
      <c r="E176" s="139" t="s">
        <v>277</v>
      </c>
      <c r="I176" t="s">
        <v>28</v>
      </c>
      <c r="J176" s="175">
        <f t="shared" si="16"/>
        <v>0</v>
      </c>
      <c r="K176" s="145"/>
      <c r="L176" s="13"/>
      <c r="N176" s="150" t="s">
        <v>36</v>
      </c>
      <c r="R176" s="150"/>
      <c r="T176" s="193"/>
    </row>
    <row r="177" spans="2:20" x14ac:dyDescent="0.25">
      <c r="J177" s="145"/>
      <c r="K177" s="145"/>
      <c r="L177" s="13"/>
      <c r="O177" s="150"/>
      <c r="R177" s="150"/>
      <c r="T177" s="193"/>
    </row>
    <row r="178" spans="2:20" x14ac:dyDescent="0.25">
      <c r="J178" s="145"/>
      <c r="K178" s="145"/>
      <c r="L178" s="13"/>
      <c r="O178" s="150"/>
      <c r="R178" s="150"/>
      <c r="T178" s="193"/>
    </row>
    <row r="179" spans="2:20" x14ac:dyDescent="0.25">
      <c r="C179" t="s">
        <v>678</v>
      </c>
      <c r="I179" s="141"/>
      <c r="J179" s="144"/>
      <c r="K179" s="144"/>
      <c r="L179" s="146"/>
      <c r="T179" s="193"/>
    </row>
    <row r="180" spans="2:20" x14ac:dyDescent="0.25">
      <c r="K180" s="146"/>
      <c r="L180" s="146"/>
      <c r="T180" s="193"/>
    </row>
    <row r="181" spans="2:20" x14ac:dyDescent="0.25">
      <c r="T181" s="193"/>
    </row>
    <row r="182" spans="2:20" x14ac:dyDescent="0.25">
      <c r="T182" s="193"/>
    </row>
    <row r="183" spans="2:20" x14ac:dyDescent="0.25">
      <c r="L183" s="162"/>
      <c r="T183" s="193"/>
    </row>
    <row r="184" spans="2:20" x14ac:dyDescent="0.25">
      <c r="T184" s="193"/>
    </row>
    <row r="185" spans="2:20" x14ac:dyDescent="0.25">
      <c r="J185" s="156"/>
      <c r="T185" s="193"/>
    </row>
    <row r="186" spans="2:20" x14ac:dyDescent="0.25">
      <c r="T186" s="193"/>
    </row>
    <row r="187" spans="2:20" x14ac:dyDescent="0.25">
      <c r="T187" s="193"/>
    </row>
    <row r="188" spans="2:20" x14ac:dyDescent="0.25">
      <c r="T188" s="193"/>
    </row>
    <row r="189" spans="2:20" x14ac:dyDescent="0.25">
      <c r="T189" s="193"/>
    </row>
    <row r="190" spans="2:20" ht="16.5" thickBot="1" x14ac:dyDescent="0.3">
      <c r="B190" s="69"/>
      <c r="C190" s="69"/>
      <c r="D190" s="69"/>
      <c r="E190" s="69"/>
      <c r="F190" s="69"/>
      <c r="G190" s="69"/>
      <c r="H190" s="69"/>
      <c r="I190" s="69"/>
      <c r="J190" s="69"/>
      <c r="K190" s="69"/>
      <c r="L190" s="69"/>
      <c r="M190" s="69"/>
      <c r="N190" s="69"/>
      <c r="O190" s="69"/>
      <c r="P190" s="69"/>
      <c r="Q190" s="69"/>
      <c r="R190" s="69"/>
      <c r="S190" s="69"/>
      <c r="T190" s="195"/>
    </row>
    <row r="191" spans="2:20" x14ac:dyDescent="0.25">
      <c r="T191" s="193"/>
    </row>
    <row r="192" spans="2:20" x14ac:dyDescent="0.25">
      <c r="T192" s="193"/>
    </row>
    <row r="193" spans="2:20" x14ac:dyDescent="0.25">
      <c r="B193" s="405" t="s">
        <v>677</v>
      </c>
      <c r="C193" s="405"/>
      <c r="D193" s="405"/>
      <c r="E193" s="405"/>
      <c r="F193" s="405"/>
      <c r="G193" s="405"/>
      <c r="I193" s="142" t="s">
        <v>23</v>
      </c>
      <c r="J193" t="s">
        <v>267</v>
      </c>
      <c r="K193" t="s">
        <v>269</v>
      </c>
      <c r="L193" t="s">
        <v>291</v>
      </c>
      <c r="M193" s="142" t="s">
        <v>2</v>
      </c>
      <c r="T193" s="193"/>
    </row>
    <row r="194" spans="2:20" x14ac:dyDescent="0.25">
      <c r="B194" s="405"/>
      <c r="C194" s="405"/>
      <c r="D194" s="405"/>
      <c r="E194" s="405"/>
      <c r="F194" s="405"/>
      <c r="G194" s="405"/>
      <c r="I194" t="s">
        <v>164</v>
      </c>
      <c r="J194" s="175">
        <f>K171</f>
        <v>0</v>
      </c>
      <c r="K194" s="144"/>
      <c r="L194" s="13"/>
      <c r="M194" t="s">
        <v>204</v>
      </c>
      <c r="T194" s="193"/>
    </row>
    <row r="195" spans="2:20" x14ac:dyDescent="0.25">
      <c r="I195" t="s">
        <v>24</v>
      </c>
      <c r="J195" s="175">
        <f t="shared" ref="J195:J199" si="17">K172</f>
        <v>0</v>
      </c>
      <c r="K195" s="145"/>
      <c r="L195" s="13"/>
      <c r="M195" t="s">
        <v>36</v>
      </c>
      <c r="R195" s="150"/>
      <c r="T195" s="193"/>
    </row>
    <row r="196" spans="2:20" x14ac:dyDescent="0.25">
      <c r="I196" t="s">
        <v>25</v>
      </c>
      <c r="J196" s="175">
        <f t="shared" si="17"/>
        <v>0</v>
      </c>
      <c r="K196" s="145"/>
      <c r="L196" s="13"/>
      <c r="M196" t="s">
        <v>36</v>
      </c>
      <c r="R196" s="150"/>
      <c r="T196" s="193"/>
    </row>
    <row r="197" spans="2:20" x14ac:dyDescent="0.25">
      <c r="C197" s="12" t="s">
        <v>267</v>
      </c>
      <c r="D197" s="395" t="s">
        <v>654</v>
      </c>
      <c r="E197" s="395"/>
      <c r="F197" s="12" t="s">
        <v>269</v>
      </c>
      <c r="I197" t="s">
        <v>26</v>
      </c>
      <c r="J197" s="175">
        <f t="shared" si="17"/>
        <v>0</v>
      </c>
      <c r="K197" s="145"/>
      <c r="L197" s="13"/>
      <c r="M197" t="s">
        <v>36</v>
      </c>
      <c r="R197" s="150"/>
      <c r="T197" s="193"/>
    </row>
    <row r="198" spans="2:20" x14ac:dyDescent="0.25">
      <c r="D198" s="395"/>
      <c r="E198" s="395"/>
      <c r="I198" t="s">
        <v>27</v>
      </c>
      <c r="J198" s="175">
        <f t="shared" si="17"/>
        <v>0</v>
      </c>
      <c r="K198" s="145"/>
      <c r="L198" s="13"/>
      <c r="M198" t="s">
        <v>36</v>
      </c>
      <c r="R198" s="150"/>
      <c r="T198" s="193"/>
    </row>
    <row r="199" spans="2:20" x14ac:dyDescent="0.25">
      <c r="D199" s="138"/>
      <c r="E199" s="12" t="s">
        <v>291</v>
      </c>
      <c r="I199" t="s">
        <v>28</v>
      </c>
      <c r="J199" s="175">
        <f t="shared" si="17"/>
        <v>0</v>
      </c>
      <c r="K199" s="145"/>
      <c r="L199" s="13"/>
      <c r="M199" s="150" t="s">
        <v>36</v>
      </c>
      <c r="R199" s="150"/>
      <c r="T199" s="193"/>
    </row>
    <row r="200" spans="2:20" x14ac:dyDescent="0.25">
      <c r="J200" s="145"/>
      <c r="K200" s="145"/>
      <c r="L200" s="13"/>
      <c r="O200" s="150"/>
      <c r="R200" s="150"/>
      <c r="T200" s="193"/>
    </row>
    <row r="201" spans="2:20" x14ac:dyDescent="0.25">
      <c r="J201" s="145"/>
      <c r="K201" s="145"/>
      <c r="L201" s="13"/>
      <c r="O201" s="150"/>
      <c r="R201" s="150"/>
      <c r="T201" s="193"/>
    </row>
    <row r="202" spans="2:20" x14ac:dyDescent="0.25">
      <c r="C202" t="s">
        <v>681</v>
      </c>
      <c r="I202" s="141"/>
      <c r="J202" s="144"/>
      <c r="K202" s="144"/>
      <c r="L202" s="146"/>
      <c r="T202" s="193"/>
    </row>
    <row r="203" spans="2:20" x14ac:dyDescent="0.25">
      <c r="C203" t="s">
        <v>682</v>
      </c>
      <c r="K203" s="146"/>
      <c r="L203" s="146"/>
      <c r="T203" s="193"/>
    </row>
    <row r="204" spans="2:20" x14ac:dyDescent="0.25">
      <c r="C204" t="s">
        <v>683</v>
      </c>
      <c r="T204" s="193"/>
    </row>
    <row r="205" spans="2:20" x14ac:dyDescent="0.25">
      <c r="C205" t="s">
        <v>684</v>
      </c>
      <c r="T205" s="193"/>
    </row>
    <row r="206" spans="2:20" x14ac:dyDescent="0.25">
      <c r="L206" s="162"/>
      <c r="T206" s="193"/>
    </row>
    <row r="207" spans="2:20" x14ac:dyDescent="0.25">
      <c r="T207" s="193"/>
    </row>
    <row r="208" spans="2:20" x14ac:dyDescent="0.25">
      <c r="J208" s="156"/>
      <c r="T208" s="193"/>
    </row>
    <row r="209" spans="2:20" x14ac:dyDescent="0.25">
      <c r="T209" s="193"/>
    </row>
    <row r="210" spans="2:20" x14ac:dyDescent="0.25">
      <c r="T210" s="193"/>
    </row>
    <row r="211" spans="2:20" x14ac:dyDescent="0.25">
      <c r="T211" s="193"/>
    </row>
    <row r="212" spans="2:20" x14ac:dyDescent="0.25">
      <c r="T212" s="193"/>
    </row>
    <row r="213" spans="2:20" ht="16.5" thickBot="1" x14ac:dyDescent="0.3">
      <c r="B213" s="69"/>
      <c r="C213" s="69"/>
      <c r="D213" s="69"/>
      <c r="E213" s="69"/>
      <c r="F213" s="69"/>
      <c r="G213" s="69"/>
      <c r="H213" s="69"/>
      <c r="I213" s="69"/>
      <c r="J213" s="69"/>
      <c r="K213" s="69"/>
      <c r="L213" s="69"/>
      <c r="M213" s="69"/>
      <c r="N213" s="69"/>
      <c r="O213" s="69"/>
      <c r="P213" s="69"/>
      <c r="Q213" s="69"/>
      <c r="R213" s="69"/>
      <c r="S213" s="69"/>
      <c r="T213" s="195"/>
    </row>
    <row r="214" spans="2:20" x14ac:dyDescent="0.25">
      <c r="T214" s="193"/>
    </row>
    <row r="215" spans="2:20" x14ac:dyDescent="0.25">
      <c r="T215" s="193"/>
    </row>
    <row r="216" spans="2:20" x14ac:dyDescent="0.25">
      <c r="B216" s="404" t="s">
        <v>276</v>
      </c>
      <c r="C216" s="404"/>
      <c r="D216" s="404"/>
      <c r="E216" s="404"/>
      <c r="F216" s="404"/>
      <c r="G216" s="404"/>
      <c r="I216" s="142" t="s">
        <v>23</v>
      </c>
      <c r="J216" t="s">
        <v>269</v>
      </c>
      <c r="K216" t="s">
        <v>272</v>
      </c>
      <c r="L216" s="142" t="s">
        <v>2</v>
      </c>
      <c r="T216" s="193"/>
    </row>
    <row r="217" spans="2:20" x14ac:dyDescent="0.25">
      <c r="B217" s="404"/>
      <c r="C217" s="404"/>
      <c r="D217" s="404"/>
      <c r="E217" s="404"/>
      <c r="F217" s="404"/>
      <c r="G217" s="404"/>
      <c r="I217" t="s">
        <v>164</v>
      </c>
      <c r="J217" s="175">
        <f>K194</f>
        <v>0</v>
      </c>
      <c r="K217" s="175">
        <f>J217</f>
        <v>0</v>
      </c>
      <c r="L217" t="s">
        <v>204</v>
      </c>
      <c r="M217" s="144"/>
      <c r="T217" s="193"/>
    </row>
    <row r="218" spans="2:20" x14ac:dyDescent="0.25">
      <c r="I218" t="s">
        <v>24</v>
      </c>
      <c r="J218" s="175">
        <f t="shared" ref="J218:J222" si="18">K195</f>
        <v>0</v>
      </c>
      <c r="K218" s="175">
        <f t="shared" ref="K218:K222" si="19">J218</f>
        <v>0</v>
      </c>
      <c r="L218" t="s">
        <v>36</v>
      </c>
      <c r="R218" s="150"/>
      <c r="T218" s="193"/>
    </row>
    <row r="219" spans="2:20" x14ac:dyDescent="0.25">
      <c r="I219" t="s">
        <v>25</v>
      </c>
      <c r="J219" s="175">
        <f t="shared" si="18"/>
        <v>0</v>
      </c>
      <c r="K219" s="175">
        <f t="shared" si="19"/>
        <v>0</v>
      </c>
      <c r="L219" t="s">
        <v>36</v>
      </c>
      <c r="R219" s="150"/>
      <c r="T219" s="193"/>
    </row>
    <row r="220" spans="2:20" x14ac:dyDescent="0.25">
      <c r="C220" s="12" t="s">
        <v>269</v>
      </c>
      <c r="D220" s="395" t="s">
        <v>276</v>
      </c>
      <c r="E220" s="395"/>
      <c r="F220" s="12" t="s">
        <v>272</v>
      </c>
      <c r="I220" t="s">
        <v>26</v>
      </c>
      <c r="J220" s="175">
        <f t="shared" si="18"/>
        <v>0</v>
      </c>
      <c r="K220" s="175">
        <f t="shared" si="19"/>
        <v>0</v>
      </c>
      <c r="L220" t="s">
        <v>36</v>
      </c>
      <c r="M220" s="144"/>
      <c r="R220" s="150"/>
      <c r="T220" s="193"/>
    </row>
    <row r="221" spans="2:20" x14ac:dyDescent="0.25">
      <c r="D221" s="395"/>
      <c r="E221" s="395"/>
      <c r="I221" t="s">
        <v>27</v>
      </c>
      <c r="J221" s="175">
        <f t="shared" si="18"/>
        <v>0</v>
      </c>
      <c r="K221" s="175">
        <f t="shared" si="19"/>
        <v>0</v>
      </c>
      <c r="L221" t="s">
        <v>36</v>
      </c>
      <c r="R221" s="150"/>
      <c r="T221" s="193"/>
    </row>
    <row r="222" spans="2:20" x14ac:dyDescent="0.25">
      <c r="I222" t="s">
        <v>28</v>
      </c>
      <c r="J222" s="175">
        <f t="shared" si="18"/>
        <v>0</v>
      </c>
      <c r="K222" s="175">
        <f t="shared" si="19"/>
        <v>0</v>
      </c>
      <c r="L222" s="150" t="s">
        <v>36</v>
      </c>
      <c r="R222" s="150"/>
      <c r="T222" s="193"/>
    </row>
    <row r="223" spans="2:20" x14ac:dyDescent="0.25">
      <c r="J223" s="145"/>
      <c r="K223" s="145"/>
      <c r="L223" s="13"/>
      <c r="O223" s="150"/>
      <c r="R223" s="150"/>
      <c r="T223" s="193"/>
    </row>
    <row r="224" spans="2:20" x14ac:dyDescent="0.25">
      <c r="J224" s="145"/>
      <c r="K224" s="145"/>
      <c r="L224" s="13"/>
      <c r="O224" s="150"/>
      <c r="R224" s="150"/>
      <c r="T224" s="193"/>
    </row>
    <row r="225" spans="2:20" x14ac:dyDescent="0.25">
      <c r="C225" t="s">
        <v>679</v>
      </c>
      <c r="I225" s="141"/>
      <c r="J225" s="144"/>
      <c r="K225" s="144"/>
      <c r="L225" s="146"/>
      <c r="T225" s="193"/>
    </row>
    <row r="226" spans="2:20" x14ac:dyDescent="0.25">
      <c r="C226" t="s">
        <v>680</v>
      </c>
      <c r="K226" s="146"/>
      <c r="L226" s="146"/>
      <c r="T226" s="193"/>
    </row>
    <row r="227" spans="2:20" x14ac:dyDescent="0.25">
      <c r="T227" s="193"/>
    </row>
    <row r="228" spans="2:20" x14ac:dyDescent="0.25">
      <c r="T228" s="193"/>
    </row>
    <row r="229" spans="2:20" x14ac:dyDescent="0.25">
      <c r="L229" s="162"/>
      <c r="T229" s="193"/>
    </row>
    <row r="230" spans="2:20" x14ac:dyDescent="0.25">
      <c r="T230" s="193"/>
    </row>
    <row r="231" spans="2:20" x14ac:dyDescent="0.25">
      <c r="J231" s="156"/>
      <c r="T231" s="193"/>
    </row>
    <row r="232" spans="2:20" x14ac:dyDescent="0.25">
      <c r="T232" s="193"/>
    </row>
    <row r="233" spans="2:20" x14ac:dyDescent="0.25">
      <c r="T233" s="193"/>
    </row>
    <row r="234" spans="2:20" x14ac:dyDescent="0.25">
      <c r="T234" s="193"/>
    </row>
    <row r="235" spans="2:20" x14ac:dyDescent="0.25">
      <c r="T235" s="193"/>
    </row>
    <row r="236" spans="2:20" ht="16.5" thickBot="1" x14ac:dyDescent="0.3">
      <c r="B236" s="69"/>
      <c r="C236" s="69"/>
      <c r="D236" s="69"/>
      <c r="E236" s="69"/>
      <c r="F236" s="69"/>
      <c r="G236" s="69"/>
      <c r="H236" s="69"/>
      <c r="I236" s="69"/>
      <c r="J236" s="69"/>
      <c r="K236" s="69"/>
      <c r="L236" s="69"/>
      <c r="M236" s="69"/>
      <c r="N236" s="69"/>
      <c r="O236" s="69"/>
      <c r="P236" s="69"/>
      <c r="Q236" s="69"/>
      <c r="R236" s="69"/>
      <c r="S236" s="69"/>
      <c r="T236" s="195"/>
    </row>
  </sheetData>
  <mergeCells count="157">
    <mergeCell ref="AF163:AG163"/>
    <mergeCell ref="V164:W164"/>
    <mergeCell ref="X164:Y164"/>
    <mergeCell ref="Z164:AA164"/>
    <mergeCell ref="AB164:AC164"/>
    <mergeCell ref="AD164:AE164"/>
    <mergeCell ref="AF164:AG164"/>
    <mergeCell ref="V163:W163"/>
    <mergeCell ref="X163:Y163"/>
    <mergeCell ref="Z163:AA163"/>
    <mergeCell ref="AB163:AC163"/>
    <mergeCell ref="AD163:AE163"/>
    <mergeCell ref="AF161:AG161"/>
    <mergeCell ref="V162:W162"/>
    <mergeCell ref="X162:Y162"/>
    <mergeCell ref="Z162:AA162"/>
    <mergeCell ref="AB162:AC162"/>
    <mergeCell ref="AD162:AE162"/>
    <mergeCell ref="AF162:AG162"/>
    <mergeCell ref="V161:W161"/>
    <mergeCell ref="X161:Y161"/>
    <mergeCell ref="Z161:AA161"/>
    <mergeCell ref="AB161:AC161"/>
    <mergeCell ref="AD161:AE161"/>
    <mergeCell ref="AF159:AG159"/>
    <mergeCell ref="V160:W160"/>
    <mergeCell ref="X160:Y160"/>
    <mergeCell ref="Z160:AA160"/>
    <mergeCell ref="AB160:AC160"/>
    <mergeCell ref="AD160:AE160"/>
    <mergeCell ref="AF160:AG160"/>
    <mergeCell ref="V159:W159"/>
    <mergeCell ref="X159:Y159"/>
    <mergeCell ref="Z159:AA159"/>
    <mergeCell ref="AB159:AC159"/>
    <mergeCell ref="AD159:AE159"/>
    <mergeCell ref="AF157:AG157"/>
    <mergeCell ref="V158:W158"/>
    <mergeCell ref="X158:Y158"/>
    <mergeCell ref="Z158:AA158"/>
    <mergeCell ref="AB158:AC158"/>
    <mergeCell ref="AD158:AE158"/>
    <mergeCell ref="AF158:AG158"/>
    <mergeCell ref="V157:W157"/>
    <mergeCell ref="X157:Y157"/>
    <mergeCell ref="Z157:AA157"/>
    <mergeCell ref="AB157:AC157"/>
    <mergeCell ref="AD157:AE157"/>
    <mergeCell ref="AA4:AB4"/>
    <mergeCell ref="AE4:AF4"/>
    <mergeCell ref="AE5:AF5"/>
    <mergeCell ref="X151:Y151"/>
    <mergeCell ref="Z151:AA151"/>
    <mergeCell ref="V152:W152"/>
    <mergeCell ref="X152:Y152"/>
    <mergeCell ref="Z152:AA152"/>
    <mergeCell ref="V149:W149"/>
    <mergeCell ref="X149:Y149"/>
    <mergeCell ref="Z149:AA149"/>
    <mergeCell ref="AB147:AC147"/>
    <mergeCell ref="AB17:AH17"/>
    <mergeCell ref="V150:W150"/>
    <mergeCell ref="X150:Y150"/>
    <mergeCell ref="Z150:AA150"/>
    <mergeCell ref="V151:W151"/>
    <mergeCell ref="AC128:AD129"/>
    <mergeCell ref="W49:Z49"/>
    <mergeCell ref="W50:Z50"/>
    <mergeCell ref="W51:Z51"/>
    <mergeCell ref="W53:Z53"/>
    <mergeCell ref="W52:Z52"/>
    <mergeCell ref="U124:Z125"/>
    <mergeCell ref="AK17:AO17"/>
    <mergeCell ref="AR17:AU17"/>
    <mergeCell ref="AD147:AE147"/>
    <mergeCell ref="V148:W148"/>
    <mergeCell ref="X148:Y148"/>
    <mergeCell ref="Z148:AA148"/>
    <mergeCell ref="AA3:AH3"/>
    <mergeCell ref="AE12:AF12"/>
    <mergeCell ref="AE13:AF13"/>
    <mergeCell ref="AE14:AF14"/>
    <mergeCell ref="AG4:AH4"/>
    <mergeCell ref="AG5:AH5"/>
    <mergeCell ref="AG6:AH6"/>
    <mergeCell ref="AG7:AH7"/>
    <mergeCell ref="AG8:AH8"/>
    <mergeCell ref="AG9:AH9"/>
    <mergeCell ref="AG10:AH10"/>
    <mergeCell ref="AG11:AH11"/>
    <mergeCell ref="AG12:AH12"/>
    <mergeCell ref="AG13:AH13"/>
    <mergeCell ref="AG14:AH14"/>
    <mergeCell ref="AA14:AC14"/>
    <mergeCell ref="AA35:AC35"/>
    <mergeCell ref="U40:V41"/>
    <mergeCell ref="S11:T11"/>
    <mergeCell ref="S12:T12"/>
    <mergeCell ref="S13:T13"/>
    <mergeCell ref="AE6:AF6"/>
    <mergeCell ref="AE7:AF7"/>
    <mergeCell ref="AE8:AF8"/>
    <mergeCell ref="AE9:AF9"/>
    <mergeCell ref="AE10:AF10"/>
    <mergeCell ref="AE11:AF11"/>
    <mergeCell ref="V13:Y15"/>
    <mergeCell ref="R2:T2"/>
    <mergeCell ref="R3:R4"/>
    <mergeCell ref="S3:T4"/>
    <mergeCell ref="S5:T5"/>
    <mergeCell ref="S6:T6"/>
    <mergeCell ref="S7:T7"/>
    <mergeCell ref="S8:T8"/>
    <mergeCell ref="S9:T9"/>
    <mergeCell ref="S10:T10"/>
    <mergeCell ref="I21:N21"/>
    <mergeCell ref="S14:T14"/>
    <mergeCell ref="S15:T15"/>
    <mergeCell ref="P21:R21"/>
    <mergeCell ref="B21:G21"/>
    <mergeCell ref="B101:G102"/>
    <mergeCell ref="D105:E106"/>
    <mergeCell ref="B124:G125"/>
    <mergeCell ref="S16:T16"/>
    <mergeCell ref="C88:E89"/>
    <mergeCell ref="K92:L93"/>
    <mergeCell ref="B78:G79"/>
    <mergeCell ref="D82:E83"/>
    <mergeCell ref="C40:D41"/>
    <mergeCell ref="F40:G41"/>
    <mergeCell ref="I40:J41"/>
    <mergeCell ref="L40:M41"/>
    <mergeCell ref="O40:P41"/>
    <mergeCell ref="B33:Q35"/>
    <mergeCell ref="R40:S41"/>
    <mergeCell ref="D197:E198"/>
    <mergeCell ref="B216:G217"/>
    <mergeCell ref="D220:E221"/>
    <mergeCell ref="D128:E129"/>
    <mergeCell ref="B147:G148"/>
    <mergeCell ref="D151:E152"/>
    <mergeCell ref="B170:G171"/>
    <mergeCell ref="D174:E175"/>
    <mergeCell ref="B193:G194"/>
    <mergeCell ref="W128:X129"/>
    <mergeCell ref="Z128:AA129"/>
    <mergeCell ref="AG37:AG38"/>
    <mergeCell ref="Y33:Z34"/>
    <mergeCell ref="V155:W155"/>
    <mergeCell ref="X155:Y155"/>
    <mergeCell ref="Z155:AA155"/>
    <mergeCell ref="V153:W153"/>
    <mergeCell ref="X153:Y153"/>
    <mergeCell ref="Z153:AA153"/>
    <mergeCell ref="V154:W154"/>
    <mergeCell ref="X154:Y154"/>
    <mergeCell ref="Z154:AA154"/>
  </mergeCells>
  <phoneticPr fontId="5" type="noConversion"/>
  <pageMargins left="0.7" right="0.7" top="0.75" bottom="0.75" header="0.3" footer="0.3"/>
  <ignoredErrors>
    <ignoredError sqref="AL19:AN30" formulaRange="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6C9-40C9-4743-B3F8-89F81407C93C}">
  <dimension ref="B2:N36"/>
  <sheetViews>
    <sheetView zoomScale="125" workbookViewId="0">
      <selection activeCell="C13" sqref="C13"/>
    </sheetView>
  </sheetViews>
  <sheetFormatPr baseColWidth="10" defaultRowHeight="15.75" x14ac:dyDescent="0.25"/>
  <cols>
    <col min="2" max="2" width="20.875" customWidth="1"/>
    <col min="9" max="9" width="20.875" customWidth="1"/>
  </cols>
  <sheetData>
    <row r="2" spans="2:14" x14ac:dyDescent="0.25">
      <c r="B2" s="596" t="s">
        <v>690</v>
      </c>
      <c r="C2" s="596"/>
      <c r="D2" s="596"/>
      <c r="E2" s="596"/>
      <c r="F2" s="596"/>
      <c r="G2" s="596"/>
      <c r="H2" s="596"/>
      <c r="I2" s="596"/>
      <c r="J2" s="596"/>
      <c r="K2" s="596"/>
      <c r="L2" s="596"/>
      <c r="M2" s="596"/>
      <c r="N2" s="596"/>
    </row>
    <row r="3" spans="2:14" x14ac:dyDescent="0.25">
      <c r="B3" s="596"/>
      <c r="C3" s="596"/>
      <c r="D3" s="596"/>
      <c r="E3" s="596"/>
      <c r="F3" s="596"/>
      <c r="G3" s="596"/>
      <c r="H3" s="596"/>
      <c r="I3" s="596"/>
      <c r="J3" s="596"/>
      <c r="K3" s="596"/>
      <c r="L3" s="596"/>
      <c r="M3" s="596"/>
      <c r="N3" s="596"/>
    </row>
    <row r="4" spans="2:14" x14ac:dyDescent="0.25">
      <c r="B4" s="596"/>
      <c r="C4" s="596"/>
      <c r="D4" s="596"/>
      <c r="E4" s="596"/>
      <c r="F4" s="596"/>
      <c r="G4" s="596"/>
      <c r="H4" s="596"/>
      <c r="I4" s="596"/>
      <c r="J4" s="596"/>
      <c r="K4" s="596"/>
      <c r="L4" s="596"/>
      <c r="M4" s="596"/>
      <c r="N4" s="596"/>
    </row>
    <row r="5" spans="2:14" x14ac:dyDescent="0.25">
      <c r="B5" s="596"/>
      <c r="C5" s="596"/>
      <c r="D5" s="596"/>
      <c r="E5" s="596"/>
      <c r="F5" s="596"/>
      <c r="G5" s="596"/>
      <c r="H5" s="596"/>
      <c r="I5" s="596"/>
      <c r="J5" s="596"/>
      <c r="K5" s="596"/>
      <c r="L5" s="596"/>
      <c r="M5" s="596"/>
      <c r="N5" s="596"/>
    </row>
    <row r="6" spans="2:14" x14ac:dyDescent="0.25">
      <c r="B6" s="596"/>
      <c r="C6" s="596"/>
      <c r="D6" s="596"/>
      <c r="E6" s="596"/>
      <c r="F6" s="596"/>
      <c r="G6" s="596"/>
      <c r="H6" s="596"/>
      <c r="I6" s="596"/>
      <c r="J6" s="596"/>
      <c r="K6" s="596"/>
      <c r="L6" s="596"/>
      <c r="M6" s="596"/>
      <c r="N6" s="596"/>
    </row>
    <row r="7" spans="2:14" x14ac:dyDescent="0.25">
      <c r="B7" s="596"/>
      <c r="C7" s="596"/>
      <c r="D7" s="596"/>
      <c r="E7" s="596"/>
      <c r="F7" s="596"/>
      <c r="G7" s="596"/>
      <c r="H7" s="596"/>
      <c r="I7" s="596"/>
      <c r="J7" s="596"/>
      <c r="K7" s="596"/>
      <c r="L7" s="596"/>
      <c r="M7" s="596"/>
      <c r="N7" s="596"/>
    </row>
    <row r="11" spans="2:14" x14ac:dyDescent="0.25">
      <c r="B11" t="s">
        <v>692</v>
      </c>
      <c r="I11" t="s">
        <v>693</v>
      </c>
    </row>
    <row r="12" spans="2:14" x14ac:dyDescent="0.25">
      <c r="B12" t="s">
        <v>697</v>
      </c>
      <c r="C12" t="s">
        <v>42</v>
      </c>
      <c r="D12" t="s">
        <v>29</v>
      </c>
      <c r="I12" t="s">
        <v>697</v>
      </c>
      <c r="J12" t="s">
        <v>42</v>
      </c>
      <c r="K12" t="s">
        <v>29</v>
      </c>
    </row>
    <row r="13" spans="2:14" x14ac:dyDescent="0.25">
      <c r="B13" t="s">
        <v>696</v>
      </c>
      <c r="C13">
        <f>'Cerceda Balance'!AQ59*366</f>
        <v>177368.47751205042</v>
      </c>
      <c r="D13">
        <f>SUM('Ambas EDAR'!L6:L17)</f>
        <v>177469</v>
      </c>
      <c r="I13" t="s">
        <v>696</v>
      </c>
    </row>
    <row r="14" spans="2:14" x14ac:dyDescent="0.25">
      <c r="B14" t="s">
        <v>115</v>
      </c>
      <c r="I14" t="s">
        <v>699</v>
      </c>
    </row>
    <row r="15" spans="2:14" x14ac:dyDescent="0.25">
      <c r="B15" t="s">
        <v>691</v>
      </c>
      <c r="I15" t="s">
        <v>123</v>
      </c>
    </row>
    <row r="16" spans="2:14" x14ac:dyDescent="0.25">
      <c r="I16" t="s">
        <v>691</v>
      </c>
    </row>
    <row r="26" spans="2:11" x14ac:dyDescent="0.25">
      <c r="B26" t="s">
        <v>695</v>
      </c>
      <c r="I26" t="s">
        <v>694</v>
      </c>
    </row>
    <row r="27" spans="2:11" x14ac:dyDescent="0.25">
      <c r="B27" t="s">
        <v>697</v>
      </c>
      <c r="C27" t="s">
        <v>42</v>
      </c>
      <c r="D27" t="s">
        <v>29</v>
      </c>
      <c r="I27" t="s">
        <v>697</v>
      </c>
      <c r="J27" t="s">
        <v>42</v>
      </c>
      <c r="K27" t="s">
        <v>29</v>
      </c>
    </row>
    <row r="28" spans="2:11" x14ac:dyDescent="0.25">
      <c r="B28" t="s">
        <v>696</v>
      </c>
      <c r="I28" t="s">
        <v>696</v>
      </c>
    </row>
    <row r="29" spans="2:11" x14ac:dyDescent="0.25">
      <c r="B29" t="s">
        <v>210</v>
      </c>
      <c r="I29" t="s">
        <v>698</v>
      </c>
    </row>
    <row r="30" spans="2:11" x14ac:dyDescent="0.25">
      <c r="B30" t="s">
        <v>211</v>
      </c>
      <c r="I30" t="s">
        <v>552</v>
      </c>
    </row>
    <row r="31" spans="2:11" x14ac:dyDescent="0.25">
      <c r="B31" t="s">
        <v>213</v>
      </c>
      <c r="I31" t="s">
        <v>700</v>
      </c>
    </row>
    <row r="32" spans="2:11" x14ac:dyDescent="0.25">
      <c r="B32" t="s">
        <v>324</v>
      </c>
      <c r="I32" t="s">
        <v>576</v>
      </c>
    </row>
    <row r="33" spans="2:9" x14ac:dyDescent="0.25">
      <c r="B33" t="s">
        <v>552</v>
      </c>
      <c r="I33" t="s">
        <v>581</v>
      </c>
    </row>
    <row r="34" spans="2:9" x14ac:dyDescent="0.25">
      <c r="B34" t="s">
        <v>700</v>
      </c>
    </row>
    <row r="35" spans="2:9" x14ac:dyDescent="0.25">
      <c r="B35" t="s">
        <v>576</v>
      </c>
    </row>
    <row r="36" spans="2:9" x14ac:dyDescent="0.25">
      <c r="B36" t="s">
        <v>581</v>
      </c>
    </row>
  </sheetData>
  <mergeCells count="1">
    <mergeCell ref="B2: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Ambas EDAR</vt:lpstr>
      <vt:lpstr>Cerceda tabla</vt:lpstr>
      <vt:lpstr>Cerceda Balance</vt:lpstr>
      <vt:lpstr>Vedra tabla</vt:lpstr>
      <vt:lpstr>Vedra Balance</vt:lpstr>
      <vt:lpstr>Entradas y salidas globales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Gálvez</dc:creator>
  <cp:lastModifiedBy>Paul Galvez</cp:lastModifiedBy>
  <dcterms:created xsi:type="dcterms:W3CDTF">2025-11-06T18:45:14Z</dcterms:created>
  <dcterms:modified xsi:type="dcterms:W3CDTF">2026-06-06T21:59:56Z</dcterms:modified>
</cp:coreProperties>
</file>