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ead\CalcEos\"/>
    </mc:Choice>
  </mc:AlternateContent>
  <xr:revisionPtr revIDLastSave="0" documentId="13_ncr:1_{EE003ECC-1CDA-4BFD-898D-5E42AAB9BF0D}" xr6:coauthVersionLast="47" xr6:coauthVersionMax="47" xr10:uidLastSave="{00000000-0000-0000-0000-000000000000}"/>
  <bookViews>
    <workbookView xWindow="-110" yWindow="-110" windowWidth="19420" windowHeight="10300" tabRatio="878" activeTab="1" xr2:uid="{00000000-000D-0000-FFFF-FFFF00000000}"/>
  </bookViews>
  <sheets>
    <sheet name="Intro ESD" sheetId="4" r:id="rId1"/>
    <sheet name="Examples" sheetId="10" r:id="rId2"/>
    <sheet name="GroupC ESD" sheetId="8" r:id="rId3"/>
    <sheet name="GivenPsat ESD" sheetId="5" r:id="rId4"/>
    <sheet name="GivenTcPcAcen ESD" sheetId="9" r:id="rId5"/>
    <sheet name="PvsEta" sheetId="14" r:id="rId6"/>
    <sheet name="ParmsEsd" sheetId="15" r:id="rId7"/>
    <sheet name="ParmsCrit" sheetId="12" r:id="rId8"/>
    <sheet name="Regcf" sheetId="1" r:id="rId9"/>
    <sheet name="RegcfMod" sheetId="13" r:id="rId10"/>
    <sheet name="Emami09" sheetId="11" r:id="rId11"/>
    <sheet name="HBgc's" sheetId="3" r:id="rId12"/>
  </sheets>
  <externalReferences>
    <externalReference r:id="rId13"/>
    <externalReference r:id="rId14"/>
  </externalReferences>
  <definedNames>
    <definedName name="_R">'[1]Ref State'!$I$26</definedName>
    <definedName name="a" localSheetId="4">'GivenTcPcAcen ESD'!$B$10</definedName>
    <definedName name="a">#REF!</definedName>
    <definedName name="alpha">'[1]Ref State'!$H$30</definedName>
    <definedName name="aw">#REF!</definedName>
    <definedName name="b" localSheetId="4">'GivenTcPcAcen ESD'!$E$10</definedName>
    <definedName name="b">#REF!</definedName>
    <definedName name="CPA">[1]PropsPREOS!$F$4</definedName>
    <definedName name="CPB">[1]PropsPREOS!$G$4</definedName>
    <definedName name="CPC">[1]PropsPREOS!$H$4</definedName>
    <definedName name="CPD">[1]PropsPREOS!$I$4</definedName>
    <definedName name="Cpig298">[1]PropsPREOS!$F$5</definedName>
    <definedName name="igrflag">'[1]Ref State'!$A$12</definedName>
    <definedName name="index">'[1]Ref State'!$A$15</definedName>
    <definedName name="k_1" localSheetId="4">'GivenTcPcAcen ESD'!$F$10</definedName>
    <definedName name="k_1">#REF!</definedName>
    <definedName name="kappa">'[1]Ref State'!$H$29</definedName>
    <definedName name="P">'[1]Ref State'!$B$8</definedName>
    <definedName name="Pc" localSheetId="4">'GivenTcPcAcen ESD'!$D$3</definedName>
    <definedName name="Pc">#REF!</definedName>
    <definedName name="Pc.">[1]PropsPREOS!$C$4</definedName>
    <definedName name="PREF">'[1]Ref State'!$B$8</definedName>
    <definedName name="qShape" localSheetId="4">'GivenTcPcAcen ESD'!$C$5</definedName>
    <definedName name="qShape">#REF!</definedName>
    <definedName name="Rgas">[1]PropsPREOS!$I$33</definedName>
    <definedName name="solver_adj" localSheetId="1" hidden="1">Examples!$A$25</definedName>
    <definedName name="solver_adj" localSheetId="3" hidden="1">'GivenPsat ESD'!$F$23,'GivenPsat ESD'!$F$22,'GivenPsat ESD'!$F$30</definedName>
    <definedName name="solver_adj" localSheetId="2" hidden="1">'GroupC ESD'!$J$24,'GroupC ESD'!$G$25</definedName>
    <definedName name="solver_cvg" localSheetId="1" hidden="1">0.0001</definedName>
    <definedName name="solver_cvg" localSheetId="3" hidden="1">0.001</definedName>
    <definedName name="solver_cvg" localSheetId="2" hidden="1">0.001</definedName>
    <definedName name="solver_drv" localSheetId="1" hidden="1">2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100</definedName>
    <definedName name="solver_itr" localSheetId="2" hidden="1">100</definedName>
    <definedName name="solver_lhs1" localSheetId="3" hidden="1">'GivenPsat ESD'!$F$38</definedName>
    <definedName name="solver_lhs1" localSheetId="2" hidden="1">'GroupC ESD'!$G$32</definedName>
    <definedName name="solver_lhs2" localSheetId="3" hidden="1">'GivenPsat ESD'!$F$46</definedName>
    <definedName name="solver_lhs3" localSheetId="3" hidden="1">'GivenPsat ESD'!$F$46</definedName>
    <definedName name="solver_lhs4" localSheetId="3" hidden="1">'GivenPsat ESD'!$F$45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3" hidden="1">2</definedName>
    <definedName name="solver_neg" localSheetId="4" hidden="1">1</definedName>
    <definedName name="solver_neg" localSheetId="2" hidden="1">2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3" hidden="1">2</definedName>
    <definedName name="solver_num" localSheetId="4" hidden="1">0</definedName>
    <definedName name="solver_num" localSheetId="2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Examples!$D$25</definedName>
    <definedName name="solver_opt" localSheetId="3" hidden="1">'GivenPsat ESD'!$F$50</definedName>
    <definedName name="solver_opt" localSheetId="4" hidden="1">'GivenTcPcAcen ESD'!$A$3</definedName>
    <definedName name="solver_opt" localSheetId="2" hidden="1">'GroupC ESD'!$G$33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2</definedName>
    <definedName name="solver_rbv" localSheetId="3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3" hidden="1">'GivenPsat ESD'!$G$38</definedName>
    <definedName name="solver_rhs1" localSheetId="2" hidden="1">'GroupC ESD'!$H$32</definedName>
    <definedName name="solver_rhs2" localSheetId="3" hidden="1">'GivenPsat ESD'!$F$29</definedName>
    <definedName name="solver_rhs3" localSheetId="3" hidden="1">'GivenPsat ESD'!$F$29</definedName>
    <definedName name="solver_rhs4" localSheetId="3" hidden="1">0</definedName>
    <definedName name="solver_rlx" localSheetId="1" hidden="1">2</definedName>
    <definedName name="solver_rlx" localSheetId="3" hidden="1">1</definedName>
    <definedName name="solver_rlx" localSheetId="2" hidden="1">1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100</definedName>
    <definedName name="solver_tim" localSheetId="2" hidden="1">100</definedName>
    <definedName name="solver_tol" localSheetId="1" hidden="1">0.01</definedName>
    <definedName name="solver_tol" localSheetId="3" hidden="1">0.05</definedName>
    <definedName name="solver_tol" localSheetId="2" hidden="1">0.05</definedName>
    <definedName name="solver_typ" localSheetId="1" hidden="1">3</definedName>
    <definedName name="solver_typ" localSheetId="3" hidden="1">3</definedName>
    <definedName name="solver_typ" localSheetId="4" hidden="1">1</definedName>
    <definedName name="solver_typ" localSheetId="2" hidden="1">3</definedName>
    <definedName name="solver_val" localSheetId="1" hidden="1">10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2" hidden="1">3</definedName>
    <definedName name="T.">[1]PropsPREOS!$B$7</definedName>
    <definedName name="Tc" localSheetId="4">'GivenTcPcAcen ESD'!$C$3</definedName>
    <definedName name="Tc">#REF!</definedName>
    <definedName name="Tc.">[1]PropsPREOS!$B$4</definedName>
    <definedName name="TK">'[1]Ref State'!$B$7</definedName>
    <definedName name="Tr">'[1]Ref State'!$H$27</definedName>
    <definedName name="TREF">'[1]Ref State'!$B$7</definedName>
    <definedName name="uhflag">'[1]Ref State'!$A$10</definedName>
    <definedName name="w.">[1]PropsPREOS!$D$4</definedName>
    <definedName name="Z">'[1]Ref State'!$E$9:$E$12</definedName>
    <definedName name="Zc" localSheetId="4">'GivenTcPcAcen ESD'!$C$10</definedName>
    <definedName name="Z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8" l="1"/>
  <c r="V4" i="8" s="1"/>
  <c r="S2" i="8"/>
  <c r="R2" i="8"/>
  <c r="Q2" i="8"/>
  <c r="N2" i="8"/>
  <c r="I2" i="8"/>
  <c r="H2" i="8"/>
  <c r="G2" i="8"/>
  <c r="F2" i="8"/>
  <c r="H30" i="5" l="1"/>
  <c r="F13" i="5"/>
  <c r="I11" i="5"/>
  <c r="AG4" i="5"/>
  <c r="AF4" i="5"/>
  <c r="AE4" i="5"/>
  <c r="AD4" i="5"/>
  <c r="AC4" i="5"/>
  <c r="AB4" i="5"/>
  <c r="AA4" i="5"/>
  <c r="Z4" i="5"/>
  <c r="Y4" i="5"/>
  <c r="X4" i="5"/>
  <c r="W4" i="5"/>
  <c r="T4" i="5" s="1"/>
  <c r="K4" i="5" s="1"/>
  <c r="V4" i="5"/>
  <c r="S4" i="5"/>
  <c r="P4" i="5"/>
  <c r="O4" i="5"/>
  <c r="N4" i="5"/>
  <c r="M4" i="5"/>
  <c r="L4" i="5"/>
  <c r="J4" i="5"/>
  <c r="U4" i="5" s="1"/>
  <c r="I4" i="5"/>
  <c r="G4" i="5"/>
  <c r="F4" i="5"/>
  <c r="H4" i="5" s="1"/>
  <c r="Q7" i="5"/>
  <c r="P7" i="5"/>
  <c r="S7" i="5"/>
  <c r="R7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4" i="5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I8" i="8"/>
  <c r="D1" i="15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C6" i="14"/>
  <c r="O4" i="14"/>
  <c r="S1" i="14" l="1"/>
  <c r="R1" i="14"/>
  <c r="N4" i="14"/>
  <c r="K4" i="14"/>
  <c r="B2" i="14"/>
  <c r="B6" i="14"/>
  <c r="I2" i="14"/>
  <c r="F2" i="14"/>
  <c r="D4" i="14" s="1"/>
  <c r="E2" i="14"/>
  <c r="D2" i="14"/>
  <c r="D3" i="9"/>
  <c r="F3" i="9"/>
  <c r="F15" i="10" s="1"/>
  <c r="C3" i="9"/>
  <c r="E3" i="9"/>
  <c r="B3" i="9"/>
  <c r="B15" i="10" s="1"/>
  <c r="B17" i="10"/>
  <c r="F29" i="10"/>
  <c r="F33" i="10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E30" i="10"/>
  <c r="F30" i="10" s="1"/>
  <c r="E31" i="10"/>
  <c r="F31" i="10" s="1"/>
  <c r="E32" i="10"/>
  <c r="F32" i="10" s="1"/>
  <c r="E33" i="10"/>
  <c r="E34" i="10"/>
  <c r="F34" i="10" s="1"/>
  <c r="E22" i="10"/>
  <c r="F22" i="10" s="1"/>
  <c r="I17" i="10"/>
  <c r="B29" i="10" s="1"/>
  <c r="C29" i="10" s="1"/>
  <c r="D29" i="10" s="1"/>
  <c r="G29" i="10" s="1"/>
  <c r="G16" i="10"/>
  <c r="G17" i="10"/>
  <c r="B16" i="10"/>
  <c r="C16" i="10"/>
  <c r="D16" i="10"/>
  <c r="E16" i="10"/>
  <c r="F16" i="10"/>
  <c r="E17" i="10"/>
  <c r="A16" i="10"/>
  <c r="B14" i="10"/>
  <c r="C14" i="10"/>
  <c r="D14" i="10"/>
  <c r="E14" i="10"/>
  <c r="F14" i="10"/>
  <c r="G14" i="10"/>
  <c r="A14" i="10"/>
  <c r="A15" i="10"/>
  <c r="N81" i="1"/>
  <c r="L81" i="1"/>
  <c r="L145" i="13"/>
  <c r="L120" i="13"/>
  <c r="L121" i="13"/>
  <c r="L122" i="13"/>
  <c r="L96" i="13"/>
  <c r="L97" i="13"/>
  <c r="L95" i="13"/>
  <c r="L48" i="13"/>
  <c r="L50" i="13"/>
  <c r="L49" i="13"/>
  <c r="C35" i="13"/>
  <c r="C15" i="10" l="1"/>
  <c r="P4" i="14"/>
  <c r="Q4" i="14" s="1"/>
  <c r="E4" i="14"/>
  <c r="X4" i="14"/>
  <c r="B28" i="10"/>
  <c r="C28" i="10" s="1"/>
  <c r="D28" i="10" s="1"/>
  <c r="G28" i="10" s="1"/>
  <c r="B22" i="10"/>
  <c r="C22" i="10" s="1"/>
  <c r="D22" i="10" s="1"/>
  <c r="G22" i="10" s="1"/>
  <c r="B27" i="10"/>
  <c r="C27" i="10" s="1"/>
  <c r="D27" i="10" s="1"/>
  <c r="G27" i="10" s="1"/>
  <c r="B34" i="10"/>
  <c r="C34" i="10" s="1"/>
  <c r="D34" i="10" s="1"/>
  <c r="G34" i="10" s="1"/>
  <c r="B26" i="10"/>
  <c r="C26" i="10" s="1"/>
  <c r="D26" i="10" s="1"/>
  <c r="G26" i="10" s="1"/>
  <c r="B30" i="10"/>
  <c r="C30" i="10" s="1"/>
  <c r="D30" i="10" s="1"/>
  <c r="G30" i="10" s="1"/>
  <c r="B23" i="10"/>
  <c r="C23" i="10" s="1"/>
  <c r="D23" i="10" s="1"/>
  <c r="G23" i="10" s="1"/>
  <c r="B33" i="10"/>
  <c r="C33" i="10" s="1"/>
  <c r="D33" i="10" s="1"/>
  <c r="G33" i="10" s="1"/>
  <c r="B24" i="10"/>
  <c r="C24" i="10" s="1"/>
  <c r="D24" i="10" s="1"/>
  <c r="G24" i="10" s="1"/>
  <c r="B32" i="10"/>
  <c r="C32" i="10" s="1"/>
  <c r="D32" i="10" s="1"/>
  <c r="G32" i="10" s="1"/>
  <c r="B31" i="10"/>
  <c r="C31" i="10" s="1"/>
  <c r="D31" i="10" s="1"/>
  <c r="G31" i="10" s="1"/>
  <c r="B25" i="10"/>
  <c r="C25" i="10" s="1"/>
  <c r="D25" i="10" s="1"/>
  <c r="G25" i="10" s="1"/>
  <c r="E37" i="14" l="1"/>
  <c r="E15" i="14"/>
  <c r="E34" i="14"/>
  <c r="E49" i="14"/>
  <c r="E6" i="14"/>
  <c r="E51" i="14"/>
  <c r="E14" i="14"/>
  <c r="E20" i="14"/>
  <c r="E21" i="14"/>
  <c r="E16" i="14"/>
  <c r="E25" i="14"/>
  <c r="E43" i="14"/>
  <c r="E26" i="14"/>
  <c r="E31" i="14"/>
  <c r="E39" i="14"/>
  <c r="E30" i="14"/>
  <c r="E41" i="14"/>
  <c r="E35" i="14"/>
  <c r="E13" i="14"/>
  <c r="E42" i="14"/>
  <c r="E29" i="14"/>
  <c r="E27" i="14"/>
  <c r="E7" i="14"/>
  <c r="E28" i="14"/>
  <c r="E40" i="14"/>
  <c r="E23" i="14"/>
  <c r="E24" i="14"/>
  <c r="E47" i="14"/>
  <c r="E18" i="14"/>
  <c r="E19" i="14"/>
  <c r="E9" i="14"/>
  <c r="E17" i="14"/>
  <c r="E10" i="14"/>
  <c r="E33" i="14"/>
  <c r="E11" i="14"/>
  <c r="E50" i="14"/>
  <c r="E32" i="14"/>
  <c r="E44" i="14"/>
  <c r="E45" i="14"/>
  <c r="E8" i="14"/>
  <c r="E46" i="14"/>
  <c r="E22" i="14"/>
  <c r="E48" i="14"/>
  <c r="E36" i="14"/>
  <c r="E12" i="14"/>
  <c r="E38" i="14"/>
  <c r="D51" i="14"/>
  <c r="D30" i="14"/>
  <c r="D39" i="14"/>
  <c r="D33" i="14"/>
  <c r="D40" i="14"/>
  <c r="D37" i="14"/>
  <c r="D32" i="14"/>
  <c r="D45" i="14"/>
  <c r="D43" i="14"/>
  <c r="D29" i="14"/>
  <c r="D35" i="14"/>
  <c r="D47" i="14"/>
  <c r="D50" i="14"/>
  <c r="D46" i="14"/>
  <c r="D36" i="14"/>
  <c r="D34" i="14"/>
  <c r="D31" i="14"/>
  <c r="D38" i="14"/>
  <c r="D42" i="14"/>
  <c r="D44" i="14"/>
  <c r="D48" i="14"/>
  <c r="D49" i="14"/>
  <c r="D41" i="14"/>
  <c r="D19" i="14"/>
  <c r="D13" i="14"/>
  <c r="D21" i="14"/>
  <c r="D11" i="14"/>
  <c r="D8" i="14"/>
  <c r="D12" i="14"/>
  <c r="D16" i="14"/>
  <c r="D20" i="14"/>
  <c r="D24" i="14"/>
  <c r="D28" i="14"/>
  <c r="D6" i="14"/>
  <c r="D10" i="14"/>
  <c r="D14" i="14"/>
  <c r="D18" i="14"/>
  <c r="D22" i="14"/>
  <c r="D26" i="14"/>
  <c r="D23" i="14"/>
  <c r="D9" i="14"/>
  <c r="D17" i="14"/>
  <c r="D25" i="14"/>
  <c r="D15" i="14"/>
  <c r="D7" i="14"/>
  <c r="D27" i="14"/>
  <c r="W4" i="14"/>
  <c r="C5" i="8"/>
  <c r="Y4" i="14" l="1"/>
  <c r="I4" i="14" s="1"/>
  <c r="F4" i="14" s="1"/>
  <c r="E15" i="10"/>
  <c r="G7" i="14" l="1"/>
  <c r="H35" i="14"/>
  <c r="G8" i="14"/>
  <c r="G40" i="14"/>
  <c r="H26" i="14"/>
  <c r="H16" i="14"/>
  <c r="H48" i="14"/>
  <c r="G13" i="14"/>
  <c r="G45" i="14"/>
  <c r="G43" i="14"/>
  <c r="H37" i="14"/>
  <c r="H50" i="14"/>
  <c r="H39" i="14"/>
  <c r="G12" i="14"/>
  <c r="G44" i="14"/>
  <c r="H30" i="14"/>
  <c r="H20" i="14"/>
  <c r="G6" i="14"/>
  <c r="G17" i="14"/>
  <c r="G49" i="14"/>
  <c r="H9" i="14"/>
  <c r="H41" i="14"/>
  <c r="G11" i="14"/>
  <c r="H7" i="14"/>
  <c r="H11" i="14"/>
  <c r="H43" i="14"/>
  <c r="G16" i="14"/>
  <c r="G48" i="14"/>
  <c r="H46" i="14"/>
  <c r="H24" i="14"/>
  <c r="G14" i="14"/>
  <c r="G21" i="14"/>
  <c r="G26" i="14"/>
  <c r="H13" i="14"/>
  <c r="H45" i="14"/>
  <c r="G27" i="14"/>
  <c r="H47" i="14"/>
  <c r="H22" i="14"/>
  <c r="G50" i="14"/>
  <c r="H49" i="14"/>
  <c r="H15" i="14"/>
  <c r="G20" i="14"/>
  <c r="H6" i="14"/>
  <c r="G15" i="14"/>
  <c r="H28" i="14"/>
  <c r="G25" i="14"/>
  <c r="H17" i="14"/>
  <c r="G47" i="14"/>
  <c r="H19" i="14"/>
  <c r="H51" i="14"/>
  <c r="G24" i="14"/>
  <c r="G22" i="14"/>
  <c r="G31" i="14"/>
  <c r="H32" i="14"/>
  <c r="H42" i="14"/>
  <c r="G29" i="14"/>
  <c r="H14" i="14"/>
  <c r="H21" i="14"/>
  <c r="G10" i="14"/>
  <c r="H23" i="14"/>
  <c r="G18" i="14"/>
  <c r="G28" i="14"/>
  <c r="G30" i="14"/>
  <c r="G51" i="14"/>
  <c r="H36" i="14"/>
  <c r="G23" i="14"/>
  <c r="G33" i="14"/>
  <c r="H38" i="14"/>
  <c r="H25" i="14"/>
  <c r="G38" i="14"/>
  <c r="H44" i="14"/>
  <c r="H34" i="14"/>
  <c r="H27" i="14"/>
  <c r="G34" i="14"/>
  <c r="G32" i="14"/>
  <c r="G42" i="14"/>
  <c r="H8" i="14"/>
  <c r="H40" i="14"/>
  <c r="G39" i="14"/>
  <c r="G37" i="14"/>
  <c r="G19" i="14"/>
  <c r="H29" i="14"/>
  <c r="H18" i="14"/>
  <c r="H31" i="14"/>
  <c r="G46" i="14"/>
  <c r="G36" i="14"/>
  <c r="H10" i="14"/>
  <c r="H12" i="14"/>
  <c r="G9" i="14"/>
  <c r="G41" i="14"/>
  <c r="G35" i="14"/>
  <c r="H33" i="14"/>
  <c r="B4" i="14"/>
  <c r="F8" i="14" s="1"/>
  <c r="T4" i="14"/>
  <c r="U4" i="14" s="1"/>
  <c r="V4" i="14" s="1"/>
  <c r="S4" i="14"/>
  <c r="J4" i="14"/>
  <c r="R4" i="14" s="1"/>
  <c r="D15" i="10"/>
  <c r="I18" i="14" l="1"/>
  <c r="J18" i="14" s="1"/>
  <c r="K18" i="14" s="1"/>
  <c r="I25" i="14"/>
  <c r="J25" i="14" s="1"/>
  <c r="K25" i="14" s="1"/>
  <c r="I47" i="14"/>
  <c r="J47" i="14" s="1"/>
  <c r="K47" i="14" s="1"/>
  <c r="I39" i="14"/>
  <c r="J39" i="14" s="1"/>
  <c r="K39" i="14" s="1"/>
  <c r="I43" i="14"/>
  <c r="J43" i="14" s="1"/>
  <c r="K43" i="14" s="1"/>
  <c r="I20" i="14"/>
  <c r="J20" i="14" s="1"/>
  <c r="K20" i="14" s="1"/>
  <c r="I27" i="14"/>
  <c r="J27" i="14" s="1"/>
  <c r="K27" i="14" s="1"/>
  <c r="I45" i="14"/>
  <c r="J45" i="14" s="1"/>
  <c r="K45" i="14" s="1"/>
  <c r="I31" i="14"/>
  <c r="J31" i="14" s="1"/>
  <c r="K31" i="14" s="1"/>
  <c r="I7" i="14"/>
  <c r="J7" i="14" s="1"/>
  <c r="K7" i="14" s="1"/>
  <c r="I9" i="14"/>
  <c r="J9" i="14" s="1"/>
  <c r="K9" i="14" s="1"/>
  <c r="I11" i="14"/>
  <c r="J11" i="14" s="1"/>
  <c r="K11" i="14" s="1"/>
  <c r="I13" i="14"/>
  <c r="J13" i="14" s="1"/>
  <c r="K13" i="14" s="1"/>
  <c r="I35" i="14"/>
  <c r="J35" i="14" s="1"/>
  <c r="K35" i="14" s="1"/>
  <c r="I15" i="14"/>
  <c r="J15" i="14" s="1"/>
  <c r="K15" i="14" s="1"/>
  <c r="I17" i="14"/>
  <c r="J17" i="14" s="1"/>
  <c r="K17" i="14" s="1"/>
  <c r="I19" i="14"/>
  <c r="J19" i="14" s="1"/>
  <c r="K19" i="14" s="1"/>
  <c r="I22" i="14"/>
  <c r="J22" i="14" s="1"/>
  <c r="K22" i="14" s="1"/>
  <c r="I29" i="14"/>
  <c r="J29" i="14" s="1"/>
  <c r="K29" i="14" s="1"/>
  <c r="I33" i="14"/>
  <c r="J33" i="14" s="1"/>
  <c r="K33" i="14" s="1"/>
  <c r="I37" i="14"/>
  <c r="J37" i="14" s="1"/>
  <c r="K37" i="14" s="1"/>
  <c r="I41" i="14"/>
  <c r="J41" i="14" s="1"/>
  <c r="K41" i="14" s="1"/>
  <c r="I48" i="14"/>
  <c r="J48" i="14" s="1"/>
  <c r="K48" i="14" s="1"/>
  <c r="I14" i="14"/>
  <c r="J14" i="14" s="1"/>
  <c r="K14" i="14" s="1"/>
  <c r="I34" i="14"/>
  <c r="J34" i="14" s="1"/>
  <c r="K34" i="14" s="1"/>
  <c r="I42" i="14"/>
  <c r="J42" i="14" s="1"/>
  <c r="K42" i="14" s="1"/>
  <c r="I24" i="14"/>
  <c r="J24" i="14" s="1"/>
  <c r="K24" i="14" s="1"/>
  <c r="I50" i="14"/>
  <c r="J50" i="14" s="1"/>
  <c r="K50" i="14" s="1"/>
  <c r="I28" i="14"/>
  <c r="J28" i="14" s="1"/>
  <c r="K28" i="14" s="1"/>
  <c r="I36" i="14"/>
  <c r="J36" i="14" s="1"/>
  <c r="K36" i="14" s="1"/>
  <c r="I51" i="14"/>
  <c r="J51" i="14" s="1"/>
  <c r="K51" i="14" s="1"/>
  <c r="I8" i="14"/>
  <c r="J8" i="14" s="1"/>
  <c r="K8" i="14" s="1"/>
  <c r="I12" i="14"/>
  <c r="J12" i="14" s="1"/>
  <c r="K12" i="14" s="1"/>
  <c r="I21" i="14"/>
  <c r="J21" i="14" s="1"/>
  <c r="K21" i="14" s="1"/>
  <c r="I44" i="14"/>
  <c r="J44" i="14" s="1"/>
  <c r="K44" i="14" s="1"/>
  <c r="I46" i="14"/>
  <c r="J46" i="14" s="1"/>
  <c r="K46" i="14" s="1"/>
  <c r="I10" i="14"/>
  <c r="J10" i="14" s="1"/>
  <c r="K10" i="14" s="1"/>
  <c r="I32" i="14"/>
  <c r="J32" i="14" s="1"/>
  <c r="K32" i="14" s="1"/>
  <c r="I40" i="14"/>
  <c r="J40" i="14" s="1"/>
  <c r="K40" i="14" s="1"/>
  <c r="I16" i="14"/>
  <c r="J16" i="14" s="1"/>
  <c r="K16" i="14" s="1"/>
  <c r="I23" i="14"/>
  <c r="J23" i="14" s="1"/>
  <c r="K23" i="14" s="1"/>
  <c r="I26" i="14"/>
  <c r="J26" i="14" s="1"/>
  <c r="K26" i="14" s="1"/>
  <c r="I30" i="14"/>
  <c r="J30" i="14" s="1"/>
  <c r="K30" i="14" s="1"/>
  <c r="I38" i="14"/>
  <c r="J38" i="14" s="1"/>
  <c r="K38" i="14" s="1"/>
  <c r="I49" i="14"/>
  <c r="J49" i="14" s="1"/>
  <c r="K49" i="14" s="1"/>
  <c r="F51" i="14"/>
  <c r="F9" i="14"/>
  <c r="F17" i="14"/>
  <c r="F41" i="14"/>
  <c r="F6" i="14"/>
  <c r="F13" i="14"/>
  <c r="F26" i="14"/>
  <c r="F47" i="14"/>
  <c r="F18" i="14"/>
  <c r="F16" i="14"/>
  <c r="F49" i="14"/>
  <c r="F24" i="14"/>
  <c r="F28" i="14"/>
  <c r="F36" i="14"/>
  <c r="F14" i="14"/>
  <c r="F50" i="14"/>
  <c r="F23" i="14"/>
  <c r="F11" i="14"/>
  <c r="F10" i="14"/>
  <c r="F35" i="14"/>
  <c r="F45" i="14"/>
  <c r="F46" i="14"/>
  <c r="F44" i="14"/>
  <c r="F37" i="14"/>
  <c r="F12" i="14"/>
  <c r="F48" i="14"/>
  <c r="F38" i="14"/>
  <c r="F15" i="14"/>
  <c r="F34" i="14"/>
  <c r="F33" i="14"/>
  <c r="F27" i="14"/>
  <c r="F39" i="14"/>
  <c r="F7" i="14"/>
  <c r="F21" i="14"/>
  <c r="F19" i="14"/>
  <c r="F32" i="14"/>
  <c r="F43" i="14"/>
  <c r="F30" i="14"/>
  <c r="F42" i="14"/>
  <c r="F31" i="14"/>
  <c r="F25" i="14"/>
  <c r="F22" i="14"/>
  <c r="F20" i="14"/>
  <c r="F29" i="14"/>
  <c r="F40" i="14"/>
  <c r="I6" i="14"/>
  <c r="J6" i="14" s="1"/>
  <c r="K6" i="14" s="1"/>
  <c r="A99" i="11"/>
  <c r="A100" i="11"/>
  <c r="A101" i="11"/>
  <c r="A102" i="11"/>
  <c r="A103" i="11"/>
  <c r="A104" i="11"/>
  <c r="A98" i="11"/>
  <c r="A109" i="11"/>
  <c r="A110" i="11"/>
  <c r="A111" i="11"/>
  <c r="A112" i="11"/>
  <c r="A113" i="11"/>
  <c r="A114" i="11"/>
  <c r="A115" i="11"/>
  <c r="A116" i="11"/>
  <c r="A117" i="11"/>
  <c r="A118" i="11"/>
  <c r="A108" i="11"/>
  <c r="A92" i="11"/>
  <c r="A86" i="11"/>
  <c r="A85" i="11"/>
  <c r="L51" i="14" l="1"/>
  <c r="M51" i="14" s="1"/>
  <c r="N51" i="14"/>
  <c r="N48" i="14"/>
  <c r="O48" i="14" s="1"/>
  <c r="L48" i="14"/>
  <c r="M48" i="14" s="1"/>
  <c r="L15" i="14"/>
  <c r="M15" i="14" s="1"/>
  <c r="N15" i="14"/>
  <c r="O15" i="14" s="1"/>
  <c r="L27" i="14"/>
  <c r="M27" i="14" s="1"/>
  <c r="N27" i="14"/>
  <c r="L8" i="14"/>
  <c r="M8" i="14" s="1"/>
  <c r="N8" i="14"/>
  <c r="O8" i="14" s="1"/>
  <c r="N40" i="14"/>
  <c r="O40" i="14" s="1"/>
  <c r="L40" i="14"/>
  <c r="M40" i="14" s="1"/>
  <c r="N32" i="14"/>
  <c r="O32" i="14" s="1"/>
  <c r="L32" i="14"/>
  <c r="M32" i="14" s="1"/>
  <c r="N36" i="14"/>
  <c r="P36" i="14" s="1"/>
  <c r="L36" i="14"/>
  <c r="M36" i="14" s="1"/>
  <c r="L41" i="14"/>
  <c r="M41" i="14" s="1"/>
  <c r="N41" i="14"/>
  <c r="L35" i="14"/>
  <c r="M35" i="14" s="1"/>
  <c r="N35" i="14"/>
  <c r="N20" i="14"/>
  <c r="O20" i="14" s="1"/>
  <c r="L20" i="14"/>
  <c r="M20" i="14" s="1"/>
  <c r="L45" i="14"/>
  <c r="M45" i="14" s="1"/>
  <c r="N45" i="14"/>
  <c r="O45" i="14" s="1"/>
  <c r="L13" i="14"/>
  <c r="M13" i="14" s="1"/>
  <c r="N13" i="14"/>
  <c r="O13" i="14" s="1"/>
  <c r="L17" i="14"/>
  <c r="M17" i="14" s="1"/>
  <c r="N17" i="14"/>
  <c r="O17" i="14" s="1"/>
  <c r="L10" i="14"/>
  <c r="M10" i="14" s="1"/>
  <c r="N10" i="14"/>
  <c r="O10" i="14" s="1"/>
  <c r="L37" i="14"/>
  <c r="M37" i="14" s="1"/>
  <c r="N37" i="14"/>
  <c r="O37" i="14" s="1"/>
  <c r="L43" i="14"/>
  <c r="M43" i="14" s="1"/>
  <c r="N43" i="14"/>
  <c r="O43" i="14" s="1"/>
  <c r="L38" i="14"/>
  <c r="M38" i="14" s="1"/>
  <c r="N38" i="14"/>
  <c r="P38" i="14" s="1"/>
  <c r="L46" i="14"/>
  <c r="M46" i="14" s="1"/>
  <c r="N46" i="14"/>
  <c r="O46" i="14" s="1"/>
  <c r="L50" i="14"/>
  <c r="M50" i="14" s="1"/>
  <c r="N50" i="14"/>
  <c r="L33" i="14"/>
  <c r="M33" i="14" s="1"/>
  <c r="N33" i="14"/>
  <c r="O33" i="14" s="1"/>
  <c r="L11" i="14"/>
  <c r="M11" i="14" s="1"/>
  <c r="N11" i="14"/>
  <c r="O11" i="14" s="1"/>
  <c r="L39" i="14"/>
  <c r="M39" i="14" s="1"/>
  <c r="N39" i="14"/>
  <c r="L16" i="14"/>
  <c r="M16" i="14" s="1"/>
  <c r="N16" i="14"/>
  <c r="O16" i="14" s="1"/>
  <c r="L14" i="14"/>
  <c r="M14" i="14" s="1"/>
  <c r="N14" i="14"/>
  <c r="O14" i="14" s="1"/>
  <c r="N28" i="14"/>
  <c r="L28" i="14"/>
  <c r="M28" i="14" s="1"/>
  <c r="L47" i="14"/>
  <c r="M47" i="14" s="1"/>
  <c r="N47" i="14"/>
  <c r="O47" i="14" s="1"/>
  <c r="L26" i="14"/>
  <c r="M26" i="14" s="1"/>
  <c r="N26" i="14"/>
  <c r="O26" i="14" s="1"/>
  <c r="N21" i="14"/>
  <c r="O21" i="14" s="1"/>
  <c r="L21" i="14"/>
  <c r="M21" i="14" s="1"/>
  <c r="L42" i="14"/>
  <c r="M42" i="14" s="1"/>
  <c r="N42" i="14"/>
  <c r="O42" i="14" s="1"/>
  <c r="L22" i="14"/>
  <c r="M22" i="14" s="1"/>
  <c r="N22" i="14"/>
  <c r="O22" i="14" s="1"/>
  <c r="L7" i="14"/>
  <c r="M7" i="14" s="1"/>
  <c r="N7" i="14"/>
  <c r="L25" i="14"/>
  <c r="M25" i="14" s="1"/>
  <c r="N25" i="14"/>
  <c r="O25" i="14" s="1"/>
  <c r="N49" i="14"/>
  <c r="O49" i="14" s="1"/>
  <c r="L49" i="14"/>
  <c r="M49" i="14" s="1"/>
  <c r="L6" i="14"/>
  <c r="M6" i="14" s="1"/>
  <c r="N6" i="14"/>
  <c r="O6" i="14" s="1"/>
  <c r="L30" i="14"/>
  <c r="M30" i="14" s="1"/>
  <c r="N30" i="14"/>
  <c r="O30" i="14" s="1"/>
  <c r="N44" i="14"/>
  <c r="P44" i="14" s="1"/>
  <c r="L44" i="14"/>
  <c r="M44" i="14" s="1"/>
  <c r="N24" i="14"/>
  <c r="O24" i="14" s="1"/>
  <c r="L24" i="14"/>
  <c r="M24" i="14" s="1"/>
  <c r="L29" i="14"/>
  <c r="M29" i="14" s="1"/>
  <c r="N29" i="14"/>
  <c r="L9" i="14"/>
  <c r="M9" i="14" s="1"/>
  <c r="N9" i="14"/>
  <c r="O9" i="14" s="1"/>
  <c r="N23" i="14"/>
  <c r="O23" i="14" s="1"/>
  <c r="L23" i="14"/>
  <c r="M23" i="14" s="1"/>
  <c r="L12" i="14"/>
  <c r="M12" i="14" s="1"/>
  <c r="N12" i="14"/>
  <c r="O12" i="14" s="1"/>
  <c r="L34" i="14"/>
  <c r="M34" i="14" s="1"/>
  <c r="N34" i="14"/>
  <c r="O34" i="14" s="1"/>
  <c r="L19" i="14"/>
  <c r="M19" i="14" s="1"/>
  <c r="N19" i="14"/>
  <c r="O19" i="14" s="1"/>
  <c r="L31" i="14"/>
  <c r="M31" i="14" s="1"/>
  <c r="N31" i="14"/>
  <c r="L18" i="14"/>
  <c r="M18" i="14" s="1"/>
  <c r="N18" i="14"/>
  <c r="O18" i="14" s="1"/>
  <c r="M116" i="1"/>
  <c r="N116" i="1"/>
  <c r="B5" i="9"/>
  <c r="B7" i="9" s="1"/>
  <c r="E118" i="11"/>
  <c r="D118" i="11"/>
  <c r="C118" i="11"/>
  <c r="E112" i="11"/>
  <c r="D112" i="11"/>
  <c r="C112" i="11"/>
  <c r="E109" i="11"/>
  <c r="D109" i="11"/>
  <c r="C109" i="11"/>
  <c r="E108" i="11"/>
  <c r="D108" i="11"/>
  <c r="C108" i="11"/>
  <c r="E96" i="11"/>
  <c r="D96" i="11"/>
  <c r="C96" i="11"/>
  <c r="E95" i="11"/>
  <c r="D95" i="11"/>
  <c r="C95" i="11"/>
  <c r="E94" i="11"/>
  <c r="D94" i="11"/>
  <c r="C94" i="11"/>
  <c r="E91" i="11"/>
  <c r="D91" i="11"/>
  <c r="C91" i="11"/>
  <c r="E89" i="11"/>
  <c r="D89" i="11"/>
  <c r="C89" i="11"/>
  <c r="E76" i="11"/>
  <c r="D76" i="11"/>
  <c r="C76" i="11"/>
  <c r="E75" i="11"/>
  <c r="D75" i="11"/>
  <c r="C75" i="11"/>
  <c r="E72" i="11"/>
  <c r="D72" i="11"/>
  <c r="C72" i="11"/>
  <c r="E71" i="11"/>
  <c r="D71" i="11"/>
  <c r="C71" i="11"/>
  <c r="E66" i="11"/>
  <c r="D66" i="11"/>
  <c r="C66" i="11"/>
  <c r="E65" i="11"/>
  <c r="D65" i="11"/>
  <c r="C65" i="11"/>
  <c r="E63" i="11"/>
  <c r="D63" i="11"/>
  <c r="C63" i="11"/>
  <c r="E62" i="11"/>
  <c r="D62" i="11"/>
  <c r="C62" i="11"/>
  <c r="E58" i="11"/>
  <c r="D58" i="11"/>
  <c r="C58" i="11"/>
  <c r="E56" i="11"/>
  <c r="D56" i="11"/>
  <c r="C56" i="11"/>
  <c r="E54" i="11"/>
  <c r="D54" i="11"/>
  <c r="C54" i="11"/>
  <c r="E51" i="11"/>
  <c r="D51" i="11"/>
  <c r="C51" i="11"/>
  <c r="E47" i="11"/>
  <c r="D47" i="11"/>
  <c r="C47" i="11"/>
  <c r="E44" i="11"/>
  <c r="D44" i="11"/>
  <c r="C44" i="11"/>
  <c r="E41" i="11"/>
  <c r="D41" i="11"/>
  <c r="C41" i="11"/>
  <c r="E32" i="11"/>
  <c r="D32" i="11"/>
  <c r="C32" i="11"/>
  <c r="E20" i="11"/>
  <c r="D20" i="11"/>
  <c r="C20" i="11"/>
  <c r="D19" i="11"/>
  <c r="E19" i="11"/>
  <c r="C19" i="11"/>
  <c r="E117" i="11"/>
  <c r="C117" i="11"/>
  <c r="D116" i="11"/>
  <c r="C116" i="11"/>
  <c r="E116" i="11"/>
  <c r="E99" i="11"/>
  <c r="E100" i="11"/>
  <c r="E101" i="11"/>
  <c r="E102" i="11"/>
  <c r="E103" i="11"/>
  <c r="E104" i="11"/>
  <c r="E98" i="11"/>
  <c r="E86" i="11"/>
  <c r="E85" i="11"/>
  <c r="E43" i="11"/>
  <c r="C43" i="11"/>
  <c r="D86" i="11"/>
  <c r="C86" i="11"/>
  <c r="D85" i="11"/>
  <c r="C85" i="11"/>
  <c r="D92" i="11"/>
  <c r="C92" i="11"/>
  <c r="D99" i="11"/>
  <c r="D100" i="11"/>
  <c r="D101" i="11"/>
  <c r="D102" i="11"/>
  <c r="D103" i="11"/>
  <c r="D104" i="11"/>
  <c r="D98" i="11"/>
  <c r="C99" i="11"/>
  <c r="C100" i="11"/>
  <c r="C101" i="11"/>
  <c r="C102" i="11"/>
  <c r="C103" i="11"/>
  <c r="C104" i="11"/>
  <c r="C98" i="11"/>
  <c r="C111" i="11"/>
  <c r="D111" i="11"/>
  <c r="E111" i="11"/>
  <c r="E110" i="11"/>
  <c r="D110" i="11"/>
  <c r="C110" i="11"/>
  <c r="A107" i="11"/>
  <c r="D107" i="11"/>
  <c r="E107" i="11"/>
  <c r="C107" i="11"/>
  <c r="J117" i="11"/>
  <c r="D117" i="11" s="1"/>
  <c r="G11" i="10"/>
  <c r="O38" i="14" l="1"/>
  <c r="O44" i="14"/>
  <c r="O36" i="14"/>
  <c r="P33" i="14"/>
  <c r="P41" i="14"/>
  <c r="O41" i="14"/>
  <c r="P31" i="14"/>
  <c r="O31" i="14"/>
  <c r="P39" i="14"/>
  <c r="O39" i="14"/>
  <c r="P35" i="14"/>
  <c r="O35" i="14"/>
  <c r="P51" i="14"/>
  <c r="O51" i="14"/>
  <c r="P29" i="14"/>
  <c r="O29" i="14"/>
  <c r="P27" i="14"/>
  <c r="O27" i="14"/>
  <c r="P50" i="14"/>
  <c r="O50" i="14"/>
  <c r="O28" i="14"/>
  <c r="P46" i="14"/>
  <c r="O7" i="14"/>
  <c r="P45" i="14"/>
  <c r="P48" i="14"/>
  <c r="P47" i="14"/>
  <c r="P34" i="14"/>
  <c r="P26" i="14"/>
  <c r="P43" i="14"/>
  <c r="P30" i="14"/>
  <c r="P49" i="14"/>
  <c r="P42" i="14"/>
  <c r="P40" i="14"/>
  <c r="P37" i="14"/>
  <c r="P32" i="14"/>
  <c r="P28" i="14"/>
  <c r="Y6" i="8"/>
  <c r="S4" i="8"/>
  <c r="M10" i="8"/>
  <c r="N9" i="8"/>
  <c r="O9" i="8"/>
  <c r="L10" i="8"/>
  <c r="Z93" i="1"/>
  <c r="Y93" i="1"/>
  <c r="X93" i="1"/>
  <c r="Z92" i="1"/>
  <c r="Y92" i="1"/>
  <c r="X92" i="1"/>
  <c r="Z90" i="1"/>
  <c r="Y90" i="1"/>
  <c r="X90" i="1"/>
  <c r="Y17" i="1"/>
  <c r="Z17" i="1"/>
  <c r="X17" i="1"/>
  <c r="Y43" i="1"/>
  <c r="Z43" i="1"/>
  <c r="X43" i="1"/>
  <c r="Y42" i="1"/>
  <c r="Z42" i="1"/>
  <c r="X42" i="1"/>
  <c r="Y37" i="1"/>
  <c r="Z37" i="1"/>
  <c r="X37" i="1"/>
  <c r="X31" i="1"/>
  <c r="X111" i="1"/>
  <c r="Z110" i="1"/>
  <c r="Y110" i="1"/>
  <c r="X110" i="1"/>
  <c r="X114" i="1"/>
  <c r="Y114" i="1"/>
  <c r="Z114" i="1"/>
  <c r="X115" i="1"/>
  <c r="Y115" i="1"/>
  <c r="Z115" i="1"/>
  <c r="Y113" i="1"/>
  <c r="Z113" i="1"/>
  <c r="X113" i="1"/>
  <c r="Y98" i="1"/>
  <c r="Y99" i="1" s="1"/>
  <c r="Z98" i="1"/>
  <c r="Z99" i="1" s="1"/>
  <c r="X98" i="1"/>
  <c r="X99" i="1" s="1"/>
  <c r="Y107" i="1"/>
  <c r="Z107" i="1"/>
  <c r="X107" i="1"/>
  <c r="Y104" i="1"/>
  <c r="Z104" i="1"/>
  <c r="X104" i="1"/>
  <c r="Y101" i="1"/>
  <c r="Y102" i="1" s="1"/>
  <c r="Z101" i="1"/>
  <c r="Z102" i="1" s="1"/>
  <c r="X101" i="1"/>
  <c r="X102" i="1" s="1"/>
  <c r="Y80" i="1"/>
  <c r="Z80" i="1"/>
  <c r="X8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4" i="1"/>
  <c r="I116" i="1"/>
  <c r="F117" i="1"/>
  <c r="C5" i="9"/>
  <c r="C10" i="9"/>
  <c r="I5" i="9"/>
  <c r="J5" i="9" s="1"/>
  <c r="C16" i="9"/>
  <c r="E16" i="9"/>
  <c r="D16" i="9" s="1"/>
  <c r="I16" i="9"/>
  <c r="J16" i="9"/>
  <c r="L16" i="9"/>
  <c r="E28" i="9"/>
  <c r="D28" i="9" s="1"/>
  <c r="I28" i="9"/>
  <c r="J28" i="9"/>
  <c r="L28" i="9"/>
  <c r="F11" i="5"/>
  <c r="F17" i="5"/>
  <c r="F18" i="5"/>
  <c r="F15" i="5"/>
  <c r="H6" i="5"/>
  <c r="F24" i="5"/>
  <c r="J6" i="5" s="1"/>
  <c r="H29" i="5"/>
  <c r="F48" i="5"/>
  <c r="D135" i="5"/>
  <c r="C4" i="8"/>
  <c r="C6" i="8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W6" i="8"/>
  <c r="X6" i="8"/>
  <c r="L29" i="8"/>
  <c r="G5" i="9"/>
  <c r="F17" i="10" s="1"/>
  <c r="M4" i="8" l="1"/>
  <c r="J4" i="8"/>
  <c r="X4" i="8"/>
  <c r="F4" i="8" s="1"/>
  <c r="L4" i="8"/>
  <c r="B10" i="9"/>
  <c r="E10" i="9" s="1"/>
  <c r="E5" i="9" s="1"/>
  <c r="D5" i="9" s="1"/>
  <c r="D10" i="9"/>
  <c r="P2" i="14"/>
  <c r="C7" i="9"/>
  <c r="F19" i="5"/>
  <c r="G38" i="5" s="1"/>
  <c r="G20" i="8"/>
  <c r="F10" i="5"/>
  <c r="H21" i="5"/>
  <c r="F21" i="5"/>
  <c r="F7" i="5"/>
  <c r="Y4" i="8"/>
  <c r="G8" i="8" s="1"/>
  <c r="M28" i="9"/>
  <c r="M16" i="9"/>
  <c r="F8" i="5"/>
  <c r="I15" i="5" s="1"/>
  <c r="F14" i="5"/>
  <c r="G40" i="8"/>
  <c r="AG4" i="8"/>
  <c r="N4" i="8"/>
  <c r="G17" i="8" s="1"/>
  <c r="AA4" i="8"/>
  <c r="M11" i="8" s="1"/>
  <c r="Q8" i="8"/>
  <c r="G42" i="8"/>
  <c r="M6" i="5"/>
  <c r="N6" i="5"/>
  <c r="AB4" i="8"/>
  <c r="I4" i="8"/>
  <c r="G13" i="8" s="1"/>
  <c r="W4" i="8"/>
  <c r="AF4" i="8"/>
  <c r="AC4" i="8"/>
  <c r="O10" i="8" s="1"/>
  <c r="P4" i="8"/>
  <c r="G21" i="8" s="1"/>
  <c r="H25" i="5"/>
  <c r="F25" i="5" s="1"/>
  <c r="AD4" i="8"/>
  <c r="O4" i="8"/>
  <c r="Z4" i="8"/>
  <c r="R8" i="8"/>
  <c r="S8" i="8"/>
  <c r="J26" i="8"/>
  <c r="AE4" i="8"/>
  <c r="G41" i="8"/>
  <c r="U4" i="8" l="1"/>
  <c r="G18" i="8"/>
  <c r="T4" i="8"/>
  <c r="K4" i="8" s="1"/>
  <c r="L5" i="9"/>
  <c r="D7" i="9"/>
  <c r="K5" i="9"/>
  <c r="E7" i="9"/>
  <c r="F12" i="5"/>
  <c r="F6" i="5"/>
  <c r="I46" i="5"/>
  <c r="F9" i="5"/>
  <c r="G16" i="8"/>
  <c r="G2" i="1"/>
  <c r="G43" i="8"/>
  <c r="X7" i="8"/>
  <c r="X8" i="8" s="1"/>
  <c r="G26" i="8"/>
  <c r="J27" i="8"/>
  <c r="G27" i="8" s="1"/>
  <c r="L11" i="8"/>
  <c r="W7" i="8"/>
  <c r="W8" i="8" s="1"/>
  <c r="L6" i="5"/>
  <c r="F32" i="5"/>
  <c r="F33" i="5" s="1"/>
  <c r="J23" i="8"/>
  <c r="Y7" i="8"/>
  <c r="Y8" i="8" s="1"/>
  <c r="N10" i="8"/>
  <c r="G10" i="8"/>
  <c r="G4" i="8"/>
  <c r="G24" i="8"/>
  <c r="J8" i="8" s="1"/>
  <c r="G19" i="8"/>
  <c r="I47" i="5"/>
  <c r="G15" i="8"/>
  <c r="I15" i="8" s="1"/>
  <c r="M5" i="9" l="1"/>
  <c r="N5" i="9" s="1"/>
  <c r="G6" i="5"/>
  <c r="K6" i="5"/>
  <c r="I20" i="5"/>
  <c r="F20" i="5" s="1"/>
  <c r="H19" i="5"/>
  <c r="F36" i="5"/>
  <c r="J22" i="8"/>
  <c r="G22" i="8" s="1"/>
  <c r="J20" i="8"/>
  <c r="G30" i="8"/>
  <c r="I32" i="8" s="1"/>
  <c r="H32" i="8" s="1"/>
  <c r="L8" i="8"/>
  <c r="J13" i="8"/>
  <c r="J15" i="8" s="1"/>
  <c r="H8" i="8"/>
  <c r="J11" i="8" s="1"/>
  <c r="G11" i="8"/>
  <c r="H4" i="8"/>
  <c r="G14" i="8" s="1"/>
  <c r="G12" i="8"/>
  <c r="G9" i="8"/>
  <c r="G23" i="8"/>
  <c r="K23" i="8"/>
  <c r="L40" i="5"/>
  <c r="F40" i="5"/>
  <c r="M8" i="8"/>
  <c r="K8" i="8"/>
  <c r="F43" i="5" l="1"/>
  <c r="H39" i="5"/>
  <c r="J17" i="8"/>
  <c r="K24" i="8" s="1"/>
  <c r="O8" i="8"/>
  <c r="N8" i="8"/>
  <c r="G36" i="8"/>
  <c r="M30" i="8"/>
  <c r="L30" i="8"/>
  <c r="G37" i="8"/>
  <c r="G28" i="8"/>
  <c r="G29" i="8" s="1"/>
  <c r="G38" i="8" s="1"/>
  <c r="J19" i="8" l="1"/>
  <c r="G33" i="8"/>
  <c r="G32" i="8"/>
  <c r="G35" i="8"/>
  <c r="G40" i="5" l="1"/>
  <c r="F42" i="5" s="1"/>
  <c r="F26" i="5"/>
  <c r="F27" i="5" s="1"/>
  <c r="F31" i="5"/>
  <c r="F46" i="5"/>
  <c r="F47" i="5"/>
  <c r="H51" i="5"/>
  <c r="H52" i="5"/>
  <c r="J51" i="5"/>
  <c r="I6" i="5"/>
  <c r="I22" i="5"/>
  <c r="H22" i="5" s="1"/>
  <c r="F49" i="5" l="1"/>
  <c r="F39" i="5"/>
  <c r="F38" i="5"/>
  <c r="H34" i="5"/>
  <c r="F34" i="5"/>
  <c r="F35" i="5" s="1"/>
  <c r="F41" i="5" s="1"/>
  <c r="K46" i="5"/>
  <c r="I48" i="5" s="1"/>
  <c r="G41" i="5"/>
  <c r="F44" i="5" l="1"/>
  <c r="G45" i="5" l="1"/>
  <c r="F45" i="5" s="1"/>
  <c r="F50" i="5"/>
  <c r="G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JRE</author>
    <author>Elliott,J. Richard</author>
  </authors>
  <commentList>
    <comment ref="M3" authorId="0" shapeId="0" xr:uid="{F04F939F-6AF6-4702-AC52-859456CF5465}">
      <text>
        <r>
          <rPr>
            <b/>
            <sz val="9"/>
            <color indexed="81"/>
            <rFont val="Tahoma"/>
            <family val="2"/>
          </rPr>
          <t>JRE:</t>
        </r>
        <r>
          <rPr>
            <sz val="9"/>
            <color indexed="81"/>
            <rFont val="Tahoma"/>
            <family val="2"/>
          </rPr>
          <t xml:space="preserve">
Emami et al. Eq 8.
</t>
        </r>
      </text>
    </comment>
    <comment ref="D24" authorId="0" shapeId="0" xr:uid="{EFE8AD56-AA4F-4B6F-9F76-BDC1CC7F435C}">
      <text>
        <r>
          <rPr>
            <b/>
            <sz val="11"/>
            <color indexed="81"/>
            <rFont val="Tahoma"/>
            <family val="2"/>
          </rPr>
          <t>JRE:</t>
        </r>
        <r>
          <rPr>
            <sz val="11"/>
            <color indexed="81"/>
            <rFont val="Tahoma"/>
            <family val="2"/>
          </rPr>
          <t xml:space="preserve">
aldehyde</t>
        </r>
      </text>
    </comment>
    <comment ref="D30" authorId="0" shapeId="0" xr:uid="{200077D2-DE7F-43F5-A022-0C4F3495C17F}">
      <text>
        <r>
          <rPr>
            <b/>
            <sz val="11"/>
            <color indexed="81"/>
            <rFont val="Tahoma"/>
            <family val="2"/>
          </rPr>
          <t>JRE:</t>
        </r>
        <r>
          <rPr>
            <sz val="11"/>
            <color indexed="81"/>
            <rFont val="Tahoma"/>
            <family val="2"/>
          </rPr>
          <t xml:space="preserve">
ether</t>
        </r>
      </text>
    </comment>
    <comment ref="F40" authorId="1" shapeId="0" xr:uid="{00000000-0006-0000-0200-000001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Panayiotou IJT, 26:568(08)</t>
        </r>
      </text>
    </comment>
    <comment ref="D11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For ketones that don't have CH2 or CH3 att.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</author>
  </authors>
  <commentList>
    <comment ref="F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elliott:</t>
        </r>
        <r>
          <rPr>
            <sz val="9"/>
            <color indexed="81"/>
            <rFont val="Tahoma"/>
            <family val="2"/>
          </rPr>
          <t xml:space="preserve">
Set to value if known, otherwise to cell W3.</t>
        </r>
      </text>
    </comment>
    <comment ref="F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elliott:</t>
        </r>
        <r>
          <rPr>
            <sz val="9"/>
            <color indexed="81"/>
            <rFont val="Tahoma"/>
            <family val="2"/>
          </rPr>
          <t xml:space="preserve">
set this to MW/rho298 if available. Otherwise, set to cell K3 estimate.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ellio:</t>
        </r>
        <r>
          <rPr>
            <sz val="9"/>
            <color indexed="81"/>
            <rFont val="Tahoma"/>
            <family val="2"/>
          </rPr>
          <t xml:space="preserve">
This is calculated from bVol/Mw, which is the iterated variable in the solver. FYI: All yellow hilites are iterated.</t>
        </r>
      </text>
    </comment>
    <comment ref="F3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elliott:</t>
        </r>
        <r>
          <rPr>
            <sz val="9"/>
            <color indexed="81"/>
            <rFont val="Tahoma"/>
            <family val="2"/>
          </rPr>
          <t xml:space="preserve">
This constraint sets the UdepCalc=UdepTsat, assuming UdepTsat=UdepSolParm298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Elliott,J. Richard</author>
    <author>JRE</author>
    <author>Jarrell Elliott</author>
  </authors>
  <commentList>
    <comment ref="X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from other groups</t>
        </r>
      </text>
    </comment>
    <comment ref="X37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from other groups</t>
        </r>
      </text>
    </comment>
    <comment ref="D77" authorId="1" shapeId="0" xr:uid="{51040700-77CE-4B7A-9CEF-F115865EF070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G77" authorId="1" shapeId="0" xr:uid="{68A4847C-05DF-43F7-A6C3-DD87DDB04599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J77" authorId="1" shapeId="0" xr:uid="{59C2F669-8F23-4C5E-851F-43D75D3553BA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L77" authorId="2" shapeId="0" xr:uid="{43D07EC4-8285-4C03-988F-7B4F249FEF8C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Found erroneous JRE 5/20
The perfluorocarbons were giving large deviations in Psat when using the values reported by Emami. These values were determined quick and dirty but give ballpark results.</t>
        </r>
      </text>
    </comment>
    <comment ref="D78" authorId="1" shapeId="0" xr:uid="{A68B569A-4CE8-4D3E-A122-BDF12DFF8D9E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G78" authorId="1" shapeId="0" xr:uid="{10DBF45F-B4A0-48FA-A2DB-4715CD264CAD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J78" authorId="1" shapeId="0" xr:uid="{E734DE55-56F4-44AF-9DA4-4D3E6796F480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L78" authorId="2" shapeId="0" xr:uid="{6913333A-3533-4CE6-A6FB-F0625E87679D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Found erroneous JRE 5/20
The perfluorocarbons were giving large deviations in Psat when using the values reported by Emami. These values were determined quick and dirty but give ballpark results.</t>
        </r>
      </text>
    </comment>
    <comment ref="D79" authorId="1" shapeId="0" xr:uid="{8B0EA497-BF06-4224-91F2-82A45E6A3651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G79" authorId="1" shapeId="0" xr:uid="{EB157635-9E7B-4FB5-A110-13877BDF9076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J79" authorId="1" shapeId="0" xr:uid="{828B6A54-9013-4D19-8CF1-417AC8CFC18F}">
      <text>
        <r>
          <rPr>
            <b/>
            <sz val="11"/>
            <color indexed="81"/>
            <rFont val="Tahoma"/>
            <family val="2"/>
          </rPr>
          <t xml:space="preserve">JRE: </t>
        </r>
        <r>
          <rPr>
            <sz val="11"/>
            <color indexed="81"/>
            <rFont val="Tahoma"/>
            <family val="2"/>
          </rPr>
          <t>The values published by Emami et al appear to be erroneous. These values were determined by revisiting the original database with all other GC's taken as given by Emami.</t>
        </r>
      </text>
    </comment>
    <comment ref="L79" authorId="2" shapeId="0" xr:uid="{6AF1742F-DCFD-43C3-9084-6DD6208F2CCC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Found erroneous JRE 5/20
The perfluorocarbons were giving large deviations in Psat when using the values reported by Emami. These values were determined quick and dirty but give ballpark results.</t>
        </r>
      </text>
    </comment>
    <comment ref="X98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by avg</t>
        </r>
      </text>
    </comment>
    <comment ref="X104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from related</t>
        </r>
      </text>
    </comment>
    <comment ref="X11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from CHx groups and "other S"
</t>
        </r>
      </text>
    </comment>
    <comment ref="X111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Estimate from CHx groups and "other S"
</t>
        </r>
      </text>
    </comment>
    <comment ref="A118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For ketones that don't have CH2 or CH3 att.</t>
        </r>
      </text>
    </comment>
    <comment ref="H118" authorId="0" shapeId="0" xr:uid="{98729F72-A070-4BD5-962E-112676EDA0B9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For ketones that don't have CH2 or CH3 att.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Jarrell Elliott</author>
  </authors>
  <commentList>
    <comment ref="A35" authorId="0" shapeId="0" xr:uid="{B0B666F4-D1B4-418B-81E5-D5A18765E7FF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Fits with 83,84
</t>
        </r>
      </text>
    </comment>
    <comment ref="A48" authorId="0" shapeId="0" xr:uid="{CD8F064C-CC43-4BC9-8073-C8CE37ADA149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pyridinics
</t>
        </r>
      </text>
    </comment>
    <comment ref="L95" authorId="0" shapeId="0" xr:uid="{697029A0-2512-4218-AD20-63A59ACF0617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The ESD values were found erroneous in paper, so estimate from Q&amp;D ESD values.</t>
        </r>
      </text>
    </comment>
    <comment ref="L96" authorId="0" shapeId="0" xr:uid="{DC3FF734-EFD5-4EAC-AC87-FFB6746DEF25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The ESD values were found erroneous in paper, so estimate from Q&amp;D ESD values.</t>
        </r>
      </text>
    </comment>
    <comment ref="L97" authorId="0" shapeId="0" xr:uid="{3D6E5F9C-2F6C-4126-8101-4E255B1D2923}">
      <text>
        <r>
          <rPr>
            <b/>
            <sz val="9"/>
            <color indexed="81"/>
            <rFont val="Tahoma"/>
            <family val="2"/>
          </rPr>
          <t>Jarrell Elliott:</t>
        </r>
        <r>
          <rPr>
            <sz val="9"/>
            <color indexed="81"/>
            <rFont val="Tahoma"/>
            <family val="2"/>
          </rPr>
          <t xml:space="preserve">
The ESD values were found erroneous in paper, so estimate from Q&amp;D ESD values.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Elliott,J. Richard</author>
  </authors>
  <commentList>
    <comment ref="G118" authorId="0" shapeId="0" xr:uid="{6CC6BCDF-9668-4449-850F-5DE6807213D8}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For ketones that don't have CH2 or CH3 att.</t>
        </r>
      </text>
    </comment>
  </commentList>
</comments>
</file>

<file path=xl/sharedStrings.xml><?xml version="1.0" encoding="utf-8"?>
<sst xmlns="http://schemas.openxmlformats.org/spreadsheetml/2006/main" count="6830" uniqueCount="3150">
  <si>
    <t>bigHesd</t>
  </si>
  <si>
    <t>bigHexp</t>
  </si>
  <si>
    <t>zEsd</t>
  </si>
  <si>
    <t>zEsdAssoc</t>
  </si>
  <si>
    <t>unifac</t>
  </si>
  <si>
    <t>group</t>
  </si>
  <si>
    <t>MW</t>
  </si>
  <si>
    <t>JRE -&gt;Tc</t>
  </si>
  <si>
    <t>Pc</t>
  </si>
  <si>
    <t>Vc</t>
  </si>
  <si>
    <t>nBPK</t>
  </si>
  <si>
    <t>LMV</t>
  </si>
  <si>
    <t>Tb10</t>
  </si>
  <si>
    <t>w</t>
  </si>
  <si>
    <t>esdCshape</t>
  </si>
  <si>
    <t>Gani -&gt;TmK</t>
  </si>
  <si>
    <t>Hvap</t>
  </si>
  <si>
    <t>Hf(kJ/mol)</t>
  </si>
  <si>
    <t>Gf</t>
  </si>
  <si>
    <t>Joback-&gt;ighcA</t>
  </si>
  <si>
    <t>ighcB</t>
  </si>
  <si>
    <t>ighcC</t>
  </si>
  <si>
    <t>ighcD</t>
  </si>
  <si>
    <t>CH3-</t>
  </si>
  <si>
    <t>CH2&lt;</t>
  </si>
  <si>
    <t>CH</t>
  </si>
  <si>
    <t>&gt;C&lt;</t>
  </si>
  <si>
    <t>CH2=CH</t>
  </si>
  <si>
    <t>CH=CH</t>
  </si>
  <si>
    <t>CH2=C</t>
  </si>
  <si>
    <t>CH=C</t>
  </si>
  <si>
    <t>C=C</t>
  </si>
  <si>
    <t>ACH</t>
  </si>
  <si>
    <t>AC-</t>
  </si>
  <si>
    <t>ACCH3</t>
  </si>
  <si>
    <t>ACCH2</t>
  </si>
  <si>
    <t>ACCH</t>
  </si>
  <si>
    <t>OH</t>
  </si>
  <si>
    <t>CH3OH</t>
  </si>
  <si>
    <t>NA</t>
  </si>
  <si>
    <t>H2O</t>
  </si>
  <si>
    <t>ACOH</t>
  </si>
  <si>
    <t>CH3CO</t>
  </si>
  <si>
    <t>CH2CO</t>
  </si>
  <si>
    <t>CHO</t>
  </si>
  <si>
    <t>CH3COO</t>
  </si>
  <si>
    <t>CH2COO</t>
  </si>
  <si>
    <t>HCOO</t>
  </si>
  <si>
    <t>CH3O</t>
  </si>
  <si>
    <t>CH2O</t>
  </si>
  <si>
    <t>CH-O</t>
  </si>
  <si>
    <t>FCH2O</t>
  </si>
  <si>
    <t>CH3NH2</t>
  </si>
  <si>
    <t>CH2NH2</t>
  </si>
  <si>
    <t>CHNH2</t>
  </si>
  <si>
    <t>CH3NH</t>
  </si>
  <si>
    <t>CH2NH</t>
  </si>
  <si>
    <t>CHNH</t>
  </si>
  <si>
    <t>CH3-RN</t>
  </si>
  <si>
    <t>CH2-RN</t>
  </si>
  <si>
    <t>ACNH2</t>
  </si>
  <si>
    <t>C5H5N</t>
  </si>
  <si>
    <t>C5H4N</t>
  </si>
  <si>
    <t>C5H3N</t>
  </si>
  <si>
    <t>CH3CN</t>
  </si>
  <si>
    <t>CH2CN</t>
  </si>
  <si>
    <t>COOH</t>
  </si>
  <si>
    <t>HCOOH</t>
  </si>
  <si>
    <t>CH2CL</t>
  </si>
  <si>
    <t>CHCL</t>
  </si>
  <si>
    <t>CCL</t>
  </si>
  <si>
    <t>CH2CL2</t>
  </si>
  <si>
    <t>CHCL2</t>
  </si>
  <si>
    <t>CCL2</t>
  </si>
  <si>
    <t>CHCL3</t>
  </si>
  <si>
    <t>CCL3</t>
  </si>
  <si>
    <t>CCL4</t>
  </si>
  <si>
    <t>ACCL</t>
  </si>
  <si>
    <t>CH3NO2</t>
  </si>
  <si>
    <t>CH2NO2</t>
  </si>
  <si>
    <t>CHNO2</t>
  </si>
  <si>
    <t>ACNO2</t>
  </si>
  <si>
    <t>CS2</t>
  </si>
  <si>
    <t>CH3SH</t>
  </si>
  <si>
    <t>CH2SH</t>
  </si>
  <si>
    <t>FURFURAL</t>
  </si>
  <si>
    <t>&lt;CH2OH&gt;2</t>
  </si>
  <si>
    <t>I</t>
  </si>
  <si>
    <t>Br</t>
  </si>
  <si>
    <t>CH&lt;-&gt;C</t>
  </si>
  <si>
    <t>C&lt;-&gt;C</t>
  </si>
  <si>
    <t>ME2SO</t>
  </si>
  <si>
    <t>ACRY</t>
  </si>
  <si>
    <t>CL(C=C)</t>
  </si>
  <si>
    <t>ACF</t>
  </si>
  <si>
    <t>DMF-1</t>
  </si>
  <si>
    <t>DMF-2</t>
  </si>
  <si>
    <t>CF3</t>
  </si>
  <si>
    <t>CF2</t>
  </si>
  <si>
    <t>CF</t>
  </si>
  <si>
    <t>COO</t>
  </si>
  <si>
    <t>SiH3</t>
  </si>
  <si>
    <t>SiH2</t>
  </si>
  <si>
    <t>SiH</t>
  </si>
  <si>
    <t>Si</t>
  </si>
  <si>
    <t>SiH2O</t>
  </si>
  <si>
    <t>SiHO</t>
  </si>
  <si>
    <t>SiO</t>
  </si>
  <si>
    <t>TERT-N</t>
  </si>
  <si>
    <t>CCL3F</t>
  </si>
  <si>
    <t>CCL2F</t>
  </si>
  <si>
    <t>HCCL2F</t>
  </si>
  <si>
    <t>HCCLF</t>
  </si>
  <si>
    <t>CCLF2</t>
  </si>
  <si>
    <t>HCCLF2</t>
  </si>
  <si>
    <t>CCLF3</t>
  </si>
  <si>
    <t>CCL2F2</t>
  </si>
  <si>
    <t>CONH2</t>
  </si>
  <si>
    <t>CONHCH3</t>
  </si>
  <si>
    <t>CONHCH2</t>
  </si>
  <si>
    <t>CON(CH3)2</t>
  </si>
  <si>
    <t>CONCH3CH2</t>
  </si>
  <si>
    <t>CON(CH2)2</t>
  </si>
  <si>
    <t>C2H5O2</t>
  </si>
  <si>
    <t>C2H4O2</t>
  </si>
  <si>
    <t>CH3S</t>
  </si>
  <si>
    <t>CH2S</t>
  </si>
  <si>
    <t>CHS</t>
  </si>
  <si>
    <t>MORPH</t>
  </si>
  <si>
    <t>C4H4S</t>
  </si>
  <si>
    <t>C4H3S</t>
  </si>
  <si>
    <t>C4H2S</t>
  </si>
  <si>
    <t>NMP</t>
  </si>
  <si>
    <t>2R</t>
  </si>
  <si>
    <t>RCH2&lt;</t>
  </si>
  <si>
    <t>3R</t>
  </si>
  <si>
    <t>&gt;RCH-</t>
  </si>
  <si>
    <t>4R</t>
  </si>
  <si>
    <t>&gt;RC&lt;</t>
  </si>
  <si>
    <t>9X</t>
  </si>
  <si>
    <t>CH2=C=CH</t>
  </si>
  <si>
    <t>TcK</t>
  </si>
  <si>
    <t>HvapKJ/mol</t>
  </si>
  <si>
    <t>Tb10K</t>
  </si>
  <si>
    <t>solparm</t>
  </si>
  <si>
    <t>bVolESD</t>
  </si>
  <si>
    <t>eokESD</t>
  </si>
  <si>
    <t>errBigH</t>
  </si>
  <si>
    <t>Constraints:</t>
  </si>
  <si>
    <t>PcBars</t>
  </si>
  <si>
    <t>cc/mole</t>
  </si>
  <si>
    <t>TmK</t>
  </si>
  <si>
    <t>bars</t>
  </si>
  <si>
    <t>K</t>
  </si>
  <si>
    <t>kJ/mole</t>
  </si>
  <si>
    <t>(cal/cc)^.5</t>
  </si>
  <si>
    <t>NdHB</t>
  </si>
  <si>
    <t>&lt;eHB/k&gt;</t>
  </si>
  <si>
    <t>CH3</t>
  </si>
  <si>
    <t>CH2</t>
  </si>
  <si>
    <t>RCH2</t>
  </si>
  <si>
    <t>RCH</t>
  </si>
  <si>
    <t>C</t>
  </si>
  <si>
    <t>RC</t>
  </si>
  <si>
    <t>AC</t>
  </si>
  <si>
    <t>CH3N</t>
  </si>
  <si>
    <t>CH2N</t>
  </si>
  <si>
    <t>CH===C</t>
  </si>
  <si>
    <t>C===C</t>
  </si>
  <si>
    <t>CL&lt;C=C&gt;</t>
  </si>
  <si>
    <t>CON&lt;CH3&gt;2</t>
  </si>
  <si>
    <t>CON&lt;CH2&gt;2</t>
  </si>
  <si>
    <t>gas</t>
  </si>
  <si>
    <t>DVP_A</t>
  </si>
  <si>
    <t>DVP_B</t>
  </si>
  <si>
    <t>DVP_C</t>
  </si>
  <si>
    <t>DVP_D</t>
  </si>
  <si>
    <t>DVP_E</t>
  </si>
  <si>
    <t>DVP_LOT</t>
  </si>
  <si>
    <t>DVP_HIT</t>
  </si>
  <si>
    <t>allene</t>
  </si>
  <si>
    <t>eHBkcal/mol</t>
  </si>
  <si>
    <t>Tc</t>
  </si>
  <si>
    <t>Zc</t>
  </si>
  <si>
    <t>Name</t>
  </si>
  <si>
    <t>c</t>
  </si>
  <si>
    <t>q</t>
  </si>
  <si>
    <t>EOK(K)</t>
  </si>
  <si>
    <t>b(cc/mol)</t>
  </si>
  <si>
    <t>Nd</t>
  </si>
  <si>
    <t>KAD</t>
  </si>
  <si>
    <t>EHB/RTc</t>
  </si>
  <si>
    <t>Nas</t>
  </si>
  <si>
    <t>Nds</t>
  </si>
  <si>
    <t>InitGuess</t>
  </si>
  <si>
    <t>Dear Colleague,</t>
  </si>
  <si>
    <t>Thank you for your interest in the ESD research.  We are continually striving to improve our methodology</t>
  </si>
  <si>
    <t xml:space="preserve">and we welcome your comments and suggestions.  This workbook is designed to compute the ESD </t>
  </si>
  <si>
    <t>UNIFAC group contributions.  The basic idea is to enter the number of instances of each group contribution</t>
  </si>
  <si>
    <t>in your molecule, then call the Excel Solver to compute the values of the ESD parameters.  Two spreadsheets</t>
  </si>
  <si>
    <t>groupC</t>
  </si>
  <si>
    <t>The liquid molar volume at 298K and the solubility parameter are then estimated by standard group contribution</t>
  </si>
  <si>
    <t xml:space="preserve">methods.  Since the saturated liquid Z factor is ~equal to zero, and the solubility parameter gives a second </t>
  </si>
  <si>
    <t>equation, this results in two equations and two unknowns (b and e).  The hydrogen bonding parameters</t>
  </si>
  <si>
    <t xml:space="preserve">parameters (b, c, e, Nd, KAD, eHB) and critical properties for any compound that can be described by the </t>
  </si>
  <si>
    <t>(Nd, KAD, and eHB) are computed from group contributions given in the spreadsheet HBGC's.</t>
  </si>
  <si>
    <t>GivenPsat</t>
  </si>
  <si>
    <t>If your molecule is of intermediate size, (350 &lt; MW &lt; 500), then you might have an experimental value of the</t>
  </si>
  <si>
    <t>vapor pressure.  Such a datum can be extremely valuable in improving the accuracy of your predictions and</t>
  </si>
  <si>
    <t xml:space="preserve">correlations.  The strategy is to apply the group contribution estimate of the liquid molar volume and </t>
  </si>
  <si>
    <t>solubility parameter as in groupC, but to use your value of Psat to provide a third equation to determine</t>
  </si>
  <si>
    <t xml:space="preserve">It is possible that you may have a better estimate of the liquid molar volume or solubility parameter than </t>
  </si>
  <si>
    <t xml:space="preserve">As you experiment more and more with your particular systems, you will probably find yourself making </t>
  </si>
  <si>
    <t xml:space="preserve">fine adjustments like this to a greater extent.  That's great!  The point is to get started and to get on </t>
  </si>
  <si>
    <t>a path of continuous improvement.</t>
  </si>
  <si>
    <t>Tsat</t>
  </si>
  <si>
    <t>Psat</t>
  </si>
  <si>
    <t>etaLsat</t>
  </si>
  <si>
    <t>etaVsat</t>
  </si>
  <si>
    <t xml:space="preserve"> = 10mmHg</t>
  </si>
  <si>
    <t>ZL298</t>
  </si>
  <si>
    <t>Calculate ESD parms for nonassociating component according to analytical solution.</t>
  </si>
  <si>
    <t>Tc(K)</t>
  </si>
  <si>
    <t>Pc(Mpa)</t>
  </si>
  <si>
    <t>cShape</t>
  </si>
  <si>
    <t>qShape</t>
  </si>
  <si>
    <t>eok</t>
  </si>
  <si>
    <t>bVol</t>
  </si>
  <si>
    <t>eHB/k</t>
  </si>
  <si>
    <t>k_1</t>
  </si>
  <si>
    <t>SG</t>
  </si>
  <si>
    <t>etaL298</t>
  </si>
  <si>
    <t>the shape factor "c."  The Solver associated with that spreadsheet takes care of everything.</t>
  </si>
  <si>
    <t>(MW &lt; 350), we recommend using the critical point and acentric factor correlations as given in Elliott and Lira, and</t>
  </si>
  <si>
    <t>bVol/MW</t>
  </si>
  <si>
    <t>reset the cell that you changed equal to the appropriate group contribution value in the second row.</t>
  </si>
  <si>
    <t>ZcEsd</t>
  </si>
  <si>
    <t>rootC</t>
  </si>
  <si>
    <t>esdA</t>
  </si>
  <si>
    <t>below eq15.116</t>
  </si>
  <si>
    <t>Eq. 15.113</t>
  </si>
  <si>
    <t>Eq. 15.114</t>
  </si>
  <si>
    <t>bVolEst</t>
  </si>
  <si>
    <t>Eq. 15.116</t>
  </si>
  <si>
    <t>eokEst</t>
  </si>
  <si>
    <t>ln(phiL)+ln(zL)</t>
  </si>
  <si>
    <t>ln(phiV)+ln(zV)</t>
  </si>
  <si>
    <t xml:space="preserve"> ~zLsat</t>
  </si>
  <si>
    <t>ZLsatCalc</t>
  </si>
  <si>
    <t>zVsatCalc</t>
  </si>
  <si>
    <t>GivenTcPcW</t>
  </si>
  <si>
    <t>critical constants.  For non-associating species, this makes the answer explicit (Elliott and Lira, 1999, p564).</t>
  </si>
  <si>
    <t>FassocL298</t>
  </si>
  <si>
    <t>alphaHbL298</t>
  </si>
  <si>
    <t>alphaHbVsat</t>
  </si>
  <si>
    <t>FassocVsat</t>
  </si>
  <si>
    <t>alphaHbLsat</t>
  </si>
  <si>
    <t>FassocLsat</t>
  </si>
  <si>
    <t>~etaL298</t>
  </si>
  <si>
    <t>zLcalc298</t>
  </si>
  <si>
    <t>Fassoc298</t>
  </si>
  <si>
    <t>alphaHb298</t>
  </si>
  <si>
    <t>PsatCalcBar</t>
  </si>
  <si>
    <t>Note: prior to 5/5/01 there was a typo with 319/298 instead of F21/298</t>
  </si>
  <si>
    <t>bigY=</t>
  </si>
  <si>
    <t>Y298</t>
  </si>
  <si>
    <t>LmvHoy+</t>
  </si>
  <si>
    <t>Eq7LHS</t>
  </si>
  <si>
    <t>&gt;CH-</t>
  </si>
  <si>
    <t>bVol/Mw</t>
  </si>
  <si>
    <t>PcMPa</t>
  </si>
  <si>
    <t>Note: ln(Z) is not part of this formula because ln(phi) = d[(A-Aid)/RT]/dni - lnZ, so ln(phi)+ln(Z) = d[(A-Aid)/RT]/dni</t>
  </si>
  <si>
    <t>We must avoid ln(Z) when Z&lt;0, and this can happen during the iterations on zLiq since zLiq~0 most of the time.</t>
  </si>
  <si>
    <t>Note: set zL298=0.1*LMV/(8.314*298) also, just to be sure.  It is very sensitive to bVol so adding this constraint only affects the 3rd sig fig on bVol.</t>
  </si>
  <si>
    <t>Note: you must type the Tc,Pc,w here either from experimental ref or from other worksheets.</t>
  </si>
  <si>
    <t>FYI: From E&amp;L, 1ed, p564, Eq15.112-15.116</t>
  </si>
  <si>
    <t>aQuad</t>
  </si>
  <si>
    <t>bQuad</t>
  </si>
  <si>
    <t>Note: when Tc, Pc, and w are to be matched, you can also choose the RP option of CalcEos</t>
  </si>
  <si>
    <t>with nParms=1 and enter 123456 for the id#.  Fill in the table below and copy into response when requested from CalcEos.</t>
  </si>
  <si>
    <t>The example below pertains to nDocosane, showing that non-associating components give roughly the same answer either way.</t>
  </si>
  <si>
    <t>SpeGrav</t>
  </si>
  <si>
    <t>vpA</t>
  </si>
  <si>
    <t>vpB</t>
  </si>
  <si>
    <t>vpC</t>
  </si>
  <si>
    <t>vpD</t>
  </si>
  <si>
    <t>vpE</t>
  </si>
  <si>
    <t>tMinVp</t>
  </si>
  <si>
    <t>tMaxVp</t>
  </si>
  <si>
    <t>FYI:</t>
  </si>
  <si>
    <t>tSat0.7</t>
  </si>
  <si>
    <t>pSat0.7</t>
  </si>
  <si>
    <t>The coefficients in the above table are estimated from the shortcut VP equation (p262) to conform with DIPPR correlation standard (P[=]Pa)</t>
  </si>
  <si>
    <t>Of course, you should use a more precise vp correlation specifically for your experimental data if you have it.</t>
  </si>
  <si>
    <t>From CalcEos (RP option), setting dHkcal/mol=0, KadStar=0.025, iDenOpt=0, nParms=1, iterOpt=0</t>
  </si>
  <si>
    <t>For associating components when you want to match Tc, Pc, w.</t>
  </si>
  <si>
    <t>The example below pertains to ethanol.</t>
  </si>
  <si>
    <t>Ethanol</t>
  </si>
  <si>
    <t>From CalcEos (RP option), setting dHkcal/mol=5, KadStar=0.025, iDenOpt=0, nParms=1, iterOpt=0</t>
  </si>
  <si>
    <t>This is why we use ln[Psat*b/(etaL*R*T)] when computing ln(phiV/phiL) instead of ln(ZLsatCalc).</t>
  </si>
  <si>
    <t>ln(phiL)</t>
  </si>
  <si>
    <t xml:space="preserve">ln(phiV) </t>
  </si>
  <si>
    <t xml:space="preserve">Note: ln(phiV/phiL)=(dA/dni)Vap+ZV-1-lnZV - [(dA/dni)Liq+ZL-1-lnZL] = d(AV-AL)/dni +ZV-ZL- ln(ZV/ZL)= d(AV-AL)/dni +ZV-ZL- ln(etaL/etaV) </t>
  </si>
  <si>
    <t>ZV(B2)=</t>
  </si>
  <si>
    <t>Zassoc=-Nd(1-XA)/(1-1.9*eta)</t>
  </si>
  <si>
    <t>dZassoc/dEta = -Nd*[-dXA/dEta/(1-1.9*eta)+1.9*(1-XA)/(1-1.9*eta)^2]</t>
  </si>
  <si>
    <t xml:space="preserve"> alpha=eta*KAD*Yhb/(1-1.9*eta)</t>
  </si>
  <si>
    <t>dAlpha/dEta=KAD*Yhb/(1-1.9*eta)+1.9*eta*KAD*Yhb/(1-1.9*eta)^2</t>
  </si>
  <si>
    <t>XA=[-1+sqrt(1+4*Nd*alpha)]/2alpha</t>
  </si>
  <si>
    <t>*[1+sqrt(1+4*Nd*alpha)]/[1+sqrt(1+4*Nd*alpha)]</t>
  </si>
  <si>
    <t>dXA/dEta=dXA/dAlpha*(dAlpha/dEta) -&gt; 2*Nd*KAD*Yhb</t>
  </si>
  <si>
    <t>dZassoc/dEta -&gt; +Nd*(2*Nd*KAD*Yhb) = B2assoc</t>
  </si>
  <si>
    <t>B2assoc=</t>
  </si>
  <si>
    <t>1/XA-1 = alpha*XA</t>
  </si>
  <si>
    <t>XA-&gt;1/(1+alpha) -&gt; 1-alpha</t>
  </si>
  <si>
    <t>1-XA -&gt; alpha - alpha^2</t>
  </si>
  <si>
    <t>(1-XA)/alpha -&gt; 1-alpha</t>
  </si>
  <si>
    <t>XA=2*Nd/[1+sqrt(1+4*Nd*alpha)]</t>
  </si>
  <si>
    <t xml:space="preserve"> =&gt; dXA/dAlpha=2*Nd*0.5*(1+4*Nd*alpha)^-0.5*4*Nd -&gt; 4*Nd^2 @ alpha -&gt; 0</t>
  </si>
  <si>
    <t>F=(1/XA-1)/sqrt(alpha)</t>
  </si>
  <si>
    <t>Zassoc=-F^2/(1-1.9*eta)</t>
  </si>
  <si>
    <t>p*b/(etaV*R*T) = 1+B2*etaV =&gt; B=etaV+B2*etaV^2 =&gt; etaV = [-1+sqrt(1+4*B*B2)]/(2*B2)</t>
  </si>
  <si>
    <t xml:space="preserve">B = </t>
  </si>
  <si>
    <t>ln(phiV)</t>
  </si>
  <si>
    <t>B2disp=</t>
  </si>
  <si>
    <t>B=P*b/(eta*R*T)</t>
  </si>
  <si>
    <t xml:space="preserve"> 2*B2*etaV-ln( P*b/(etaV*R*T) ) = (AL-Aig)/RT+ZL-1-ln(ZL)</t>
  </si>
  <si>
    <t>Written by JRE 2002</t>
  </si>
  <si>
    <t xml:space="preserve">reproduced in the spreadsheet GivenTcPcW.  </t>
  </si>
  <si>
    <t>sulfone</t>
  </si>
  <si>
    <t>SO2</t>
  </si>
  <si>
    <t>1.  nHexadecanol = 1*CH3+15*CH2+1*OH</t>
  </si>
  <si>
    <t>GroupC</t>
  </si>
  <si>
    <t>2. 5ethylHexadecanol=2*CH3+15*CH2+1*CH+1*OH</t>
  </si>
  <si>
    <t>…</t>
  </si>
  <si>
    <t>KAD*</t>
  </si>
  <si>
    <t>C's</t>
  </si>
  <si>
    <t>H's</t>
  </si>
  <si>
    <t>O's</t>
  </si>
  <si>
    <t>N's</t>
  </si>
  <si>
    <t>Cl's</t>
  </si>
  <si>
    <t>F's</t>
  </si>
  <si>
    <t>S's</t>
  </si>
  <si>
    <t>X's</t>
  </si>
  <si>
    <t>CL's</t>
  </si>
  <si>
    <t>Revised by FSE 3/5/08: Version 3 includes the updated REGCF values of Emami et al, IECR 47:8401 (2008) and JCT 41:530 (2009)</t>
  </si>
  <si>
    <t>It also includes characterization of SO2 for ionic liquids.</t>
  </si>
  <si>
    <t xml:space="preserve">treat the two cases that are relevant for heavy molecules:  groupC and GivenPsat.  For small non-associating molecules </t>
  </si>
  <si>
    <t>This spreadsheet computes the shape factor ("c") from a group contribution method (Emami et al. 2008).</t>
  </si>
  <si>
    <t>If your molecule is of small size and non-associating, ( MW &lt; 350) then you might have an experimental value of the</t>
  </si>
  <si>
    <t>For associating species, it is recommended to access the contact the administrator at SPEADMD.org</t>
  </si>
  <si>
    <t xml:space="preserve">the correlations here can give you.  If so, you can type your values into the cells that are used to </t>
  </si>
  <si>
    <t>solve the equations (blue font).  When you are done with the calculation for that compound, you should</t>
  </si>
  <si>
    <t>Cp/R</t>
  </si>
  <si>
    <t>CpA</t>
  </si>
  <si>
    <t>CpB</t>
  </si>
  <si>
    <t>CpC</t>
  </si>
  <si>
    <t>CpD</t>
  </si>
  <si>
    <t>para-CH3CH2-(C6H4)-CH2CH2COOH</t>
  </si>
  <si>
    <t>rho(g/cm3)</t>
  </si>
  <si>
    <t>5 001 1 043 1 006 1 008 2 002 3</t>
  </si>
  <si>
    <t>solParm(J/cm3)</t>
  </si>
  <si>
    <t>C3H4O2</t>
  </si>
  <si>
    <t>C6H8O4</t>
  </si>
  <si>
    <t>solParm</t>
  </si>
  <si>
    <t>CAS#</t>
  </si>
  <si>
    <t>tCod pCo vCo</t>
  </si>
  <si>
    <t>Form        Name</t>
  </si>
  <si>
    <t>P 5 P 5 P 5</t>
  </si>
  <si>
    <t>C5H10O2</t>
  </si>
  <si>
    <t>solParm(cal/cc)^.5</t>
  </si>
  <si>
    <t>HansenDd</t>
  </si>
  <si>
    <t>HansenDp</t>
  </si>
  <si>
    <t>HansenDh</t>
  </si>
  <si>
    <t>IJT, 29:568(08)</t>
  </si>
  <si>
    <t>solParHansenD</t>
  </si>
  <si>
    <t>½</t>
  </si>
  <si>
    <r>
      <t>MPa</t>
    </r>
    <r>
      <rPr>
        <vertAlign val="superscript"/>
        <sz val="10"/>
        <rFont val="Times New Roman"/>
        <family val="1"/>
      </rPr>
      <t>½</t>
    </r>
  </si>
  <si>
    <t>solParHansenP</t>
  </si>
  <si>
    <t>solParHansenH</t>
  </si>
  <si>
    <t>solParHansenT</t>
  </si>
  <si>
    <r>
      <t>(cal/cc)</t>
    </r>
    <r>
      <rPr>
        <vertAlign val="superscript"/>
        <sz val="10"/>
        <rFont val="Times New Roman"/>
        <family val="1"/>
      </rPr>
      <t>½</t>
    </r>
  </si>
  <si>
    <t>Hansen Parameters</t>
  </si>
  <si>
    <t>DiAcetylIsosorbide = 2*CH3COO+4RCH+2CH2O</t>
  </si>
  <si>
    <t>delD</t>
  </si>
  <si>
    <t>delP</t>
  </si>
  <si>
    <t>delH</t>
  </si>
  <si>
    <t>delTot</t>
  </si>
  <si>
    <t>MPa½</t>
  </si>
  <si>
    <t>(cal/cc)½</t>
  </si>
  <si>
    <t>Notes:</t>
  </si>
  <si>
    <t>Checks with Lit example.</t>
  </si>
  <si>
    <t>1hexanal=1CH3+4CH2+1CHO</t>
  </si>
  <si>
    <t>Alizarin=6ACH+4AC+2ACOH + 2 &gt;C=O(other)</t>
  </si>
  <si>
    <t>&gt;C=O(other)</t>
  </si>
  <si>
    <t>CritProps</t>
  </si>
  <si>
    <t>ParmsEsd</t>
  </si>
  <si>
    <t>Cas</t>
  </si>
  <si>
    <t>Codes</t>
  </si>
  <si>
    <t>Density298</t>
  </si>
  <si>
    <t xml:space="preserve">Note: we estimate the vL(Tsat)~vL298.  </t>
  </si>
  <si>
    <t>PolyEthylene</t>
  </si>
  <si>
    <t>Tc -&gt; 2000K at 1E11Mw</t>
  </si>
  <si>
    <t>BcInf=</t>
  </si>
  <si>
    <t xml:space="preserve"> /SQRT(c)</t>
  </si>
  <si>
    <r>
      <t xml:space="preserve">Groups No. of compounds </t>
    </r>
    <r>
      <rPr>
        <sz val="7"/>
        <color rgb="FF000000"/>
        <rFont val="AdvGulliv-I"/>
      </rPr>
      <t>T</t>
    </r>
    <r>
      <rPr>
        <sz val="5"/>
        <color rgb="FF000000"/>
        <rFont val="AdvGulliv-R"/>
      </rPr>
      <t>b</t>
    </r>
    <r>
      <rPr>
        <sz val="7"/>
        <color rgb="FF000000"/>
        <rFont val="AdvGulliv-R"/>
      </rPr>
      <t xml:space="preserve">/K at 101.33 kPa </t>
    </r>
    <r>
      <rPr>
        <sz val="7"/>
        <color rgb="FF000000"/>
        <rFont val="AdvGulliv-I"/>
      </rPr>
      <t>T</t>
    </r>
    <r>
      <rPr>
        <sz val="5"/>
        <color rgb="FF000000"/>
        <rFont val="AdvGulliv-R"/>
      </rPr>
      <t>b</t>
    </r>
    <r>
      <rPr>
        <sz val="7"/>
        <color rgb="FF000000"/>
        <rFont val="AdvGulliv-R"/>
      </rPr>
      <t xml:space="preserve">/K at 1.33 kPa </t>
    </r>
    <r>
      <rPr>
        <sz val="7"/>
        <color rgb="FF000000"/>
        <rFont val="AdvGulliv-I"/>
      </rPr>
      <t>T</t>
    </r>
    <r>
      <rPr>
        <sz val="5"/>
        <color rgb="FF000000"/>
        <rFont val="AdvGulliv-R"/>
      </rPr>
      <t>c</t>
    </r>
    <r>
      <rPr>
        <sz val="7"/>
        <color rgb="FF000000"/>
        <rFont val="AdvGulliv-R"/>
      </rPr>
      <t>/K</t>
    </r>
  </si>
  <si>
    <t>CH–O</t>
  </si>
  <si>
    <t>C„C</t>
  </si>
  <si>
    <t>CLhC@Ci</t>
  </si>
  <si>
    <t>Tb</t>
  </si>
  <si>
    <t>Emami values</t>
  </si>
  <si>
    <t>3. pMeBenzylAlcohol=4*ACH+1*ACCH3+1*ACCH2+1*OH</t>
  </si>
  <si>
    <t>saftMshape</t>
  </si>
  <si>
    <t>PcMpa</t>
  </si>
  <si>
    <t>acen</t>
  </si>
  <si>
    <t>vL</t>
  </si>
  <si>
    <t>NBP</t>
  </si>
  <si>
    <t>MP</t>
  </si>
  <si>
    <t>hforKJ/mo</t>
  </si>
  <si>
    <t>gfor</t>
  </si>
  <si>
    <t>Cas#</t>
  </si>
  <si>
    <t>tC  pC  vC</t>
  </si>
  <si>
    <t>FORM</t>
  </si>
  <si>
    <t>XE2 XE3 XE4</t>
  </si>
  <si>
    <t>He</t>
  </si>
  <si>
    <t>HELIUM-4</t>
  </si>
  <si>
    <t>XE3 XE5 XE4</t>
  </si>
  <si>
    <t>H2</t>
  </si>
  <si>
    <t>HYDROGEN</t>
  </si>
  <si>
    <t>XU3 XU4 XU0</t>
  </si>
  <si>
    <t>D2</t>
  </si>
  <si>
    <t>DEUTERIUM</t>
  </si>
  <si>
    <t>XE2 XE0 XE4</t>
  </si>
  <si>
    <t>Ne</t>
  </si>
  <si>
    <t>NEON</t>
  </si>
  <si>
    <t>XE3 XE4 XE5</t>
  </si>
  <si>
    <t>N2</t>
  </si>
  <si>
    <t>NITROGEN</t>
  </si>
  <si>
    <t>CO</t>
  </si>
  <si>
    <t>XE3 XE4 PE5</t>
  </si>
  <si>
    <t>F2</t>
  </si>
  <si>
    <t>FLUORINE</t>
  </si>
  <si>
    <t>XE3 XE3 XE4</t>
  </si>
  <si>
    <t>Ar</t>
  </si>
  <si>
    <t>ARGON</t>
  </si>
  <si>
    <t>O2</t>
  </si>
  <si>
    <t>OXYGEN</t>
  </si>
  <si>
    <t>XE1 XE1 XU1</t>
  </si>
  <si>
    <t>CH4</t>
  </si>
  <si>
    <t>METHANE</t>
  </si>
  <si>
    <t>Kr</t>
  </si>
  <si>
    <t>KRYPTON</t>
  </si>
  <si>
    <t>CF4</t>
  </si>
  <si>
    <t>XU3 XU4 XU4</t>
  </si>
  <si>
    <t>F3N</t>
  </si>
  <si>
    <t>XU3 XU4 PU0</t>
  </si>
  <si>
    <t>BF3</t>
  </si>
  <si>
    <t>XU3 XE4 XU5</t>
  </si>
  <si>
    <t>O3</t>
  </si>
  <si>
    <t>OZONE</t>
  </si>
  <si>
    <t>XU3 XU4 PU6</t>
  </si>
  <si>
    <t>H4Si</t>
  </si>
  <si>
    <t>SILANE</t>
  </si>
  <si>
    <t>XE2 XU2 XE4</t>
  </si>
  <si>
    <t>C2H4</t>
  </si>
  <si>
    <t>ETHYLENE</t>
  </si>
  <si>
    <t>Xe</t>
  </si>
  <si>
    <t>Xenon</t>
  </si>
  <si>
    <t>XU3 XU3 XU4</t>
  </si>
  <si>
    <t>B2H6</t>
  </si>
  <si>
    <t>DIBORANE</t>
  </si>
  <si>
    <t>XE2 XU4 XE4</t>
  </si>
  <si>
    <t>C2F6</t>
  </si>
  <si>
    <t>HEXAFLUOROETHANE</t>
  </si>
  <si>
    <t>PU4 PU5 PU6</t>
  </si>
  <si>
    <t>CF2O</t>
  </si>
  <si>
    <t>CHF3</t>
  </si>
  <si>
    <t>TRIFLUOROMETHANE</t>
  </si>
  <si>
    <t>XU2 XU3 XU4</t>
  </si>
  <si>
    <t>CClF3</t>
  </si>
  <si>
    <t>CHLOROTRIFLUOROMETHANE</t>
  </si>
  <si>
    <t>C2H2F2</t>
  </si>
  <si>
    <t>1,1-DIFLUOROETHYLENE</t>
  </si>
  <si>
    <t>CO2</t>
  </si>
  <si>
    <t>XE1 XE1 XU3</t>
  </si>
  <si>
    <t>C2H6</t>
  </si>
  <si>
    <t>ETHANE</t>
  </si>
  <si>
    <t>C2F4</t>
  </si>
  <si>
    <t>TETRAFLUOROETHYLENE</t>
  </si>
  <si>
    <t>P 6 PU6 PU6</t>
  </si>
  <si>
    <t>GeH4</t>
  </si>
  <si>
    <t>XE2 XE2 XE4</t>
  </si>
  <si>
    <t>C2H2</t>
  </si>
  <si>
    <t>ACETYLENE</t>
  </si>
  <si>
    <t>XU2 XU0 XU0</t>
  </si>
  <si>
    <t>F4N2</t>
  </si>
  <si>
    <t>TETRAFLUOROHYDRAZINE</t>
  </si>
  <si>
    <t>N2O</t>
  </si>
  <si>
    <t>NITROUS OXIDE</t>
  </si>
  <si>
    <t>CH3F</t>
  </si>
  <si>
    <t>XU3 XU4 XE5</t>
  </si>
  <si>
    <t>F6S</t>
  </si>
  <si>
    <t>HCl</t>
  </si>
  <si>
    <t>?U3 ?U3 PU5</t>
  </si>
  <si>
    <t>H3P</t>
  </si>
  <si>
    <t>PHOSPHINE</t>
  </si>
  <si>
    <t>C2H3F</t>
  </si>
  <si>
    <t>PE4 P 5 P 6</t>
  </si>
  <si>
    <t>C2HF5</t>
  </si>
  <si>
    <t>PENTAFLUOROETHANE</t>
  </si>
  <si>
    <t>CBrF3</t>
  </si>
  <si>
    <t>BROMOTRIFLUOROMETHANE</t>
  </si>
  <si>
    <t>C3F8</t>
  </si>
  <si>
    <t>OCTAFLUOROPROPANE</t>
  </si>
  <si>
    <t>C2H3F3</t>
  </si>
  <si>
    <t>1,1,1-TRIFLUOROETHANE</t>
  </si>
  <si>
    <t>CH2F2</t>
  </si>
  <si>
    <t>DIFLUOROMETHANE</t>
  </si>
  <si>
    <t>XU3 P 6 P 7</t>
  </si>
  <si>
    <t>CH6Si</t>
  </si>
  <si>
    <t>METHYL SILANE</t>
  </si>
  <si>
    <t>C2ClF5</t>
  </si>
  <si>
    <t>CHLOROPENTAFLUOROETHANE</t>
  </si>
  <si>
    <t>XU3 XU4 XU5</t>
  </si>
  <si>
    <t>C3F6O</t>
  </si>
  <si>
    <t>HEXAFLUOROACETONE</t>
  </si>
  <si>
    <t>XE3 XE4 XU5</t>
  </si>
  <si>
    <t>BrH</t>
  </si>
  <si>
    <t>C3H6</t>
  </si>
  <si>
    <t>PROPYLENE</t>
  </si>
  <si>
    <t>ClFO3</t>
  </si>
  <si>
    <t>XU2 XE3 XU4</t>
  </si>
  <si>
    <t>CHClF2</t>
  </si>
  <si>
    <t>CHLORODIFLUOROMETHANE</t>
  </si>
  <si>
    <t>XE1 XE1 XE3</t>
  </si>
  <si>
    <t>C3H8</t>
  </si>
  <si>
    <t>PROPANE</t>
  </si>
  <si>
    <t>P 3 P 5 P 5</t>
  </si>
  <si>
    <t>C2H2O</t>
  </si>
  <si>
    <t>KETENE</t>
  </si>
  <si>
    <t>XU3 P 6 P 4</t>
  </si>
  <si>
    <t>AsH3</t>
  </si>
  <si>
    <t>ARSINE</t>
  </si>
  <si>
    <t>XE2 XE4 XE5</t>
  </si>
  <si>
    <t>H2S</t>
  </si>
  <si>
    <t>P 5 P 5 P 6</t>
  </si>
  <si>
    <t>C2H2F4</t>
  </si>
  <si>
    <t>1,1,1,2-TETRAFLUOROETHANE</t>
  </si>
  <si>
    <t>X 5 X 5 P 5</t>
  </si>
  <si>
    <t>CF3CFHCF3</t>
  </si>
  <si>
    <t>XE2 XU3 P 6</t>
  </si>
  <si>
    <t>C2H5F</t>
  </si>
  <si>
    <t>XU2 XU3 XU3</t>
  </si>
  <si>
    <t>COS</t>
  </si>
  <si>
    <t>C2ClF3</t>
  </si>
  <si>
    <t>CHLOROTRIFLUOROETHYLENE</t>
  </si>
  <si>
    <t>XU2 PU3 XE4</t>
  </si>
  <si>
    <t>CCl2F2</t>
  </si>
  <si>
    <t>DICHLORODIFLUOROMETHANE</t>
  </si>
  <si>
    <t>XE2 XE3 XE5</t>
  </si>
  <si>
    <t>C4F10</t>
  </si>
  <si>
    <t>DECAFLUOROBUTANE</t>
  </si>
  <si>
    <t>C2H4F2</t>
  </si>
  <si>
    <t>1,1-DIFLUOROETHANE</t>
  </si>
  <si>
    <t>C4F8</t>
  </si>
  <si>
    <t>OCTAFLUOROCYCLOBUTANE</t>
  </si>
  <si>
    <t>PE4 PE5 PE6</t>
  </si>
  <si>
    <t>1,1,2,2-TETRAFLUOROETHANE</t>
  </si>
  <si>
    <t>P 4 P 5 P 6</t>
  </si>
  <si>
    <t>OCTAFLUORO-2-BUTENE</t>
  </si>
  <si>
    <t>XE2 PE5 PE6</t>
  </si>
  <si>
    <t>C3H4</t>
  </si>
  <si>
    <t>PROPADIENE</t>
  </si>
  <si>
    <t>XU3 P 5 ?U6</t>
  </si>
  <si>
    <t>C2HClF4</t>
  </si>
  <si>
    <t>2-CHLORO-1,1,1,2-TETRAFLUOROET</t>
  </si>
  <si>
    <t>CYCLOPROPANE</t>
  </si>
  <si>
    <t>C2H6O</t>
  </si>
  <si>
    <t>C2N2</t>
  </si>
  <si>
    <t>CYANOGEN</t>
  </si>
  <si>
    <t>XE2 XU3 XE4</t>
  </si>
  <si>
    <t>C2HClF2</t>
  </si>
  <si>
    <t>2-CHLORO-1,1-DIFLUOROETHYLENE</t>
  </si>
  <si>
    <t>P 6 P 6 P 7</t>
  </si>
  <si>
    <t>C2H8Si</t>
  </si>
  <si>
    <t>XE2 XE2 XE2</t>
  </si>
  <si>
    <t>METHYLACETYLENE</t>
  </si>
  <si>
    <t>H3N</t>
  </si>
  <si>
    <t>AMMONIA</t>
  </si>
  <si>
    <t>C4H10</t>
  </si>
  <si>
    <t>ISOBUTANE</t>
  </si>
  <si>
    <t>C2H3ClF2</t>
  </si>
  <si>
    <t>1-CHLORO-1,1-DIFLUOROETHANE</t>
  </si>
  <si>
    <t>H2Se</t>
  </si>
  <si>
    <t>CH3Cl</t>
  </si>
  <si>
    <t>Cl2</t>
  </si>
  <si>
    <t>CHLORINE</t>
  </si>
  <si>
    <t>C4H8</t>
  </si>
  <si>
    <t>ISOBUTENE</t>
  </si>
  <si>
    <t>C2Cl2F4</t>
  </si>
  <si>
    <t>1,1-DICHLOROTETRAFLUOROETHANE</t>
  </si>
  <si>
    <t>1,2-DICHLOROTETRAFLUOROETHANE</t>
  </si>
  <si>
    <t>1-BUTENE</t>
  </si>
  <si>
    <t>PU4 PU4 P 6</t>
  </si>
  <si>
    <t>FORMALDEHYDE</t>
  </si>
  <si>
    <t>XE3 PE4 PE5</t>
  </si>
  <si>
    <t>HI</t>
  </si>
  <si>
    <t>C4H6</t>
  </si>
  <si>
    <t>1,3-BUTADIENE</t>
  </si>
  <si>
    <t>P 6 P 6 P 6</t>
  </si>
  <si>
    <t>N2O3</t>
  </si>
  <si>
    <t>n-BUTANE</t>
  </si>
  <si>
    <t>CBrClF2</t>
  </si>
  <si>
    <t>BROMOCHLORODIFLUOROMETHANE</t>
  </si>
  <si>
    <t>trans-2-BUTENE</t>
  </si>
  <si>
    <t>XE2 XE3 P 4</t>
  </si>
  <si>
    <t>CH5N</t>
  </si>
  <si>
    <t>METHYLAMINE</t>
  </si>
  <si>
    <t>O2S</t>
  </si>
  <si>
    <t>P 3 P 4 PU5</t>
  </si>
  <si>
    <t>C2H3Cl</t>
  </si>
  <si>
    <t>P 4 P 6 P 6</t>
  </si>
  <si>
    <t>H6Si2</t>
  </si>
  <si>
    <t>DISILANE</t>
  </si>
  <si>
    <t>P 5 P 5 PU6</t>
  </si>
  <si>
    <t>C2BrF3</t>
  </si>
  <si>
    <t>BROMOTRIFLUOROETHYLENE</t>
  </si>
  <si>
    <t>C3H10Si</t>
  </si>
  <si>
    <t>C3H9N</t>
  </si>
  <si>
    <t>TRIMETHYLAMINE</t>
  </si>
  <si>
    <t>C5H12</t>
  </si>
  <si>
    <t>NEOPENTANE</t>
  </si>
  <si>
    <t>cis-2-BUTENE</t>
  </si>
  <si>
    <t>P 3 P 4 P 5</t>
  </si>
  <si>
    <t>C3H6O</t>
  </si>
  <si>
    <t>PU2 PE3 PU0</t>
  </si>
  <si>
    <t>C2H7N</t>
  </si>
  <si>
    <t>DIMETHYLAMINE</t>
  </si>
  <si>
    <t>XE2 XE3 XU4</t>
  </si>
  <si>
    <t>C3H8O</t>
  </si>
  <si>
    <t>XE5 PE4 PE5</t>
  </si>
  <si>
    <t>ETHYLACETYLENE</t>
  </si>
  <si>
    <t>XU3 XU2 ?E3</t>
  </si>
  <si>
    <t>ClNO</t>
  </si>
  <si>
    <t>PE6 PE6 P 6</t>
  </si>
  <si>
    <t>1,2-DIFLUOROETHANE</t>
  </si>
  <si>
    <t>CClN</t>
  </si>
  <si>
    <t>PU3 PU4 PU5</t>
  </si>
  <si>
    <t>C4H12Si</t>
  </si>
  <si>
    <t>TETRAMETHYLSILANE</t>
  </si>
  <si>
    <t>?U4 PU4 PU6</t>
  </si>
  <si>
    <t>Cl2H2Si</t>
  </si>
  <si>
    <t>DICHLOROSILANE</t>
  </si>
  <si>
    <t>CHCl2F</t>
  </si>
  <si>
    <t>DICHLOROFLUOROMETHANE</t>
  </si>
  <si>
    <t>XU3 XU4 ?U0</t>
  </si>
  <si>
    <t>BCl3</t>
  </si>
  <si>
    <t>1,2-BUTADIENE</t>
  </si>
  <si>
    <t>C5H10</t>
  </si>
  <si>
    <t>3-METHYL-1-BUTENE</t>
  </si>
  <si>
    <t>P 3 P 6 P 6</t>
  </si>
  <si>
    <t>C4H4</t>
  </si>
  <si>
    <t>VINYLACETYLENE</t>
  </si>
  <si>
    <t>CCl2O</t>
  </si>
  <si>
    <t>PHOSGENE</t>
  </si>
  <si>
    <t>ETHYLAMINE</t>
  </si>
  <si>
    <t>XU3 ?U5 XU5</t>
  </si>
  <si>
    <t>C2HCl2F3</t>
  </si>
  <si>
    <t>1,1-DICHLORO-2,2,2-TRIFLUOROET</t>
  </si>
  <si>
    <t>XE3 XE4 XU0</t>
  </si>
  <si>
    <t>CHN</t>
  </si>
  <si>
    <t>HYDROGEN CYANIDE</t>
  </si>
  <si>
    <t>PE2 PE2 PE4</t>
  </si>
  <si>
    <t>CYCLOBUTANE</t>
  </si>
  <si>
    <t>C2H5Cl</t>
  </si>
  <si>
    <t>ISOPENTANE</t>
  </si>
  <si>
    <t>?U4 P 5 ?U5</t>
  </si>
  <si>
    <t>1,2-DICHLORO-1,1,2-TRIFLUOROET</t>
  </si>
  <si>
    <t>C4H6O</t>
  </si>
  <si>
    <t>C5H8</t>
  </si>
  <si>
    <t>3-METHYL-1-BUTYNE</t>
  </si>
  <si>
    <t>XU4 XU0 XU6</t>
  </si>
  <si>
    <t>CH3Br</t>
  </si>
  <si>
    <t>XU3 XU5 P 6</t>
  </si>
  <si>
    <t>C4H10O</t>
  </si>
  <si>
    <t>1-PENTENE</t>
  </si>
  <si>
    <t>XE2 XE3 XE2</t>
  </si>
  <si>
    <t>2-METHYL-1-BUTENE</t>
  </si>
  <si>
    <t>C2H4O</t>
  </si>
  <si>
    <t>XE1 XE2 XU3</t>
  </si>
  <si>
    <t>n-PENTANE</t>
  </si>
  <si>
    <t>XE2 XU3 XU4</t>
  </si>
  <si>
    <t>CH4S</t>
  </si>
  <si>
    <t>2-METHYL-2-BUTENE</t>
  </si>
  <si>
    <t>CCl3F</t>
  </si>
  <si>
    <t>TRICHLOROFLUOROMETHANE</t>
  </si>
  <si>
    <t>XU2 XU3 XU5</t>
  </si>
  <si>
    <t>ISOPROPYLAMINE</t>
  </si>
  <si>
    <t>P 4 P 5 P 7</t>
  </si>
  <si>
    <t>C2H7ClSi</t>
  </si>
  <si>
    <t>DIMETHYLCHLOROSILANE</t>
  </si>
  <si>
    <t>XE2 PE4 PE6</t>
  </si>
  <si>
    <t>DIMETHYLACETYLENE</t>
  </si>
  <si>
    <t>trans-2-PENTENE</t>
  </si>
  <si>
    <t>cis-2-PENTENE</t>
  </si>
  <si>
    <t>XE3 XE3 P 5</t>
  </si>
  <si>
    <t>C4H8O</t>
  </si>
  <si>
    <t>PE3 PU5 PE6</t>
  </si>
  <si>
    <t>P 4 P 5 P 5</t>
  </si>
  <si>
    <t>C3H5Cl</t>
  </si>
  <si>
    <t>2-CHLOROPROPENE</t>
  </si>
  <si>
    <t>?U4 ?U6 ?U6</t>
  </si>
  <si>
    <t>CBr2F2</t>
  </si>
  <si>
    <t>DIBROMODIFLUOROMETHANE</t>
  </si>
  <si>
    <t>XU3 PU5 ?U6</t>
  </si>
  <si>
    <t>C2H3Cl2F</t>
  </si>
  <si>
    <t>1,1-DICHLORO-1-FLUOROETHANE</t>
  </si>
  <si>
    <t>1,4-PENTADIENE</t>
  </si>
  <si>
    <t>XE3 PU4 ?U5</t>
  </si>
  <si>
    <t>Cl3HSi</t>
  </si>
  <si>
    <t>TRICHLOROSILANE</t>
  </si>
  <si>
    <t>PE4 PE5 P 6</t>
  </si>
  <si>
    <t>C6H12</t>
  </si>
  <si>
    <t>3,3-DIMETHYL-1-BUTENE</t>
  </si>
  <si>
    <t>XU3 XU5 XU6</t>
  </si>
  <si>
    <t>C3H8O2</t>
  </si>
  <si>
    <t>METHYLAL</t>
  </si>
  <si>
    <t>XU3 P 5 P 6</t>
  </si>
  <si>
    <t>1-PENTYNE</t>
  </si>
  <si>
    <t>CH4Cl2Si</t>
  </si>
  <si>
    <t>METHYL DICHLOROSILANE</t>
  </si>
  <si>
    <t>C4H11N</t>
  </si>
  <si>
    <t>tert-BUTYLAMINE</t>
  </si>
  <si>
    <t>PE4 PU0 PE6</t>
  </si>
  <si>
    <t>ISOPRENE</t>
  </si>
  <si>
    <t>C2Cl3F3</t>
  </si>
  <si>
    <t>1,1,2-TRICHLOROTRIFLUOROETHANE</t>
  </si>
  <si>
    <t>C2Br2F4</t>
  </si>
  <si>
    <t>1,2-DIBROMOTETRAFLUOROETHANE</t>
  </si>
  <si>
    <t>P 5 P 6 P 5</t>
  </si>
  <si>
    <t>C2H3NO</t>
  </si>
  <si>
    <t>METHYL ISOCYANATE</t>
  </si>
  <si>
    <t>C6H14</t>
  </si>
  <si>
    <t>2,2-DIMETHYLBUTANE</t>
  </si>
  <si>
    <t>C3H7Cl</t>
  </si>
  <si>
    <t>ISOPROPYL CHLORIDE</t>
  </si>
  <si>
    <t>3-METHYL-1,2-BUTADIENE</t>
  </si>
  <si>
    <t>C4H4O</t>
  </si>
  <si>
    <t>FURAN</t>
  </si>
  <si>
    <t>O3S</t>
  </si>
  <si>
    <t>SULFUR TRIOXIDE</t>
  </si>
  <si>
    <t>XE5 XE6 XU6</t>
  </si>
  <si>
    <t>C2HF3O2</t>
  </si>
  <si>
    <t>TRIFLUOROACETIC ACID</t>
  </si>
  <si>
    <t>C5H6</t>
  </si>
  <si>
    <t>2-METHYL-1-BUTENE-3-YNE</t>
  </si>
  <si>
    <t>3-METHYL-1-PENTENE</t>
  </si>
  <si>
    <t>P 4 P 4 P 5</t>
  </si>
  <si>
    <t>4-METHYL-1-PENTENE</t>
  </si>
  <si>
    <t>C2HBrClF3</t>
  </si>
  <si>
    <t>HALOTHANE</t>
  </si>
  <si>
    <t>XU2 XE3 XE4</t>
  </si>
  <si>
    <t>DIETHYLAMINE</t>
  </si>
  <si>
    <t>n-PROPYLAMINE</t>
  </si>
  <si>
    <t>2,3-PENTADIENE</t>
  </si>
  <si>
    <t>C5H12O</t>
  </si>
  <si>
    <t>METHYL ISOBUTYL ETHER</t>
  </si>
  <si>
    <t>XU1 XU2 P 5</t>
  </si>
  <si>
    <t>METHYL tert-BUTYL ETHER</t>
  </si>
  <si>
    <t>2-METHYLPENTANE</t>
  </si>
  <si>
    <t>PU4 PU5 PU7</t>
  </si>
  <si>
    <t>C3H9ClSi</t>
  </si>
  <si>
    <t>TRIMETHYLCHLOROSILANE</t>
  </si>
  <si>
    <t>PU3 PU3 PU0</t>
  </si>
  <si>
    <t>VINYL FORMATE</t>
  </si>
  <si>
    <t>METHYL sec-BUTYL ETHER</t>
  </si>
  <si>
    <t>P 5 P 6 PE6</t>
  </si>
  <si>
    <t>4-METHYL-cis-2-PENTENE</t>
  </si>
  <si>
    <t>PE4 PE2 PE6</t>
  </si>
  <si>
    <t>cis-1,3-PENTADIENE</t>
  </si>
  <si>
    <t>C2H6S</t>
  </si>
  <si>
    <t>ETHYL MERCAPTAN</t>
  </si>
  <si>
    <t>2,3-DIMETHYLBUTANE</t>
  </si>
  <si>
    <t>1,2-PENTADIENE</t>
  </si>
  <si>
    <t>trans-1,3-PENTADIENE</t>
  </si>
  <si>
    <t>C6H14O</t>
  </si>
  <si>
    <t>DIISOPROPYL ETHER</t>
  </si>
  <si>
    <t>P 5 P 6 P 6</t>
  </si>
  <si>
    <t>4-METHYL-trans-2-PENTENE</t>
  </si>
  <si>
    <t>PE4 PE4 PE5</t>
  </si>
  <si>
    <t>2,3-DIMETHYL-1-BUTENE</t>
  </si>
  <si>
    <t>1-PENTENE-4-YNE</t>
  </si>
  <si>
    <t>DIMETHYL SULFIDE</t>
  </si>
  <si>
    <t>XE2 XE3 P 5</t>
  </si>
  <si>
    <t>n-PROPYL CHLORIDE</t>
  </si>
  <si>
    <t>1-PROPANAL</t>
  </si>
  <si>
    <t>C2H5Br</t>
  </si>
  <si>
    <t>BROMOETHANE</t>
  </si>
  <si>
    <t>1-HEXENE</t>
  </si>
  <si>
    <t>3-METHYLPENTANE</t>
  </si>
  <si>
    <t>2-METHYL-1-PENTENE</t>
  </si>
  <si>
    <t>C3H7N</t>
  </si>
  <si>
    <t>ALLYLAMINE</t>
  </si>
  <si>
    <t>PU4 ?U0 P 5</t>
  </si>
  <si>
    <t>C3H4O</t>
  </si>
  <si>
    <t>ACROLEIN</t>
  </si>
  <si>
    <t>2-METHYL-2-PROPANOL</t>
  </si>
  <si>
    <t>C3H6O2</t>
  </si>
  <si>
    <t>METHYL ACETATE</t>
  </si>
  <si>
    <t>?E3 PU0 PU3</t>
  </si>
  <si>
    <t>CYCLOPENTENE</t>
  </si>
  <si>
    <t>P 3 P 3 P 5</t>
  </si>
  <si>
    <t>CYCLOPENTADIENE</t>
  </si>
  <si>
    <t>2-METHYLPROPANAL</t>
  </si>
  <si>
    <t>C4H9Cl</t>
  </si>
  <si>
    <t>tert-BUTYL CHLORIDE</t>
  </si>
  <si>
    <t>Cl4Si</t>
  </si>
  <si>
    <t>TETRACHLOROSILANE</t>
  </si>
  <si>
    <t>XE1 XE2 XE4</t>
  </si>
  <si>
    <t>n-HEXANE</t>
  </si>
  <si>
    <t>XE3 P 4 P 6</t>
  </si>
  <si>
    <t>C6H10</t>
  </si>
  <si>
    <t>1,5-HEXADIENE</t>
  </si>
  <si>
    <t>PU3 P 4 P 5</t>
  </si>
  <si>
    <t>C2H3ClO</t>
  </si>
  <si>
    <t>ACETYL CHLORIDE</t>
  </si>
  <si>
    <t>C3H5ClO2</t>
  </si>
  <si>
    <t>ETHYL CHLOROFORMATE</t>
  </si>
  <si>
    <t>ACETONE</t>
  </si>
  <si>
    <t>ISOPROPANOL</t>
  </si>
  <si>
    <t>ETHYL FORMATE</t>
  </si>
  <si>
    <t>cis-3-HEXENE</t>
  </si>
  <si>
    <t>trans-3-HEXENE</t>
  </si>
  <si>
    <t>PE4 PE0 P 6</t>
  </si>
  <si>
    <t>tert-BUTYL ETHYL ETHER</t>
  </si>
  <si>
    <t>trans-2-HEXENE</t>
  </si>
  <si>
    <t>1,4-HEXADIENE</t>
  </si>
  <si>
    <t>CH2Cl2</t>
  </si>
  <si>
    <t>DICHLOROMETHANE</t>
  </si>
  <si>
    <t>2-ETHYL-1-BUTENE</t>
  </si>
  <si>
    <t>cis-2-HEXENE</t>
  </si>
  <si>
    <t>CYCLOPENTANE</t>
  </si>
  <si>
    <t>CH4O</t>
  </si>
  <si>
    <t>METHANOL</t>
  </si>
  <si>
    <t>PE4 PE5 PU6</t>
  </si>
  <si>
    <t>METHYL-n-BUTYL ETHER</t>
  </si>
  <si>
    <t>ISOBUTYLAMINE</t>
  </si>
  <si>
    <t>2-METHYL-2-PENTENE</t>
  </si>
  <si>
    <t>XE2 XE4 XE4</t>
  </si>
  <si>
    <t>ETHANOL</t>
  </si>
  <si>
    <t>XE3 P 5 P 5</t>
  </si>
  <si>
    <t>3-CHLOROPROPENE</t>
  </si>
  <si>
    <t>XU2 XU0 P 5</t>
  </si>
  <si>
    <t>sec-BUTYLAMINE</t>
  </si>
  <si>
    <t>3-METHYL-cis-2-PENTENE</t>
  </si>
  <si>
    <t>1-HEXYNE</t>
  </si>
  <si>
    <t>?U3 ?U4 P 5</t>
  </si>
  <si>
    <t>C2H2Cl2</t>
  </si>
  <si>
    <t>trans-1,2-DICHLOROETHYLENE</t>
  </si>
  <si>
    <t>C6F6</t>
  </si>
  <si>
    <t>HEXAFLUOROBENZENE</t>
  </si>
  <si>
    <t>C3H8S</t>
  </si>
  <si>
    <t>ISOPROPYL MERCAPTAN</t>
  </si>
  <si>
    <t>PE4 PE6 PU6</t>
  </si>
  <si>
    <t>3-METHYL-trans-2-PENTENE</t>
  </si>
  <si>
    <t>CH3Cl3Si</t>
  </si>
  <si>
    <t>METHYL TRICHLOROSILANE</t>
  </si>
  <si>
    <t>2-PENTYNE</t>
  </si>
  <si>
    <t>PU4 PU5 P 6</t>
  </si>
  <si>
    <t>C6H18OSi2</t>
  </si>
  <si>
    <t>HEXAMETHYLDISILOXANE</t>
  </si>
  <si>
    <t>?U0 ?U4 PU2</t>
  </si>
  <si>
    <t>C4H6O2</t>
  </si>
  <si>
    <t>VINYL ACETATE</t>
  </si>
  <si>
    <t>C7H16</t>
  </si>
  <si>
    <t>2,4-DIMETHYLPENTANE</t>
  </si>
  <si>
    <t>P 2 P 4 P 5</t>
  </si>
  <si>
    <t>1,3-PROPYLENE OXIDE</t>
  </si>
  <si>
    <t>C2H6Cl2Si</t>
  </si>
  <si>
    <t>DIMETHYLDICHLOROSILANE</t>
  </si>
  <si>
    <t>2,2-DIMETHYLPENTANE</t>
  </si>
  <si>
    <t>XU2 P 4 P 5</t>
  </si>
  <si>
    <t>sec-BUTYL CHLORIDE</t>
  </si>
  <si>
    <t>C2H5ClO</t>
  </si>
  <si>
    <t>CHLOROMETHYL METHYL ETHER</t>
  </si>
  <si>
    <t>C2H4Cl2</t>
  </si>
  <si>
    <t>1,1-DICHLOROETHANE</t>
  </si>
  <si>
    <t>C4H8O2</t>
  </si>
  <si>
    <t>ETHYL ACETATE</t>
  </si>
  <si>
    <t>?U3 P 4 P 5</t>
  </si>
  <si>
    <t>C4H5Cl</t>
  </si>
  <si>
    <t>CHLOROPRENE</t>
  </si>
  <si>
    <t>C2H3ClO2</t>
  </si>
  <si>
    <t>METHYL CHLOROFORMATE</t>
  </si>
  <si>
    <t>3-METHYLCYCLOPENTENE</t>
  </si>
  <si>
    <t>2,3-DIMETHYL-1,3-BUTADIENE</t>
  </si>
  <si>
    <t>1,2-EPOXYBUTANE</t>
  </si>
  <si>
    <t>4-METHYLCYCLOPENTENE</t>
  </si>
  <si>
    <t>PE4 PE5 PE5</t>
  </si>
  <si>
    <t>2,3-DIMETHYL-2-BUTENE</t>
  </si>
  <si>
    <t>C7H14</t>
  </si>
  <si>
    <t>3-METHYL-1-HEXENE</t>
  </si>
  <si>
    <t>?U3 PE6 P 4</t>
  </si>
  <si>
    <t>CH3I</t>
  </si>
  <si>
    <t>METHYL IODIDE</t>
  </si>
  <si>
    <t>3-ETHYL-1-PENTENE</t>
  </si>
  <si>
    <t>METHACROLEIN</t>
  </si>
  <si>
    <t>C4H10S</t>
  </si>
  <si>
    <t>tert-BUTYL MERCAPTAN</t>
  </si>
  <si>
    <t>2-METHYLHEXANE</t>
  </si>
  <si>
    <t>METHYL PROPIONATE</t>
  </si>
  <si>
    <t>XU2 XU3 P 5</t>
  </si>
  <si>
    <t>DI-n-PROPYL ETHER</t>
  </si>
  <si>
    <t>2,3,3-TRIMETHYL-1-BUTENE</t>
  </si>
  <si>
    <t>2,2,3-TRIMETHYLBUTANE</t>
  </si>
  <si>
    <t>XE2 XU3 P 4</t>
  </si>
  <si>
    <t>n-BUTYLAMINE</t>
  </si>
  <si>
    <t>PU4 PU3 ?U4</t>
  </si>
  <si>
    <t>ISOPROPYL ACETATE</t>
  </si>
  <si>
    <t>C3H7Br</t>
  </si>
  <si>
    <t>2-BROMOPROPANE</t>
  </si>
  <si>
    <t>METHYLCYCLOPENTANE</t>
  </si>
  <si>
    <t>XU3 XE4 PE6</t>
  </si>
  <si>
    <t>METHYL ETHYL SULFIDE</t>
  </si>
  <si>
    <t>4-METHYL-1-HEXENE</t>
  </si>
  <si>
    <t>METHYL tert-PENTYL ETHER</t>
  </si>
  <si>
    <t>trans,trans-2,4-HEXADIENE</t>
  </si>
  <si>
    <t>C6H15N</t>
  </si>
  <si>
    <t>TRIETHYLAMINE</t>
  </si>
  <si>
    <t>3-METHYLHEXANE</t>
  </si>
  <si>
    <t>METHYL ETHYL KETONE</t>
  </si>
  <si>
    <t>1-BROMOPROPANE</t>
  </si>
  <si>
    <t>2-BUTANOL</t>
  </si>
  <si>
    <t>PU3 P 4 PU6</t>
  </si>
  <si>
    <t>METHYL ACRYLATE</t>
  </si>
  <si>
    <t>C6H12O</t>
  </si>
  <si>
    <t>BUTYL VINYL ETHER</t>
  </si>
  <si>
    <t>XE2 XE3 XE6</t>
  </si>
  <si>
    <t>C4H10O2</t>
  </si>
  <si>
    <t>1,2-DIMETHOXYETHANE</t>
  </si>
  <si>
    <t>3,3-DIMETHYLPENTANE</t>
  </si>
  <si>
    <t>XE2 XU4 XU4</t>
  </si>
  <si>
    <t>CHCl3</t>
  </si>
  <si>
    <t>CHLOROFORM</t>
  </si>
  <si>
    <t>n-PROPYL MERCAPTAN</t>
  </si>
  <si>
    <t>1-PROPANOL</t>
  </si>
  <si>
    <t>C2H5N</t>
  </si>
  <si>
    <t>ETHYLENEIMINE</t>
  </si>
  <si>
    <t>tert-BUTYL FORMATE</t>
  </si>
  <si>
    <t>PU3 P 6 P 4</t>
  </si>
  <si>
    <t>1-BUTANAL</t>
  </si>
  <si>
    <t>2,3-DIMETHYLPENTANE</t>
  </si>
  <si>
    <t>XE2 PE2 XE4</t>
  </si>
  <si>
    <t>1-HEPTENE</t>
  </si>
  <si>
    <t>2-METHYL-1-HEXENE</t>
  </si>
  <si>
    <t>cis,trans-2,4-HEXADIENE</t>
  </si>
  <si>
    <t>n-PROPYL FORMATE</t>
  </si>
  <si>
    <t>n-BUTYL CHLORIDE</t>
  </si>
  <si>
    <t>C6H14O2</t>
  </si>
  <si>
    <t>ACETAL</t>
  </si>
  <si>
    <t>PROPYLENEIMINE</t>
  </si>
  <si>
    <t>PE0 P 5 P 6</t>
  </si>
  <si>
    <t>trans-3-HEPTENE</t>
  </si>
  <si>
    <t>?U4 ?U0 P 7</t>
  </si>
  <si>
    <t>C3H3N</t>
  </si>
  <si>
    <t>ACRYLONITRILE</t>
  </si>
  <si>
    <t>XU2 XE2 XU4</t>
  </si>
  <si>
    <t>TETRAHYDROFURAN</t>
  </si>
  <si>
    <t>n-HEPTANE</t>
  </si>
  <si>
    <t>3-ETHYLPENTANE</t>
  </si>
  <si>
    <t>METHYL ISOBUTYRATE</t>
  </si>
  <si>
    <t>C6H8</t>
  </si>
  <si>
    <t>METHYLCYCLOPENTADIENE</t>
  </si>
  <si>
    <t>C3H3Cl</t>
  </si>
  <si>
    <t>PROPARGYL CHLORIDE</t>
  </si>
  <si>
    <t>1-METHYLCYCLOPENTENE</t>
  </si>
  <si>
    <t>2,5-DIHYDROFURAN</t>
  </si>
  <si>
    <t>2-ETHYL-1-PENTENE</t>
  </si>
  <si>
    <t>trans-2-HEPTENE</t>
  </si>
  <si>
    <t>cis-2-HEPTENE</t>
  </si>
  <si>
    <t>XE2 P 5 P 5</t>
  </si>
  <si>
    <t>2-METHYL-2-BUTANOL</t>
  </si>
  <si>
    <t>C8H18</t>
  </si>
  <si>
    <t>2,2,4-TRIMETHYLPENTANE</t>
  </si>
  <si>
    <t>3-HEXYNE</t>
  </si>
  <si>
    <t>cis-1,2-DICHLOROETHYLENE</t>
  </si>
  <si>
    <t>C6H19NSi2</t>
  </si>
  <si>
    <t>HEXAMETHYLDISILAZANE</t>
  </si>
  <si>
    <t>cis-3-HEPTENE</t>
  </si>
  <si>
    <t>XU2 PU4 PU5</t>
  </si>
  <si>
    <t>C2H3Cl3</t>
  </si>
  <si>
    <t>1,1,1-TRICHLOROETHANE</t>
  </si>
  <si>
    <t>?U4 P 5 P 6</t>
  </si>
  <si>
    <t>Cl2O2S</t>
  </si>
  <si>
    <t>SULFURYL CHLORIDE</t>
  </si>
  <si>
    <t>P 3 P 4 P 4</t>
  </si>
  <si>
    <t>C6H12O2</t>
  </si>
  <si>
    <t>tert-BUTYL ACETATE</t>
  </si>
  <si>
    <t>XU3 P 6 P 6</t>
  </si>
  <si>
    <t>ALLYL ALCOHOL</t>
  </si>
  <si>
    <t>XU1 XU3 ?U5</t>
  </si>
  <si>
    <t>C2H3N</t>
  </si>
  <si>
    <t>ACETONITRILE</t>
  </si>
  <si>
    <t>ETHYL PROPIONATE</t>
  </si>
  <si>
    <t>C5H8O2</t>
  </si>
  <si>
    <t>VINYL PROPIONATE</t>
  </si>
  <si>
    <t>C7H16O</t>
  </si>
  <si>
    <t>ETHYL-tert PENTYL ETHER</t>
  </si>
  <si>
    <t>sec-BUTYL FORMATE</t>
  </si>
  <si>
    <t>METHYL-n-PENTYL ETHER</t>
  </si>
  <si>
    <t>PE2 PE3 PE4</t>
  </si>
  <si>
    <t>1,1-DIMETHYLCYCLOPENTANE</t>
  </si>
  <si>
    <t>C8H18O2</t>
  </si>
  <si>
    <t>DI-t-BUTYL PEROXIDE</t>
  </si>
  <si>
    <t>C7H12</t>
  </si>
  <si>
    <t>1-HEPTYNE</t>
  </si>
  <si>
    <t>XE0 XE0 XE0</t>
  </si>
  <si>
    <t>2-METHYL-1-PROPANOL</t>
  </si>
  <si>
    <t>2-HEXYNE</t>
  </si>
  <si>
    <t>n-PROPYL ACETATE</t>
  </si>
  <si>
    <t>2,2-DIMETHYLHEXANE</t>
  </si>
  <si>
    <t>2,5-DIMETHYLHEXANE</t>
  </si>
  <si>
    <t>C8H16</t>
  </si>
  <si>
    <t>2,4,4-TRIMETHYL-1-PENTENE</t>
  </si>
  <si>
    <t>P 3 P 5 P 6</t>
  </si>
  <si>
    <t>C8H18O</t>
  </si>
  <si>
    <t>DI-tert-BUTYL ETHER</t>
  </si>
  <si>
    <t>XU3 XE3 P 4</t>
  </si>
  <si>
    <t>DI-n-PROPYLAMINE</t>
  </si>
  <si>
    <t>C5H11N</t>
  </si>
  <si>
    <t>N-METHYLPYRROLIDINE</t>
  </si>
  <si>
    <t>cis 1,3-DIMETHYLCYCLOPENTANE</t>
  </si>
  <si>
    <t>XU2 XU4 XU5</t>
  </si>
  <si>
    <t>ISOBUTYL FORMATE</t>
  </si>
  <si>
    <t>t-BUTYL HYDROPEROXIDE</t>
  </si>
  <si>
    <t>CARBON DISULFIDE</t>
  </si>
  <si>
    <t>PE5 P 5 P 6</t>
  </si>
  <si>
    <t>C2Cl4F2</t>
  </si>
  <si>
    <t>1,1,1,2-TETRACHLORODIFLUOROETH</t>
  </si>
  <si>
    <t>2,2-DIMETHYL-1-PROPANOL</t>
  </si>
  <si>
    <t>trans 1,3-DIMETHYLCYCLOPENTANE</t>
  </si>
  <si>
    <t>PU3 PU6 P 4</t>
  </si>
  <si>
    <t>ETHYL ACRYLATE</t>
  </si>
  <si>
    <t>trans-1,2-DIMETHYLCYCLOPENTANE</t>
  </si>
  <si>
    <t>XE3 XE4 ?E5</t>
  </si>
  <si>
    <t>ETHYL ISOBUTYRATE</t>
  </si>
  <si>
    <t>C5H10O</t>
  </si>
  <si>
    <t>METHYL ISOPROPYL KETONE</t>
  </si>
  <si>
    <t>2,4-DIMETHYLHEXANE</t>
  </si>
  <si>
    <t>CYCLOHEXANE</t>
  </si>
  <si>
    <t>C2H5I</t>
  </si>
  <si>
    <t>ETHYL IODIDE</t>
  </si>
  <si>
    <t>C4H5N</t>
  </si>
  <si>
    <t>METHACRYLONITRILE</t>
  </si>
  <si>
    <t>sec-BUTYL MERCAPTAN</t>
  </si>
  <si>
    <t>C3H3NO</t>
  </si>
  <si>
    <t>OXAZOLE</t>
  </si>
  <si>
    <t>C6H18O3Si3</t>
  </si>
  <si>
    <t>HEXAMETHYLCYCLOTRISILOXANE</t>
  </si>
  <si>
    <t>METHYL n-BUTYRATE</t>
  </si>
  <si>
    <t>2,4,4-TRIMETHYL-2-PENTENE</t>
  </si>
  <si>
    <t>P 2 P 3 P 5</t>
  </si>
  <si>
    <t>C5H13N</t>
  </si>
  <si>
    <t>n-PENTYLAMINE</t>
  </si>
  <si>
    <t>CHLOROACETALDEHYDE</t>
  </si>
  <si>
    <t>C2H2Cl2O</t>
  </si>
  <si>
    <t>DICHLOROACETALDEHYDE</t>
  </si>
  <si>
    <t>C6H11N</t>
  </si>
  <si>
    <t>DIALLYLAMINE</t>
  </si>
  <si>
    <t>3-METHYL-2-BUTANOL</t>
  </si>
  <si>
    <t>XE2 PU0 XE4</t>
  </si>
  <si>
    <t>CCl4</t>
  </si>
  <si>
    <t>CARBON TETRACHLORIDE</t>
  </si>
  <si>
    <t>CH2BrCl</t>
  </si>
  <si>
    <t>BROMOCHLOROMETHANE</t>
  </si>
  <si>
    <t>?U0 XE3 XU4</t>
  </si>
  <si>
    <t>DIETHYL SULFIDE</t>
  </si>
  <si>
    <t>1,3-CYCLOHEXADIENE</t>
  </si>
  <si>
    <t>P 3 P 3 P 3</t>
  </si>
  <si>
    <t>n-BUTYL FORMATE</t>
  </si>
  <si>
    <t>ALLYL ACETATE</t>
  </si>
  <si>
    <t>DI-sec-BUTYL ETHER</t>
  </si>
  <si>
    <t>ISOBUTYL MERCAPTAN</t>
  </si>
  <si>
    <t>3-PENTANOL</t>
  </si>
  <si>
    <t>2-METHYLHEPTANE</t>
  </si>
  <si>
    <t>C7H5F3</t>
  </si>
  <si>
    <t>BENZOTRIFLUORIDE</t>
  </si>
  <si>
    <t>PE4 PU5 PU6</t>
  </si>
  <si>
    <t>C3H6Cl2</t>
  </si>
  <si>
    <t>1,1-DICHLOROPROPANE</t>
  </si>
  <si>
    <t>C6H5F</t>
  </si>
  <si>
    <t>FLUOROBENZENE</t>
  </si>
  <si>
    <t>XU2 P 4 P 6</t>
  </si>
  <si>
    <t>CYCLOHEXENE</t>
  </si>
  <si>
    <t>XU2 XU3 ?U5</t>
  </si>
  <si>
    <t>ISOBUTYL ACETATE</t>
  </si>
  <si>
    <t>3-PENTANONE</t>
  </si>
  <si>
    <t>PU0 PU0 PU0</t>
  </si>
  <si>
    <t>2,3-DIMETHYL-1-HEXENE</t>
  </si>
  <si>
    <t>2-PENTANOL</t>
  </si>
  <si>
    <t>P 3 P 3 P 4</t>
  </si>
  <si>
    <t>sec-BUTYL ACETATE</t>
  </si>
  <si>
    <t>1,2-DIETHOXYETHANE</t>
  </si>
  <si>
    <t>2-PENTANONE</t>
  </si>
  <si>
    <t>XE2 XU3 ?U5</t>
  </si>
  <si>
    <t>C3H5N</t>
  </si>
  <si>
    <t>PROPIONITRILE</t>
  </si>
  <si>
    <t>1,2-DICHLOROETHANE</t>
  </si>
  <si>
    <t>4-METHYLHEPTANE</t>
  </si>
  <si>
    <t>3,3-DIMETHYLHEXANE</t>
  </si>
  <si>
    <t>C6H6</t>
  </si>
  <si>
    <t>BENZENE</t>
  </si>
  <si>
    <t>XE2 XE3 XE0</t>
  </si>
  <si>
    <t>1-BUTANOL</t>
  </si>
  <si>
    <t>XU3 PU0 XU5</t>
  </si>
  <si>
    <t>Cl3P</t>
  </si>
  <si>
    <t>PHOSPHORUS TRICHLORIDE</t>
  </si>
  <si>
    <t>2,3-DIMETHYLHEXANE</t>
  </si>
  <si>
    <t>XE2 XE2 XE3</t>
  </si>
  <si>
    <t>2,2,3-TRIMETHYLPENTANE</t>
  </si>
  <si>
    <t>3-METHYLHEPTANE</t>
  </si>
  <si>
    <t>3,3-DIMETHYL-2-BUTANONE</t>
  </si>
  <si>
    <t>C8H24O2Si3</t>
  </si>
  <si>
    <t>MSO3</t>
  </si>
  <si>
    <t>?U3 ?U0 P 5</t>
  </si>
  <si>
    <t>trans-CROTONALDEHYDE</t>
  </si>
  <si>
    <t>C4H7N</t>
  </si>
  <si>
    <t>ISOBUTYRONITRILE</t>
  </si>
  <si>
    <t>METHYL-n-PROPYL SULFIDE</t>
  </si>
  <si>
    <t>C2H2Cl3F</t>
  </si>
  <si>
    <t>1,1,1-TRICHLOROFLUOROETHANE</t>
  </si>
  <si>
    <t>C2HCl3O</t>
  </si>
  <si>
    <t>TRICHLOROACETALDEHYDE</t>
  </si>
  <si>
    <t>cis-1,2-DIMETHYLCYCLOPENTANE</t>
  </si>
  <si>
    <t>3-ETHYLHEXANE</t>
  </si>
  <si>
    <t>C5H8O</t>
  </si>
  <si>
    <t>METHYL ISOPROPENYL KETONE</t>
  </si>
  <si>
    <t>PU3 PU3 PU5</t>
  </si>
  <si>
    <t>METHYL METHACRYLATE</t>
  </si>
  <si>
    <t>P 3 P 5 P 3</t>
  </si>
  <si>
    <t>1-PENTANAL</t>
  </si>
  <si>
    <t>2,3,4-TRIMETHYLPENTANE</t>
  </si>
  <si>
    <t>1-OCTENE</t>
  </si>
  <si>
    <t>ETHYL ISOPROPYL KETONE</t>
  </si>
  <si>
    <t>Cl2OS</t>
  </si>
  <si>
    <t>THIONYL CHLORIDE</t>
  </si>
  <si>
    <t>2-METHYL-1-HEPTENE</t>
  </si>
  <si>
    <t>C4H9Br</t>
  </si>
  <si>
    <t>2-BROMOBUTANE</t>
  </si>
  <si>
    <t>2-METHYL-3-ETHYLPENTANE</t>
  </si>
  <si>
    <t>PU4 PU4 PU5</t>
  </si>
  <si>
    <t>2,2,3,3-TETRAMETHYLBUTANE</t>
  </si>
  <si>
    <t>cis-4-OCTENE</t>
  </si>
  <si>
    <t>cis-CROTONITRILE</t>
  </si>
  <si>
    <t>C5H9NO</t>
  </si>
  <si>
    <t>n-BUTYL ISOCYANATE</t>
  </si>
  <si>
    <t>C4H9N</t>
  </si>
  <si>
    <t>PYRROLIDINE</t>
  </si>
  <si>
    <t>XE2 P 3 P 5</t>
  </si>
  <si>
    <t>n-PROPYL PROPIONATE</t>
  </si>
  <si>
    <t>n-OCTANE</t>
  </si>
  <si>
    <t>3,4-DIMETHYLHEXANE</t>
  </si>
  <si>
    <t>2-ETHYL-1-HEXENE</t>
  </si>
  <si>
    <t>P 4 P 5 D 6</t>
  </si>
  <si>
    <t>cis-3-OCTENE</t>
  </si>
  <si>
    <t>C6H10O2</t>
  </si>
  <si>
    <t>n-PROPYL ACRYLATE</t>
  </si>
  <si>
    <t>ETHYLCYCLOPENTANE</t>
  </si>
  <si>
    <t>C9H20</t>
  </si>
  <si>
    <t>2,2,5-TRIMETHYLHEXANE</t>
  </si>
  <si>
    <t>C5H12S</t>
  </si>
  <si>
    <t>METHYL-t-BUTYL SULFIDE</t>
  </si>
  <si>
    <t>?U0 ?U0 P 6</t>
  </si>
  <si>
    <t>n-BUTYL MERCAPTAN</t>
  </si>
  <si>
    <t>1-BROMOBUTANE</t>
  </si>
  <si>
    <t>XE2 ?U4 PU5</t>
  </si>
  <si>
    <t>ETHYL n-BUTYRATE</t>
  </si>
  <si>
    <t>PU3 P 5 PU6</t>
  </si>
  <si>
    <t>C2HCl3</t>
  </si>
  <si>
    <t>TRICHLOROETHYLENE</t>
  </si>
  <si>
    <t>C5H11Cl</t>
  </si>
  <si>
    <t>1-CHLOROPENTANE</t>
  </si>
  <si>
    <t>trans-2-OCTENE</t>
  </si>
  <si>
    <t>C4H11NO</t>
  </si>
  <si>
    <t>DIMETHYLETHANOLAMINE</t>
  </si>
  <si>
    <t>cis-2-OCTENE</t>
  </si>
  <si>
    <t>1,2-DICHLOROPROPANE</t>
  </si>
  <si>
    <t>METHYLCYCLOHEXANE</t>
  </si>
  <si>
    <t>PE4 PE5 P 5</t>
  </si>
  <si>
    <t>trans-4-OCTENE</t>
  </si>
  <si>
    <t>PE4 PE6 P 6</t>
  </si>
  <si>
    <t>3-METHYL-2-PENTANONE</t>
  </si>
  <si>
    <t>2,3,3-TRIMETHYLPENTANE</t>
  </si>
  <si>
    <t>trans-3-OCTENE</t>
  </si>
  <si>
    <t>C8H14</t>
  </si>
  <si>
    <t>1-OCTYNE</t>
  </si>
  <si>
    <t>XU2 P 5 P 5</t>
  </si>
  <si>
    <t>4-METHYL-2-PENTANOL</t>
  </si>
  <si>
    <t>2,2,4,4-TETRAMETHYLPENTANE</t>
  </si>
  <si>
    <t>XE2 XE3 PU2</t>
  </si>
  <si>
    <t>METHYL ISOBUTYL KETONE</t>
  </si>
  <si>
    <t>2-METHYL-1-BUTANOL</t>
  </si>
  <si>
    <t>XE2 PU3 PU5</t>
  </si>
  <si>
    <t>n-BUTYL ACETATE</t>
  </si>
  <si>
    <t>C7H14O</t>
  </si>
  <si>
    <t>DIISOPROPYL KETONE</t>
  </si>
  <si>
    <t>C5H10O3</t>
  </si>
  <si>
    <t>DIETHYL CARBONATE</t>
  </si>
  <si>
    <t>3-METHYL-3-ETHYLPENTANE</t>
  </si>
  <si>
    <t>PE3 PE4 PE6</t>
  </si>
  <si>
    <t>2,2-DIMETHYLHEPTANE</t>
  </si>
  <si>
    <t>ETHYL METHACRYLATE</t>
  </si>
  <si>
    <t>3-METHYL-1-BUTANOL</t>
  </si>
  <si>
    <t>C3H7I</t>
  </si>
  <si>
    <t>ISOPROPYL IODIDE</t>
  </si>
  <si>
    <t>PU4 PU6 P 6</t>
  </si>
  <si>
    <t>C3H4Cl2</t>
  </si>
  <si>
    <t>2,3-DICHLOROPROPENE</t>
  </si>
  <si>
    <t>2,6-DIMETHYLHEPTANE</t>
  </si>
  <si>
    <t>P 6 P 6 P 5</t>
  </si>
  <si>
    <t>C6H12O3</t>
  </si>
  <si>
    <t>PARALDEHYDE</t>
  </si>
  <si>
    <t>C2H4Cl2O</t>
  </si>
  <si>
    <t>BIS(CHLOROMETHYL)ETHER</t>
  </si>
  <si>
    <t>THIOPHENE</t>
  </si>
  <si>
    <t>XU4 P 5 P 6</t>
  </si>
  <si>
    <t>C7H14O2</t>
  </si>
  <si>
    <t>n-PROPYL ISOBUTYRATE</t>
  </si>
  <si>
    <t>PROPYLENE GLYCOL MONOMETHYL ET</t>
  </si>
  <si>
    <t>C8H19N</t>
  </si>
  <si>
    <t>DIISOBUTYLAMINE</t>
  </si>
  <si>
    <t>2,4,4-TRIMETHYLHEXANE</t>
  </si>
  <si>
    <t>P 3 P 4 P 3</t>
  </si>
  <si>
    <t>CHLOROACETYL CHLORIDE</t>
  </si>
  <si>
    <t>1-METHYL-1-ETHYLCYCLOPENTANE</t>
  </si>
  <si>
    <t>XU3 XU4 P 6</t>
  </si>
  <si>
    <t>3-HEXANONE</t>
  </si>
  <si>
    <t>2-METHYLOCTANE</t>
  </si>
  <si>
    <t>C7H10</t>
  </si>
  <si>
    <t>2-NORBORNENE</t>
  </si>
  <si>
    <t>n-HEXYLAMINE</t>
  </si>
  <si>
    <t>VINYLACETONITRILE</t>
  </si>
  <si>
    <t>PU2 PU4 PU6</t>
  </si>
  <si>
    <t>DI-n-BUTYL ETHER</t>
  </si>
  <si>
    <t>XU3 XE5 ?E5</t>
  </si>
  <si>
    <t>Br2</t>
  </si>
  <si>
    <t>BROMINE</t>
  </si>
  <si>
    <t>DICHLOROACETYL CHLORIDE</t>
  </si>
  <si>
    <t>2-CHLOROETHANOL</t>
  </si>
  <si>
    <t>XE3 P 4 P 5</t>
  </si>
  <si>
    <t>2-HEXANOL</t>
  </si>
  <si>
    <t>XU0 XU4 P 6</t>
  </si>
  <si>
    <t>n-BUTYRONITRILE</t>
  </si>
  <si>
    <t>trans-CROTONITRILE</t>
  </si>
  <si>
    <t>n-PROPYL IODIDE</t>
  </si>
  <si>
    <t>C8H24O4Si4</t>
  </si>
  <si>
    <t>OCTAMETHYLCYCLOTETRASILOXANE</t>
  </si>
  <si>
    <t>PU2 XE3 XE4</t>
  </si>
  <si>
    <t>1,4-DIOXANE</t>
  </si>
  <si>
    <t>C3H10N2</t>
  </si>
  <si>
    <t>1,2-PROPANEDIAMINE</t>
  </si>
  <si>
    <t>C7H12O2</t>
  </si>
  <si>
    <t>ISOBUTYL ACRYLATE</t>
  </si>
  <si>
    <t>2-HEXANONE</t>
  </si>
  <si>
    <t>4-METHYLOCTANE</t>
  </si>
  <si>
    <t>trans-1,4-DIMETHYLCYCLOHEXANE</t>
  </si>
  <si>
    <t>ETHYL ISOVALERATE</t>
  </si>
  <si>
    <t>PU3 P 7 P 6</t>
  </si>
  <si>
    <t>CH2O2</t>
  </si>
  <si>
    <t>FORMIC ACID</t>
  </si>
  <si>
    <t>XE3 ?E4 ?E5</t>
  </si>
  <si>
    <t>1-PENTANOL</t>
  </si>
  <si>
    <t>XU2 PU2 XU4</t>
  </si>
  <si>
    <t>NITROMETHANE</t>
  </si>
  <si>
    <t>PROPARGYL ALCOHOL</t>
  </si>
  <si>
    <t>C4H6Cl2</t>
  </si>
  <si>
    <t>3,4-DICHLORO-1-BUTENE</t>
  </si>
  <si>
    <t>3-ETHYLHEPTANE</t>
  </si>
  <si>
    <t>2,2-DIMETHYL-3-ETHYLPENTANE</t>
  </si>
  <si>
    <t>3-METHYLOCTANE</t>
  </si>
  <si>
    <t>PE4 PE5 PE0</t>
  </si>
  <si>
    <t>2,4-DIMETHYL-3-ETHYLPENTANE</t>
  </si>
  <si>
    <t>1,1-DIMETHYLCYCLOHEXANE</t>
  </si>
  <si>
    <t>cis-1,3-DIMETHYLCYCLOHEXANE</t>
  </si>
  <si>
    <t>XU0 P 6 P 6</t>
  </si>
  <si>
    <t>2-ETHYL-1-BUTANOL</t>
  </si>
  <si>
    <t>C7H8</t>
  </si>
  <si>
    <t>TOLUENE</t>
  </si>
  <si>
    <t>2-METHYLHEXANAL</t>
  </si>
  <si>
    <t>2,2,3,4-TETRAMETHYLPENTANE</t>
  </si>
  <si>
    <t>ISOPROPYLCYCLOPENTANE</t>
  </si>
  <si>
    <t>PU3 P 3 P</t>
  </si>
  <si>
    <t>C2H8N2</t>
  </si>
  <si>
    <t>ETHYLENEDIAMINE</t>
  </si>
  <si>
    <t>C2H5NO2</t>
  </si>
  <si>
    <t>NITROETHANE</t>
  </si>
  <si>
    <t>XE2 XE2 XE5</t>
  </si>
  <si>
    <t>C9H18</t>
  </si>
  <si>
    <t>1-NONENE</t>
  </si>
  <si>
    <t>XE3 P 5 P 6</t>
  </si>
  <si>
    <t>n-PROPYL n-BUTYRATE</t>
  </si>
  <si>
    <t>1-HEXANAL</t>
  </si>
  <si>
    <t>PU5 P 6 P 6</t>
  </si>
  <si>
    <t>C3H7NO2</t>
  </si>
  <si>
    <t>2-NITROPROPANE</t>
  </si>
  <si>
    <t>XU0 XU3 P 6</t>
  </si>
  <si>
    <t>PIPERIDINE</t>
  </si>
  <si>
    <t>n-NONANE</t>
  </si>
  <si>
    <t>n-BUTYL PROPIONATE</t>
  </si>
  <si>
    <t>3-METHYLHEXANAL</t>
  </si>
  <si>
    <t>n-PROPYLCYCLOPENTANE</t>
  </si>
  <si>
    <t>trans-1,2-DIMETHYLCYCLOHEXANE</t>
  </si>
  <si>
    <t>2-METHOXYETHANOL</t>
  </si>
  <si>
    <t>XU1 XU2 P 6</t>
  </si>
  <si>
    <t>trans-1,3-DIMETHYLCYCLOHEXANE</t>
  </si>
  <si>
    <t>CYCLOHEPTENE</t>
  </si>
  <si>
    <t>n-BUTYL ACRYLATE</t>
  </si>
  <si>
    <t>PU4 P 5 P 6</t>
  </si>
  <si>
    <t>n-PENTYL MERCAPTAN</t>
  </si>
  <si>
    <t>cis-1,4-DIMETHYLCYCLOHEXANE</t>
  </si>
  <si>
    <t>n-PROPYL METHACRYLATE</t>
  </si>
  <si>
    <t>C10H30O3Si4</t>
  </si>
  <si>
    <t>MSO4</t>
  </si>
  <si>
    <t>PU3 P 3 P 4</t>
  </si>
  <si>
    <t>n-PENTYL ACETATE</t>
  </si>
  <si>
    <t>C6H10O</t>
  </si>
  <si>
    <t>MESITYL OXIDE</t>
  </si>
  <si>
    <t>C10H22</t>
  </si>
  <si>
    <t>2,4-DIMETHYLOCTANE</t>
  </si>
  <si>
    <t>C7H10O2</t>
  </si>
  <si>
    <t>ALLYL METHACRYLATE</t>
  </si>
  <si>
    <t>METHYL CHLOROACETATE</t>
  </si>
  <si>
    <t>C7H16O2</t>
  </si>
  <si>
    <t>PROPYLENE GLYCOL 1-tert-BUTYL</t>
  </si>
  <si>
    <t>XE3 XE6 XE4</t>
  </si>
  <si>
    <t>PROPIONIC ACID</t>
  </si>
  <si>
    <t>5-METHYL-2-HEXANONE</t>
  </si>
  <si>
    <t>C7H4ClF3</t>
  </si>
  <si>
    <t>p-CHLOROBENZOTRIFLUORIDE</t>
  </si>
  <si>
    <t>XE2 P 4 P 5</t>
  </si>
  <si>
    <t>C8H16O2</t>
  </si>
  <si>
    <t>ISOBUTYL ISOBUTYRATE</t>
  </si>
  <si>
    <t>2,2-DIMETHYLOCTANE</t>
  </si>
  <si>
    <t>4-HEPTANONE</t>
  </si>
  <si>
    <t>?U6 P 4 P 5</t>
  </si>
  <si>
    <t>1,1,2-TRICHLOROETHANE</t>
  </si>
  <si>
    <t>Cl3OP</t>
  </si>
  <si>
    <t>PHOSPHORUS OXYCHLORIDE</t>
  </si>
  <si>
    <t>XU2 XE3 P 4</t>
  </si>
  <si>
    <t>DI-n-BUTYLAMINE</t>
  </si>
  <si>
    <t>2,5-DIMETHYLOCTANE</t>
  </si>
  <si>
    <t>C9H20O</t>
  </si>
  <si>
    <t>2,6-DIMETHYL-4-HEPTANOL</t>
  </si>
  <si>
    <t>PE4 PU5 P 6</t>
  </si>
  <si>
    <t>1,3-DICHLOROPROPANE</t>
  </si>
  <si>
    <t>C3H6O3</t>
  </si>
  <si>
    <t>TRIOXANE</t>
  </si>
  <si>
    <t>C2Cl4O</t>
  </si>
  <si>
    <t>TRICHLOROACETYL CHLORIDE</t>
  </si>
  <si>
    <t>2,7-DIMETHYLOCTANE</t>
  </si>
  <si>
    <t>PE3 PE3 PE5</t>
  </si>
  <si>
    <t>CYCLOHEPTANE</t>
  </si>
  <si>
    <t>2-METHYL-1-PENTANOL</t>
  </si>
  <si>
    <t>5-METHYL-1-HEXANOL</t>
  </si>
  <si>
    <t>ISOBUTYRIC ACID</t>
  </si>
  <si>
    <t>1-NITROPROPANE</t>
  </si>
  <si>
    <t>XU5 P 5 P 6</t>
  </si>
  <si>
    <t>C4H6O3</t>
  </si>
  <si>
    <t>ACETIC ANHYDRIDE</t>
  </si>
  <si>
    <t>2,6-DIMETHYLOCTANE</t>
  </si>
  <si>
    <t>CBrCl3</t>
  </si>
  <si>
    <t>BROMOTRICHLOROMETHANE</t>
  </si>
  <si>
    <t>cis-1,2-DIMETHYLCYCLOHEXANE</t>
  </si>
  <si>
    <t>3-HEPTANONE</t>
  </si>
  <si>
    <t>ETHYL LACTATE</t>
  </si>
  <si>
    <t>n-HEXYL FORMATE</t>
  </si>
  <si>
    <t>P 3 P 4 PE4</t>
  </si>
  <si>
    <t>C7H17N</t>
  </si>
  <si>
    <t>n-HEPTYLAMINE</t>
  </si>
  <si>
    <t>2-ETHOXYETHYL ACETATE</t>
  </si>
  <si>
    <t>2,2,3,3-TETRAMETHYLPENTANE</t>
  </si>
  <si>
    <t>2,3,3,4-TETRAMETHYLPENTANE</t>
  </si>
  <si>
    <t>C6H14O3</t>
  </si>
  <si>
    <t>DIETHYLENE GLYCOL DIMETHYL ETH</t>
  </si>
  <si>
    <t>C6H14S</t>
  </si>
  <si>
    <t>DI-n-PROPYL SULFIDE</t>
  </si>
  <si>
    <t>2-HEPTANOL</t>
  </si>
  <si>
    <t>C5H6S</t>
  </si>
  <si>
    <t>2-METHYLTHIOPHENE</t>
  </si>
  <si>
    <t>ETHYLCYCLOHEXANE</t>
  </si>
  <si>
    <t>2-METHYLNONANE</t>
  </si>
  <si>
    <t>4-METHYLNONANE</t>
  </si>
  <si>
    <t>5-METHYLNONANE</t>
  </si>
  <si>
    <t>PU5 PU6 P 7</t>
  </si>
  <si>
    <t>C5H7N</t>
  </si>
  <si>
    <t>N-METHYLPYRROLE</t>
  </si>
  <si>
    <t>3,3-DIETHYLPENTANE</t>
  </si>
  <si>
    <t>C5H9N</t>
  </si>
  <si>
    <t>VALERONITRILE</t>
  </si>
  <si>
    <t>CH2Br2</t>
  </si>
  <si>
    <t>DIBROMOMETHANE</t>
  </si>
  <si>
    <t>1-HEXANOL</t>
  </si>
  <si>
    <t>XU3 P 4 P 6</t>
  </si>
  <si>
    <t>2-HEPTANONE</t>
  </si>
  <si>
    <t>PE4 PE4 PE6</t>
  </si>
  <si>
    <t>3-METHYLNONANE</t>
  </si>
  <si>
    <t>3-METHYLTHIOPHENE</t>
  </si>
  <si>
    <t>2,3-DIMETHYLOCTANE</t>
  </si>
  <si>
    <t>cis-2-METHYLCYCLOHEXANOL</t>
  </si>
  <si>
    <t>C3H9NO</t>
  </si>
  <si>
    <t>1-AMINO-2-PROPANOL</t>
  </si>
  <si>
    <t>C9H18O</t>
  </si>
  <si>
    <t>DIISOBUTYL KETONE</t>
  </si>
  <si>
    <t>ACRYLIC ACID</t>
  </si>
  <si>
    <t>PU0 ?U0 P 5</t>
  </si>
  <si>
    <t>C6H13N</t>
  </si>
  <si>
    <t>CYCLOHEXYLAMINE</t>
  </si>
  <si>
    <t>C2H6S2</t>
  </si>
  <si>
    <t>DIMETHYL DISULFIDE</t>
  </si>
  <si>
    <t>P 3 PU5 P 5</t>
  </si>
  <si>
    <t>C3H5ClO</t>
  </si>
  <si>
    <t>alpha-EPICHLOROHYDRIN</t>
  </si>
  <si>
    <t>XE2 PE0 PE0</t>
  </si>
  <si>
    <t>n-BUTYRIC ACID</t>
  </si>
  <si>
    <t>PU5 PU6 PU6</t>
  </si>
  <si>
    <t>C4H4O2</t>
  </si>
  <si>
    <t>DIKETENE</t>
  </si>
  <si>
    <t>n-BUTYL n-BUTYRATE</t>
  </si>
  <si>
    <t>C2H4O3</t>
  </si>
  <si>
    <t>GLYCOLIC ACID</t>
  </si>
  <si>
    <t>C8H10</t>
  </si>
  <si>
    <t>p-XYLENE</t>
  </si>
  <si>
    <t>XE2 XE3 ?E0</t>
  </si>
  <si>
    <t>C10H20</t>
  </si>
  <si>
    <t>1-DECENE</t>
  </si>
  <si>
    <t>m-XYLENE</t>
  </si>
  <si>
    <t>1,3-DICHLORO-trans-2-BUTENE</t>
  </si>
  <si>
    <t>ETHYLBENZENE</t>
  </si>
  <si>
    <t>XU4 PU5 PU5</t>
  </si>
  <si>
    <t>C10H30O5Si5</t>
  </si>
  <si>
    <t>DECAMETHYLCYCLOPENTASILOXANE</t>
  </si>
  <si>
    <t>n-DECANE</t>
  </si>
  <si>
    <t>n-HEXYL ACETATE</t>
  </si>
  <si>
    <t>C4H9NO</t>
  </si>
  <si>
    <t>MORPHOLINE</t>
  </si>
  <si>
    <t>C4H7ClO2</t>
  </si>
  <si>
    <t>ETHYLCHLOROACETATE</t>
  </si>
  <si>
    <t>C8H14O2</t>
  </si>
  <si>
    <t>n-BUTYL METHACRYLATE</t>
  </si>
  <si>
    <t>P 7 P 7 P 7</t>
  </si>
  <si>
    <t>C2H6AlCl</t>
  </si>
  <si>
    <t>DIMETHYLALUMINUM CHLORIDE</t>
  </si>
  <si>
    <t>C8H16O</t>
  </si>
  <si>
    <t>2-ETHYLHEXANAL</t>
  </si>
  <si>
    <t>XU2 XE3 XU3</t>
  </si>
  <si>
    <t>PYRIDINE</t>
  </si>
  <si>
    <t>1-HEPTANAL</t>
  </si>
  <si>
    <t>PU4 P 5 PU6</t>
  </si>
  <si>
    <t>C2Cl4</t>
  </si>
  <si>
    <t>TETRACHLOROETHYLENE</t>
  </si>
  <si>
    <t>C4H7NO</t>
  </si>
  <si>
    <t>ACETONE CYANOHYDRIN</t>
  </si>
  <si>
    <t>C3H9Al</t>
  </si>
  <si>
    <t>TRIMETHYLALUMINUM</t>
  </si>
  <si>
    <t>n-BUTYLCYCLOPENTANE</t>
  </si>
  <si>
    <t>XE2 P 5 P 6</t>
  </si>
  <si>
    <t>C6H7N</t>
  </si>
  <si>
    <t>2-METHYLPYRIDINE</t>
  </si>
  <si>
    <t>C7H14O3</t>
  </si>
  <si>
    <t>ETHYL-3-ETHOXYPROPIONATE</t>
  </si>
  <si>
    <t>P 3 P 4 P 6</t>
  </si>
  <si>
    <t>cis-4-METHYLCYCLOHEXANOL</t>
  </si>
  <si>
    <t>trans-4-METHYLCYCLOHEXANOL</t>
  </si>
  <si>
    <t>C10H22O</t>
  </si>
  <si>
    <t>DI-n-PENTYL ETHER</t>
  </si>
  <si>
    <t>C7H15N</t>
  </si>
  <si>
    <t>N-METHYLCYCLOHEXYLAMINE</t>
  </si>
  <si>
    <t>C6H10O3</t>
  </si>
  <si>
    <t>PROPIONIC ANHYDRIDE</t>
  </si>
  <si>
    <t>C4H9NO2</t>
  </si>
  <si>
    <t>NitroButane</t>
  </si>
  <si>
    <t>n-HEXYL MERCAPTAN</t>
  </si>
  <si>
    <t>C7H9N</t>
  </si>
  <si>
    <t>2,6-DIMETHYLPYRIDINE</t>
  </si>
  <si>
    <t>C8H18O3</t>
  </si>
  <si>
    <t>DIETHYLENE GLYCOL DIETHYL ETHE</t>
  </si>
  <si>
    <t>C2H2Cl4</t>
  </si>
  <si>
    <t>1,1,1,2-TETRACHLOROETHANE</t>
  </si>
  <si>
    <t>PU3 PU0 PU0</t>
  </si>
  <si>
    <t>HEXAMETHYLENEIMINE</t>
  </si>
  <si>
    <t>C4H10O3S</t>
  </si>
  <si>
    <t>DIETHYLSULFITE</t>
  </si>
  <si>
    <t>CYCLOPENTANONE</t>
  </si>
  <si>
    <t>cis-3-METHYLCYCLOHEXANOL</t>
  </si>
  <si>
    <t>PU4 PU6 PU0</t>
  </si>
  <si>
    <t>ISOPROPYLCYCLOHEXANE</t>
  </si>
  <si>
    <t>trans-3-METHYLCYCLOHEXANOL</t>
  </si>
  <si>
    <t>C8H18S</t>
  </si>
  <si>
    <t>tert-OCTYL MERCAPTAN</t>
  </si>
  <si>
    <t>C6H10O4</t>
  </si>
  <si>
    <t>ETHYLIDENE DIACETATE</t>
  </si>
  <si>
    <t>n-OCTYLAMINE</t>
  </si>
  <si>
    <t>PE5 PE5 P 6</t>
  </si>
  <si>
    <t>C2H4Br2</t>
  </si>
  <si>
    <t>1,1-DIBROMOETHANE</t>
  </si>
  <si>
    <t>n-HEPTYL FORMATE</t>
  </si>
  <si>
    <t>C12H36O4Si5</t>
  </si>
  <si>
    <t>MSO5</t>
  </si>
  <si>
    <t>C9H18O2</t>
  </si>
  <si>
    <t>n-BUTYL VALERATE</t>
  </si>
  <si>
    <t>XE2 P 6 P 6</t>
  </si>
  <si>
    <t>ISOVALERIC ACID</t>
  </si>
  <si>
    <t>2-OCTANOL</t>
  </si>
  <si>
    <t>METHYLETHANOLAMINE</t>
  </si>
  <si>
    <t>o-XYLENE</t>
  </si>
  <si>
    <t>C9H12</t>
  </si>
  <si>
    <t>CUMENE</t>
  </si>
  <si>
    <t>ClHO4</t>
  </si>
  <si>
    <t>PERCHLORIC ACID</t>
  </si>
  <si>
    <t>C4H8S</t>
  </si>
  <si>
    <t>TETRAHYDROTHIOPHENE</t>
  </si>
  <si>
    <t>CYCLOOCTENE</t>
  </si>
  <si>
    <t>METHYL-t-PENTYL SULFIDE</t>
  </si>
  <si>
    <t>C5H6O2</t>
  </si>
  <si>
    <t>FURFURYL ALCOHOL</t>
  </si>
  <si>
    <t>1-HEPTANOL</t>
  </si>
  <si>
    <t>C6H5Cl</t>
  </si>
  <si>
    <t>MONOCHLOROBENZENE</t>
  </si>
  <si>
    <t>2-OCTANONE</t>
  </si>
  <si>
    <t>C7H11NO</t>
  </si>
  <si>
    <t>CYCLOHEXYL ISOCYANATE</t>
  </si>
  <si>
    <t>XU3 XU0 P 5</t>
  </si>
  <si>
    <t>HEXANENITRILE</t>
  </si>
  <si>
    <t>2-BUTOXYETHANOL</t>
  </si>
  <si>
    <t>C8H8</t>
  </si>
  <si>
    <t>STYRENE</t>
  </si>
  <si>
    <t>XE3 P 6 XE5</t>
  </si>
  <si>
    <t>Cl3OV</t>
  </si>
  <si>
    <t>VANADIUM OXYTRICHLORIDE</t>
  </si>
  <si>
    <t>C10H20O2</t>
  </si>
  <si>
    <t>ISOPENTYL ISOVALERATE</t>
  </si>
  <si>
    <t>n-HEPTYL ACETATE</t>
  </si>
  <si>
    <t>m-ETHYLTOLUENE</t>
  </si>
  <si>
    <t>MESITYLENE</t>
  </si>
  <si>
    <t>PE2 PE2 P 6</t>
  </si>
  <si>
    <t>C11H22</t>
  </si>
  <si>
    <t>1-UNDECENE</t>
  </si>
  <si>
    <t>C10H16</t>
  </si>
  <si>
    <t>CAMPHENE</t>
  </si>
  <si>
    <t>C4H10N2</t>
  </si>
  <si>
    <t>PIPERAZINE</t>
  </si>
  <si>
    <t>C2H4N2</t>
  </si>
  <si>
    <t>AMINOACETONITRILE</t>
  </si>
  <si>
    <t>3-METHOXYPROPIONITRILE</t>
  </si>
  <si>
    <t>n-PROPYLBENZENE</t>
  </si>
  <si>
    <t>1-OCTANAL</t>
  </si>
  <si>
    <t>C11H24</t>
  </si>
  <si>
    <t>n-UNDECANE</t>
  </si>
  <si>
    <t>C10H23N</t>
  </si>
  <si>
    <t>DIAMYLAMINE</t>
  </si>
  <si>
    <t>n-PROPYLCYCLOHEXANE</t>
  </si>
  <si>
    <t>XE2 PU7 PU0</t>
  </si>
  <si>
    <t>n-PENTANOIC ACID</t>
  </si>
  <si>
    <t>PYRROLE</t>
  </si>
  <si>
    <t>XE3 PE5 P 6</t>
  </si>
  <si>
    <t>5-NONANONE</t>
  </si>
  <si>
    <t>1,4-DICHLORO-cis-2-BUTENE</t>
  </si>
  <si>
    <t>XE3 XE3 XE5</t>
  </si>
  <si>
    <t>p-ETHYLTOLUENE</t>
  </si>
  <si>
    <t>2-ETHYL-1-HEXANOL</t>
  </si>
  <si>
    <t>C4H8Cl2</t>
  </si>
  <si>
    <t>1,4-DICHLOROBUTANE</t>
  </si>
  <si>
    <t>XU3 P 4 P 5</t>
  </si>
  <si>
    <t>C4H10S2</t>
  </si>
  <si>
    <t>DIETHYL DISULFIDE</t>
  </si>
  <si>
    <t>ETHYL ACETOACETATE</t>
  </si>
  <si>
    <t>beta-PINENE</t>
  </si>
  <si>
    <t>2-METHYLBUTYRIC ACID</t>
  </si>
  <si>
    <t>C3H5NO</t>
  </si>
  <si>
    <t>LACTONITRILE</t>
  </si>
  <si>
    <t>XE1 XE2 XE3</t>
  </si>
  <si>
    <t>D2O</t>
  </si>
  <si>
    <t>DEUTERIUM OXIDE</t>
  </si>
  <si>
    <t>alpha-PINENE</t>
  </si>
  <si>
    <t>C12H27N</t>
  </si>
  <si>
    <t>TRI-n-BUTYLAMINE</t>
  </si>
  <si>
    <t>C8H12</t>
  </si>
  <si>
    <t>1,5-CYCLOOCTADIENE</t>
  </si>
  <si>
    <t>n-OCTYL FORMATE</t>
  </si>
  <si>
    <t>?U4 P 4 PU3</t>
  </si>
  <si>
    <t>1,1,2,2-TETRACHLOROETHANE</t>
  </si>
  <si>
    <t>C7H16S</t>
  </si>
  <si>
    <t>n-HEPTYL MERCAPTAN</t>
  </si>
  <si>
    <t>3-METHYLPYRIDINE</t>
  </si>
  <si>
    <t>C7H8O</t>
  </si>
  <si>
    <t>ANISOLE</t>
  </si>
  <si>
    <t>C12H36O6Si6</t>
  </si>
  <si>
    <t>DODECAMETHYLCYCLOHEXASILOXANE</t>
  </si>
  <si>
    <t>1,4-DICHLORO-trans-2-BUTENE</t>
  </si>
  <si>
    <t>C7H3Cl2F3</t>
  </si>
  <si>
    <t>2,4-DICHLOROBENZOTRIFLUORIDE</t>
  </si>
  <si>
    <t>PE5 P 6 P 6</t>
  </si>
  <si>
    <t>C7H15Br</t>
  </si>
  <si>
    <t>1-BROMOHEPTANE</t>
  </si>
  <si>
    <t>XE3 XU3 XU4</t>
  </si>
  <si>
    <t>4-METHYLPYRIDINE</t>
  </si>
  <si>
    <t>cis-CROTONIC ACID</t>
  </si>
  <si>
    <t>XE1 XE1 XE1</t>
  </si>
  <si>
    <t>WATER</t>
  </si>
  <si>
    <t>XU3 XU4 P 5</t>
  </si>
  <si>
    <t>C8H10O</t>
  </si>
  <si>
    <t>PHENETOLE</t>
  </si>
  <si>
    <t>CYCLOOCTANE</t>
  </si>
  <si>
    <t>beta-PHELLANDRENE</t>
  </si>
  <si>
    <t>C9H21N</t>
  </si>
  <si>
    <t>n-NONYLAMINE</t>
  </si>
  <si>
    <t>alpha-PHELLANDRENE</t>
  </si>
  <si>
    <t>?E4 PE4 ?E6</t>
  </si>
  <si>
    <t>C10H14</t>
  </si>
  <si>
    <t>m-CYMENE</t>
  </si>
  <si>
    <t>alpha-TERPINENE</t>
  </si>
  <si>
    <t>3-AMINO-1-PROPANOL</t>
  </si>
  <si>
    <t>1,2,4-TRIMETHYLBENZENE</t>
  </si>
  <si>
    <t>2-NONANOL</t>
  </si>
  <si>
    <t>PU0 P 6 PU0</t>
  </si>
  <si>
    <t>C3H7NO</t>
  </si>
  <si>
    <t>N,N-DIMETHYLFORMAMIDE</t>
  </si>
  <si>
    <t>XE3 XE2 XE4</t>
  </si>
  <si>
    <t>o-ETHYLTOLUENE</t>
  </si>
  <si>
    <t>XE2 XE2 ?E5</t>
  </si>
  <si>
    <t>ISOBUTYLBENZENE</t>
  </si>
  <si>
    <t>C8H6</t>
  </si>
  <si>
    <t>ETHYNYLBENZENE</t>
  </si>
  <si>
    <t>XE4 XE5 P 5</t>
  </si>
  <si>
    <t>CYCLOHEXANOL</t>
  </si>
  <si>
    <t>XE6 XU4 XU5</t>
  </si>
  <si>
    <t>1,2-DIBROMOETHANE</t>
  </si>
  <si>
    <t>C8H18O4</t>
  </si>
  <si>
    <t>TRIETHYLENE GLYCOL DIMETHYL ET</t>
  </si>
  <si>
    <t>XE2 XE3 PE5</t>
  </si>
  <si>
    <t>p-CYMENE</t>
  </si>
  <si>
    <t>n-OCTYL ACETATE</t>
  </si>
  <si>
    <t>C3H5Cl3</t>
  </si>
  <si>
    <t>1,2,3-TRICHLOROPROPANE</t>
  </si>
  <si>
    <t>1-OCTANOL</t>
  </si>
  <si>
    <t>2-NONANONE</t>
  </si>
  <si>
    <t>XU4 XE4 P 5</t>
  </si>
  <si>
    <t>CYCLOHEXANONE</t>
  </si>
  <si>
    <t>ETHYLENE GLYCOL DIACETATE</t>
  </si>
  <si>
    <t>C7H12O4</t>
  </si>
  <si>
    <t>DIETHYL MALONATE</t>
  </si>
  <si>
    <t>C7H5NO</t>
  </si>
  <si>
    <t>PHENYL ISOCYANATE</t>
  </si>
  <si>
    <t>C8H11N</t>
  </si>
  <si>
    <t>2,4,6-TRIMETHYLPYRIDINE</t>
  </si>
  <si>
    <t>C14H42O5Si6</t>
  </si>
  <si>
    <t>MSO6</t>
  </si>
  <si>
    <t>C10H12</t>
  </si>
  <si>
    <t>trans-2-PHENYLBUTENE-2</t>
  </si>
  <si>
    <t>1-METHYL-3-n-PROPYLBENZENE</t>
  </si>
  <si>
    <t>?U0 ?U0 ?U0</t>
  </si>
  <si>
    <t>C9H10</t>
  </si>
  <si>
    <t>alpha-METHYLSTYRENE</t>
  </si>
  <si>
    <t>C2H4N2O6</t>
  </si>
  <si>
    <t>ETHYLENE GLYCOL DINITRATE</t>
  </si>
  <si>
    <t>XE4 PE5 PU6</t>
  </si>
  <si>
    <t>5-ETHYL-m-XYLENE</t>
  </si>
  <si>
    <t>PU3 PU4 P 5</t>
  </si>
  <si>
    <t>C11H20O2</t>
  </si>
  <si>
    <t>2-ETHYLHEXYL ACRYLATE</t>
  </si>
  <si>
    <t>C6H12N2</t>
  </si>
  <si>
    <t>TRIETHYLENEDIAMINE</t>
  </si>
  <si>
    <t>2-ETHYL BUTYRIC ACID</t>
  </si>
  <si>
    <t>1-METHYL-4-n-PROPYLBENZENE</t>
  </si>
  <si>
    <t>n-NONYL FORMATE</t>
  </si>
  <si>
    <t>C7H7Cl</t>
  </si>
  <si>
    <t>o-CHLOROTOLUENE</t>
  </si>
  <si>
    <t>?E4 ?E4 ?E6</t>
  </si>
  <si>
    <t>o-CYMENE</t>
  </si>
  <si>
    <t>m-METHYLSTYRENE</t>
  </si>
  <si>
    <t>C10H22O4</t>
  </si>
  <si>
    <t>TRIPROPYLENE GLYCOL MONOMETHYL</t>
  </si>
  <si>
    <t>PE2 PE4 P 6</t>
  </si>
  <si>
    <t>C12H24</t>
  </si>
  <si>
    <t>1-DODECENE</t>
  </si>
  <si>
    <t>XE2 XE2 P 5</t>
  </si>
  <si>
    <t>p-DIETHYLBENZENE</t>
  </si>
  <si>
    <t>XU1 XU3 XE5</t>
  </si>
  <si>
    <t>C12H26</t>
  </si>
  <si>
    <t>n-DODECANE</t>
  </si>
  <si>
    <t>PU5 P 5 P 6</t>
  </si>
  <si>
    <t>C10H20O</t>
  </si>
  <si>
    <t>L-MENTHOL</t>
  </si>
  <si>
    <t>C12H26O</t>
  </si>
  <si>
    <t>DI-n-HEXYL ETHER</t>
  </si>
  <si>
    <t>?U4 XU0 P 5</t>
  </si>
  <si>
    <t>N,N-DIMETHYLACETAMIDE</t>
  </si>
  <si>
    <t>1-NONANAL</t>
  </si>
  <si>
    <t>o-METHYLSTYRENE</t>
  </si>
  <si>
    <t>DICYCLOPENTADIENE</t>
  </si>
  <si>
    <t>tert-BUTYLBENZENE</t>
  </si>
  <si>
    <t>C9H12O</t>
  </si>
  <si>
    <t>2-PHENYL-2-PROPANOL</t>
  </si>
  <si>
    <t>p-CHLOROTOLUENE</t>
  </si>
  <si>
    <t>C15H33N</t>
  </si>
  <si>
    <t>TRIAMYLAMINE</t>
  </si>
  <si>
    <t>C8H16O4</t>
  </si>
  <si>
    <t>DIETHYLENE GLYCOL ETHYL ETHER</t>
  </si>
  <si>
    <t>P 2 P 4 P 6</t>
  </si>
  <si>
    <t>n-HEXANOIC ACID</t>
  </si>
  <si>
    <t>n-BUTYLBENZENE</t>
  </si>
  <si>
    <t>gamma-TERPINENE</t>
  </si>
  <si>
    <t>C11H22O2</t>
  </si>
  <si>
    <t>n-NONYL ACETATE</t>
  </si>
  <si>
    <t>1-METHYL-2-n-PROPYLBENZENE</t>
  </si>
  <si>
    <t>BENZYL ETHYL ETHER</t>
  </si>
  <si>
    <t>m-DIETHYLBENZENE</t>
  </si>
  <si>
    <t>2-ETHYL-p-XYLENE</t>
  </si>
  <si>
    <t>C8H14O4</t>
  </si>
  <si>
    <t>DIETHYL SUCCINATE</t>
  </si>
  <si>
    <t>n-DECYLAMINE</t>
  </si>
  <si>
    <t>1,2-ETHANEDITHIOL</t>
  </si>
  <si>
    <t>C6H12S</t>
  </si>
  <si>
    <t>CYCLOHEXYL MERCAPTAN</t>
  </si>
  <si>
    <t>HYDROXYACETONITRILE</t>
  </si>
  <si>
    <t>XE2 XE2 PE6</t>
  </si>
  <si>
    <t>1,2,3-TRIMETHYLBENZENE</t>
  </si>
  <si>
    <t>XE3 P 4 ?E5</t>
  </si>
  <si>
    <t>sec-BUTYLBENZENE</t>
  </si>
  <si>
    <t>4-ETHYL-m-XYLENE</t>
  </si>
  <si>
    <t>p-METHYLSTYRENE</t>
  </si>
  <si>
    <t>C2HCl5</t>
  </si>
  <si>
    <t>PENTACHLOROETHANE</t>
  </si>
  <si>
    <t>C6H15NO</t>
  </si>
  <si>
    <t>6-AMINOHEXANOL</t>
  </si>
  <si>
    <t>trans-CROTONIC ACID</t>
  </si>
  <si>
    <t>PE5 PE6 PE6</t>
  </si>
  <si>
    <t>n-BUTYLCYCLOHEXANE</t>
  </si>
  <si>
    <t>TERPINOLENE</t>
  </si>
  <si>
    <t>4-ETHYL-o-XYLENE</t>
  </si>
  <si>
    <t>?E4 ?E5 P 6</t>
  </si>
  <si>
    <t>C7H4F3NO2</t>
  </si>
  <si>
    <t>3-NITROBENZOTRIFLUORIDE</t>
  </si>
  <si>
    <t>n-OCTYL MERCAPTAN</t>
  </si>
  <si>
    <t>o-DIETHYLBENZENE</t>
  </si>
  <si>
    <t>C5H10Cl2</t>
  </si>
  <si>
    <t>1,5-DICHLOROPENTANE</t>
  </si>
  <si>
    <t>trans-1-PROPENYLBENZENE</t>
  </si>
  <si>
    <t>C6H5Br</t>
  </si>
  <si>
    <t>BROMOBENZENE</t>
  </si>
  <si>
    <t>XU3 ?U5 P 5</t>
  </si>
  <si>
    <t>C5H4O2</t>
  </si>
  <si>
    <t>?E0 PE6 XE4</t>
  </si>
  <si>
    <t>1-NONANOL</t>
  </si>
  <si>
    <t>2-ETHYL-m-XYLENE</t>
  </si>
  <si>
    <t>cis-1-PROPENYLBENZENE</t>
  </si>
  <si>
    <t>C16H48O6Si7</t>
  </si>
  <si>
    <t>MSO7</t>
  </si>
  <si>
    <t>n-DECYL FORMATE</t>
  </si>
  <si>
    <t>C5H12O2</t>
  </si>
  <si>
    <t>1,5-PENTANEDIOL</t>
  </si>
  <si>
    <t>1-DECANAL</t>
  </si>
  <si>
    <t>PE3 PE4 P 4</t>
  </si>
  <si>
    <t>C13H26</t>
  </si>
  <si>
    <t>1-TRIDECENE</t>
  </si>
  <si>
    <t>PE1 XU5 PE5</t>
  </si>
  <si>
    <t>C13H28</t>
  </si>
  <si>
    <t>n-TRIDECANE</t>
  </si>
  <si>
    <t>PU5 PU4 PU6</t>
  </si>
  <si>
    <t>C6H14S2</t>
  </si>
  <si>
    <t>DI-n-PROPYL DISULFIDE</t>
  </si>
  <si>
    <t>DIMETHYL MALEATE</t>
  </si>
  <si>
    <t>C6H5ClO</t>
  </si>
  <si>
    <t>o-CHLOROPHENOL</t>
  </si>
  <si>
    <t>XU2 XE2 P 5</t>
  </si>
  <si>
    <t>1,2,4,5-TETRAMETHYLBENZENE</t>
  </si>
  <si>
    <t>?U0 ?U4 P 5</t>
  </si>
  <si>
    <t>1,3-BUTANEDIOL</t>
  </si>
  <si>
    <t>8-METHYL-1-NONANOL</t>
  </si>
  <si>
    <t>n-HEPTANOIC ACID</t>
  </si>
  <si>
    <t>XU4 XU0 P 6</t>
  </si>
  <si>
    <t>C6H15Al</t>
  </si>
  <si>
    <t>TRIETHYL ALUMINUM</t>
  </si>
  <si>
    <t>1,2,3,5-TETRAMETHYLBENZENE</t>
  </si>
  <si>
    <t>C5H7NO2</t>
  </si>
  <si>
    <t>ETHYL CYANOACETATE</t>
  </si>
  <si>
    <t>C11H16</t>
  </si>
  <si>
    <t>n-PENTYLBENZENE</t>
  </si>
  <si>
    <t>PU4 PU0 PE6</t>
  </si>
  <si>
    <t>3-ETHYL-o-XYLENE</t>
  </si>
  <si>
    <t>1,2-BUTANEDIOL</t>
  </si>
  <si>
    <t>C12H26O3</t>
  </si>
  <si>
    <t>DIETHYLENE GLYCOL DI-n-BUTYL E</t>
  </si>
  <si>
    <t>C8H12O4</t>
  </si>
  <si>
    <t>DIETHYL MALEATE</t>
  </si>
  <si>
    <t>C9H20S</t>
  </si>
  <si>
    <t>n-NONYL MERCAPTAN</t>
  </si>
  <si>
    <t>C11H25N</t>
  </si>
  <si>
    <t>UNDECYLAMINE</t>
  </si>
  <si>
    <t>P 7 P 6 P 6</t>
  </si>
  <si>
    <t>C6H4O2</t>
  </si>
  <si>
    <t>QUINONE</t>
  </si>
  <si>
    <t>HYDROXYCAPROIC ACID</t>
  </si>
  <si>
    <t>XU3 PU5 P 5</t>
  </si>
  <si>
    <t>C6H4Cl2</t>
  </si>
  <si>
    <t>m-DICHLOROBENZENE</t>
  </si>
  <si>
    <t>C12H18</t>
  </si>
  <si>
    <t>m-DIISOPROPYLBENZENE</t>
  </si>
  <si>
    <t>BENZYLAMINE</t>
  </si>
  <si>
    <t>2-PHENYLETHANOL</t>
  </si>
  <si>
    <t>p-DICHLOROBENZENE</t>
  </si>
  <si>
    <t>cis-2-PHENYLBUTENE-2</t>
  </si>
  <si>
    <t>CYCLOHEXYL PEROXIDE</t>
  </si>
  <si>
    <t>BENZYL CHLORIDE</t>
  </si>
  <si>
    <t>CHLOROACETIC ACID</t>
  </si>
  <si>
    <t>P 4 PU5 P 6</t>
  </si>
  <si>
    <t>C2H2Cl2O2</t>
  </si>
  <si>
    <t>DICHLOROACETIC ACID</t>
  </si>
  <si>
    <t>C7H3ClF3NO2</t>
  </si>
  <si>
    <t>4-CHLORO-3-NITROBENZOTRIFLUORI</t>
  </si>
  <si>
    <t>METHYL DECANOATE</t>
  </si>
  <si>
    <t>XE2 ?E5 XE4</t>
  </si>
  <si>
    <t>C10H18</t>
  </si>
  <si>
    <t>trans-DECAHYDRONAPHTHALENE</t>
  </si>
  <si>
    <t>PE5 PE5 PE6</t>
  </si>
  <si>
    <t>C9H8</t>
  </si>
  <si>
    <t>INDENE</t>
  </si>
  <si>
    <t>C4H5NO2</t>
  </si>
  <si>
    <t>METHYL CYANOACETATE</t>
  </si>
  <si>
    <t>XE2 XE3 P 6</t>
  </si>
  <si>
    <t>N,N-DIMETHYLANILINE</t>
  </si>
  <si>
    <t>XE3 PE4 XE4</t>
  </si>
  <si>
    <t>1-DECANOL</t>
  </si>
  <si>
    <t>C2HCl3O2</t>
  </si>
  <si>
    <t>TRICHLOROACETIC ACID</t>
  </si>
  <si>
    <t>C18H54O7Si8</t>
  </si>
  <si>
    <t>MSO8</t>
  </si>
  <si>
    <t>p-DIISOPROPYLBENZENE</t>
  </si>
  <si>
    <t>C6H6S</t>
  </si>
  <si>
    <t>PHENYL MERCAPTAN</t>
  </si>
  <si>
    <t>C8H10O4</t>
  </si>
  <si>
    <t>ETHYLENE GLYCOL DIACRYLATE</t>
  </si>
  <si>
    <t>C11H22O</t>
  </si>
  <si>
    <t>1-UNDECANAL</t>
  </si>
  <si>
    <t>C14H28</t>
  </si>
  <si>
    <t>1-TETRADECENE</t>
  </si>
  <si>
    <t>C10H16O4</t>
  </si>
  <si>
    <t>DIPROPYL MALEATE</t>
  </si>
  <si>
    <t>C12H26S</t>
  </si>
  <si>
    <t>tert-DODECYL MERCAPTAN</t>
  </si>
  <si>
    <t>C10H10</t>
  </si>
  <si>
    <t>m-DIVINYLBENZENE</t>
  </si>
  <si>
    <t>C5H11NO</t>
  </si>
  <si>
    <t>tert-BUTYLFORMAMIDE</t>
  </si>
  <si>
    <t>XU1 XU6 PE5</t>
  </si>
  <si>
    <t>C14H30</t>
  </si>
  <si>
    <t>n-TETRADECANE</t>
  </si>
  <si>
    <t>1,2,3,4-TETRAMETHYLBENZENE</t>
  </si>
  <si>
    <t>PU4 P 5 ?U0</t>
  </si>
  <si>
    <t>C8H8O2</t>
  </si>
  <si>
    <t>METHYL BENZOATE</t>
  </si>
  <si>
    <t>P 6 P 5 P 6</t>
  </si>
  <si>
    <t>C10H12O4</t>
  </si>
  <si>
    <t>DIALLYL MALEATE</t>
  </si>
  <si>
    <t>XE3 XE4 P 5</t>
  </si>
  <si>
    <t>p-TOLUIDINE</t>
  </si>
  <si>
    <t>XU2 P 6 XU2</t>
  </si>
  <si>
    <t>Cl3Ga</t>
  </si>
  <si>
    <t>GALLIUM TRICHLORIDE</t>
  </si>
  <si>
    <t>C6H6O</t>
  </si>
  <si>
    <t>PHENOL</t>
  </si>
  <si>
    <t>P 2 P 5 P 6</t>
  </si>
  <si>
    <t>n-OCTANOIC ACID</t>
  </si>
  <si>
    <t>XU2 PU5 P 5</t>
  </si>
  <si>
    <t>C7H6O</t>
  </si>
  <si>
    <t>BENZALDEHYDE</t>
  </si>
  <si>
    <t>P 5 P 4 P 5</t>
  </si>
  <si>
    <t>C2Cl6</t>
  </si>
  <si>
    <t>HEXACHLOROETHANE</t>
  </si>
  <si>
    <t>CHBr3</t>
  </si>
  <si>
    <t>TRIBROMOMETHANE</t>
  </si>
  <si>
    <t>C10H22S</t>
  </si>
  <si>
    <t>n-DECYL MERCAPTAN</t>
  </si>
  <si>
    <t>n-DODECYLAMINE</t>
  </si>
  <si>
    <t>C9H8O</t>
  </si>
  <si>
    <t>2-METHYLBENZOFURAN</t>
  </si>
  <si>
    <t>C7H5ClO</t>
  </si>
  <si>
    <t>BENZOYL CHLORIDE</t>
  </si>
  <si>
    <t>Cl4V</t>
  </si>
  <si>
    <t>VANADIUM TETRACHLORIDE</t>
  </si>
  <si>
    <t>o-CRESOL</t>
  </si>
  <si>
    <t>PU4 PU5 PE6</t>
  </si>
  <si>
    <t>n-HEXYLBENZENE</t>
  </si>
  <si>
    <t>C9H10O2</t>
  </si>
  <si>
    <t>ETHYL BENZOATE</t>
  </si>
  <si>
    <t>BENZYL FORMATE</t>
  </si>
  <si>
    <t>C4H12N2O</t>
  </si>
  <si>
    <t>N-AMINOETHYL ETHANOLAMINE</t>
  </si>
  <si>
    <t>PE3 P 5 P 6</t>
  </si>
  <si>
    <t>N-ETHYLANILINE</t>
  </si>
  <si>
    <t>BENZYL ACETATE</t>
  </si>
  <si>
    <t>XU0 XE2 XU0</t>
  </si>
  <si>
    <t>ANILINE</t>
  </si>
  <si>
    <t>C7H7Br</t>
  </si>
  <si>
    <t>p-BROMOTOLUENE</t>
  </si>
  <si>
    <t>XE2 PE3 PE0</t>
  </si>
  <si>
    <t>2,6-XYLENOL</t>
  </si>
  <si>
    <t>C9H14O6</t>
  </si>
  <si>
    <t>GLYCERYL TRIACETATE</t>
  </si>
  <si>
    <t>XU2 XE3 P 5</t>
  </si>
  <si>
    <t>N-METHYLANILINE</t>
  </si>
  <si>
    <t>C15H30</t>
  </si>
  <si>
    <t>t2PENTADECENE</t>
  </si>
  <si>
    <t>C10H15N</t>
  </si>
  <si>
    <t>N,N-DIETHYLANILINE</t>
  </si>
  <si>
    <t>XU0 XU5 P 5</t>
  </si>
  <si>
    <t>C7H5N</t>
  </si>
  <si>
    <t>BENZONITRILE</t>
  </si>
  <si>
    <t>1-METHYLINDENE</t>
  </si>
  <si>
    <t>C8H9NO2</t>
  </si>
  <si>
    <t>Tylenol</t>
  </si>
  <si>
    <t>cis-DECAHYDRONAPHTHALENE</t>
  </si>
  <si>
    <t>?U4 ?U0 P 6</t>
  </si>
  <si>
    <t>C11H24O</t>
  </si>
  <si>
    <t>1-UNDECANOL</t>
  </si>
  <si>
    <t>o-ETHYLANILINE</t>
  </si>
  <si>
    <t>p-CRESOL</t>
  </si>
  <si>
    <t>C10H22O5</t>
  </si>
  <si>
    <t>TETRAETHYLENE GLYCOL DIMETHYL</t>
  </si>
  <si>
    <t>PE3 ?U0 PU0</t>
  </si>
  <si>
    <t>o-DICHLOROBENZENE</t>
  </si>
  <si>
    <t>C7H6Cl2</t>
  </si>
  <si>
    <t>2,4-DICHLOROTOLUENE</t>
  </si>
  <si>
    <t>C12H24O</t>
  </si>
  <si>
    <t>1-DODECANAL</t>
  </si>
  <si>
    <t>m-CRESOL</t>
  </si>
  <si>
    <t>C16H34O</t>
  </si>
  <si>
    <t>DI-n-OCTYL ETHER</t>
  </si>
  <si>
    <t>m-TOLUIDINE</t>
  </si>
  <si>
    <t>XE0 PE3 PE0</t>
  </si>
  <si>
    <t>2,5-XYLENOL</t>
  </si>
  <si>
    <t>C9H14O</t>
  </si>
  <si>
    <t>ISOPHORONE</t>
  </si>
  <si>
    <t>2,4-XYLENOL</t>
  </si>
  <si>
    <t>C15H32</t>
  </si>
  <si>
    <t>n-PENTADECANE</t>
  </si>
  <si>
    <t>1-PENTADECENE</t>
  </si>
  <si>
    <t>C10H16O</t>
  </si>
  <si>
    <t>CAMPHOR</t>
  </si>
  <si>
    <t>C8H8O</t>
  </si>
  <si>
    <t>ACETOPHENONE</t>
  </si>
  <si>
    <t>C11H24S</t>
  </si>
  <si>
    <t>UNDECYL MERCAPTAN</t>
  </si>
  <si>
    <t>P 2 P 6 P 6</t>
  </si>
  <si>
    <t>n-NONANOIC ACID</t>
  </si>
  <si>
    <t>C6H15N3</t>
  </si>
  <si>
    <t>N-AMINOETHYL PIPERAZINE</t>
  </si>
  <si>
    <t>2-METHYLINDENE</t>
  </si>
  <si>
    <t>C13H26O2</t>
  </si>
  <si>
    <t>METHYL DODECANOATE</t>
  </si>
  <si>
    <t>C13H20</t>
  </si>
  <si>
    <t>n-HEPTYLBENZENE</t>
  </si>
  <si>
    <t>C3H2N2</t>
  </si>
  <si>
    <t>MALONONITRILE</t>
  </si>
  <si>
    <t>C6H11NO</t>
  </si>
  <si>
    <t>CYCLOHEXANONE OXIME</t>
  </si>
  <si>
    <t>3,5-XYLENOL</t>
  </si>
  <si>
    <t>p-TOLUALDEHYDE</t>
  </si>
  <si>
    <t>C12H20O4</t>
  </si>
  <si>
    <t>DIBUTYL MALEATE</t>
  </si>
  <si>
    <t>p-ETHYLPHENOL</t>
  </si>
  <si>
    <t>o-TOLUIDINE</t>
  </si>
  <si>
    <t>C6H18N4</t>
  </si>
  <si>
    <t>TRIETHYLENE TETRAMINE</t>
  </si>
  <si>
    <t>C7H8S</t>
  </si>
  <si>
    <t>BENZYL MERCAPTAN</t>
  </si>
  <si>
    <t>C6H3Cl3</t>
  </si>
  <si>
    <t>1,3,5-TRICHLOROBENZENE</t>
  </si>
  <si>
    <t>PU4 PU7 P 6</t>
  </si>
  <si>
    <t>N-METHYLACETAMIDE</t>
  </si>
  <si>
    <t>?U4 ?U4 P 6</t>
  </si>
  <si>
    <t>1-DODECANOL</t>
  </si>
  <si>
    <t>1,2,3,4-TETRAHYDRONAPHTHALENE</t>
  </si>
  <si>
    <t>C13H26O</t>
  </si>
  <si>
    <t>1-TRIDECANAL</t>
  </si>
  <si>
    <t>?U4 PU5 ?U6</t>
  </si>
  <si>
    <t>C2H6O2</t>
  </si>
  <si>
    <t>ETHYLENE GLYCOL</t>
  </si>
  <si>
    <t>C7H7NO2</t>
  </si>
  <si>
    <t>o-NITROTOLUENE</t>
  </si>
  <si>
    <t>C4H10OS2</t>
  </si>
  <si>
    <t>DIMERCAPTOETHYL ETHER</t>
  </si>
  <si>
    <t>BENZYL ALCOHOL</t>
  </si>
  <si>
    <t>C2H5NO</t>
  </si>
  <si>
    <t>N-METHYLFORMAMIDE</t>
  </si>
  <si>
    <t>C6H5I</t>
  </si>
  <si>
    <t>IODOBENZENE</t>
  </si>
  <si>
    <t>N-METHYL-2-PYRROLIDONE</t>
  </si>
  <si>
    <t>PE3 PE5 P 4</t>
  </si>
  <si>
    <t>C16H32</t>
  </si>
  <si>
    <t>1-HEXADECENE</t>
  </si>
  <si>
    <t>C14H31N</t>
  </si>
  <si>
    <t>n-TETRADECYLAMINE</t>
  </si>
  <si>
    <t>C6H6ClN</t>
  </si>
  <si>
    <t>o-CHLOROANILINE</t>
  </si>
  <si>
    <t>2,3-XYLENOL</t>
  </si>
  <si>
    <t>PE1 XU6 PE5</t>
  </si>
  <si>
    <t>C16H34</t>
  </si>
  <si>
    <t>n-HEXADECANE</t>
  </si>
  <si>
    <t>C10H12O</t>
  </si>
  <si>
    <t>ANETHOLE</t>
  </si>
  <si>
    <t>1,3-PROPYLENE GLYCOL</t>
  </si>
  <si>
    <t>C11H14O2</t>
  </si>
  <si>
    <t>n-BUTYL BENZOATE</t>
  </si>
  <si>
    <t>C7H4Cl2O</t>
  </si>
  <si>
    <t>m-CHLOROBENZOYL CHLORIDE</t>
  </si>
  <si>
    <t>?U3 ?U0 ?U5</t>
  </si>
  <si>
    <t>1,2,4-TRICHLOROBENZENE</t>
  </si>
  <si>
    <t>C9H6N2O2</t>
  </si>
  <si>
    <t>TOLUENE DIISOCYANATE</t>
  </si>
  <si>
    <t>C12H14</t>
  </si>
  <si>
    <t>1,2,3-TRIMETHYLINDENE</t>
  </si>
  <si>
    <t>C12H22</t>
  </si>
  <si>
    <t>BICYCLOHEXYL</t>
  </si>
  <si>
    <t>gamma-VALEROLACTONE</t>
  </si>
  <si>
    <t>C14H22</t>
  </si>
  <si>
    <t>n-OCTYLBENZENE</t>
  </si>
  <si>
    <t>C2H6OS</t>
  </si>
  <si>
    <t>DIMETHYL SULFOXIDE</t>
  </si>
  <si>
    <t>C3H6O2S</t>
  </si>
  <si>
    <t>3-MERCAPTOPROPIONIC ACID</t>
  </si>
  <si>
    <t>m-CHLOROPHENOL</t>
  </si>
  <si>
    <t>XE2 PE3 XE0</t>
  </si>
  <si>
    <t>3,4-XYLENOL</t>
  </si>
  <si>
    <t>XU3 PU5 PU5</t>
  </si>
  <si>
    <t>H2O2</t>
  </si>
  <si>
    <t>HYDROGEN PEROXIDE</t>
  </si>
  <si>
    <t>P 4 PU4 PU5</t>
  </si>
  <si>
    <t>C7H3Cl2NO</t>
  </si>
  <si>
    <t>3,4-DICHLOROPHENYL ISOCYANATE</t>
  </si>
  <si>
    <t>gamma-BUTYROLACTONE</t>
  </si>
  <si>
    <t>BENZYL DICHLORIDE</t>
  </si>
  <si>
    <t>C4H5N3</t>
  </si>
  <si>
    <t>2,2'-IMINOBIS-ACETONITRILE</t>
  </si>
  <si>
    <t>C8H7N</t>
  </si>
  <si>
    <t>PHENYLACETONITRILE</t>
  </si>
  <si>
    <t>C13H28O</t>
  </si>
  <si>
    <t>1-TRIDECANOL</t>
  </si>
  <si>
    <t>C2H4O2S</t>
  </si>
  <si>
    <t>THIOGLYCOLIC ACID</t>
  </si>
  <si>
    <t>C10H14O</t>
  </si>
  <si>
    <t>p-tert-BUTYLPHENOL</t>
  </si>
  <si>
    <t>C4H11NO2</t>
  </si>
  <si>
    <t>2-AMINOETHOXYETHANOL</t>
  </si>
  <si>
    <t>XU1 XU6 PE6</t>
  </si>
  <si>
    <t>C17H36</t>
  </si>
  <si>
    <t>n-HEPTADECANE</t>
  </si>
  <si>
    <t>PE4 PE6 PE6</t>
  </si>
  <si>
    <t>C17H34</t>
  </si>
  <si>
    <t>1-HEPTADECENE</t>
  </si>
  <si>
    <t>C18H38O</t>
  </si>
  <si>
    <t>DINONYL ETHER</t>
  </si>
  <si>
    <t>PU4 P   P 5</t>
  </si>
  <si>
    <t>DIETHANOLAMINE</t>
  </si>
  <si>
    <t>C7H5Cl3</t>
  </si>
  <si>
    <t>BENZOTRICHLORIDE</t>
  </si>
  <si>
    <t>p-CHLOROPHENOL</t>
  </si>
  <si>
    <t>C5H8O3</t>
  </si>
  <si>
    <t>LEVULINIC ACID</t>
  </si>
  <si>
    <t>C7H6O3</t>
  </si>
  <si>
    <t>SALICYLIC ACID</t>
  </si>
  <si>
    <t>PU2 P 4 P 6</t>
  </si>
  <si>
    <t>C20H40</t>
  </si>
  <si>
    <t>t2Eicosene</t>
  </si>
  <si>
    <t>C5H13NO2</t>
  </si>
  <si>
    <t>METHYL DIETHANOLAMINE</t>
  </si>
  <si>
    <t>C6H8N2</t>
  </si>
  <si>
    <t>METHYLGLUTARONITRILE</t>
  </si>
  <si>
    <t>C6H4ClNO2</t>
  </si>
  <si>
    <t>m-CHLORONITROBENZENE</t>
  </si>
  <si>
    <t>C12H24O2</t>
  </si>
  <si>
    <t>n-DODECANOIC ACID</t>
  </si>
  <si>
    <t>p-NITROTOLUENE</t>
  </si>
  <si>
    <t>?U5 ?U5 ?U5</t>
  </si>
  <si>
    <t>C12H27BO3</t>
  </si>
  <si>
    <t>TRI-n-BUTYL BORATE</t>
  </si>
  <si>
    <t>C12H16</t>
  </si>
  <si>
    <t>CYCLOHEXYLBENZENE</t>
  </si>
  <si>
    <t>PU5 P 5 PU5</t>
  </si>
  <si>
    <t>C4H10O3</t>
  </si>
  <si>
    <t>DIETHYLENE GLYCOL</t>
  </si>
  <si>
    <t>C5Cl6</t>
  </si>
  <si>
    <t>HEXACHLOROCYCLOPENTADIENE</t>
  </si>
  <si>
    <t>n-PROPYLBENZENE HYDROPEROXIDE</t>
  </si>
  <si>
    <t>XU2 PE6 PE6</t>
  </si>
  <si>
    <t>C18H38</t>
  </si>
  <si>
    <t>n-OCTADECANE</t>
  </si>
  <si>
    <t>CH2I2</t>
  </si>
  <si>
    <t>DIIODOMETHANE</t>
  </si>
  <si>
    <t>PE3 PE6 P 5</t>
  </si>
  <si>
    <t>C18H36</t>
  </si>
  <si>
    <t>1-OCTADECENE</t>
  </si>
  <si>
    <t>C9H10O3</t>
  </si>
  <si>
    <t>ETHYL VANILLIN</t>
  </si>
  <si>
    <t>C10H8</t>
  </si>
  <si>
    <t>NAPHTHALENE</t>
  </si>
  <si>
    <t>C4H10O4S</t>
  </si>
  <si>
    <t>DIETHYL SULFATE</t>
  </si>
  <si>
    <t>C7H6O2</t>
  </si>
  <si>
    <t>BENZOIC ACID</t>
  </si>
  <si>
    <t>o-TOLUIC ACID</t>
  </si>
  <si>
    <t>m-CHLOROANILINE</t>
  </si>
  <si>
    <t>p-CHLORONITROBENZENE</t>
  </si>
  <si>
    <t>PE4 PE0 PE6</t>
  </si>
  <si>
    <t>n-DECYLCYCLOHEXANE</t>
  </si>
  <si>
    <t>C11H16O</t>
  </si>
  <si>
    <t>p-tert-AMYLPHENOL</t>
  </si>
  <si>
    <t>C16H26</t>
  </si>
  <si>
    <t>n-DECYLBENZENE</t>
  </si>
  <si>
    <t>n-TRIDECANOIC ACID</t>
  </si>
  <si>
    <t>C8H11NO</t>
  </si>
  <si>
    <t>p-PHENETIDINE</t>
  </si>
  <si>
    <t>p-CHLOROANILINE</t>
  </si>
  <si>
    <t>C6H6N2</t>
  </si>
  <si>
    <t>1,4-DICYANO-2-BUTENE</t>
  </si>
  <si>
    <t>o-CHLORONITROBENZENE</t>
  </si>
  <si>
    <t>C6H15O4P</t>
  </si>
  <si>
    <t>TRIETHYL PHOSPHATE</t>
  </si>
  <si>
    <t>PE3 PE5 PE6</t>
  </si>
  <si>
    <t>C15H32O</t>
  </si>
  <si>
    <t>1-PENTADECANOL</t>
  </si>
  <si>
    <t>PE2 PE6 PE6</t>
  </si>
  <si>
    <t>C19H40</t>
  </si>
  <si>
    <t>n-NONADECANE</t>
  </si>
  <si>
    <t>C6H3Cl2NO2</t>
  </si>
  <si>
    <t>1,2-DICHLORO-4-NITROBENZENE</t>
  </si>
  <si>
    <t>C19H38</t>
  </si>
  <si>
    <t>1-NONADECENE</t>
  </si>
  <si>
    <t>PE3 P 4 P 5</t>
  </si>
  <si>
    <t>C13H12</t>
  </si>
  <si>
    <t>DIPHENYLMETHANE</t>
  </si>
  <si>
    <t>C6H5NO2</t>
  </si>
  <si>
    <t>NIACIN</t>
  </si>
  <si>
    <t>XE2 P 3 P 6</t>
  </si>
  <si>
    <t>C11H10</t>
  </si>
  <si>
    <t>2-METHYLNAPHTHALENE</t>
  </si>
  <si>
    <t>C6H4Br2</t>
  </si>
  <si>
    <t>m-DIBROMOBENZENE</t>
  </si>
  <si>
    <t>PHENYLHYDRAZINE</t>
  </si>
  <si>
    <t>ACETAMIDE</t>
  </si>
  <si>
    <t>C16H22O4</t>
  </si>
  <si>
    <t>DIISOBUTYL PHTHALATE</t>
  </si>
  <si>
    <t>C10H1</t>
  </si>
  <si>
    <t>n-BUTYLBENZENE HYDROPEROXIDE</t>
  </si>
  <si>
    <t>C14H28O2</t>
  </si>
  <si>
    <t>n-TETRADECANOIC ACID</t>
  </si>
  <si>
    <t>C6H14O2S</t>
  </si>
  <si>
    <t>DI-n-PROPYL SULFONE</t>
  </si>
  <si>
    <t>C17H28</t>
  </si>
  <si>
    <t>n-UNDECYLBENZENE</t>
  </si>
  <si>
    <t>C6H6O2</t>
  </si>
  <si>
    <t>1,2-BENZENEDIOL</t>
  </si>
  <si>
    <t>C19H36O2</t>
  </si>
  <si>
    <t>METHYL OLEATE</t>
  </si>
  <si>
    <t>C22H44O2</t>
  </si>
  <si>
    <t>n-BUTYL STEARATE</t>
  </si>
  <si>
    <t>C8H6S</t>
  </si>
  <si>
    <t>BENZOTHIOPHENE</t>
  </si>
  <si>
    <t>PE5 PE6 P 6</t>
  </si>
  <si>
    <t>C14H22O</t>
  </si>
  <si>
    <t>p-tert-OCTYLPHENOL</t>
  </si>
  <si>
    <t>C10H10O4</t>
  </si>
  <si>
    <t>DIMETHYL PHTHALATE</t>
  </si>
  <si>
    <t>XU3 PU4 PU5</t>
  </si>
  <si>
    <t>C12H10O</t>
  </si>
  <si>
    <t>DIPHENYL ETHER</t>
  </si>
  <si>
    <t>C8H18O2S</t>
  </si>
  <si>
    <t>DI-n-BUTYL SULFONE</t>
  </si>
  <si>
    <t>C18H34O4</t>
  </si>
  <si>
    <t>DIHEXYL ADIPATE</t>
  </si>
  <si>
    <t>C20H42</t>
  </si>
  <si>
    <t>n-EICOSANE</t>
  </si>
  <si>
    <t>DIBUTYL SEBACATE</t>
  </si>
  <si>
    <t>C8H4Cl2O2</t>
  </si>
  <si>
    <t>ISOPHTHALOYL CHLORIDE</t>
  </si>
  <si>
    <t>1-HEXADECANOL</t>
  </si>
  <si>
    <t>C10H9N</t>
  </si>
  <si>
    <t>QUINALDINE</t>
  </si>
  <si>
    <t>?U0 P 5 P 6</t>
  </si>
  <si>
    <t>C15H24O</t>
  </si>
  <si>
    <t>NONYLPHENOL</t>
  </si>
  <si>
    <t>C4H4N2</t>
  </si>
  <si>
    <t>SUCCINONITRILE</t>
  </si>
  <si>
    <t>?E4 ?E6 ?E5</t>
  </si>
  <si>
    <t>1-EICOSENE</t>
  </si>
  <si>
    <t>C4H4O4</t>
  </si>
  <si>
    <t>FUMARIC ACID</t>
  </si>
  <si>
    <t>P 4 P 3 P 5</t>
  </si>
  <si>
    <t>CH3NO</t>
  </si>
  <si>
    <t>FORMAMIDE</t>
  </si>
  <si>
    <t>1-METHYLNAPHTHALENE</t>
  </si>
  <si>
    <t>XE2 XE2 ?U4</t>
  </si>
  <si>
    <t>C12H10</t>
  </si>
  <si>
    <t>BIPHENYL</t>
  </si>
  <si>
    <t>MALEIC ACID</t>
  </si>
  <si>
    <t>C15H30O2</t>
  </si>
  <si>
    <t>PENTADECANOIC ACID</t>
  </si>
  <si>
    <t>C14H14</t>
  </si>
  <si>
    <t>1,1-DIPHENYLETHANE</t>
  </si>
  <si>
    <t>PU5 PU5 PU6</t>
  </si>
  <si>
    <t>C12H12</t>
  </si>
  <si>
    <t>2,7-DIMETHYLNAPHTHALENE</t>
  </si>
  <si>
    <t>C18H32O2</t>
  </si>
  <si>
    <t>LINOLEIC ACID</t>
  </si>
  <si>
    <t>p-TOLUIC ACID</t>
  </si>
  <si>
    <t>XE5 PE5 PE6</t>
  </si>
  <si>
    <t>1-ETHYLNAPHTHALENE</t>
  </si>
  <si>
    <t>C10H14O2</t>
  </si>
  <si>
    <t>p-tert-BUTYLCATECHOL</t>
  </si>
  <si>
    <t>C12H14O4</t>
  </si>
  <si>
    <t>DIETHYL PHTHALATE</t>
  </si>
  <si>
    <t>2,6-DIMETHYLNAPHTHALENE</t>
  </si>
  <si>
    <t>C8H8O3</t>
  </si>
  <si>
    <t>VANILLIN</t>
  </si>
  <si>
    <t>DIMETHYL TEREPHTHALATE</t>
  </si>
  <si>
    <t>C21H44</t>
  </si>
  <si>
    <t>n-HenEiCOSANE</t>
  </si>
  <si>
    <t>C16H24</t>
  </si>
  <si>
    <t>1-n-HEXYL-1,2,3,4-TETRAHYDRONA</t>
  </si>
  <si>
    <t>C17H36O</t>
  </si>
  <si>
    <t>1-HEPTADECANOL</t>
  </si>
  <si>
    <t>1,2-DIPHENYLETHANE</t>
  </si>
  <si>
    <t>C18H30</t>
  </si>
  <si>
    <t>n-DODECYLBENZENE</t>
  </si>
  <si>
    <t>C18H30O2</t>
  </si>
  <si>
    <t>LINOLENIC ACID</t>
  </si>
  <si>
    <t>C18H34O2</t>
  </si>
  <si>
    <t>OLEIC ACID</t>
  </si>
  <si>
    <t>?U4 ?U4 ?U5</t>
  </si>
  <si>
    <t>ADIPONITRILE</t>
  </si>
  <si>
    <t>? 5 ? 5 P 6</t>
  </si>
  <si>
    <t>DIBUTYL PHTHALATE</t>
  </si>
  <si>
    <t>o-PHENYLENEDIAMINE</t>
  </si>
  <si>
    <t>C5H6N2</t>
  </si>
  <si>
    <t>GLUTARONITRILE</t>
  </si>
  <si>
    <t>C7H7NO3</t>
  </si>
  <si>
    <t>o-NITROANISOLE</t>
  </si>
  <si>
    <t>XE2 PU0 P 5</t>
  </si>
  <si>
    <t>C9H7N</t>
  </si>
  <si>
    <t>QUINOLINE</t>
  </si>
  <si>
    <t>C6H8N2O</t>
  </si>
  <si>
    <t>BIS(CYANOETHYL)ETHER</t>
  </si>
  <si>
    <t>C14H12</t>
  </si>
  <si>
    <t>cis-STILBENE</t>
  </si>
  <si>
    <t>C16H32O2</t>
  </si>
  <si>
    <t>n-HEXADECANOIC ACID</t>
  </si>
  <si>
    <t>C10H7Cl</t>
  </si>
  <si>
    <t>1-CHLORONAPHTHALENE</t>
  </si>
  <si>
    <t>ACETOVANILLONE</t>
  </si>
  <si>
    <t>C7H7NO</t>
  </si>
  <si>
    <t>FORMANILIDE</t>
  </si>
  <si>
    <t>C9H7NO</t>
  </si>
  <si>
    <t>8-HYDROXYQUINOLINE</t>
  </si>
  <si>
    <t>P 0 P 5 P 6</t>
  </si>
  <si>
    <t>1-OCTADECANOL</t>
  </si>
  <si>
    <t>C19H32</t>
  </si>
  <si>
    <t>n-TRIDECYLBENZENE</t>
  </si>
  <si>
    <t>P 4 P 5 P</t>
  </si>
  <si>
    <t>INDOLE</t>
  </si>
  <si>
    <t>C14H16</t>
  </si>
  <si>
    <t>1-n-BUTYLNAPHTHALENE</t>
  </si>
  <si>
    <t>C12H8</t>
  </si>
  <si>
    <t>ACENAPHTHALENE</t>
  </si>
  <si>
    <t>C7H5ClO2</t>
  </si>
  <si>
    <t>o-CHLOROBENZOIC ACID</t>
  </si>
  <si>
    <t>C10H12N2O5</t>
  </si>
  <si>
    <t>4,6-DINITRO-o-sec-BUTYLPHENOL</t>
  </si>
  <si>
    <t>XE3 P 6 XU5</t>
  </si>
  <si>
    <t>Cl3Sb</t>
  </si>
  <si>
    <t>ANTIMONY TRICHLORIDE</t>
  </si>
  <si>
    <t>C8H18O5</t>
  </si>
  <si>
    <t>TETRAETHYLENE GLYCOL</t>
  </si>
  <si>
    <t>cis-DICYANO-1-BUTENE</t>
  </si>
  <si>
    <t>p-PHENYLENEDIAMINE</t>
  </si>
  <si>
    <t>C9H8O2</t>
  </si>
  <si>
    <t>CINNAMIC ACID</t>
  </si>
  <si>
    <t>C19H40O</t>
  </si>
  <si>
    <t>1-NONADECANOL</t>
  </si>
  <si>
    <t>P 8 P 6 P 6</t>
  </si>
  <si>
    <t>C8H6O4</t>
  </si>
  <si>
    <t>PHTHALIC ACID</t>
  </si>
  <si>
    <t>C6H5Cl2N</t>
  </si>
  <si>
    <t>3,4-DICHLOROANILINE</t>
  </si>
  <si>
    <t>2-PYRROLIDONE</t>
  </si>
  <si>
    <t>PE5 PE5 PE5</t>
  </si>
  <si>
    <t>ACENAPHTHENE</t>
  </si>
  <si>
    <t>XE3 PE6 PE6</t>
  </si>
  <si>
    <t>ISOQUINOLINE</t>
  </si>
  <si>
    <t>C24H50</t>
  </si>
  <si>
    <t>n-TETRACOSANE</t>
  </si>
  <si>
    <t>C7H10N2</t>
  </si>
  <si>
    <t>TOLUENEDIAMINE</t>
  </si>
  <si>
    <t>C18H22</t>
  </si>
  <si>
    <t>2,3-DIMETHYL-2,3-DIPHENYLBUTAN</t>
  </si>
  <si>
    <t>C3H4O3</t>
  </si>
  <si>
    <t>ETHYLENE CARBONATE</t>
  </si>
  <si>
    <t>C20H42O</t>
  </si>
  <si>
    <t>1-EICOSANOL</t>
  </si>
  <si>
    <t>1,3-BENZENEDIOL</t>
  </si>
  <si>
    <t>C4H4O3</t>
  </si>
  <si>
    <t>SUCCINIC ANHYDRIDE</t>
  </si>
  <si>
    <t>C16H20</t>
  </si>
  <si>
    <t>1-n-HEXYLNAPHTHALENE</t>
  </si>
  <si>
    <t>C6H3ClN2O4</t>
  </si>
  <si>
    <t>1-CHLORO-2,4-DINITROBENZENE</t>
  </si>
  <si>
    <t>C6H6N2O2</t>
  </si>
  <si>
    <t>m-NITROANILINE</t>
  </si>
  <si>
    <t>C12H11N</t>
  </si>
  <si>
    <t>DIPHENYLAMINE</t>
  </si>
  <si>
    <t>C5H10O2S</t>
  </si>
  <si>
    <t>3-METHYL SULFOLANE</t>
  </si>
  <si>
    <t>epsilon-CAPROLACTAM</t>
  </si>
  <si>
    <t>C26H54</t>
  </si>
  <si>
    <t>n-hexacosane</t>
  </si>
  <si>
    <t>I2</t>
  </si>
  <si>
    <t>IODINE</t>
  </si>
  <si>
    <t>1,4-CYCLOHEXANEDICARBOXYLIC AC</t>
  </si>
  <si>
    <t>trans-STILBENE</t>
  </si>
  <si>
    <t>C4H6O5</t>
  </si>
  <si>
    <t>DIGLYCOLIC ACID</t>
  </si>
  <si>
    <t>C5H6O4</t>
  </si>
  <si>
    <t>ITACONIC ACID</t>
  </si>
  <si>
    <t>C6H14N2O2</t>
  </si>
  <si>
    <t>LYSINE</t>
  </si>
  <si>
    <t>C6H6N4</t>
  </si>
  <si>
    <t>2,2',2"-NITRILOTRIS-ACETONITRI</t>
  </si>
  <si>
    <t>PE4 P 6 P 6</t>
  </si>
  <si>
    <t>C12H8O</t>
  </si>
  <si>
    <t>DIBENZOFURAN</t>
  </si>
  <si>
    <t>C10H7Br</t>
  </si>
  <si>
    <t>1-BROMONAPHTHALENE</t>
  </si>
  <si>
    <t>m-PHENYLENEDIAMINE</t>
  </si>
  <si>
    <t>?U0 ?U0 P 5</t>
  </si>
  <si>
    <t>C6Cl6</t>
  </si>
  <si>
    <t>HEXACHLOROBENZENE</t>
  </si>
  <si>
    <t>C8H9NO</t>
  </si>
  <si>
    <t>ACETANILIDE</t>
  </si>
  <si>
    <t>C27H56</t>
  </si>
  <si>
    <t>n-HEPTACOSANE</t>
  </si>
  <si>
    <t>PU5 PE6 P 6</t>
  </si>
  <si>
    <t>C13H10</t>
  </si>
  <si>
    <t>FLUORENE</t>
  </si>
  <si>
    <t>C26H22</t>
  </si>
  <si>
    <t>1,1,2,2-TETRAPHENYLETHANE</t>
  </si>
  <si>
    <t>CITRACONIC ACID</t>
  </si>
  <si>
    <t>C13H10O</t>
  </si>
  <si>
    <t>BENZOPHENONE</t>
  </si>
  <si>
    <t>C6H6O3</t>
  </si>
  <si>
    <t>1,2,3-BENZENETRIOL</t>
  </si>
  <si>
    <t>C28H58</t>
  </si>
  <si>
    <t>n-OCTACOSANE</t>
  </si>
  <si>
    <t>C14H10</t>
  </si>
  <si>
    <t>DIPHENYLACETYLENE</t>
  </si>
  <si>
    <t>C9H11NO</t>
  </si>
  <si>
    <t>p-DIMETHYLAMINOBENZALDEHYDE</t>
  </si>
  <si>
    <t>C15H16O</t>
  </si>
  <si>
    <t>p-CUMYLPHENOL</t>
  </si>
  <si>
    <t>C3H4O4</t>
  </si>
  <si>
    <t>MALONIC ACID</t>
  </si>
  <si>
    <t>C2H4N4</t>
  </si>
  <si>
    <t>DICYANDIAMIDE</t>
  </si>
  <si>
    <t>C18H20</t>
  </si>
  <si>
    <t>2,4-DIPHENYL-4-METHYLPENTENE-1</t>
  </si>
  <si>
    <t>C12H10N2O2</t>
  </si>
  <si>
    <t>o-NITRODIPHENYLAMINE</t>
  </si>
  <si>
    <t>C19H26</t>
  </si>
  <si>
    <t>1-n-NONYLNAPHTHALENE</t>
  </si>
  <si>
    <t>C5H6O3</t>
  </si>
  <si>
    <t>GLUTARIC ANHYDRIDE</t>
  </si>
  <si>
    <t>p-HYDROQUINONE</t>
  </si>
  <si>
    <t>C20H18</t>
  </si>
  <si>
    <t>1,1,2-TRIPHENYLETHANE</t>
  </si>
  <si>
    <t>C5H8O4</t>
  </si>
  <si>
    <t>GLUTARIC ACID</t>
  </si>
  <si>
    <t>?U6 P 6 ?U6</t>
  </si>
  <si>
    <t>ADIPIC ACID</t>
  </si>
  <si>
    <t>C24H3</t>
  </si>
  <si>
    <t>HEPTYL NONYL PHTHALATE</t>
  </si>
  <si>
    <t>PIMELIC ACID</t>
  </si>
  <si>
    <t>SUBERIC ACID</t>
  </si>
  <si>
    <t>C20H28</t>
  </si>
  <si>
    <t>1-n-DECYLNAPHTHALENE</t>
  </si>
  <si>
    <t>p-HYDROXYBENZALDEHYDE</t>
  </si>
  <si>
    <t>P 6 P 6 P</t>
  </si>
  <si>
    <t>C9H16O4</t>
  </si>
  <si>
    <t>AZELAIC ACID</t>
  </si>
  <si>
    <t>C12H11N3</t>
  </si>
  <si>
    <t>1,3-DIPHENYLTRIAZENE</t>
  </si>
  <si>
    <t>C10H18O4</t>
  </si>
  <si>
    <t>SEBACIC ACID</t>
  </si>
  <si>
    <t>C16H12</t>
  </si>
  <si>
    <t>1-PHENYLNAPHTHALENE</t>
  </si>
  <si>
    <t>C24H38O4</t>
  </si>
  <si>
    <t>DIISOOCTYL PHTHALATE</t>
  </si>
  <si>
    <t>p-NITROANILINE</t>
  </si>
  <si>
    <t>C4H8O2S</t>
  </si>
  <si>
    <t>SULFOLANE</t>
  </si>
  <si>
    <t>C9H11NO2</t>
  </si>
  <si>
    <t>L-PHENYLALANINE</t>
  </si>
  <si>
    <t>CH4N2S</t>
  </si>
  <si>
    <t>THIOUREA</t>
  </si>
  <si>
    <t>DIOCTYL TEREPHTHALATE</t>
  </si>
  <si>
    <t>C18H14</t>
  </si>
  <si>
    <t>o-TERPHENYL</t>
  </si>
  <si>
    <t>C20H31N</t>
  </si>
  <si>
    <t>DEHYDROABIETYLAMINE</t>
  </si>
  <si>
    <t>C19H16</t>
  </si>
  <si>
    <t>TRIPHENYLMETHANE</t>
  </si>
  <si>
    <t>C12H12N2</t>
  </si>
  <si>
    <t>p-AMINODIPHENYLAMINE</t>
  </si>
  <si>
    <t>p-AMINODIPHENYL</t>
  </si>
  <si>
    <t>XE0 P 5 PE6</t>
  </si>
  <si>
    <t>PHENANTHRENE</t>
  </si>
  <si>
    <t>C5H9NS</t>
  </si>
  <si>
    <t>N-METHYLTHIOPYRROLIDONE</t>
  </si>
  <si>
    <t>XU2 PE0 XE5</t>
  </si>
  <si>
    <t>ANTHRACENE</t>
  </si>
  <si>
    <t>p-AMINOAZOBENZENE</t>
  </si>
  <si>
    <t>C10H11NO2</t>
  </si>
  <si>
    <t>ACETOACETANILIDE</t>
  </si>
  <si>
    <t>m-TERPHENYL</t>
  </si>
  <si>
    <t>TEREPHTHALIC ACID</t>
  </si>
  <si>
    <t>C3H6N6O6</t>
  </si>
  <si>
    <t>RDX</t>
  </si>
  <si>
    <t>C12H8S</t>
  </si>
  <si>
    <t>DIBENZOTHIOPHENE</t>
  </si>
  <si>
    <t>C12H9N</t>
  </si>
  <si>
    <t>DIBENZOPYRROLE</t>
  </si>
  <si>
    <t>C14H8O2</t>
  </si>
  <si>
    <t>ANTHRAQUINONE</t>
  </si>
  <si>
    <t>C24H42O</t>
  </si>
  <si>
    <t>DINONYLPHENOL</t>
  </si>
  <si>
    <t>C16H10</t>
  </si>
  <si>
    <t>FLUORANTHENE</t>
  </si>
  <si>
    <t>C13H9N</t>
  </si>
  <si>
    <t>ACRIDINE</t>
  </si>
  <si>
    <t>p-TERPHENYL</t>
  </si>
  <si>
    <t>P 6 P 7 P 7</t>
  </si>
  <si>
    <t>C20H16</t>
  </si>
  <si>
    <t>TRIPHENYLETHYLENE</t>
  </si>
  <si>
    <t>C12H9N3O4</t>
  </si>
  <si>
    <t>4,4'-DINITRODIPHENYLAMINE</t>
  </si>
  <si>
    <t>BENZIDINE</t>
  </si>
  <si>
    <t>PYRENE</t>
  </si>
  <si>
    <t>HYDRAZOBENZENE</t>
  </si>
  <si>
    <t>C18H13N3O4</t>
  </si>
  <si>
    <t>4,4'-DINITROTRIPHENYLAMINE</t>
  </si>
  <si>
    <t>C8H6O3</t>
  </si>
  <si>
    <t>4-CARBOXYBENZALDEHYDE</t>
  </si>
  <si>
    <t>PE4 P 5 PE6</t>
  </si>
  <si>
    <t>C18H12</t>
  </si>
  <si>
    <t>CHRYSENE</t>
  </si>
  <si>
    <t>C25H20</t>
  </si>
  <si>
    <t>TETRAPHENYLMETHANE</t>
  </si>
  <si>
    <t>C26H20</t>
  </si>
  <si>
    <t>TETRAPHENYLETHYLENE</t>
  </si>
  <si>
    <t>ISOPHTHALIC ACID</t>
  </si>
  <si>
    <t>C3H6N6</t>
  </si>
  <si>
    <t>MELAMINE</t>
  </si>
  <si>
    <t>C18H15P</t>
  </si>
  <si>
    <t>TRIPHENYLPHOSPHINE</t>
  </si>
  <si>
    <t>C12H22O11</t>
  </si>
  <si>
    <t>SUCROSE</t>
  </si>
  <si>
    <t>P 6 P 6 ?</t>
  </si>
  <si>
    <t>As2O3</t>
  </si>
  <si>
    <t>ARSENIC TRIOXIDE</t>
  </si>
  <si>
    <t>XE3 XE3 ?U5</t>
  </si>
  <si>
    <t>Hg</t>
  </si>
  <si>
    <t>MERCURY</t>
  </si>
  <si>
    <t>HELIUM-3</t>
  </si>
  <si>
    <t>PU4 P 6 P 5</t>
  </si>
  <si>
    <t>C3H8O3</t>
  </si>
  <si>
    <t>GLYCEROL</t>
  </si>
  <si>
    <t>C18H36O2</t>
  </si>
  <si>
    <t>STEARIC ACID</t>
  </si>
  <si>
    <t>ACETIC ACID</t>
  </si>
  <si>
    <t>XE2 P 4 P 3</t>
  </si>
  <si>
    <t>ACETALDEHYDE</t>
  </si>
  <si>
    <t>PU3 P 4 PU5</t>
  </si>
  <si>
    <t>NITROBENZENE</t>
  </si>
  <si>
    <t>ISOPENTYL ACETATE</t>
  </si>
  <si>
    <t>n-DECANOIC ACID</t>
  </si>
  <si>
    <t>INDANE</t>
  </si>
  <si>
    <t>ETHYL PROPYL ETHER</t>
  </si>
  <si>
    <t>C22H46</t>
  </si>
  <si>
    <t>nDocosane</t>
  </si>
  <si>
    <t>XE3 XE4 P 6</t>
  </si>
  <si>
    <t>n-PENTYL FORMATE</t>
  </si>
  <si>
    <t>HF</t>
  </si>
  <si>
    <t>HYDROGEN FLUORIDE</t>
  </si>
  <si>
    <t>NO</t>
  </si>
  <si>
    <t>NITRIC OXIDE</t>
  </si>
  <si>
    <t>XU0 XE4 XU0</t>
  </si>
  <si>
    <t>NO2</t>
  </si>
  <si>
    <t>NITROGEN DIOXIDE</t>
  </si>
  <si>
    <t>C14H30O</t>
  </si>
  <si>
    <t>1-TETRADECANOL</t>
  </si>
  <si>
    <t>3,3,5-TRIMETHYLHEPTANE</t>
  </si>
  <si>
    <t>2,2,3,3-TETRAMETHYLHEXANE</t>
  </si>
  <si>
    <t>2,2,5,5-TETRAMETHYLHEXANE</t>
  </si>
  <si>
    <t>1-METHYLINDAN</t>
  </si>
  <si>
    <t>5-METHYLINDAN</t>
  </si>
  <si>
    <t>Rn</t>
  </si>
  <si>
    <t>RADON</t>
  </si>
  <si>
    <t>1,3-DIOXANE</t>
  </si>
  <si>
    <t>1,1,2-TRIFLUOROETHANE</t>
  </si>
  <si>
    <t>old</t>
  </si>
  <si>
    <t>VINYLCYCLOHEXENE</t>
  </si>
  <si>
    <t>d-LIMONENE</t>
  </si>
  <si>
    <t>1,4-CYCLOHEXADIENE</t>
  </si>
  <si>
    <t>1-PENTENE-3-YNE</t>
  </si>
  <si>
    <t>C15H24</t>
  </si>
  <si>
    <t>n-NONYLBENZENE</t>
  </si>
  <si>
    <t>N2O4</t>
  </si>
  <si>
    <t>NITROGEN TETROXIDE</t>
  </si>
  <si>
    <t>C2H2O2</t>
  </si>
  <si>
    <t>GLYOXAL</t>
  </si>
  <si>
    <t>SALICYLALDEHYDE</t>
  </si>
  <si>
    <t>ACETYLACETONE</t>
  </si>
  <si>
    <t>beta-PROPIOLACTONE</t>
  </si>
  <si>
    <t>epsilon-CAPROLACTONE</t>
  </si>
  <si>
    <t>C12H20O</t>
  </si>
  <si>
    <t>2-CYCLOHEXYL CYCLOHEXANONE</t>
  </si>
  <si>
    <t>1-METHYLCYCLOHEXANOL</t>
  </si>
  <si>
    <t>trans-2-METHYLCYCLOHEXANOL</t>
  </si>
  <si>
    <t>TETRAHYDROFURFURYL ALCOHOL</t>
  </si>
  <si>
    <t>C15H16O2</t>
  </si>
  <si>
    <t>BISPHENOL A</t>
  </si>
  <si>
    <t>C6H14O4</t>
  </si>
  <si>
    <t>TRIETHYLENE GLYCOL</t>
  </si>
  <si>
    <t>1,2-PROPYLENE GLYCOL</t>
  </si>
  <si>
    <t>DIPROPYLENE GLYCOL</t>
  </si>
  <si>
    <t>NEOPENTYL GLYCOL</t>
  </si>
  <si>
    <t>2-BUTYNE-1,4-DIOL</t>
  </si>
  <si>
    <t>C9H20O4</t>
  </si>
  <si>
    <t>TRIPROPYLENE GLYCOL</t>
  </si>
  <si>
    <t>HEXYLENE GLYCOL</t>
  </si>
  <si>
    <t>2,3-BUTANEDIOL</t>
  </si>
  <si>
    <t>cis-2-BUTENE-1,4-DIOL</t>
  </si>
  <si>
    <t>trans-2-BUTENE-1,4-DIOL</t>
  </si>
  <si>
    <t>1,4-BUTANEDIOL</t>
  </si>
  <si>
    <t>1,6-HEXANEDIOL</t>
  </si>
  <si>
    <t>C5H12O4</t>
  </si>
  <si>
    <t>PENTAERYTHRITOL</t>
  </si>
  <si>
    <t>TRIMETHYLOLPROPANE</t>
  </si>
  <si>
    <t>C6H12O6</t>
  </si>
  <si>
    <t>INOSITOL</t>
  </si>
  <si>
    <t>C6H14O6</t>
  </si>
  <si>
    <t>SORBITOL</t>
  </si>
  <si>
    <t>C2H2O4</t>
  </si>
  <si>
    <t>OXALIC ACID</t>
  </si>
  <si>
    <t>METHACRYLIC ACID</t>
  </si>
  <si>
    <t>PERACETIC ACID</t>
  </si>
  <si>
    <t>C8H14O3</t>
  </si>
  <si>
    <t>BUTYRIC ANHYDRIDE</t>
  </si>
  <si>
    <t>C8H4O3</t>
  </si>
  <si>
    <t>PHTHALIC ANHYDRIDE</t>
  </si>
  <si>
    <t>C4H2O3</t>
  </si>
  <si>
    <t>MALEIC ANHYDRIDE</t>
  </si>
  <si>
    <t>C9H4O5</t>
  </si>
  <si>
    <t>TRIMELLITIC ANHYDRIDE</t>
  </si>
  <si>
    <t>n-BUTYL NONANOATE</t>
  </si>
  <si>
    <t>DIOCTYL PHTHALATE</t>
  </si>
  <si>
    <t>2-ETHYLHEXYL ACETATE</t>
  </si>
  <si>
    <t>C14H12O2</t>
  </si>
  <si>
    <t>BENZYL BENZOATE</t>
  </si>
  <si>
    <t>n-DECYL ACETATE</t>
  </si>
  <si>
    <t>C28H46O4</t>
  </si>
  <si>
    <t>DIISODECYL PHTHALATE</t>
  </si>
  <si>
    <t>METHYL SALICYLATE</t>
  </si>
  <si>
    <t>C14H18O4</t>
  </si>
  <si>
    <t>DIPROPYL PHTHALATE</t>
  </si>
  <si>
    <t>DIMETHYL ISOPHTHALATE</t>
  </si>
  <si>
    <t>DIETHYL OXALATE</t>
  </si>
  <si>
    <t>C17H34O2</t>
  </si>
  <si>
    <t>ISOPROPYL MYRISTATE</t>
  </si>
  <si>
    <t>n-BUTYL ETHYL ETHER</t>
  </si>
  <si>
    <t>C14H14O</t>
  </si>
  <si>
    <t>DIBENZYL ETHER</t>
  </si>
  <si>
    <t>C9H12O2</t>
  </si>
  <si>
    <t>CUMENE HYDROPEROXIDE</t>
  </si>
  <si>
    <t>C18H22O2</t>
  </si>
  <si>
    <t>DICUMYL PEROXIDE</t>
  </si>
  <si>
    <t>C4Cl6</t>
  </si>
  <si>
    <t>HEXACHLORO-1,3-BUTADIENE</t>
  </si>
  <si>
    <t>1,1-DICHLOROETHYLENE</t>
  </si>
  <si>
    <t>C2H2Br4</t>
  </si>
  <si>
    <t>1,1,2,2-TETRABROMOETHANE</t>
  </si>
  <si>
    <t>C3F6</t>
  </si>
  <si>
    <t>HEXAFLUOROPROPYLENE</t>
  </si>
  <si>
    <t>H4N2</t>
  </si>
  <si>
    <t>HYDRAZINE</t>
  </si>
  <si>
    <t>C2H7NO</t>
  </si>
  <si>
    <t>MONOETHANOLAMINE</t>
  </si>
  <si>
    <t>C6H15NO3</t>
  </si>
  <si>
    <t>TRIETHANOLAMINE</t>
  </si>
  <si>
    <t>C6H16N2</t>
  </si>
  <si>
    <t>HEXAMETHYLENEDIAMINE</t>
  </si>
  <si>
    <t>DIISOPROPYLAMINE</t>
  </si>
  <si>
    <t>p-NITRODIPHENYLAMINE</t>
  </si>
  <si>
    <t>HYDRACRYLONITRILE</t>
  </si>
  <si>
    <t>CN4O8</t>
  </si>
  <si>
    <t>TETRANITROMETHANE</t>
  </si>
  <si>
    <t>m-NITROTOLUENE</t>
  </si>
  <si>
    <t>n-DODECYL MERCAPTAN</t>
  </si>
  <si>
    <t>CH4N2O</t>
  </si>
  <si>
    <t>UREA</t>
  </si>
  <si>
    <t>2-METHACRYLAMIDE</t>
  </si>
  <si>
    <t>ACRYLAMIDE</t>
  </si>
  <si>
    <t>C6H18N3OP</t>
  </si>
  <si>
    <t>HEXAMETHYL PHOSPHORAMIDE</t>
  </si>
  <si>
    <t>C9H18O4</t>
  </si>
  <si>
    <t>DIPROPYLENE GLYCOL MONOMETHYL</t>
  </si>
  <si>
    <t>H2O4S</t>
  </si>
  <si>
    <t>SULFURIC ACID</t>
  </si>
  <si>
    <t>H3O4P</t>
  </si>
  <si>
    <t>PHOSPHORIC ACID</t>
  </si>
  <si>
    <t>HNO3</t>
  </si>
  <si>
    <t>NITRIC ACID</t>
  </si>
  <si>
    <t>H3O3P</t>
  </si>
  <si>
    <t>PHOSPHOROUS ACID</t>
  </si>
  <si>
    <t>H3O2P</t>
  </si>
  <si>
    <t>HYPOPHOSPHOROUS ACID</t>
  </si>
  <si>
    <t>S</t>
  </si>
  <si>
    <t>SULFUR</t>
  </si>
  <si>
    <t>Cl5P</t>
  </si>
  <si>
    <t>PHOSPHORUS PENTACHLORIDE</t>
  </si>
  <si>
    <t>Cl3PS</t>
  </si>
  <si>
    <t>PHOSPHORUS THIOCHLORIDE</t>
  </si>
  <si>
    <t>F4Si</t>
  </si>
  <si>
    <t>TETRAFLUOROSILANE</t>
  </si>
  <si>
    <t>C30H62</t>
  </si>
  <si>
    <t>C32H66</t>
  </si>
  <si>
    <t>n-DOTRIACONTANE</t>
  </si>
  <si>
    <t>C36H74</t>
  </si>
  <si>
    <t>n-HEXATRIACONTANE</t>
  </si>
  <si>
    <t>2,6-DI-tert-BUTYL-p-CRESOL</t>
  </si>
  <si>
    <t>C20H30O2</t>
  </si>
  <si>
    <t>ABIETIC ACID</t>
  </si>
  <si>
    <t>NEOPENTANOIC ACID</t>
  </si>
  <si>
    <t>C20H38O2</t>
  </si>
  <si>
    <t>CETYL METHACRYLATE</t>
  </si>
  <si>
    <t>C10H12O2</t>
  </si>
  <si>
    <t>n-PROPYL BENZOATE</t>
  </si>
  <si>
    <t>1,1,2,2-TETRACHLORODIFLUOROETH</t>
  </si>
  <si>
    <t>C2H3Br</t>
  </si>
  <si>
    <t>VINYL BROMIDE</t>
  </si>
  <si>
    <t>C4H13N3</t>
  </si>
  <si>
    <t>DIETHYLENE TRIAMINE</t>
  </si>
  <si>
    <t>C8H23N5</t>
  </si>
  <si>
    <t>TETRAETHYLENEPENTAMINE</t>
  </si>
  <si>
    <t>TRIPROPYLAMINE</t>
  </si>
  <si>
    <t>C12H23N</t>
  </si>
  <si>
    <t>DICYCLOHEXYLAMINE</t>
  </si>
  <si>
    <t>trans-DICYANO-1-BUTENE</t>
  </si>
  <si>
    <t>C15H10N2O2</t>
  </si>
  <si>
    <t>DIPHENYLMETHANE-4,4'-DIISOCYAN</t>
  </si>
  <si>
    <t>C18H16N2</t>
  </si>
  <si>
    <t>N,N'-DIPHENYL-p-PHENYLENEDIAMI</t>
  </si>
  <si>
    <t>C6H4N2O4</t>
  </si>
  <si>
    <t>m-DINITROBENZENE</t>
  </si>
  <si>
    <t>o-DINITROBENZENE</t>
  </si>
  <si>
    <t>p-DINITROBENZENE</t>
  </si>
  <si>
    <t>C7H6N2O4</t>
  </si>
  <si>
    <t>2,4-DINITROTOLUENE</t>
  </si>
  <si>
    <t>2,6-DINITROTOLUENE</t>
  </si>
  <si>
    <t>3,4-DINITROTOLUENE</t>
  </si>
  <si>
    <t>C6H3N3O6</t>
  </si>
  <si>
    <t>1,3,5-TRINITROBENZENE</t>
  </si>
  <si>
    <t>C7H5N3O6</t>
  </si>
  <si>
    <t>2,4,6-TRINITROTOLUENE</t>
  </si>
  <si>
    <t>2,5-DINITROTOLUENE</t>
  </si>
  <si>
    <t>3,5-DINITROTOLUENE</t>
  </si>
  <si>
    <t>C5H8N4O12</t>
  </si>
  <si>
    <t>PENTAERYTHRITOL TETRANITRATE</t>
  </si>
  <si>
    <t>C3H5N3O9</t>
  </si>
  <si>
    <t>NITROGLYCERINE</t>
  </si>
  <si>
    <t>o-NITROANILINE</t>
  </si>
  <si>
    <t>2,6-DIETHYLANILINE</t>
  </si>
  <si>
    <t>DIACETONE ALCOHOL</t>
  </si>
  <si>
    <t>C7H8O2</t>
  </si>
  <si>
    <t>p-METHOXYPHENOL</t>
  </si>
  <si>
    <t>2-ETHOXYETHANOL</t>
  </si>
  <si>
    <t>C5H12O3</t>
  </si>
  <si>
    <t>2-(2-METHOXYETHOXY)ETHANOL</t>
  </si>
  <si>
    <t>2-(2-ETHOXYETHOXY)ETHANOL</t>
  </si>
  <si>
    <t>ACETOL</t>
  </si>
  <si>
    <t>ClHO3S</t>
  </si>
  <si>
    <t>CHLOROSULFONIC ACID</t>
  </si>
  <si>
    <t>Cl3N</t>
  </si>
  <si>
    <t>NITROGEN TRICHLORIDE</t>
  </si>
  <si>
    <t>AlCl3</t>
  </si>
  <si>
    <t>ALUMINUM CHLORIDE</t>
  </si>
  <si>
    <t>ClH4N</t>
  </si>
  <si>
    <t>AMMONIUM CHLORIDE</t>
  </si>
  <si>
    <t>C2H7NO2</t>
  </si>
  <si>
    <t>AMMONIUM ACETATE</t>
  </si>
  <si>
    <t>Cl4Ti</t>
  </si>
  <si>
    <t>TITANIUM TETRACHLORIDE</t>
  </si>
  <si>
    <t>ClO2</t>
  </si>
  <si>
    <t>CHLORINE DIOXIDE</t>
  </si>
  <si>
    <t>C22H42O4</t>
  </si>
  <si>
    <t>DI(2-ETHYLHEXYL)ADIPATE</t>
  </si>
  <si>
    <t>C7H5N5O8</t>
  </si>
  <si>
    <t>TETRYL</t>
  </si>
  <si>
    <t>C7H16O3</t>
  </si>
  <si>
    <t>C18H15OP</t>
  </si>
  <si>
    <t>TRIPHENYLPHOSPHINE OXIDE</t>
  </si>
  <si>
    <t>C2H8O6P2</t>
  </si>
  <si>
    <t>1,2-ETHANE DIPHOSPHONIC ACID</t>
  </si>
  <si>
    <t>C6H12Cl3O3P</t>
  </si>
  <si>
    <t>BIS-2-CHLOROETHYL-2-CHLOROETHY</t>
  </si>
  <si>
    <t>C10H19O6PS2</t>
  </si>
  <si>
    <t>MALATHION</t>
  </si>
  <si>
    <t>HYDROGEN (para)</t>
  </si>
  <si>
    <t>CH5ClSi</t>
  </si>
  <si>
    <t>METHYL CHLOROSILANE</t>
  </si>
  <si>
    <t>Cl2S</t>
  </si>
  <si>
    <t>SULFUR DICHLORIDE</t>
  </si>
  <si>
    <t>MgN2O6</t>
  </si>
  <si>
    <t>MAGNESIUM NITRATE</t>
  </si>
  <si>
    <t>C2H3NaO2</t>
  </si>
  <si>
    <t>SODIUM ACETATE</t>
  </si>
  <si>
    <t>C3H9Ga</t>
  </si>
  <si>
    <t>TRIMETHYLGALLIUM</t>
  </si>
  <si>
    <t>Be</t>
  </si>
  <si>
    <t>BERYLLIUM</t>
  </si>
  <si>
    <t>MALIC ACID</t>
  </si>
  <si>
    <t>GUAIACOL</t>
  </si>
  <si>
    <t>ETHYLENE GLYCOL MONOPROPYL ETH</t>
  </si>
  <si>
    <t>DIETHYLENE GLYCOL MONOBUTYL ET</t>
  </si>
  <si>
    <t>CH4O3S</t>
  </si>
  <si>
    <t>METHANESULFONIC ACID</t>
  </si>
  <si>
    <t>METHOXYACETIC ACID</t>
  </si>
  <si>
    <t>C4Cl4S</t>
  </si>
  <si>
    <t>TETRACHLOROTHIOPHENE</t>
  </si>
  <si>
    <t>DEXTROSE</t>
  </si>
  <si>
    <t>C3H9O4P</t>
  </si>
  <si>
    <t>TRIMETHYL PHOSPHATE</t>
  </si>
  <si>
    <t>H3NO</t>
  </si>
  <si>
    <t>HYDROXYLAMINE</t>
  </si>
  <si>
    <t>Ca</t>
  </si>
  <si>
    <t>CALCIUM</t>
  </si>
  <si>
    <t>PYRUVIC ACID</t>
  </si>
  <si>
    <t>C21H21O4P</t>
  </si>
  <si>
    <t>TRI-o-CRESYL PHOSPHATE</t>
  </si>
  <si>
    <t>C18H15O4P</t>
  </si>
  <si>
    <t>TRIPHENYL PHOSPHATE</t>
  </si>
  <si>
    <t>C6H15Al2Cl3</t>
  </si>
  <si>
    <t>ETHYL ALUMINUM SESQUICHLORIDE</t>
  </si>
  <si>
    <t>CHNaO2</t>
  </si>
  <si>
    <t>SODIUM FORMATE</t>
  </si>
  <si>
    <t>H3NO3S</t>
  </si>
  <si>
    <t>SULFAMIC ACID</t>
  </si>
  <si>
    <t>C2H6O4S</t>
  </si>
  <si>
    <t>DIMETHYL SULFATE</t>
  </si>
  <si>
    <t>C5H9NO4</t>
  </si>
  <si>
    <t>L-GLUTAMIC ACID</t>
  </si>
  <si>
    <t>C6H8O6</t>
  </si>
  <si>
    <t>ASCORBIC ACID</t>
  </si>
  <si>
    <t>C6H8O7</t>
  </si>
  <si>
    <t>CITRIC ACID</t>
  </si>
  <si>
    <t>LACTIC ACID</t>
  </si>
  <si>
    <t>C4H6O6</t>
  </si>
  <si>
    <t>TARTARIC ACID</t>
  </si>
  <si>
    <t>METHYL ACETOACETATE</t>
  </si>
  <si>
    <t>CNNa</t>
  </si>
  <si>
    <t>SODIUM CYANIDE</t>
  </si>
  <si>
    <t>C4H10O2S</t>
  </si>
  <si>
    <t>THIODIGLYCOL</t>
  </si>
  <si>
    <t>2-MERCAPTOETHANOL</t>
  </si>
  <si>
    <t>C4H10OS</t>
  </si>
  <si>
    <t>ETHYLTHIOETHANOL</t>
  </si>
  <si>
    <t>C6H15NO2</t>
  </si>
  <si>
    <t>DIISOPROPANOLAMINE</t>
  </si>
  <si>
    <t>2-HYDROXYETHYL ACRYLATE</t>
  </si>
  <si>
    <t>C12H14O6</t>
  </si>
  <si>
    <t>BIS-(2-HYDROXYETHYL) TEREPHTHA</t>
  </si>
  <si>
    <t>C8H10N4O2</t>
  </si>
  <si>
    <t>CAFFEINE</t>
  </si>
  <si>
    <t>C4H6O4</t>
  </si>
  <si>
    <t>SUCCINIC ACID</t>
  </si>
  <si>
    <t>n-HEPTADECANOIC ACID</t>
  </si>
  <si>
    <t>C19H38O2</t>
  </si>
  <si>
    <t>NONADECANOIC ACID</t>
  </si>
  <si>
    <t>C20H40O2</t>
  </si>
  <si>
    <t>n-EICOSANIC ACID</t>
  </si>
  <si>
    <t>C10H6O8</t>
  </si>
  <si>
    <t>PYROMELLITIC ACID</t>
  </si>
  <si>
    <t>JRE values from 1999</t>
  </si>
  <si>
    <t>C23H48</t>
  </si>
  <si>
    <t>n-TRICOSANE</t>
  </si>
  <si>
    <t>XU3 XU4 XU6</t>
  </si>
  <si>
    <t>2,2,4,4,6,8,8-HEPTAMETHYLNONANE</t>
  </si>
  <si>
    <t>Jaubert</t>
  </si>
  <si>
    <t>1,4-DI-tert-BUTYLBENZENE</t>
  </si>
  <si>
    <t>C12H20</t>
  </si>
  <si>
    <t>1,3-DIMETHYLADAMANTANE</t>
  </si>
  <si>
    <t>NITROGENTRIOXIDE</t>
  </si>
  <si>
    <t>CARBONMONOXIDE</t>
  </si>
  <si>
    <t>CARBONDIOXIDE</t>
  </si>
  <si>
    <t>SULFURDIOXIDE</t>
  </si>
  <si>
    <t>3Hexanol</t>
  </si>
  <si>
    <t>3MethylPentanol</t>
  </si>
  <si>
    <t>METHYLFORMATE</t>
  </si>
  <si>
    <t>2-METHYLTETRAHYDROFURAN</t>
  </si>
  <si>
    <t>DIMETHYLETHER</t>
  </si>
  <si>
    <t>DIETHYLETHER</t>
  </si>
  <si>
    <t>METHYLETHYLETHER</t>
  </si>
  <si>
    <t>METHYL-n-PROPYLETHER</t>
  </si>
  <si>
    <t>METHYLISOPROPYLETHER</t>
  </si>
  <si>
    <t>DIVINYLETHER</t>
  </si>
  <si>
    <t>ETHYLENEOXIDE</t>
  </si>
  <si>
    <t>1,2-PROPYLENEOXIDE</t>
  </si>
  <si>
    <t>ETHYLVINYLETHER</t>
  </si>
  <si>
    <t>METHYLVINYLETHER</t>
  </si>
  <si>
    <t>METHYLCHLORIDE</t>
  </si>
  <si>
    <t>ETHYLCHLORIDE</t>
  </si>
  <si>
    <t>VINYLCHLORIDE</t>
  </si>
  <si>
    <t>CYANOGENCHLORIDE</t>
  </si>
  <si>
    <t>METHYLFLUORIDE</t>
  </si>
  <si>
    <t>CARBONTETRAFLUORIDE</t>
  </si>
  <si>
    <t>ETHYLFLUORIDE</t>
  </si>
  <si>
    <t>C3H2F6</t>
  </si>
  <si>
    <t>1,1,1,3,3,3-HEXAFLUOROPROPANE</t>
  </si>
  <si>
    <t>C6F14</t>
  </si>
  <si>
    <t>PERFLUORO-n-HEXANE</t>
  </si>
  <si>
    <t>C8F18</t>
  </si>
  <si>
    <t>PERFLUORO-n-OCTANE</t>
  </si>
  <si>
    <t>C9F20</t>
  </si>
  <si>
    <t>PERFLUORO-n-NONANE</t>
  </si>
  <si>
    <t>C10F22</t>
  </si>
  <si>
    <t>PERFLUORO-n-DECANE</t>
  </si>
  <si>
    <t>CHBrF2</t>
  </si>
  <si>
    <t>BROMODIFLUOROMETHANE</t>
  </si>
  <si>
    <t>METHYLBROMIDE</t>
  </si>
  <si>
    <t>METHYLMERCAPTAN</t>
  </si>
  <si>
    <t>CARBONYLFLUORIDE</t>
  </si>
  <si>
    <t>CARBONYLSULFIDE</t>
  </si>
  <si>
    <t>HYDROGENCHLORIDE</t>
  </si>
  <si>
    <t>HYDROGENBROMIDE</t>
  </si>
  <si>
    <t>HYDROGENIODIDE</t>
  </si>
  <si>
    <t>HYDROGENSULFIDE</t>
  </si>
  <si>
    <t>SULFURHEXAFLUORIDE</t>
  </si>
  <si>
    <t>BORONTRIFLUORIDE</t>
  </si>
  <si>
    <t>BORONTRICHLORIDE</t>
  </si>
  <si>
    <t>NITROGENTRIFLUORIDE</t>
  </si>
  <si>
    <t>NITROSYLCHLORIDE</t>
  </si>
  <si>
    <t>PERCHLORYLFLUORIDE</t>
  </si>
  <si>
    <t>C6H8O</t>
  </si>
  <si>
    <t>2-CYCLOHEXENE-1-ONE</t>
  </si>
  <si>
    <t>mEthylPhenol</t>
  </si>
  <si>
    <t>2-EtHexanoicAcid</t>
  </si>
  <si>
    <t>DIMETHYL CARBONATE</t>
  </si>
  <si>
    <t>C5F12</t>
  </si>
  <si>
    <t>PERFLUORO-n-PENTANE</t>
  </si>
  <si>
    <t>C7F16</t>
  </si>
  <si>
    <t>PERFLUORO-n-HEPTANE</t>
  </si>
  <si>
    <t>C3H3F5</t>
  </si>
  <si>
    <t>1,1,1,3,3-PENTAFLUOROPROPANE</t>
  </si>
  <si>
    <t>1,1,2,2,3-PENTAFLUOROPROPANE</t>
  </si>
  <si>
    <t>1,1,1,2,2-PENTAFLUOROPROPANE</t>
  </si>
  <si>
    <t>1,1,1,2,3,3-HEXAFLUOROPROPANE</t>
  </si>
  <si>
    <t>VINYLFLUORIDE</t>
  </si>
  <si>
    <t>C3H3F5O</t>
  </si>
  <si>
    <t>2-(DIFLUOROMETHOXY)-1,1,1-TRIFLUOROETHANE</t>
  </si>
  <si>
    <t>GERMANIUMTETRAHYDRIDE</t>
  </si>
  <si>
    <t>ISOPENTYL BUTYRATE</t>
  </si>
  <si>
    <t>1,3,5-TRIETHYLBENZENE</t>
  </si>
  <si>
    <t>C2HF5O</t>
  </si>
  <si>
    <t>DIFLUOROMETHYL TRIFLUOROMETHYL ETHER</t>
  </si>
  <si>
    <t>C4H5F5</t>
  </si>
  <si>
    <t>R365mfc(1,1,1,3,3-PENTAFLUOROBUTANE)</t>
  </si>
  <si>
    <t>C3H2F4</t>
  </si>
  <si>
    <t>R1234yf(2,3,3,3-TETRAFLUOROPROPENE)</t>
  </si>
  <si>
    <t>HYDROGENSELENIDE</t>
  </si>
  <si>
    <t>DIMETHYLSILANE</t>
  </si>
  <si>
    <t>TRIMETHYLSILANE</t>
  </si>
  <si>
    <t>ISOXAZOLE</t>
  </si>
  <si>
    <t>PCmShape</t>
  </si>
  <si>
    <t>fugiDev</t>
  </si>
  <si>
    <t>193  309</t>
  </si>
  <si>
    <t>Mw</t>
  </si>
  <si>
    <t>-&gt;Tc</t>
  </si>
  <si>
    <t>-&gt;TmK</t>
  </si>
  <si>
    <t>mPcSaft</t>
  </si>
  <si>
    <t>ACC</t>
  </si>
  <si>
    <t>OH prim</t>
  </si>
  <si>
    <t>OH sec</t>
  </si>
  <si>
    <t>OH tert</t>
  </si>
  <si>
    <t>CHCO</t>
  </si>
  <si>
    <t>CCO</t>
  </si>
  <si>
    <t>HCHO</t>
  </si>
  <si>
    <t>CNH2</t>
  </si>
  <si>
    <t>ACNH</t>
  </si>
  <si>
    <t>ACN</t>
  </si>
  <si>
    <t>AC2H2N</t>
  </si>
  <si>
    <t>AC2HN</t>
  </si>
  <si>
    <t>AC2N</t>
  </si>
  <si>
    <t>AC2H2NH</t>
  </si>
  <si>
    <t>AC2HNH</t>
  </si>
  <si>
    <t>AC2NH</t>
  </si>
  <si>
    <t>CHCN</t>
  </si>
  <si>
    <t>CCN</t>
  </si>
  <si>
    <t>CH2Cl</t>
  </si>
  <si>
    <t>CHCl</t>
  </si>
  <si>
    <t>CCl</t>
  </si>
  <si>
    <t>CHCl2</t>
  </si>
  <si>
    <t>CCl2</t>
  </si>
  <si>
    <t>CCl3</t>
  </si>
  <si>
    <t>ACCl</t>
  </si>
  <si>
    <t>CNO2</t>
  </si>
  <si>
    <t>CHSH</t>
  </si>
  <si>
    <t>CSH</t>
  </si>
  <si>
    <t>ACSH</t>
  </si>
  <si>
    <t>Furfural</t>
  </si>
  <si>
    <t>CH2(OH)-CH2(OH)</t>
  </si>
  <si>
    <t>-CH(OH)-CH2(OH)</t>
  </si>
  <si>
    <t>-CH(OH)-CH(OH)-</t>
  </si>
  <si>
    <t>&gt;C(OH)-CH2(OH)</t>
  </si>
  <si>
    <t>&gt;C(OH)-CH(OH)-</t>
  </si>
  <si>
    <t>&gt;C(OH)-C(OH)&lt;</t>
  </si>
  <si>
    <t>CH#C</t>
  </si>
  <si>
    <t>C#C</t>
  </si>
  <si>
    <t>DMSO</t>
  </si>
  <si>
    <t>Acrylonitrile</t>
  </si>
  <si>
    <t>Cl—(C=C)</t>
  </si>
  <si>
    <t>DMF</t>
  </si>
  <si>
    <t>HCON(CH2)2</t>
  </si>
  <si>
    <t>c-CH2</t>
  </si>
  <si>
    <t>c-CH</t>
  </si>
  <si>
    <t>c-C</t>
  </si>
  <si>
    <t>CH2-O-[CH2]1/2</t>
  </si>
  <si>
    <t>[CH2]1/2-O-[CH2]1/2</t>
  </si>
  <si>
    <t>c-CON-CH3</t>
  </si>
  <si>
    <t>c-CON-CH2</t>
  </si>
  <si>
    <t>c-CON-CH</t>
  </si>
  <si>
    <t>c-CON-C</t>
  </si>
  <si>
    <t>CON(CH3)CH2</t>
  </si>
  <si>
    <t>HCONHCH3</t>
  </si>
  <si>
    <t>HCONHCH2</t>
  </si>
  <si>
    <t>ACCN</t>
  </si>
  <si>
    <t>CH3NCO</t>
  </si>
  <si>
    <t>CH2NCO</t>
  </si>
  <si>
    <t>CHNCO</t>
  </si>
  <si>
    <t>ACNCO</t>
  </si>
  <si>
    <t>AC2H2S</t>
  </si>
  <si>
    <t>AC2HS</t>
  </si>
  <si>
    <t>AC2S</t>
  </si>
  <si>
    <t>H2COCH</t>
  </si>
  <si>
    <t>HCOCH</t>
  </si>
  <si>
    <t>COOCO</t>
  </si>
  <si>
    <t>(CH3O)2CO</t>
  </si>
  <si>
    <t>(CH2O)2CO</t>
  </si>
  <si>
    <t>(CH3O)COOCH2</t>
  </si>
  <si>
    <t>(ACO)COOCH2</t>
  </si>
  <si>
    <t>(ACO)CO(OAC)</t>
  </si>
  <si>
    <t>CH2SuCH2</t>
  </si>
  <si>
    <t xml:space="preserve">CH2SuCH </t>
  </si>
  <si>
    <t>ACSO2</t>
  </si>
  <si>
    <t>ACCHO</t>
  </si>
  <si>
    <t>ACCOOH</t>
  </si>
  <si>
    <t xml:space="preserve">AC-O-CO-CH3 </t>
  </si>
  <si>
    <t>AC-O-CO-CH2</t>
  </si>
  <si>
    <t>AC-O-CO-CH</t>
  </si>
  <si>
    <t>AC-O-CO-C</t>
  </si>
  <si>
    <t>-O-CH2-CH2-OH</t>
  </si>
  <si>
    <t>-O-CH-CH2-OH</t>
  </si>
  <si>
    <t>-O-CH2-CH-OH</t>
  </si>
  <si>
    <t>CH3-S-</t>
  </si>
  <si>
    <t>-CH2-S-</t>
  </si>
  <si>
    <t>&gt;CH-S-</t>
  </si>
  <si>
    <t>-&gt;C-S-</t>
  </si>
  <si>
    <t>ACS</t>
  </si>
  <si>
    <t>c-CO-NH</t>
  </si>
  <si>
    <t>c-CO-O</t>
  </si>
  <si>
    <t>CH3O-(O)</t>
  </si>
  <si>
    <t>CH2O-(O)</t>
  </si>
  <si>
    <t>CHO-(O)</t>
  </si>
  <si>
    <t>CO-(O)</t>
  </si>
  <si>
    <t>ACO-(O)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</si>
  <si>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</si>
  <si>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</si>
  <si>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</si>
  <si>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</si>
  <si>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</si>
  <si>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</si>
  <si>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</si>
  <si>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</si>
  <si>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C(O)2</t>
  </si>
  <si>
    <t>CH(O)2</t>
  </si>
  <si>
    <t>CH2(O)2</t>
  </si>
  <si>
    <t>ACN(CH3)2</t>
  </si>
  <si>
    <t>ACN(CH3)CH2</t>
  </si>
  <si>
    <t>ACN(CH2)2</t>
  </si>
  <si>
    <t>ACNHCH3</t>
  </si>
  <si>
    <t>ACNHCH2</t>
  </si>
  <si>
    <t>ACNHCH</t>
  </si>
  <si>
    <t>AC2H2O</t>
  </si>
  <si>
    <t>AC2HO</t>
  </si>
  <si>
    <t>AC2O</t>
  </si>
  <si>
    <t>c-CH2-NH</t>
  </si>
  <si>
    <t>c-CH-NH</t>
  </si>
  <si>
    <t>c-C-NH</t>
  </si>
  <si>
    <t>c-CH2-NCH3</t>
  </si>
  <si>
    <t>c-CH2-NCH2</t>
  </si>
  <si>
    <t>c-CH2-NCH</t>
  </si>
  <si>
    <t>c-CH-NCH3</t>
  </si>
  <si>
    <t>c-CH-NCH2</t>
  </si>
  <si>
    <t>c-CH-NCH</t>
  </si>
  <si>
    <t>SiH3-</t>
  </si>
  <si>
    <t>-SiH2-</t>
  </si>
  <si>
    <t>&gt;SiH-</t>
  </si>
  <si>
    <t>&gt;Si&lt;</t>
  </si>
  <si>
    <t>-SiH2-O-</t>
  </si>
  <si>
    <t>&gt;SiH-O-</t>
  </si>
  <si>
    <t>-&gt;Si-O-</t>
  </si>
  <si>
    <t>CH=NOH</t>
  </si>
  <si>
    <t>C=NOH</t>
  </si>
  <si>
    <t>ACCO</t>
  </si>
  <si>
    <t>c-CHH2</t>
  </si>
  <si>
    <t>c-CH=CH</t>
  </si>
  <si>
    <t>c-CH=C</t>
  </si>
  <si>
    <t>c-C=C</t>
  </si>
  <si>
    <t>Glycerol</t>
  </si>
  <si>
    <t>CyCH2-O-CH2</t>
  </si>
  <si>
    <t>eta</t>
  </si>
  <si>
    <t>Z</t>
  </si>
  <si>
    <t>bP/RT</t>
  </si>
  <si>
    <t>T(K)</t>
  </si>
  <si>
    <t>Y</t>
  </si>
  <si>
    <t>P(MPa)</t>
  </si>
  <si>
    <t>rho(mol/cc)</t>
  </si>
  <si>
    <t>rho(mol/m3)</t>
  </si>
  <si>
    <t>P(Pa)</t>
  </si>
  <si>
    <t>Yc (FYI)</t>
  </si>
  <si>
    <t>Bc</t>
  </si>
  <si>
    <t>etac</t>
  </si>
  <si>
    <t>ZcCalc</t>
  </si>
  <si>
    <t>Zatt</t>
  </si>
  <si>
    <t>Zrep</t>
  </si>
  <si>
    <t>IdDippr</t>
  </si>
  <si>
    <t>g_c</t>
  </si>
  <si>
    <t>Zchain</t>
  </si>
  <si>
    <t>Tr</t>
  </si>
  <si>
    <t>Zchem</t>
  </si>
  <si>
    <t>Delta/bVol</t>
  </si>
  <si>
    <t>vEffNm3</t>
  </si>
  <si>
    <t>KADnm3</t>
  </si>
  <si>
    <t>FAD</t>
  </si>
  <si>
    <t>ralph</t>
  </si>
  <si>
    <t>Artifacts?</t>
  </si>
  <si>
    <t>negZ?</t>
  </si>
  <si>
    <t>HYDROGENCYANIDE</t>
  </si>
  <si>
    <t>BUTYRONITRILE</t>
  </si>
  <si>
    <t>FormicAcid</t>
  </si>
  <si>
    <t>AceticAcid</t>
  </si>
  <si>
    <t>PropionicAcid</t>
  </si>
  <si>
    <t>n-OCTADECANOIC ACID</t>
  </si>
  <si>
    <t>Neon</t>
  </si>
  <si>
    <t>Radon</t>
  </si>
  <si>
    <t>NitricOXIDE</t>
  </si>
  <si>
    <t>PROPANAL</t>
  </si>
  <si>
    <t>BUTANAL</t>
  </si>
  <si>
    <t xml:space="preserve">METHANOL </t>
  </si>
  <si>
    <t xml:space="preserve">ETHANOL </t>
  </si>
  <si>
    <t xml:space="preserve">1-PROPANOL </t>
  </si>
  <si>
    <t>2-PROPANOL(IPA)</t>
  </si>
  <si>
    <t>3-HEXANOL</t>
  </si>
  <si>
    <t>ALLYLALCOHOL</t>
  </si>
  <si>
    <t>BENZYLALCOHOL</t>
  </si>
  <si>
    <t>o-ETHYLPHENOL</t>
  </si>
  <si>
    <t>GLYCEROL ***</t>
  </si>
  <si>
    <t xml:space="preserve">DICUMYLPEROXIDE </t>
  </si>
  <si>
    <t>ETHYLFORMATE</t>
  </si>
  <si>
    <t>n-PROPYLFORMATE</t>
  </si>
  <si>
    <t>nBUTYLFORMATE</t>
  </si>
  <si>
    <t>ISOBUTYLFORMATE</t>
  </si>
  <si>
    <t>n-PENTYLFORMATE</t>
  </si>
  <si>
    <t>DIMethylETHER</t>
  </si>
  <si>
    <t>DiethylETHER</t>
  </si>
  <si>
    <t>MethylTertButylETHER</t>
  </si>
  <si>
    <t>MethylEthylETHER</t>
  </si>
  <si>
    <t>2-PROPYLAMINE</t>
  </si>
  <si>
    <t>ETHYLMERCAPTAN</t>
  </si>
  <si>
    <t>SulfuricAcid</t>
  </si>
  <si>
    <t>HydrogenCHLORIDE</t>
  </si>
  <si>
    <t>HydrogenFluoride</t>
  </si>
  <si>
    <t>HydrogenBromide</t>
  </si>
  <si>
    <t>HydrogenIodide</t>
  </si>
  <si>
    <t>HydrogenSULFIDE</t>
  </si>
  <si>
    <t>DODECAMETHYLPENTASILOXANE</t>
  </si>
  <si>
    <t>DeuteriumOxide</t>
  </si>
  <si>
    <t>m-ETHYLPHENOL</t>
  </si>
  <si>
    <t>ACETAMINOPHEN</t>
  </si>
  <si>
    <t>MethOXYETHANOL</t>
  </si>
  <si>
    <t>OCTAMETHYLTRISILOXANE</t>
  </si>
  <si>
    <t>OCTADECAMETHYLOCTASILOXANE</t>
  </si>
  <si>
    <t>HEXADECAMETHYLHEPTASILOXANE</t>
  </si>
  <si>
    <t>PROPYLENEGLYCOLMONOMETHYLETHER</t>
  </si>
  <si>
    <t>HydrogenSelenide</t>
  </si>
  <si>
    <t>TETRADECAMETHYLHEXASILOXANE</t>
  </si>
  <si>
    <t>DECAMETHYLTETRASILOXANE</t>
  </si>
  <si>
    <t>EthylLACTATE(OHintra)</t>
  </si>
  <si>
    <t>Deuterium</t>
  </si>
  <si>
    <t>b(cc/mo)</t>
  </si>
  <si>
    <t>KadNm3</t>
  </si>
  <si>
    <t>EKcal</t>
  </si>
  <si>
    <t>idCas</t>
  </si>
  <si>
    <t>Z1</t>
  </si>
  <si>
    <t>Z2</t>
  </si>
  <si>
    <t>Zesd</t>
  </si>
  <si>
    <t>bP/RT(2)</t>
  </si>
  <si>
    <t>Z(2)</t>
  </si>
  <si>
    <t>bP/RTesd</t>
  </si>
  <si>
    <t>CH4esd</t>
  </si>
  <si>
    <t>C30esd</t>
  </si>
  <si>
    <t>CH4(2)</t>
  </si>
  <si>
    <t>dlngc/dEta</t>
  </si>
  <si>
    <t>nC7</t>
  </si>
  <si>
    <t>ZcEsd(q)</t>
  </si>
  <si>
    <t>PET</t>
  </si>
  <si>
    <t>PET28</t>
  </si>
  <si>
    <t>prTcJaubert</t>
  </si>
  <si>
    <t xml:space="preserve">idDip </t>
  </si>
  <si>
    <t xml:space="preserve"> acen </t>
  </si>
  <si>
    <t xml:space="preserve"> TwuL </t>
  </si>
  <si>
    <t xml:space="preserve">TwuM  </t>
  </si>
  <si>
    <t xml:space="preserve">TwuN  </t>
  </si>
  <si>
    <t>c(cc/mol)</t>
  </si>
  <si>
    <t>zRa</t>
  </si>
  <si>
    <t xml:space="preserve">    Tmin </t>
  </si>
  <si>
    <t xml:space="preserve">idCas </t>
  </si>
  <si>
    <t>rtMPa</t>
  </si>
  <si>
    <t xml:space="preserve">g/cc  </t>
  </si>
  <si>
    <t>Class</t>
  </si>
  <si>
    <t>polar</t>
  </si>
  <si>
    <t>C8H8O4x146</t>
  </si>
  <si>
    <t>To use with CalcEos.exe: (1) open ParmsCrAdd.txt and copy the last line. (2) Paste the values of Tc,Pc,… over those copied.  (3) assign an id#, cas#, and change the name</t>
  </si>
  <si>
    <t>Ng/Nd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</si>
</sst>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0.00000"/>
    <numFmt numFmtId="167" formatCode="0.0000"/>
    <numFmt numFmtId="168" formatCode="0.000000"/>
    <numFmt numFmtId="169" formatCode="0.0000000"/>
    <numFmt numFmtId="170" formatCode="0.00000000"/>
    <numFmt numFmtId="171" formatCode="0.0000%"/>
  </numFmts>
  <fonts count="26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8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</font>
    <font>
      <vertAlign val="superscript"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000000"/>
      <name val="AdvGulliv-R"/>
    </font>
    <font>
      <sz val="7"/>
      <color rgb="FF000000"/>
      <name val="AdvGulliv-I"/>
    </font>
    <font>
      <sz val="5"/>
      <color rgb="FF000000"/>
      <name val="AdvGulliv-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2"/>
      <color theme="4" tint="-0.249977111117893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3" fillId="0" borderId="0"/>
    <xf numFmtId="9" fontId="4" fillId="0" borderId="0" applyFont="0" applyFill="0" applyBorder="0" applyAlignment="0" applyProtection="0"/>
    <xf numFmtId="0" fontId="2" fillId="0" borderId="0"/>
    <xf numFmtId="0" fontId="25" fillId="0" borderId="0"/>
  </cellStyleXfs>
  <cellXfs count="86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5" fillId="0" borderId="0" xfId="1"/>
    <xf numFmtId="167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0" fontId="5" fillId="0" borderId="0" xfId="1" applyAlignment="1">
      <alignment horizontal="center"/>
    </xf>
    <xf numFmtId="164" fontId="5" fillId="0" borderId="0" xfId="1" applyNumberFormat="1" applyAlignment="1">
      <alignment horizontal="center"/>
    </xf>
    <xf numFmtId="2" fontId="5" fillId="0" borderId="0" xfId="1" applyNumberFormat="1" applyAlignment="1">
      <alignment horizontal="center"/>
    </xf>
    <xf numFmtId="0" fontId="5" fillId="2" borderId="0" xfId="1" applyFill="1"/>
    <xf numFmtId="0" fontId="9" fillId="0" borderId="0" xfId="1" applyFont="1" applyAlignment="1">
      <alignment horizontal="center"/>
    </xf>
    <xf numFmtId="0" fontId="5" fillId="3" borderId="0" xfId="1" applyFill="1"/>
    <xf numFmtId="0" fontId="5" fillId="0" borderId="0" xfId="1" applyAlignment="1">
      <alignment horizontal="right"/>
    </xf>
    <xf numFmtId="11" fontId="5" fillId="0" borderId="0" xfId="1" applyNumberFormat="1" applyAlignment="1">
      <alignment horizontal="center"/>
    </xf>
    <xf numFmtId="1" fontId="5" fillId="0" borderId="0" xfId="1" applyNumberFormat="1" applyAlignment="1">
      <alignment horizontal="center"/>
    </xf>
    <xf numFmtId="0" fontId="10" fillId="0" borderId="0" xfId="1" applyFont="1" applyAlignment="1">
      <alignment horizontal="center"/>
    </xf>
    <xf numFmtId="167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67" fontId="0" fillId="7" borderId="0" xfId="0" applyNumberFormat="1" applyFill="1"/>
    <xf numFmtId="165" fontId="0" fillId="5" borderId="0" xfId="0" applyNumberFormat="1" applyFill="1"/>
    <xf numFmtId="166" fontId="3" fillId="0" borderId="0" xfId="2" applyNumberFormat="1"/>
    <xf numFmtId="168" fontId="3" fillId="0" borderId="0" xfId="2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2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1" fillId="0" borderId="0" xfId="0" applyNumberFormat="1" applyFont="1"/>
    <xf numFmtId="165" fontId="0" fillId="8" borderId="0" xfId="0" applyNumberFormat="1" applyFill="1"/>
    <xf numFmtId="165" fontId="0" fillId="2" borderId="0" xfId="0" applyNumberFormat="1" applyFill="1"/>
    <xf numFmtId="0" fontId="0" fillId="8" borderId="0" xfId="0" applyFill="1" applyAlignment="1">
      <alignment horizontal="center"/>
    </xf>
    <xf numFmtId="166" fontId="3" fillId="8" borderId="0" xfId="2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1" fontId="0" fillId="9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18" fillId="0" borderId="0" xfId="0" applyFont="1"/>
    <xf numFmtId="0" fontId="18" fillId="10" borderId="0" xfId="0" applyFont="1" applyFill="1"/>
    <xf numFmtId="0" fontId="0" fillId="10" borderId="0" xfId="0" applyFill="1"/>
    <xf numFmtId="1" fontId="0" fillId="10" borderId="0" xfId="0" applyNumberFormat="1" applyFill="1"/>
    <xf numFmtId="164" fontId="0" fillId="10" borderId="0" xfId="0" applyNumberFormat="1" applyFill="1"/>
    <xf numFmtId="0" fontId="3" fillId="0" borderId="0" xfId="0" applyFont="1" applyAlignment="1">
      <alignment horizontal="center"/>
    </xf>
    <xf numFmtId="164" fontId="3" fillId="0" borderId="0" xfId="2" applyNumberFormat="1" applyAlignment="1">
      <alignment horizontal="center"/>
    </xf>
    <xf numFmtId="0" fontId="0" fillId="9" borderId="0" xfId="0" applyFill="1"/>
    <xf numFmtId="0" fontId="23" fillId="0" borderId="0" xfId="1" applyFont="1"/>
    <xf numFmtId="0" fontId="3" fillId="4" borderId="0" xfId="0" applyFont="1" applyFill="1"/>
    <xf numFmtId="0" fontId="24" fillId="0" borderId="0" xfId="0" applyFont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10" borderId="2" xfId="0" applyFont="1" applyFill="1" applyBorder="1" applyAlignment="1">
      <alignment vertical="center" wrapText="1"/>
    </xf>
    <xf numFmtId="0" fontId="24" fillId="10" borderId="0" xfId="0" applyFont="1" applyFill="1" applyAlignment="1">
      <alignment vertical="center" wrapText="1"/>
    </xf>
    <xf numFmtId="0" fontId="24" fillId="10" borderId="1" xfId="0" applyFont="1" applyFill="1" applyBorder="1" applyAlignment="1">
      <alignment vertical="center" wrapText="1"/>
    </xf>
    <xf numFmtId="166" fontId="5" fillId="0" borderId="0" xfId="1" applyNumberFormat="1" applyAlignment="1">
      <alignment horizontal="center"/>
    </xf>
    <xf numFmtId="0" fontId="2" fillId="0" borderId="0" xfId="4"/>
    <xf numFmtId="0" fontId="2" fillId="0" borderId="0" xfId="4" applyAlignment="1">
      <alignment horizontal="center"/>
    </xf>
    <xf numFmtId="164" fontId="2" fillId="0" borderId="0" xfId="4" applyNumberFormat="1" applyAlignment="1">
      <alignment horizontal="center"/>
    </xf>
    <xf numFmtId="0" fontId="1" fillId="0" borderId="0" xfId="4" applyFont="1" applyAlignment="1">
      <alignment horizontal="center"/>
    </xf>
    <xf numFmtId="0" fontId="1" fillId="0" borderId="0" xfId="4" applyFont="1"/>
    <xf numFmtId="164" fontId="1" fillId="0" borderId="0" xfId="4" applyNumberFormat="1" applyFont="1" applyAlignment="1">
      <alignment horizontal="center"/>
    </xf>
    <xf numFmtId="167" fontId="5" fillId="0" borderId="0" xfId="1" applyNumberFormat="1" applyAlignment="1">
      <alignment horizontal="center"/>
    </xf>
    <xf numFmtId="0" fontId="0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</cellXfs>
  <cellStyles count="6">
    <cellStyle name="Normal" xfId="0" builtinId="0"/>
    <cellStyle name="Normal 2" xfId="4" xr:uid="{B8F1E7BF-2423-4ACD-AA85-8AB9873D420F}"/>
    <cellStyle name="Normal 3" xfId="5" xr:uid="{8FB1A6B0-3262-4E58-8336-EF0A27B4E514}"/>
    <cellStyle name="Normal_esdCalc" xfId="1" xr:uid="{00000000-0005-0000-0000-000001000000}"/>
    <cellStyle name="Normal_mOpt" xfId="2" xr:uid="{00000000-0005-0000-0000-000002000000}"/>
    <cellStyle name="Percent" xfId="3" builtinId="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697680535235809"/>
          <c:y val="3.2407407407407406E-2"/>
          <c:w val="0.71721960120329431"/>
          <c:h val="0.7620217264508603"/>
        </c:manualLayout>
      </c:layout>
      <c:scatterChart>
        <c:scatterStyle val="smoothMarker"/>
        <c:varyColors val="0"/>
        <c:ser>
          <c:idx val="1"/>
          <c:order val="0"/>
          <c:tx>
            <c:v>CH4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PvsEta!$Q$6:$Q$51</c:f>
              <c:numCache>
                <c:formatCode>General</c:formatCode>
                <c:ptCount val="46"/>
                <c:pt idx="0">
                  <c:v>0</c:v>
                </c:pt>
                <c:pt idx="1">
                  <c:v>-1.3566147764280077E-2</c:v>
                </c:pt>
                <c:pt idx="2">
                  <c:v>-4.6028756014311278E-2</c:v>
                </c:pt>
                <c:pt idx="3">
                  <c:v>-0.16350240734260094</c:v>
                </c:pt>
                <c:pt idx="4">
                  <c:v>-0.35357560714342134</c:v>
                </c:pt>
                <c:pt idx="5">
                  <c:v>-0.60494436803008544</c:v>
                </c:pt>
                <c:pt idx="6">
                  <c:v>-0.62094237472764746</c:v>
                </c:pt>
                <c:pt idx="7">
                  <c:v>-0.61976297172134831</c:v>
                </c:pt>
                <c:pt idx="8">
                  <c:v>-0.59750440734308663</c:v>
                </c:pt>
                <c:pt idx="9">
                  <c:v>-0.5490070318692456</c:v>
                </c:pt>
                <c:pt idx="10">
                  <c:v>-0.46729424595169</c:v>
                </c:pt>
                <c:pt idx="11">
                  <c:v>-0.3426895616580603</c:v>
                </c:pt>
                <c:pt idx="12">
                  <c:v>-0.16136584469184229</c:v>
                </c:pt>
                <c:pt idx="13">
                  <c:v>9.7151594250947895E-2</c:v>
                </c:pt>
                <c:pt idx="14">
                  <c:v>0.46452929394024262</c:v>
                </c:pt>
                <c:pt idx="15">
                  <c:v>0.99248668059441814</c:v>
                </c:pt>
                <c:pt idx="16">
                  <c:v>1.7716584028741849</c:v>
                </c:pt>
                <c:pt idx="17">
                  <c:v>2.9766796825482933</c:v>
                </c:pt>
                <c:pt idx="18">
                  <c:v>4.9928544692030394</c:v>
                </c:pt>
                <c:pt idx="19">
                  <c:v>8.8710090515584241</c:v>
                </c:pt>
                <c:pt idx="20">
                  <c:v>18.856477858536117</c:v>
                </c:pt>
                <c:pt idx="21">
                  <c:v>92.968818626407611</c:v>
                </c:pt>
                <c:pt idx="22">
                  <c:v>-49.963666682114372</c:v>
                </c:pt>
                <c:pt idx="23">
                  <c:v>-23.329891642546613</c:v>
                </c:pt>
                <c:pt idx="24">
                  <c:v>-16.64509385122825</c:v>
                </c:pt>
                <c:pt idx="25">
                  <c:v>-13.665109568993349</c:v>
                </c:pt>
                <c:pt idx="26">
                  <c:v>-12.017195435515765</c:v>
                </c:pt>
                <c:pt idx="27">
                  <c:v>-10.998316142155634</c:v>
                </c:pt>
                <c:pt idx="28">
                  <c:v>-10.326150250210443</c:v>
                </c:pt>
                <c:pt idx="29">
                  <c:v>-9.8653380369571408</c:v>
                </c:pt>
                <c:pt idx="30">
                  <c:v>-9.5428671902948334</c:v>
                </c:pt>
                <c:pt idx="31">
                  <c:v>-9.3158825815402331</c:v>
                </c:pt>
                <c:pt idx="32">
                  <c:v>-9.157573306945574</c:v>
                </c:pt>
                <c:pt idx="33">
                  <c:v>-9.0503069228187965</c:v>
                </c:pt>
                <c:pt idx="34">
                  <c:v>-8.9820113858707522</c:v>
                </c:pt>
                <c:pt idx="35">
                  <c:v>-8.9441433728104869</c:v>
                </c:pt>
                <c:pt idx="36">
                  <c:v>-8.9304867483388346</c:v>
                </c:pt>
                <c:pt idx="37">
                  <c:v>-8.9364106791568343</c:v>
                </c:pt>
                <c:pt idx="38">
                  <c:v>-8.9583945457299397</c:v>
                </c:pt>
                <c:pt idx="39">
                  <c:v>-8.993714044416306</c:v>
                </c:pt>
                <c:pt idx="40">
                  <c:v>-9.0402280903714729</c:v>
                </c:pt>
                <c:pt idx="41">
                  <c:v>-9.096230674996832</c:v>
                </c:pt>
                <c:pt idx="42">
                  <c:v>-9.160345695885681</c:v>
                </c:pt>
                <c:pt idx="43">
                  <c:v>-9.2314508870979122</c:v>
                </c:pt>
                <c:pt idx="44">
                  <c:v>-9.3086218698640231</c:v>
                </c:pt>
                <c:pt idx="45">
                  <c:v>-9.3492367720675951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8F-413B-8046-6F2BC5393B12}"/>
            </c:ext>
          </c:extLst>
        </c:ser>
        <c:ser>
          <c:idx val="0"/>
          <c:order val="1"/>
          <c:tx>
            <c:strRef>
              <c:f>PvsEta!$B$2</c:f>
              <c:strCache>
                <c:ptCount val="1"/>
                <c:pt idx="0">
                  <c:v>C30H62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PvsEta!$M$6:$M$51</c:f>
              <c:numCache>
                <c:formatCode>0.000</c:formatCode>
                <c:ptCount val="46"/>
                <c:pt idx="0">
                  <c:v>0</c:v>
                </c:pt>
                <c:pt idx="1">
                  <c:v>-2.1387158393700895E-2</c:v>
                </c:pt>
                <c:pt idx="2">
                  <c:v>-9.8214722470889776E-2</c:v>
                </c:pt>
                <c:pt idx="3">
                  <c:v>-0.57515655167945778</c:v>
                </c:pt>
                <c:pt idx="4">
                  <c:v>-1.8525678481297903</c:v>
                </c:pt>
                <c:pt idx="5">
                  <c:v>-4.7639445734877865</c:v>
                </c:pt>
                <c:pt idx="6">
                  <c:v>-5.2421058692022777</c:v>
                </c:pt>
                <c:pt idx="7">
                  <c:v>-5.6381312634193543</c:v>
                </c:pt>
                <c:pt idx="8">
                  <c:v>-5.924688646197926</c:v>
                </c:pt>
                <c:pt idx="9">
                  <c:v>-6.0672610835778285</c:v>
                </c:pt>
                <c:pt idx="10">
                  <c:v>-6.0205812298124952</c:v>
                </c:pt>
                <c:pt idx="11">
                  <c:v>-5.7230966358428876</c:v>
                </c:pt>
                <c:pt idx="12">
                  <c:v>-5.0879545741090801</c:v>
                </c:pt>
                <c:pt idx="13">
                  <c:v>-3.9875517348385636</c:v>
                </c:pt>
                <c:pt idx="14">
                  <c:v>-2.2254713769033652</c:v>
                </c:pt>
                <c:pt idx="15">
                  <c:v>0.51818770154506244</c:v>
                </c:pt>
                <c:pt idx="16">
                  <c:v>4.8031433651696567</c:v>
                </c:pt>
                <c:pt idx="17">
                  <c:v>11.706948112785916</c:v>
                </c:pt>
                <c:pt idx="18">
                  <c:v>23.606042250292059</c:v>
                </c:pt>
                <c:pt idx="19">
                  <c:v>46.980394321340476</c:v>
                </c:pt>
                <c:pt idx="20">
                  <c:v>108.00723154942844</c:v>
                </c:pt>
                <c:pt idx="21">
                  <c:v>564.43541491996177</c:v>
                </c:pt>
                <c:pt idx="22">
                  <c:v>-317.43846519152947</c:v>
                </c:pt>
                <c:pt idx="23">
                  <c:v>-153.77130560511645</c:v>
                </c:pt>
                <c:pt idx="24">
                  <c:v>-113.11314943594247</c:v>
                </c:pt>
                <c:pt idx="25">
                  <c:v>-95.302248853128233</c:v>
                </c:pt>
                <c:pt idx="26">
                  <c:v>-85.708019370207154</c:v>
                </c:pt>
                <c:pt idx="27">
                  <c:v>-79.995316338006774</c:v>
                </c:pt>
                <c:pt idx="28">
                  <c:v>-76.423137708033323</c:v>
                </c:pt>
                <c:pt idx="29">
                  <c:v>-74.156666508238146</c:v>
                </c:pt>
                <c:pt idx="30">
                  <c:v>-72.745537057647041</c:v>
                </c:pt>
                <c:pt idx="31">
                  <c:v>-71.925348183807387</c:v>
                </c:pt>
                <c:pt idx="32">
                  <c:v>-71.530641077623926</c:v>
                </c:pt>
                <c:pt idx="33">
                  <c:v>-71.45256353810602</c:v>
                </c:pt>
                <c:pt idx="34">
                  <c:v>-71.61655974241765</c:v>
                </c:pt>
                <c:pt idx="35">
                  <c:v>-71.969841783853653</c:v>
                </c:pt>
                <c:pt idx="36">
                  <c:v>-72.473980038373682</c:v>
                </c:pt>
                <c:pt idx="37">
                  <c:v>-73.100327824360036</c:v>
                </c:pt>
                <c:pt idx="38">
                  <c:v>-73.827091237947869</c:v>
                </c:pt>
                <c:pt idx="39">
                  <c:v>-74.637392975602893</c:v>
                </c:pt>
                <c:pt idx="40">
                  <c:v>-75.517957770466623</c:v>
                </c:pt>
                <c:pt idx="41">
                  <c:v>-76.458198404918079</c:v>
                </c:pt>
                <c:pt idx="42">
                  <c:v>-77.4495667497374</c:v>
                </c:pt>
                <c:pt idx="43">
                  <c:v>-78.485084286917257</c:v>
                </c:pt>
                <c:pt idx="44">
                  <c:v>-79.558996739887064</c:v>
                </c:pt>
                <c:pt idx="45">
                  <c:v>-80.108822757855194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0-49FC-A838-E6CC0FB9F375}"/>
            </c:ext>
          </c:extLst>
        </c:ser>
        <c:ser>
          <c:idx val="2"/>
          <c:order val="2"/>
          <c:tx>
            <c:v>H2O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PvsEta!$R$6:$R$51</c:f>
              <c:numCache>
                <c:formatCode>General</c:formatCode>
                <c:ptCount val="46"/>
                <c:pt idx="0">
                  <c:v>0</c:v>
                </c:pt>
                <c:pt idx="1">
                  <c:v>-9.9500882341420089E-3</c:v>
                </c:pt>
                <c:pt idx="2">
                  <c:v>-3.3406078277335924E-2</c:v>
                </c:pt>
                <c:pt idx="3">
                  <c:v>-0.13997039663674296</c:v>
                </c:pt>
                <c:pt idx="4">
                  <c:v>-0.35453948364147436</c:v>
                </c:pt>
                <c:pt idx="5">
                  <c:v>-0.75625592172963918</c:v>
                </c:pt>
                <c:pt idx="6">
                  <c:v>-0.81977955987116558</c:v>
                </c:pt>
                <c:pt idx="7">
                  <c:v>-0.87416471381150807</c:v>
                </c:pt>
                <c:pt idx="8">
                  <c:v>-0.91746228893387438</c:v>
                </c:pt>
                <c:pt idx="9">
                  <c:v>-0.94737040321653876</c:v>
                </c:pt>
                <c:pt idx="10">
                  <c:v>-0.96114305186258964</c:v>
                </c:pt>
                <c:pt idx="11">
                  <c:v>-0.95547893467358425</c:v>
                </c:pt>
                <c:pt idx="12">
                  <c:v>-0.92638321593795048</c:v>
                </c:pt>
                <c:pt idx="13">
                  <c:v>-0.86899313741835693</c:v>
                </c:pt>
                <c:pt idx="14">
                  <c:v>-0.7773556151752723</c:v>
                </c:pt>
                <c:pt idx="15">
                  <c:v>-0.64414093680316764</c:v>
                </c:pt>
                <c:pt idx="16">
                  <c:v>-0.46027096426584224</c:v>
                </c:pt>
                <c:pt idx="17">
                  <c:v>-0.21443210576397156</c:v>
                </c:pt>
                <c:pt idx="18">
                  <c:v>0.10756837288329214</c:v>
                </c:pt>
                <c:pt idx="19">
                  <c:v>0.52366109158953944</c:v>
                </c:pt>
                <c:pt idx="20">
                  <c:v>1.056671654617733</c:v>
                </c:pt>
                <c:pt idx="21">
                  <c:v>1.7358964529691534</c:v>
                </c:pt>
                <c:pt idx="22">
                  <c:v>2.599273420569538</c:v>
                </c:pt>
                <c:pt idx="23">
                  <c:v>3.6964096605055179</c:v>
                </c:pt>
                <c:pt idx="24">
                  <c:v>5.0928613600031731</c:v>
                </c:pt>
                <c:pt idx="25">
                  <c:v>6.8762732939335054</c:v>
                </c:pt>
                <c:pt idx="26">
                  <c:v>9.165328244300035</c:v>
                </c:pt>
                <c:pt idx="27">
                  <c:v>12.123024219655681</c:v>
                </c:pt>
                <c:pt idx="28">
                  <c:v>15.976759105099354</c:v>
                </c:pt>
                <c:pt idx="29">
                  <c:v>21.049375613932941</c:v>
                </c:pt>
                <c:pt idx="30">
                  <c:v>27.808316884936762</c:v>
                </c:pt>
                <c:pt idx="31">
                  <c:v>36.945590945068354</c:v>
                </c:pt>
                <c:pt idx="32">
                  <c:v>49.5118941639764</c:v>
                </c:pt>
                <c:pt idx="33">
                  <c:v>67.14956290346899</c:v>
                </c:pt>
                <c:pt idx="34">
                  <c:v>92.513765539599177</c:v>
                </c:pt>
                <c:pt idx="35">
                  <c:v>130.07054144058708</c:v>
                </c:pt>
                <c:pt idx="36">
                  <c:v>187.69476122991537</c:v>
                </c:pt>
                <c:pt idx="37">
                  <c:v>280.08910013853938</c:v>
                </c:pt>
                <c:pt idx="38">
                  <c:v>436.71731158392436</c:v>
                </c:pt>
                <c:pt idx="39">
                  <c:v>722.18482413435777</c:v>
                </c:pt>
                <c:pt idx="40">
                  <c:v>1295.98849518773</c:v>
                </c:pt>
                <c:pt idx="41">
                  <c:v>2622.114900614919</c:v>
                </c:pt>
                <c:pt idx="42">
                  <c:v>6423.9185219192541</c:v>
                </c:pt>
                <c:pt idx="43">
                  <c:v>22361.938950292883</c:v>
                </c:pt>
                <c:pt idx="44">
                  <c:v>184172.20666446816</c:v>
                </c:pt>
                <c:pt idx="45">
                  <c:v>1493989.2931799162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8F-413B-8046-6F2BC539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14384"/>
        <c:axId val="691716944"/>
      </c:scatterChart>
      <c:valAx>
        <c:axId val="69171438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400" i="1">
                    <a:latin typeface="Symbol" panose="05050102010706020507" pitchFamily="18" charset="2"/>
                  </a:rPr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91716944"/>
        <c:crossesAt val="-1234"/>
        <c:crossBetween val="midCat"/>
        <c:majorUnit val="0.1"/>
      </c:valAx>
      <c:valAx>
        <c:axId val="691716944"/>
        <c:scaling>
          <c:orientation val="minMax"/>
          <c:max val="1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i="1"/>
                  <a:t>bP/RT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917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09412654315912"/>
          <c:y val="3.0167242999607668E-2"/>
          <c:w val="0.26607597849851233"/>
          <c:h val="0.18253957536883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697680535235809"/>
          <c:y val="3.2407407407407406E-2"/>
          <c:w val="0.71721960120329431"/>
          <c:h val="0.7620217264508603"/>
        </c:manualLayout>
      </c:layout>
      <c:scatterChart>
        <c:scatterStyle val="smoothMarker"/>
        <c:varyColors val="0"/>
        <c:ser>
          <c:idx val="1"/>
          <c:order val="0"/>
          <c:tx>
            <c:v>CH4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PvsEta!$Q$6:$Q$51</c:f>
              <c:numCache>
                <c:formatCode>General</c:formatCode>
                <c:ptCount val="46"/>
                <c:pt idx="0">
                  <c:v>0</c:v>
                </c:pt>
                <c:pt idx="1">
                  <c:v>-1.3566147764280077E-2</c:v>
                </c:pt>
                <c:pt idx="2">
                  <c:v>-4.6028756014311278E-2</c:v>
                </c:pt>
                <c:pt idx="3">
                  <c:v>-0.16350240734260094</c:v>
                </c:pt>
                <c:pt idx="4">
                  <c:v>-0.35357560714342134</c:v>
                </c:pt>
                <c:pt idx="5">
                  <c:v>-0.60494436803008544</c:v>
                </c:pt>
                <c:pt idx="6">
                  <c:v>-0.62094237472764746</c:v>
                </c:pt>
                <c:pt idx="7">
                  <c:v>-0.61976297172134831</c:v>
                </c:pt>
                <c:pt idx="8">
                  <c:v>-0.59750440734308663</c:v>
                </c:pt>
                <c:pt idx="9">
                  <c:v>-0.5490070318692456</c:v>
                </c:pt>
                <c:pt idx="10">
                  <c:v>-0.46729424595169</c:v>
                </c:pt>
                <c:pt idx="11">
                  <c:v>-0.3426895616580603</c:v>
                </c:pt>
                <c:pt idx="12">
                  <c:v>-0.16136584469184229</c:v>
                </c:pt>
                <c:pt idx="13">
                  <c:v>9.7151594250947895E-2</c:v>
                </c:pt>
                <c:pt idx="14">
                  <c:v>0.46452929394024262</c:v>
                </c:pt>
                <c:pt idx="15">
                  <c:v>0.99248668059441814</c:v>
                </c:pt>
                <c:pt idx="16">
                  <c:v>1.7716584028741849</c:v>
                </c:pt>
                <c:pt idx="17">
                  <c:v>2.9766796825482933</c:v>
                </c:pt>
                <c:pt idx="18">
                  <c:v>4.9928544692030394</c:v>
                </c:pt>
                <c:pt idx="19">
                  <c:v>8.8710090515584241</c:v>
                </c:pt>
                <c:pt idx="20">
                  <c:v>18.856477858536117</c:v>
                </c:pt>
                <c:pt idx="21">
                  <c:v>92.968818626407611</c:v>
                </c:pt>
                <c:pt idx="22">
                  <c:v>-49.963666682114372</c:v>
                </c:pt>
                <c:pt idx="23">
                  <c:v>-23.329891642546613</c:v>
                </c:pt>
                <c:pt idx="24">
                  <c:v>-16.64509385122825</c:v>
                </c:pt>
                <c:pt idx="25">
                  <c:v>-13.665109568993349</c:v>
                </c:pt>
                <c:pt idx="26">
                  <c:v>-12.017195435515765</c:v>
                </c:pt>
                <c:pt idx="27">
                  <c:v>-10.998316142155634</c:v>
                </c:pt>
                <c:pt idx="28">
                  <c:v>-10.326150250210443</c:v>
                </c:pt>
                <c:pt idx="29">
                  <c:v>-9.8653380369571408</c:v>
                </c:pt>
                <c:pt idx="30">
                  <c:v>-9.5428671902948334</c:v>
                </c:pt>
                <c:pt idx="31">
                  <c:v>-9.3158825815402331</c:v>
                </c:pt>
                <c:pt idx="32">
                  <c:v>-9.157573306945574</c:v>
                </c:pt>
                <c:pt idx="33">
                  <c:v>-9.0503069228187965</c:v>
                </c:pt>
                <c:pt idx="34">
                  <c:v>-8.9820113858707522</c:v>
                </c:pt>
                <c:pt idx="35">
                  <c:v>-8.9441433728104869</c:v>
                </c:pt>
                <c:pt idx="36">
                  <c:v>-8.9304867483388346</c:v>
                </c:pt>
                <c:pt idx="37">
                  <c:v>-8.9364106791568343</c:v>
                </c:pt>
                <c:pt idx="38">
                  <c:v>-8.9583945457299397</c:v>
                </c:pt>
                <c:pt idx="39">
                  <c:v>-8.993714044416306</c:v>
                </c:pt>
                <c:pt idx="40">
                  <c:v>-9.0402280903714729</c:v>
                </c:pt>
                <c:pt idx="41">
                  <c:v>-9.096230674996832</c:v>
                </c:pt>
                <c:pt idx="42">
                  <c:v>-9.160345695885681</c:v>
                </c:pt>
                <c:pt idx="43">
                  <c:v>-9.2314508870979122</c:v>
                </c:pt>
                <c:pt idx="44">
                  <c:v>-9.3086218698640231</c:v>
                </c:pt>
                <c:pt idx="45">
                  <c:v>-9.3492367720675951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7-4E15-9A26-3AEF6429A8C5}"/>
            </c:ext>
          </c:extLst>
        </c:ser>
        <c:ser>
          <c:idx val="0"/>
          <c:order val="1"/>
          <c:tx>
            <c:strRef>
              <c:f>PvsEta!$B$2</c:f>
              <c:strCache>
                <c:ptCount val="1"/>
                <c:pt idx="0">
                  <c:v>C30H62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PvsEta!$M$6:$M$51</c:f>
              <c:numCache>
                <c:formatCode>0.000</c:formatCode>
                <c:ptCount val="46"/>
                <c:pt idx="0">
                  <c:v>0</c:v>
                </c:pt>
                <c:pt idx="1">
                  <c:v>-2.1387158393700895E-2</c:v>
                </c:pt>
                <c:pt idx="2">
                  <c:v>-9.8214722470889776E-2</c:v>
                </c:pt>
                <c:pt idx="3">
                  <c:v>-0.57515655167945778</c:v>
                </c:pt>
                <c:pt idx="4">
                  <c:v>-1.8525678481297903</c:v>
                </c:pt>
                <c:pt idx="5">
                  <c:v>-4.7639445734877865</c:v>
                </c:pt>
                <c:pt idx="6">
                  <c:v>-5.2421058692022777</c:v>
                </c:pt>
                <c:pt idx="7">
                  <c:v>-5.6381312634193543</c:v>
                </c:pt>
                <c:pt idx="8">
                  <c:v>-5.924688646197926</c:v>
                </c:pt>
                <c:pt idx="9">
                  <c:v>-6.0672610835778285</c:v>
                </c:pt>
                <c:pt idx="10">
                  <c:v>-6.0205812298124952</c:v>
                </c:pt>
                <c:pt idx="11">
                  <c:v>-5.7230966358428876</c:v>
                </c:pt>
                <c:pt idx="12">
                  <c:v>-5.0879545741090801</c:v>
                </c:pt>
                <c:pt idx="13">
                  <c:v>-3.9875517348385636</c:v>
                </c:pt>
                <c:pt idx="14">
                  <c:v>-2.2254713769033652</c:v>
                </c:pt>
                <c:pt idx="15">
                  <c:v>0.51818770154506244</c:v>
                </c:pt>
                <c:pt idx="16">
                  <c:v>4.8031433651696567</c:v>
                </c:pt>
                <c:pt idx="17">
                  <c:v>11.706948112785916</c:v>
                </c:pt>
                <c:pt idx="18">
                  <c:v>23.606042250292059</c:v>
                </c:pt>
                <c:pt idx="19">
                  <c:v>46.980394321340476</c:v>
                </c:pt>
                <c:pt idx="20">
                  <c:v>108.00723154942844</c:v>
                </c:pt>
                <c:pt idx="21">
                  <c:v>564.43541491996177</c:v>
                </c:pt>
                <c:pt idx="22">
                  <c:v>-317.43846519152947</c:v>
                </c:pt>
                <c:pt idx="23">
                  <c:v>-153.77130560511645</c:v>
                </c:pt>
                <c:pt idx="24">
                  <c:v>-113.11314943594247</c:v>
                </c:pt>
                <c:pt idx="25">
                  <c:v>-95.302248853128233</c:v>
                </c:pt>
                <c:pt idx="26">
                  <c:v>-85.708019370207154</c:v>
                </c:pt>
                <c:pt idx="27">
                  <c:v>-79.995316338006774</c:v>
                </c:pt>
                <c:pt idx="28">
                  <c:v>-76.423137708033323</c:v>
                </c:pt>
                <c:pt idx="29">
                  <c:v>-74.156666508238146</c:v>
                </c:pt>
                <c:pt idx="30">
                  <c:v>-72.745537057647041</c:v>
                </c:pt>
                <c:pt idx="31">
                  <c:v>-71.925348183807387</c:v>
                </c:pt>
                <c:pt idx="32">
                  <c:v>-71.530641077623926</c:v>
                </c:pt>
                <c:pt idx="33">
                  <c:v>-71.45256353810602</c:v>
                </c:pt>
                <c:pt idx="34">
                  <c:v>-71.61655974241765</c:v>
                </c:pt>
                <c:pt idx="35">
                  <c:v>-71.969841783853653</c:v>
                </c:pt>
                <c:pt idx="36">
                  <c:v>-72.473980038373682</c:v>
                </c:pt>
                <c:pt idx="37">
                  <c:v>-73.100327824360036</c:v>
                </c:pt>
                <c:pt idx="38">
                  <c:v>-73.827091237947869</c:v>
                </c:pt>
                <c:pt idx="39">
                  <c:v>-74.637392975602893</c:v>
                </c:pt>
                <c:pt idx="40">
                  <c:v>-75.517957770466623</c:v>
                </c:pt>
                <c:pt idx="41">
                  <c:v>-76.458198404918079</c:v>
                </c:pt>
                <c:pt idx="42">
                  <c:v>-77.4495667497374</c:v>
                </c:pt>
                <c:pt idx="43">
                  <c:v>-78.485084286917257</c:v>
                </c:pt>
                <c:pt idx="44">
                  <c:v>-79.558996739887064</c:v>
                </c:pt>
                <c:pt idx="45">
                  <c:v>-80.108822757855194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7-4E15-9A26-3AEF6429A8C5}"/>
            </c:ext>
          </c:extLst>
        </c:ser>
        <c:ser>
          <c:idx val="4"/>
          <c:order val="2"/>
          <c:tx>
            <c:v>CH4-TPT2</c:v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PvsEta!$T$6:$T$51</c:f>
              <c:numCache>
                <c:formatCode>General</c:formatCode>
                <c:ptCount val="46"/>
                <c:pt idx="0">
                  <c:v>0</c:v>
                </c:pt>
                <c:pt idx="1">
                  <c:v>-2.0095677375783438E-4</c:v>
                </c:pt>
                <c:pt idx="2">
                  <c:v>-1.9765061232931626E-2</c:v>
                </c:pt>
                <c:pt idx="3">
                  <c:v>-0.17900110424477017</c:v>
                </c:pt>
                <c:pt idx="4">
                  <c:v>-0.68493424626266775</c:v>
                </c:pt>
                <c:pt idx="5">
                  <c:v>-1.8710050943442167</c:v>
                </c:pt>
                <c:pt idx="6">
                  <c:v>-2.0212108174992753</c:v>
                </c:pt>
                <c:pt idx="7">
                  <c:v>-2.1086181984721573</c:v>
                </c:pt>
                <c:pt idx="8">
                  <c:v>-2.1172849504652347</c:v>
                </c:pt>
                <c:pt idx="9">
                  <c:v>-2.0300066321824963</c:v>
                </c:pt>
                <c:pt idx="10">
                  <c:v>-1.8277589516558301</c:v>
                </c:pt>
                <c:pt idx="11">
                  <c:v>-1.488815695766206</c:v>
                </c:pt>
                <c:pt idx="12">
                  <c:v>-0.98729854657510185</c:v>
                </c:pt>
                <c:pt idx="13">
                  <c:v>-0.29068056260392622</c:v>
                </c:pt>
                <c:pt idx="14">
                  <c:v>0.64475784444877582</c:v>
                </c:pt>
                <c:pt idx="15">
                  <c:v>1.8827897551087318</c:v>
                </c:pt>
                <c:pt idx="16">
                  <c:v>3.5261039377824583</c:v>
                </c:pt>
                <c:pt idx="17">
                  <c:v>5.7613900969118328</c:v>
                </c:pt>
                <c:pt idx="18">
                  <c:v>8.9860069511226328</c:v>
                </c:pt>
                <c:pt idx="19">
                  <c:v>14.262835786576138</c:v>
                </c:pt>
                <c:pt idx="20">
                  <c:v>25.849266213604164</c:v>
                </c:pt>
                <c:pt idx="21">
                  <c:v>101.77691129940847</c:v>
                </c:pt>
                <c:pt idx="22">
                  <c:v>-39.113871539835181</c:v>
                </c:pt>
                <c:pt idx="23">
                  <c:v>-10.199940324993582</c:v>
                </c:pt>
                <c:pt idx="24">
                  <c:v>-0.9844770136027351</c:v>
                </c:pt>
                <c:pt idx="25">
                  <c:v>4.7887378427547729</c:v>
                </c:pt>
                <c:pt idx="26">
                  <c:v>9.5045033729937227</c:v>
                </c:pt>
                <c:pt idx="27">
                  <c:v>13.877910704607366</c:v>
                </c:pt>
                <c:pt idx="28">
                  <c:v>18.203337137959128</c:v>
                </c:pt>
                <c:pt idx="29">
                  <c:v>22.628198294072519</c:v>
                </c:pt>
                <c:pt idx="30">
                  <c:v>27.237562414857138</c:v>
                </c:pt>
                <c:pt idx="31">
                  <c:v>32.086340586020874</c:v>
                </c:pt>
                <c:pt idx="32">
                  <c:v>37.213399691942428</c:v>
                </c:pt>
                <c:pt idx="33">
                  <c:v>42.64842817750155</c:v>
                </c:pt>
                <c:pt idx="34">
                  <c:v>48.415554105142782</c:v>
                </c:pt>
                <c:pt idx="35">
                  <c:v>54.535376833073101</c:v>
                </c:pt>
                <c:pt idx="36">
                  <c:v>61.026168545378489</c:v>
                </c:pt>
                <c:pt idx="37">
                  <c:v>67.904616136391567</c:v>
                </c:pt>
                <c:pt idx="38">
                  <c:v>75.186296297525942</c:v>
                </c:pt>
                <c:pt idx="39">
                  <c:v>82.885989413935079</c:v>
                </c:pt>
                <c:pt idx="40">
                  <c:v>91.017892660553642</c:v>
                </c:pt>
                <c:pt idx="41">
                  <c:v>99.595768143730623</c:v>
                </c:pt>
                <c:pt idx="42">
                  <c:v>108.63304807048027</c:v>
                </c:pt>
                <c:pt idx="43">
                  <c:v>118.14291081750369</c:v>
                </c:pt>
                <c:pt idx="44">
                  <c:v>128.13833687986545</c:v>
                </c:pt>
                <c:pt idx="45">
                  <c:v>133.32214895303022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07-4E15-9A26-3AEF6429A8C5}"/>
            </c:ext>
          </c:extLst>
        </c:ser>
        <c:ser>
          <c:idx val="3"/>
          <c:order val="3"/>
          <c:tx>
            <c:v>C30-TPT2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PvsEta!$A$6:$A$51</c:f>
              <c:numCache>
                <c:formatCode>General</c:formatCode>
                <c:ptCount val="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</c:v>
                </c:pt>
                <c:pt idx="41">
                  <c:v>0.92</c:v>
                </c:pt>
                <c:pt idx="42">
                  <c:v>0.94</c:v>
                </c:pt>
                <c:pt idx="43">
                  <c:v>0.96</c:v>
                </c:pt>
                <c:pt idx="44">
                  <c:v>0.98</c:v>
                </c:pt>
                <c:pt idx="45">
                  <c:v>0.99</c:v>
                </c:pt>
              </c:numCache>
            </c:numRef>
          </c:xVal>
          <c:yVal>
            <c:numRef>
              <c:f>PvsEta!$O$6:$O$51</c:f>
              <c:numCache>
                <c:formatCode>General</c:formatCode>
                <c:ptCount val="46"/>
                <c:pt idx="0">
                  <c:v>0</c:v>
                </c:pt>
                <c:pt idx="1">
                  <c:v>-1.4865759913922366E-2</c:v>
                </c:pt>
                <c:pt idx="2">
                  <c:v>-7.7571523538383952E-2</c:v>
                </c:pt>
                <c:pt idx="3">
                  <c:v>-0.52402517482475575</c:v>
                </c:pt>
                <c:pt idx="4">
                  <c:v>-1.952111304048797</c:v>
                </c:pt>
                <c:pt idx="5">
                  <c:v>-5.9321586604048075</c:v>
                </c:pt>
                <c:pt idx="6">
                  <c:v>-6.6600092869478091</c:v>
                </c:pt>
                <c:pt idx="7">
                  <c:v>-7.2831354930146377</c:v>
                </c:pt>
                <c:pt idx="8">
                  <c:v>-7.7573993193681039</c:v>
                </c:pt>
                <c:pt idx="9">
                  <c:v>-8.0308803660891499</c:v>
                </c:pt>
                <c:pt idx="10">
                  <c:v>-8.0404370397174176</c:v>
                </c:pt>
                <c:pt idx="11">
                  <c:v>-7.7062677094429715</c:v>
                </c:pt>
                <c:pt idx="12">
                  <c:v>-6.9229688791502992</c:v>
                </c:pt>
                <c:pt idx="13">
                  <c:v>-5.5441416608105465</c:v>
                </c:pt>
                <c:pt idx="14">
                  <c:v>-3.3543733411594072</c:v>
                </c:pt>
                <c:pt idx="15">
                  <c:v>-1.460143671912988E-2</c:v>
                </c:pt>
                <c:pt idx="16">
                  <c:v>5.0541905455112239</c:v>
                </c:pt>
                <c:pt idx="17">
                  <c:v>12.948968606893599</c:v>
                </c:pt>
                <c:pt idx="18">
                  <c:v>26.065683230076274</c:v>
                </c:pt>
                <c:pt idx="19">
                  <c:v>50.903894963589259</c:v>
                </c:pt>
                <c:pt idx="20">
                  <c:v>113.66049267219537</c:v>
                </c:pt>
                <c:pt idx="21">
                  <c:v>572.10405854390706</c:v>
                </c:pt>
                <c:pt idx="22">
                  <c:v>-307.4490446568384</c:v>
                </c:pt>
                <c:pt idx="23">
                  <c:v>-141.13589717544014</c:v>
                </c:pt>
                <c:pt idx="24">
                  <c:v>-97.486687248811208</c:v>
                </c:pt>
                <c:pt idx="25">
                  <c:v>-76.3197788311804</c:v>
                </c:pt>
                <c:pt idx="26">
                  <c:v>-62.984670098081942</c:v>
                </c:pt>
                <c:pt idx="27">
                  <c:v>-53.126273529465884</c:v>
                </c:pt>
                <c:pt idx="28">
                  <c:v>-44.983621744977803</c:v>
                </c:pt>
                <c:pt idx="29">
                  <c:v>-37.70191261854044</c:v>
                </c:pt>
                <c:pt idx="30">
                  <c:v>-30.810777768315408</c:v>
                </c:pt>
                <c:pt idx="31">
                  <c:v>-24.025797743101421</c:v>
                </c:pt>
                <c:pt idx="32">
                  <c:v>-17.161481586814588</c:v>
                </c:pt>
                <c:pt idx="33">
                  <c:v>-10.088932572559823</c:v>
                </c:pt>
                <c:pt idx="34">
                  <c:v>-2.7135392741125295</c:v>
                </c:pt>
                <c:pt idx="35">
                  <c:v>5.0375517554805818</c:v>
                </c:pt>
                <c:pt idx="36">
                  <c:v>13.222844614835855</c:v>
                </c:pt>
                <c:pt idx="37">
                  <c:v>21.89106851091729</c:v>
                </c:pt>
                <c:pt idx="38">
                  <c:v>31.084107142970417</c:v>
                </c:pt>
                <c:pt idx="39">
                  <c:v>40.838934188335358</c:v>
                </c:pt>
                <c:pt idx="40">
                  <c:v>51.18892725197086</c:v>
                </c:pt>
                <c:pt idx="41">
                  <c:v>62.164781307300004</c:v>
                </c:pt>
                <c:pt idx="42">
                  <c:v>73.795157169481811</c:v>
                </c:pt>
                <c:pt idx="43">
                  <c:v>86.10715053675905</c:v>
                </c:pt>
                <c:pt idx="44">
                  <c:v>99.126636969824347</c:v>
                </c:pt>
                <c:pt idx="45">
                  <c:v>105.90950732443471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07-4E15-9A26-3AEF6429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14384"/>
        <c:axId val="691716944"/>
      </c:scatterChart>
      <c:valAx>
        <c:axId val="69171438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400" i="1">
                    <a:latin typeface="Symbol" panose="05050102010706020507" pitchFamily="18" charset="2"/>
                  </a:rPr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91716944"/>
        <c:crossesAt val="-1234"/>
        <c:crossBetween val="midCat"/>
        <c:majorUnit val="0.1"/>
      </c:valAx>
      <c:valAx>
        <c:axId val="691716944"/>
        <c:scaling>
          <c:orientation val="minMax"/>
          <c:max val="1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i="1"/>
                  <a:t>bP/RT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917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96514116218158"/>
          <c:y val="0.57721577799679191"/>
          <c:w val="0.34300171030562415"/>
          <c:h val="0.2127903813139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349250</xdr:colOff>
      <xdr:row>0</xdr:row>
      <xdr:rowOff>0</xdr:rowOff>
    </xdr:from>
    <xdr:to>
      <xdr:col>30</xdr:col>
      <xdr:colOff>38100</xdr:colOff>
      <xdr:row>14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5DF60-1979-434E-8A55-5E331204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119062</xdr:colOff>
      <xdr:row>9</xdr:row>
      <xdr:rowOff>68262</xdr:rowOff>
    </xdr:from>
    <xdr:to>
      <xdr:col>22</xdr:col>
      <xdr:colOff>144462</xdr:colOff>
      <xdr:row>24</xdr:row>
      <xdr:rowOff>46038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C20DA-F725-449E-95DB-99C23774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o/The%20University%20of%20Akron/Notes/EXCEL/PREOSjre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1870uakron-my.sharepoint.com/personal/elliot1_1870_uakron_edu/Documents/DmdTpt/MasterEqs/mem2examples.xlsx" TargetMode="External"/><Relationship Id="rId1" Type="http://schemas.openxmlformats.org/officeDocument/2006/relationships/externalLinkPath" Target="https://1870uakron-my.sharepoint.com/personal/elliot1_1870_uakron_edu/Documents/DmdTpt/MasterEqs/mem2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VT"/>
      <sheetName val="PropsPREOS"/>
      <sheetName val="Ref State"/>
      <sheetName val="PropsPlus"/>
    </sheetNames>
    <sheetDataSet>
      <sheetData sheetId="0"/>
      <sheetData sheetId="1"/>
      <sheetData sheetId="2">
        <row r="4">
          <cell r="B4">
            <v>304.2</v>
          </cell>
          <cell r="C4">
            <v>7.3819999999999997</v>
          </cell>
          <cell r="D4">
            <v>0.22800000000000001</v>
          </cell>
          <cell r="F4">
            <v>19.8</v>
          </cell>
          <cell r="G4">
            <v>7.3440000000000005E-2</v>
          </cell>
          <cell r="H4">
            <v>-5.6020000000000002E-5</v>
          </cell>
          <cell r="I4">
            <v>1.7150000000000001E-8</v>
          </cell>
        </row>
        <row r="5">
          <cell r="F5">
            <v>37.049278320000006</v>
          </cell>
        </row>
        <row r="7">
          <cell r="B7">
            <v>280</v>
          </cell>
        </row>
        <row r="33">
          <cell r="I33">
            <v>8.3144720000000003</v>
          </cell>
        </row>
      </sheetData>
      <sheetData sheetId="3">
        <row r="7">
          <cell r="B7">
            <v>184.14134194701813</v>
          </cell>
        </row>
        <row r="8">
          <cell r="B8">
            <v>0.1</v>
          </cell>
        </row>
        <row r="9">
          <cell r="E9">
            <v>0.97869961339835965</v>
          </cell>
        </row>
        <row r="10">
          <cell r="A10">
            <v>0</v>
          </cell>
          <cell r="E10">
            <v>1.7422767266899453E-2</v>
          </cell>
        </row>
        <row r="11">
          <cell r="E11">
            <v>2.1366483015022308E-3</v>
          </cell>
        </row>
        <row r="12">
          <cell r="A12">
            <v>1</v>
          </cell>
          <cell r="E12" t="e">
            <v>#NUM!</v>
          </cell>
        </row>
        <row r="15">
          <cell r="A15">
            <v>2</v>
          </cell>
        </row>
        <row r="26">
          <cell r="I26">
            <v>8.3144720000000003</v>
          </cell>
        </row>
        <row r="27">
          <cell r="H27">
            <v>0.60532985518414906</v>
          </cell>
        </row>
        <row r="29">
          <cell r="H29">
            <v>0.71224375872000001</v>
          </cell>
        </row>
        <row r="30">
          <cell r="H30">
            <v>1.3411889510999766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MEM2Test"/>
      <sheetName val="Spead"/>
      <sheetName val="ESD"/>
      <sheetName val="MeOH"/>
      <sheetName val="CyC6+MeO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1.9508388607101053</v>
          </cell>
          <cell r="G4">
            <v>0.90827049949572392</v>
          </cell>
          <cell r="K4">
            <v>1.9512195121951219</v>
          </cell>
          <cell r="L4">
            <v>0.90762630484326634</v>
          </cell>
          <cell r="P4">
            <v>1.9512195121951219</v>
          </cell>
          <cell r="Q4">
            <v>0.90762630484326634</v>
          </cell>
        </row>
        <row r="5">
          <cell r="F5">
            <v>2.1674108110451256</v>
          </cell>
          <cell r="G5">
            <v>0.50587216704313953</v>
          </cell>
          <cell r="K5">
            <v>2</v>
          </cell>
          <cell r="L5">
            <v>0.82212072299027372</v>
          </cell>
          <cell r="P5">
            <v>2.0325203252032522</v>
          </cell>
          <cell r="Q5">
            <v>0.76332157837847858</v>
          </cell>
        </row>
        <row r="6">
          <cell r="F6">
            <v>2.2293561619404314</v>
          </cell>
          <cell r="G6">
            <v>0.39105387216898052</v>
          </cell>
          <cell r="K6">
            <v>2.1052631578947367</v>
          </cell>
          <cell r="L6">
            <v>0.63522621024631876</v>
          </cell>
          <cell r="P6">
            <v>2.0538941833716726</v>
          </cell>
          <cell r="Q6">
            <v>0.72541076204572574</v>
          </cell>
        </row>
        <row r="7">
          <cell r="F7">
            <v>2.2949465277459034</v>
          </cell>
          <cell r="G7">
            <v>0.26947213729887232</v>
          </cell>
          <cell r="K7">
            <v>2.2222222222222223</v>
          </cell>
          <cell r="L7">
            <v>0.42333976972471604</v>
          </cell>
          <cell r="P7">
            <v>2.168021680216802</v>
          </cell>
          <cell r="Q7">
            <v>0.52132000451946814</v>
          </cell>
        </row>
        <row r="8">
          <cell r="F8">
            <v>2.364457475232308</v>
          </cell>
          <cell r="G8">
            <v>0.14032247920833804</v>
          </cell>
          <cell r="K8">
            <v>2.3529411764705883</v>
          </cell>
          <cell r="L8">
            <v>0.18141279423361864</v>
          </cell>
          <cell r="P8">
            <v>2.2955260197874345</v>
          </cell>
          <cell r="Q8">
            <v>0.28898547052411205</v>
          </cell>
        </row>
        <row r="9">
          <cell r="F9">
            <v>2.4383701933627564</v>
          </cell>
          <cell r="G9">
            <v>2.6938300722184876E-3</v>
          </cell>
          <cell r="K9">
            <v>2.5</v>
          </cell>
          <cell r="L9">
            <v>-9.6936614359747722E-2</v>
          </cell>
          <cell r="P9">
            <v>2.4390243902439024</v>
          </cell>
          <cell r="Q9">
            <v>2.1603129248294863E-2</v>
          </cell>
        </row>
        <row r="10">
          <cell r="F10">
            <v>2.5169896803423106</v>
          </cell>
          <cell r="G10">
            <v>-0.14444924556110234</v>
          </cell>
          <cell r="K10">
            <v>2.6666666666666665</v>
          </cell>
          <cell r="L10">
            <v>-0.41980972849181003</v>
          </cell>
          <cell r="P10">
            <v>2.6015921744107393</v>
          </cell>
          <cell r="Q10">
            <v>-0.28977005461561367</v>
          </cell>
        </row>
        <row r="11">
          <cell r="F11">
            <v>2.6009155222638367</v>
          </cell>
          <cell r="G11">
            <v>-0.302287934338686</v>
          </cell>
          <cell r="K11">
            <v>2.8571428571428572</v>
          </cell>
          <cell r="L11">
            <v>-0.79754165410768718</v>
          </cell>
          <cell r="P11">
            <v>2.7874564459930316</v>
          </cell>
          <cell r="Q11">
            <v>-0.65695987569675895</v>
          </cell>
        </row>
        <row r="12">
          <cell r="F12">
            <v>2.6906312220847011</v>
          </cell>
          <cell r="G12">
            <v>-0.47217513565338326</v>
          </cell>
          <cell r="K12">
            <v>3.0769230769230771</v>
          </cell>
          <cell r="L12">
            <v>-1.2434171360226647</v>
          </cell>
          <cell r="P12">
            <v>3.0018311169813585</v>
          </cell>
          <cell r="Q12">
            <v>-1.0956740341690645</v>
          </cell>
        </row>
        <row r="13">
          <cell r="F13">
            <v>2.7866796711717985</v>
          </cell>
          <cell r="G13">
            <v>-0.65566703809090243</v>
          </cell>
          <cell r="K13">
            <v>3.3333333333333335</v>
          </cell>
          <cell r="L13">
            <v>-1.7747682777853537</v>
          </cell>
          <cell r="P13">
            <v>3.2520325203252032</v>
          </cell>
          <cell r="Q13">
            <v>-1.6268856187965417</v>
          </cell>
        </row>
        <row r="14">
          <cell r="F14">
            <v>2.8899228390601972</v>
          </cell>
          <cell r="G14">
            <v>-0.85456189249590508</v>
          </cell>
          <cell r="K14">
            <v>3.6363636363636362</v>
          </cell>
          <cell r="L14">
            <v>-2.4146520889054091</v>
          </cell>
          <cell r="P14">
            <v>3.5476089115935858</v>
          </cell>
          <cell r="Q14">
            <v>-2.2789316982028409</v>
          </cell>
        </row>
        <row r="15">
          <cell r="F15">
            <v>3.0010203469179517</v>
          </cell>
          <cell r="G15">
            <v>-1.0709478758705877</v>
          </cell>
          <cell r="K15">
            <v>4</v>
          </cell>
          <cell r="L15">
            <v>-3.1947030838420152</v>
          </cell>
          <cell r="P15">
            <v>3.9024390243902438</v>
          </cell>
          <cell r="Q15">
            <v>-3.090979145788844</v>
          </cell>
        </row>
        <row r="16">
          <cell r="F16">
            <v>3.1210986267166043</v>
          </cell>
          <cell r="G16">
            <v>-1.3072626812318717</v>
          </cell>
          <cell r="K16">
            <v>4.2553191489361701</v>
          </cell>
          <cell r="L16">
            <v>-3.7481185454474724</v>
          </cell>
          <cell r="P16">
            <v>4.2735042735042734</v>
          </cell>
          <cell r="Q16">
            <v>-3.9677842967020185</v>
          </cell>
        </row>
        <row r="17">
          <cell r="F17">
            <v>3.2511866831393461</v>
          </cell>
          <cell r="G17">
            <v>-1.5663682344793906</v>
          </cell>
          <cell r="K17">
            <v>4.329004329004329</v>
          </cell>
          <cell r="L17">
            <v>-3.9100948885606019</v>
          </cell>
        </row>
        <row r="18">
          <cell r="F18">
            <v>3.3924754893645894</v>
          </cell>
          <cell r="G18">
            <v>-1.8516457166690341</v>
          </cell>
        </row>
        <row r="19">
          <cell r="F19">
            <v>3.546728143287817</v>
          </cell>
          <cell r="G19">
            <v>-2.1671150744554706</v>
          </cell>
        </row>
        <row r="20">
          <cell r="F20">
            <v>3.7155383815114811</v>
          </cell>
          <cell r="G20">
            <v>-2.5175923899714316</v>
          </cell>
        </row>
        <row r="21">
          <cell r="F21">
            <v>3.9013732833957553</v>
          </cell>
          <cell r="G21">
            <v>-2.9088925348077086</v>
          </cell>
        </row>
        <row r="22">
          <cell r="F22">
            <v>4.1067761806981515</v>
          </cell>
          <cell r="G22">
            <v>-3.3481020080494543</v>
          </cell>
        </row>
        <row r="23">
          <cell r="F23">
            <v>4.3348216220902511</v>
          </cell>
          <cell r="G23">
            <v>-3.8439053693605723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A20" sqref="A20"/>
    </sheetView>
  </sheetViews>
  <sheetFormatPr defaultRowHeight="13"/>
  <sheetData>
    <row r="1" spans="1:12">
      <c r="A1" t="s">
        <v>327</v>
      </c>
    </row>
    <row r="2" spans="1:12">
      <c r="A2" s="61" t="s">
        <v>345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B3" t="s">
        <v>346</v>
      </c>
    </row>
    <row r="4" spans="1:12">
      <c r="A4" t="s">
        <v>195</v>
      </c>
    </row>
    <row r="5" spans="1:12">
      <c r="A5" t="s">
        <v>196</v>
      </c>
    </row>
    <row r="6" spans="1:12">
      <c r="A6" t="s">
        <v>197</v>
      </c>
    </row>
    <row r="7" spans="1:12">
      <c r="A7" t="s">
        <v>204</v>
      </c>
    </row>
    <row r="8" spans="1:12">
      <c r="A8" t="s">
        <v>198</v>
      </c>
    </row>
    <row r="9" spans="1:12">
      <c r="A9" t="s">
        <v>199</v>
      </c>
    </row>
    <row r="10" spans="1:12">
      <c r="A10" t="s">
        <v>347</v>
      </c>
    </row>
    <row r="11" spans="1:12">
      <c r="A11" t="s">
        <v>233</v>
      </c>
    </row>
    <row r="12" spans="1:12">
      <c r="A12" t="s">
        <v>328</v>
      </c>
    </row>
    <row r="14" spans="1:12">
      <c r="A14" t="s">
        <v>200</v>
      </c>
    </row>
    <row r="15" spans="1:12">
      <c r="A15" t="s">
        <v>348</v>
      </c>
    </row>
    <row r="16" spans="1:12">
      <c r="A16" t="s">
        <v>201</v>
      </c>
    </row>
    <row r="17" spans="1:1">
      <c r="A17" t="s">
        <v>202</v>
      </c>
    </row>
    <row r="18" spans="1:1">
      <c r="A18" t="s">
        <v>203</v>
      </c>
    </row>
    <row r="19" spans="1:1">
      <c r="A19" s="2" t="s">
        <v>205</v>
      </c>
    </row>
    <row r="20" spans="1:1">
      <c r="A20" s="2"/>
    </row>
    <row r="21" spans="1:1">
      <c r="A21" s="2"/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232</v>
      </c>
    </row>
    <row r="30" spans="1:1">
      <c r="A30" t="s">
        <v>250</v>
      </c>
    </row>
    <row r="31" spans="1:1">
      <c r="A31" t="s">
        <v>349</v>
      </c>
    </row>
    <row r="32" spans="1:1">
      <c r="A32" t="s">
        <v>251</v>
      </c>
    </row>
    <row r="33" spans="1:1">
      <c r="A33" t="s">
        <v>350</v>
      </c>
    </row>
    <row r="35" spans="1:1">
      <c r="A35" t="s">
        <v>211</v>
      </c>
    </row>
    <row r="36" spans="1:1">
      <c r="A36" t="s">
        <v>351</v>
      </c>
    </row>
    <row r="37" spans="1:1">
      <c r="A37" t="s">
        <v>352</v>
      </c>
    </row>
    <row r="38" spans="1:1">
      <c r="A38" t="s">
        <v>235</v>
      </c>
    </row>
    <row r="40" spans="1:1">
      <c r="A40" t="s">
        <v>212</v>
      </c>
    </row>
    <row r="41" spans="1:1">
      <c r="A41" t="s">
        <v>213</v>
      </c>
    </row>
    <row r="42" spans="1:1">
      <c r="A42" t="s">
        <v>214</v>
      </c>
    </row>
  </sheetData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8216-5160-4EAA-9C85-9F8502AECEB9}">
  <dimension ref="A1:AF203"/>
  <sheetViews>
    <sheetView workbookViewId="0"/>
  </sheetViews>
  <sheetFormatPr defaultRowHeight="13"/>
  <cols>
    <col min="1" max="1" width="11.5" customWidth="1"/>
  </cols>
  <sheetData>
    <row r="1" spans="1:32">
      <c r="A1" t="s">
        <v>5</v>
      </c>
      <c r="B1" t="s">
        <v>2891</v>
      </c>
      <c r="C1" t="s">
        <v>2892</v>
      </c>
      <c r="D1" t="s">
        <v>2893</v>
      </c>
      <c r="E1" t="s">
        <v>8</v>
      </c>
      <c r="F1" t="s">
        <v>9</v>
      </c>
      <c r="G1" t="s">
        <v>10</v>
      </c>
      <c r="H1" t="s">
        <v>266</v>
      </c>
      <c r="I1" t="s">
        <v>12</v>
      </c>
      <c r="J1" t="s">
        <v>13</v>
      </c>
      <c r="K1" t="s">
        <v>14</v>
      </c>
      <c r="L1" t="s">
        <v>2895</v>
      </c>
      <c r="M1" t="s">
        <v>2894</v>
      </c>
      <c r="N1" t="s">
        <v>16</v>
      </c>
      <c r="O1" t="s">
        <v>17</v>
      </c>
      <c r="P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</row>
    <row r="2" spans="1:32">
      <c r="A2" s="69" t="s">
        <v>158</v>
      </c>
      <c r="B2">
        <v>1</v>
      </c>
      <c r="C2">
        <v>15.0349</v>
      </c>
      <c r="D2">
        <v>0.13500000000000001</v>
      </c>
      <c r="E2">
        <v>0.23200000000000001</v>
      </c>
      <c r="F2">
        <v>40</v>
      </c>
      <c r="G2">
        <v>123</v>
      </c>
      <c r="H2">
        <v>21.6</v>
      </c>
      <c r="I2">
        <v>100</v>
      </c>
      <c r="J2">
        <v>5.3999999999999999E-2</v>
      </c>
      <c r="K2">
        <v>0.22833000000000001</v>
      </c>
      <c r="L2">
        <v>0.48276645214600461</v>
      </c>
      <c r="M2">
        <v>0.46400000000000002</v>
      </c>
      <c r="N2">
        <v>4.1159999999999997</v>
      </c>
      <c r="O2">
        <v>-45.947000000000003</v>
      </c>
      <c r="P2">
        <v>-8.0299999999999994</v>
      </c>
      <c r="Q2">
        <v>19.5</v>
      </c>
      <c r="R2">
        <v>-8.0800000000000004E-3</v>
      </c>
      <c r="S2">
        <v>1.5300000000000001E-4</v>
      </c>
      <c r="T2" s="1">
        <v>-9.6699999999999999E-8</v>
      </c>
      <c r="U2">
        <v>1</v>
      </c>
      <c r="V2">
        <v>3</v>
      </c>
    </row>
    <row r="3" spans="1:32" ht="13.5" thickBot="1">
      <c r="A3" s="70" t="s">
        <v>159</v>
      </c>
      <c r="B3">
        <v>2</v>
      </c>
      <c r="C3">
        <v>14.026899999999999</v>
      </c>
      <c r="D3">
        <v>0.13100000000000001</v>
      </c>
      <c r="E3">
        <v>0.224</v>
      </c>
      <c r="F3">
        <v>41</v>
      </c>
      <c r="G3">
        <v>121</v>
      </c>
      <c r="H3">
        <v>15.6</v>
      </c>
      <c r="I3">
        <v>135</v>
      </c>
      <c r="J3">
        <v>4.3999999999999997E-2</v>
      </c>
      <c r="K3">
        <v>0.20660000000000001</v>
      </c>
      <c r="L3">
        <v>0.3903694552856638</v>
      </c>
      <c r="M3">
        <v>0.92459999999999998</v>
      </c>
      <c r="N3">
        <v>4.6500000000000004</v>
      </c>
      <c r="O3">
        <v>-20.763000000000002</v>
      </c>
      <c r="P3">
        <v>8.2309999999999999</v>
      </c>
      <c r="Q3">
        <v>-0.90900000000000003</v>
      </c>
      <c r="R3">
        <v>9.5000000000000001E-2</v>
      </c>
      <c r="S3">
        <v>-5.4400000000000001E-5</v>
      </c>
      <c r="T3" s="1">
        <v>1.1900000000000001E-8</v>
      </c>
      <c r="U3">
        <v>1</v>
      </c>
      <c r="V3">
        <v>2</v>
      </c>
    </row>
    <row r="4" spans="1:32">
      <c r="A4" s="69" t="s">
        <v>25</v>
      </c>
      <c r="B4">
        <v>3</v>
      </c>
      <c r="C4">
        <v>13.019</v>
      </c>
      <c r="D4">
        <v>7.2999999999999995E-2</v>
      </c>
      <c r="E4">
        <v>0.186</v>
      </c>
      <c r="F4">
        <v>30</v>
      </c>
      <c r="G4">
        <v>97</v>
      </c>
      <c r="H4">
        <v>9.6</v>
      </c>
      <c r="I4">
        <v>135</v>
      </c>
      <c r="J4">
        <v>2.3E-2</v>
      </c>
      <c r="K4">
        <v>1.932E-2</v>
      </c>
      <c r="L4">
        <v>-0.18700610217347041</v>
      </c>
      <c r="M4">
        <v>0.35570000000000002</v>
      </c>
      <c r="N4">
        <v>2.7709999999999999</v>
      </c>
      <c r="O4">
        <v>-3.766</v>
      </c>
      <c r="P4">
        <v>19.847999999999999</v>
      </c>
      <c r="Q4">
        <v>-23</v>
      </c>
      <c r="R4">
        <v>0.20399999999999999</v>
      </c>
      <c r="S4">
        <v>-2.6499999999999999E-4</v>
      </c>
      <c r="T4">
        <v>1.1999999999999999E-7</v>
      </c>
      <c r="U4">
        <v>1</v>
      </c>
      <c r="V4">
        <v>1</v>
      </c>
    </row>
    <row r="5" spans="1:32" ht="13.5" thickBot="1">
      <c r="A5" s="70" t="s">
        <v>162</v>
      </c>
      <c r="B5">
        <v>4</v>
      </c>
      <c r="C5">
        <v>12.011200000000001</v>
      </c>
      <c r="D5">
        <v>-1.4999999999999999E-2</v>
      </c>
      <c r="E5">
        <v>0.14299999999999999</v>
      </c>
      <c r="F5">
        <v>5</v>
      </c>
      <c r="G5">
        <v>74</v>
      </c>
      <c r="H5">
        <v>3.6</v>
      </c>
      <c r="I5">
        <v>130</v>
      </c>
      <c r="J5">
        <v>-3.3000000000000002E-2</v>
      </c>
      <c r="K5">
        <v>-9.0200000000000002E-2</v>
      </c>
      <c r="L5" s="66">
        <v>-0.51548282817579028</v>
      </c>
      <c r="M5">
        <v>1.6478999999999999</v>
      </c>
      <c r="N5">
        <v>1.284</v>
      </c>
      <c r="O5">
        <v>17.119</v>
      </c>
      <c r="P5">
        <v>37.976999999999997</v>
      </c>
      <c r="Q5">
        <v>-66.2</v>
      </c>
      <c r="R5">
        <v>0.42699999999999999</v>
      </c>
      <c r="S5">
        <v>-6.4099999999999997E-4</v>
      </c>
      <c r="T5">
        <v>3.0100000000000001E-7</v>
      </c>
      <c r="U5">
        <v>1</v>
      </c>
      <c r="V5">
        <v>0</v>
      </c>
    </row>
    <row r="6" spans="1:32">
      <c r="A6" s="71" t="s">
        <v>27</v>
      </c>
      <c r="B6">
        <v>5</v>
      </c>
      <c r="C6">
        <v>27.045999999999999</v>
      </c>
      <c r="D6">
        <v>0.16900000000000001</v>
      </c>
      <c r="E6">
        <v>0.36</v>
      </c>
      <c r="F6">
        <v>32</v>
      </c>
      <c r="G6">
        <v>257</v>
      </c>
      <c r="H6">
        <v>32.4</v>
      </c>
      <c r="I6">
        <v>226.5</v>
      </c>
      <c r="J6">
        <v>8.3000000000000004E-2</v>
      </c>
      <c r="K6">
        <v>0.13492000000000001</v>
      </c>
      <c r="L6">
        <v>0.18001040040425326</v>
      </c>
      <c r="M6">
        <v>1.6472</v>
      </c>
      <c r="N6">
        <v>6.7140000000000004</v>
      </c>
      <c r="O6">
        <v>53.712000000000003</v>
      </c>
      <c r="P6">
        <v>84.926000000000002</v>
      </c>
      <c r="Q6">
        <v>15.6</v>
      </c>
      <c r="R6">
        <v>6.6900000000000001E-2</v>
      </c>
      <c r="S6">
        <v>7.5699999999999997E-5</v>
      </c>
      <c r="T6" s="1">
        <v>-6.7399999999999995E-8</v>
      </c>
      <c r="U6">
        <v>2</v>
      </c>
      <c r="V6">
        <v>3</v>
      </c>
    </row>
    <row r="7" spans="1:32">
      <c r="A7" s="69" t="s">
        <v>28</v>
      </c>
      <c r="B7">
        <v>6</v>
      </c>
      <c r="C7">
        <v>26.0381</v>
      </c>
      <c r="D7">
        <v>0.16900000000000001</v>
      </c>
      <c r="E7">
        <v>0.36</v>
      </c>
      <c r="F7">
        <v>32</v>
      </c>
      <c r="G7">
        <v>257</v>
      </c>
      <c r="H7">
        <v>26.4</v>
      </c>
      <c r="I7">
        <v>255.9</v>
      </c>
      <c r="J7">
        <v>6.8000000000000005E-2</v>
      </c>
      <c r="K7">
        <v>3.9940000000000003E-2</v>
      </c>
      <c r="L7">
        <v>-0.11781065149584148</v>
      </c>
      <c r="M7">
        <v>1.6322000000000001</v>
      </c>
      <c r="N7">
        <v>7.37</v>
      </c>
      <c r="O7">
        <v>69.938999999999993</v>
      </c>
      <c r="P7">
        <v>92.9</v>
      </c>
      <c r="Q7">
        <v>-16</v>
      </c>
      <c r="R7">
        <v>0.21</v>
      </c>
      <c r="S7">
        <v>-1.93E-4</v>
      </c>
      <c r="T7" s="1">
        <v>7.1200000000000002E-8</v>
      </c>
      <c r="U7">
        <v>2</v>
      </c>
      <c r="V7">
        <v>2</v>
      </c>
    </row>
    <row r="8" spans="1:32">
      <c r="A8" s="69" t="s">
        <v>29</v>
      </c>
      <c r="B8">
        <v>7</v>
      </c>
      <c r="C8">
        <v>26.0381</v>
      </c>
      <c r="D8">
        <v>0.16900000000000001</v>
      </c>
      <c r="E8">
        <v>0.36</v>
      </c>
      <c r="F8">
        <v>32</v>
      </c>
      <c r="G8">
        <v>257</v>
      </c>
      <c r="H8">
        <v>26.4</v>
      </c>
      <c r="I8">
        <v>255.9</v>
      </c>
      <c r="J8">
        <v>6.8000000000000005E-2</v>
      </c>
      <c r="K8">
        <v>0.11229</v>
      </c>
      <c r="L8">
        <v>5.3629652840734246E-2</v>
      </c>
      <c r="M8">
        <v>1.7899</v>
      </c>
      <c r="N8">
        <v>6.7969999999999997</v>
      </c>
      <c r="O8">
        <v>64.144999999999996</v>
      </c>
      <c r="P8">
        <v>88.402000000000001</v>
      </c>
      <c r="Q8">
        <v>-4.5</v>
      </c>
      <c r="R8">
        <v>0.17</v>
      </c>
      <c r="S8">
        <v>-1.34E-4</v>
      </c>
      <c r="T8">
        <v>4.3000000000000001E-8</v>
      </c>
      <c r="U8">
        <v>2</v>
      </c>
      <c r="V8">
        <v>2</v>
      </c>
    </row>
    <row r="9" spans="1:32">
      <c r="A9" s="69" t="s">
        <v>30</v>
      </c>
      <c r="B9">
        <v>8</v>
      </c>
      <c r="C9">
        <v>25.030200000000001</v>
      </c>
      <c r="D9">
        <v>0.16900000000000001</v>
      </c>
      <c r="E9">
        <v>0.36</v>
      </c>
      <c r="F9">
        <v>32</v>
      </c>
      <c r="G9">
        <v>257</v>
      </c>
      <c r="H9">
        <v>20.399999999999999</v>
      </c>
      <c r="I9">
        <v>255.9</v>
      </c>
      <c r="J9">
        <v>6.8000000000000005E-2</v>
      </c>
      <c r="K9">
        <v>0.16231000000000001</v>
      </c>
      <c r="L9">
        <v>0.13361626626820483</v>
      </c>
      <c r="M9">
        <v>2.0017999999999998</v>
      </c>
      <c r="N9">
        <v>8.1780000000000008</v>
      </c>
      <c r="O9">
        <v>82.528000000000006</v>
      </c>
      <c r="P9">
        <v>93.745000000000005</v>
      </c>
      <c r="Q9">
        <v>-36.1</v>
      </c>
      <c r="R9">
        <v>0.313</v>
      </c>
      <c r="S9">
        <v>-4.0200000000000001E-4</v>
      </c>
      <c r="T9">
        <v>1.8199999999999999E-7</v>
      </c>
      <c r="U9">
        <v>2</v>
      </c>
      <c r="V9">
        <v>1</v>
      </c>
    </row>
    <row r="10" spans="1:32" ht="13.5" thickBot="1">
      <c r="A10" s="70" t="s">
        <v>31</v>
      </c>
      <c r="B10">
        <v>70</v>
      </c>
      <c r="C10">
        <v>24.022300000000001</v>
      </c>
      <c r="D10">
        <v>0.16900000000000001</v>
      </c>
      <c r="E10">
        <v>0.36</v>
      </c>
      <c r="F10">
        <v>32</v>
      </c>
      <c r="G10">
        <v>257</v>
      </c>
      <c r="H10">
        <v>14.4</v>
      </c>
      <c r="I10">
        <v>255.9</v>
      </c>
      <c r="J10">
        <v>6.8000000000000005E-2</v>
      </c>
      <c r="K10">
        <v>-2.23E-2</v>
      </c>
      <c r="L10" s="66">
        <v>0.11677935449200191</v>
      </c>
      <c r="M10">
        <v>3.3439000000000001</v>
      </c>
      <c r="N10">
        <v>9.3420000000000005</v>
      </c>
      <c r="O10">
        <v>104.29300000000001</v>
      </c>
      <c r="P10">
        <v>116.613</v>
      </c>
      <c r="Q10">
        <v>-56.2</v>
      </c>
      <c r="R10">
        <v>0.41599999999999998</v>
      </c>
      <c r="S10">
        <v>-6.1200000000000002E-4</v>
      </c>
      <c r="T10">
        <v>2.9200000000000002E-7</v>
      </c>
      <c r="U10">
        <v>2</v>
      </c>
      <c r="V10">
        <v>0</v>
      </c>
    </row>
    <row r="11" spans="1:32">
      <c r="A11" s="69" t="s">
        <v>32</v>
      </c>
      <c r="B11">
        <v>9</v>
      </c>
      <c r="C11">
        <v>13.019</v>
      </c>
      <c r="D11">
        <v>6.9000000000000006E-2</v>
      </c>
      <c r="E11">
        <v>0.153</v>
      </c>
      <c r="F11">
        <v>16</v>
      </c>
      <c r="G11">
        <v>124</v>
      </c>
      <c r="H11">
        <v>13.4</v>
      </c>
      <c r="I11">
        <v>134.30000000000001</v>
      </c>
      <c r="J11">
        <v>3.1E-2</v>
      </c>
      <c r="K11">
        <v>0.10926</v>
      </c>
      <c r="L11">
        <v>0.15029059566537489</v>
      </c>
      <c r="M11">
        <v>1.4669000000000001</v>
      </c>
      <c r="N11">
        <v>4.0979999999999999</v>
      </c>
      <c r="O11">
        <v>11.189</v>
      </c>
      <c r="P11">
        <v>22.533000000000001</v>
      </c>
      <c r="Q11">
        <v>-2.14</v>
      </c>
      <c r="R11">
        <v>5.74E-2</v>
      </c>
      <c r="S11">
        <v>-1.64E-6</v>
      </c>
      <c r="T11" s="1">
        <v>-1.59E-8</v>
      </c>
      <c r="U11">
        <v>1</v>
      </c>
      <c r="V11">
        <v>1</v>
      </c>
    </row>
    <row r="12" spans="1:32" ht="13.5" thickBot="1">
      <c r="A12" s="70" t="s">
        <v>164</v>
      </c>
      <c r="B12">
        <v>10</v>
      </c>
      <c r="C12">
        <v>12.011200000000001</v>
      </c>
      <c r="D12">
        <v>9.9000000000000005E-2</v>
      </c>
      <c r="E12">
        <v>0.17299999999999999</v>
      </c>
      <c r="F12">
        <v>87</v>
      </c>
      <c r="G12">
        <v>247</v>
      </c>
      <c r="H12">
        <v>7.4</v>
      </c>
      <c r="I12">
        <v>226.7</v>
      </c>
      <c r="J12">
        <v>3.4000000000000002E-2</v>
      </c>
      <c r="K12">
        <v>0.91720000000000002</v>
      </c>
      <c r="L12">
        <v>1.8237302393005028</v>
      </c>
      <c r="M12">
        <v>0.20979999999999999</v>
      </c>
      <c r="N12">
        <v>12.552</v>
      </c>
      <c r="O12">
        <v>27.015999999999998</v>
      </c>
      <c r="P12">
        <v>30.484999999999999</v>
      </c>
      <c r="Q12">
        <v>-8.25</v>
      </c>
      <c r="R12">
        <v>0.10100000000000001</v>
      </c>
      <c r="S12">
        <v>-1.4200000000000001E-4</v>
      </c>
      <c r="T12" s="1">
        <v>6.7799999999999998E-8</v>
      </c>
      <c r="U12">
        <v>1</v>
      </c>
      <c r="V12">
        <v>0</v>
      </c>
    </row>
    <row r="13" spans="1:32">
      <c r="A13" s="69" t="s">
        <v>34</v>
      </c>
      <c r="B13">
        <v>11</v>
      </c>
      <c r="C13">
        <v>27.045999999999999</v>
      </c>
      <c r="D13">
        <v>0.221</v>
      </c>
      <c r="E13">
        <v>0.375</v>
      </c>
      <c r="F13">
        <v>68</v>
      </c>
      <c r="G13">
        <v>282</v>
      </c>
      <c r="H13">
        <v>29</v>
      </c>
      <c r="I13">
        <v>283.60000000000002</v>
      </c>
      <c r="J13">
        <v>9.1999999999999998E-2</v>
      </c>
      <c r="K13">
        <v>0.41644999999999999</v>
      </c>
      <c r="L13">
        <v>0.68138445371432266</v>
      </c>
      <c r="M13">
        <v>1.8634999999999999</v>
      </c>
      <c r="N13">
        <v>9.7759999999999998</v>
      </c>
      <c r="O13">
        <v>-19.242999999999999</v>
      </c>
      <c r="P13">
        <v>22.504999999999999</v>
      </c>
      <c r="Q13">
        <v>11.3</v>
      </c>
      <c r="R13">
        <v>9.2899999999999996E-2</v>
      </c>
      <c r="S13">
        <v>1.1E-5</v>
      </c>
      <c r="T13" s="1">
        <v>-2.8900000000000001E-8</v>
      </c>
      <c r="U13">
        <v>2</v>
      </c>
      <c r="V13">
        <v>3</v>
      </c>
    </row>
    <row r="14" spans="1:32">
      <c r="A14" s="69" t="s">
        <v>35</v>
      </c>
      <c r="B14">
        <v>12</v>
      </c>
      <c r="C14">
        <v>26.0381</v>
      </c>
      <c r="D14">
        <v>0.20699999999999999</v>
      </c>
      <c r="E14">
        <v>0.37</v>
      </c>
      <c r="F14">
        <v>95</v>
      </c>
      <c r="G14">
        <v>303</v>
      </c>
      <c r="H14">
        <v>23</v>
      </c>
      <c r="I14">
        <v>266.60000000000002</v>
      </c>
      <c r="J14">
        <v>7.4999999999999997E-2</v>
      </c>
      <c r="K14">
        <v>0.35841000000000001</v>
      </c>
      <c r="L14">
        <v>0.64034401743595459</v>
      </c>
      <c r="M14">
        <v>0.41770000000000002</v>
      </c>
      <c r="N14">
        <v>10.185</v>
      </c>
      <c r="O14">
        <v>9.4039999999999999</v>
      </c>
      <c r="P14">
        <v>41.228000000000002</v>
      </c>
      <c r="Q14">
        <v>-9.16</v>
      </c>
      <c r="R14">
        <v>0.19600000000000001</v>
      </c>
      <c r="S14">
        <v>-1.9599999999999999E-4</v>
      </c>
      <c r="T14" s="1">
        <v>7.9700000000000006E-8</v>
      </c>
      <c r="U14">
        <v>2</v>
      </c>
      <c r="V14">
        <v>2</v>
      </c>
    </row>
    <row r="15" spans="1:32">
      <c r="A15" s="69" t="s">
        <v>36</v>
      </c>
      <c r="B15">
        <v>13</v>
      </c>
      <c r="C15">
        <v>25.030200000000001</v>
      </c>
      <c r="D15">
        <v>0.13600000000000001</v>
      </c>
      <c r="E15">
        <v>0.35599999999999998</v>
      </c>
      <c r="F15">
        <v>107</v>
      </c>
      <c r="G15">
        <v>191</v>
      </c>
      <c r="H15">
        <v>17</v>
      </c>
      <c r="I15">
        <v>243.2</v>
      </c>
      <c r="J15">
        <v>2.5999999999999999E-2</v>
      </c>
      <c r="K15">
        <v>0.34520000000000001</v>
      </c>
      <c r="L15">
        <v>0.49586693060304271</v>
      </c>
      <c r="M15">
        <v>-1.7566999999999999</v>
      </c>
      <c r="N15">
        <v>8.8339999999999996</v>
      </c>
      <c r="O15">
        <v>27.670999999999999</v>
      </c>
      <c r="P15">
        <v>52.948</v>
      </c>
      <c r="Q15">
        <v>-31.3</v>
      </c>
      <c r="R15">
        <v>0.30499999999999999</v>
      </c>
      <c r="S15">
        <v>-4.0700000000000003E-4</v>
      </c>
      <c r="T15">
        <v>1.8799999999999999E-7</v>
      </c>
      <c r="U15">
        <v>2</v>
      </c>
      <c r="V15">
        <v>1</v>
      </c>
    </row>
    <row r="16" spans="1:32" ht="13.5" thickBot="1">
      <c r="A16" s="70" t="s">
        <v>2896</v>
      </c>
      <c r="B16">
        <v>195</v>
      </c>
      <c r="C16">
        <v>24.022300000000001</v>
      </c>
      <c r="D16">
        <v>86.86</v>
      </c>
      <c r="E16">
        <v>86.86</v>
      </c>
      <c r="F16">
        <v>86.86</v>
      </c>
      <c r="G16">
        <v>86.86</v>
      </c>
      <c r="H16">
        <v>86.86</v>
      </c>
      <c r="I16">
        <v>86.86</v>
      </c>
      <c r="J16">
        <v>86.86</v>
      </c>
      <c r="K16">
        <v>86.86</v>
      </c>
      <c r="L16">
        <v>86.86</v>
      </c>
      <c r="M16">
        <v>86.86</v>
      </c>
      <c r="N16">
        <v>86.86</v>
      </c>
      <c r="O16">
        <v>86.86</v>
      </c>
      <c r="P16">
        <v>86.86</v>
      </c>
      <c r="Q16">
        <v>86.86</v>
      </c>
      <c r="R16">
        <v>86.86</v>
      </c>
      <c r="S16">
        <v>86.86</v>
      </c>
      <c r="T16">
        <v>86.86</v>
      </c>
    </row>
    <row r="17" spans="1:23">
      <c r="A17" s="71" t="s">
        <v>2897</v>
      </c>
      <c r="B17">
        <v>14</v>
      </c>
      <c r="C17">
        <v>17.007300000000001</v>
      </c>
      <c r="D17">
        <v>0.55400000000000005</v>
      </c>
      <c r="E17">
        <v>7.4999999999999997E-2</v>
      </c>
      <c r="F17">
        <v>-25</v>
      </c>
      <c r="G17">
        <v>474</v>
      </c>
      <c r="H17">
        <v>12.5</v>
      </c>
      <c r="I17">
        <v>551.29999999999995</v>
      </c>
      <c r="J17">
        <v>0.39400000000000002</v>
      </c>
      <c r="K17">
        <v>0.37767000000000001</v>
      </c>
      <c r="L17">
        <v>0.6361519305355422</v>
      </c>
      <c r="M17">
        <v>3.5979000000000001</v>
      </c>
      <c r="N17">
        <v>24.529</v>
      </c>
      <c r="O17">
        <v>-181.422</v>
      </c>
      <c r="P17">
        <v>-158.589</v>
      </c>
      <c r="Q17">
        <v>25.7</v>
      </c>
      <c r="R17">
        <v>-6.9099999999999995E-2</v>
      </c>
      <c r="S17">
        <v>1.7699999999999999E-4</v>
      </c>
      <c r="T17" s="1">
        <v>-9.8799999999999998E-8</v>
      </c>
      <c r="U17">
        <v>0</v>
      </c>
      <c r="V17">
        <v>1</v>
      </c>
      <c r="W17">
        <v>1</v>
      </c>
    </row>
    <row r="18" spans="1:23">
      <c r="A18" s="69" t="s">
        <v>2898</v>
      </c>
      <c r="B18">
        <v>81</v>
      </c>
      <c r="C18">
        <v>17.007300000000001</v>
      </c>
      <c r="D18">
        <v>0.55400000000000005</v>
      </c>
      <c r="E18">
        <v>7.4999999999999997E-2</v>
      </c>
      <c r="F18">
        <v>-25</v>
      </c>
      <c r="G18">
        <v>474</v>
      </c>
      <c r="H18">
        <v>12.5</v>
      </c>
      <c r="I18">
        <v>551.29999999999995</v>
      </c>
      <c r="J18">
        <v>0.39400000000000002</v>
      </c>
      <c r="K18">
        <v>0.37767000000000001</v>
      </c>
      <c r="L18">
        <v>0.6361519305355422</v>
      </c>
      <c r="M18">
        <v>3.5979000000000001</v>
      </c>
      <c r="N18">
        <v>24.529</v>
      </c>
      <c r="O18">
        <v>-181.422</v>
      </c>
      <c r="P18">
        <v>-158.589</v>
      </c>
      <c r="Q18">
        <v>25.7</v>
      </c>
      <c r="R18">
        <v>-6.9099999999999995E-2</v>
      </c>
      <c r="S18">
        <v>1.7699999999999999E-4</v>
      </c>
      <c r="T18" s="1">
        <v>-9.8799999999999998E-8</v>
      </c>
      <c r="U18">
        <v>0</v>
      </c>
      <c r="V18">
        <v>1</v>
      </c>
      <c r="W18">
        <v>1</v>
      </c>
    </row>
    <row r="19" spans="1:23" ht="13.5" thickBot="1">
      <c r="A19" s="70" t="s">
        <v>2899</v>
      </c>
      <c r="B19">
        <v>82</v>
      </c>
      <c r="C19">
        <v>17.007300000000001</v>
      </c>
      <c r="D19">
        <v>0.55400000000000005</v>
      </c>
      <c r="E19">
        <v>7.4999999999999997E-2</v>
      </c>
      <c r="F19">
        <v>-25</v>
      </c>
      <c r="G19">
        <v>474</v>
      </c>
      <c r="H19">
        <v>12.5</v>
      </c>
      <c r="I19">
        <v>551.29999999999995</v>
      </c>
      <c r="J19">
        <v>0.39400000000000002</v>
      </c>
      <c r="K19">
        <v>0.37767000000000001</v>
      </c>
      <c r="L19">
        <v>0.6361519305355422</v>
      </c>
      <c r="M19">
        <v>3.5979000000000001</v>
      </c>
      <c r="N19">
        <v>24.529</v>
      </c>
      <c r="O19">
        <v>-181.422</v>
      </c>
      <c r="P19">
        <v>-158.589</v>
      </c>
      <c r="Q19">
        <v>25.7</v>
      </c>
      <c r="R19">
        <v>-6.9099999999999995E-2</v>
      </c>
      <c r="S19">
        <v>1.7699999999999999E-4</v>
      </c>
      <c r="T19" s="1">
        <v>-9.8799999999999998E-8</v>
      </c>
      <c r="U19">
        <v>0</v>
      </c>
      <c r="V19">
        <v>1</v>
      </c>
      <c r="W19">
        <v>1</v>
      </c>
    </row>
    <row r="20" spans="1:23" ht="13.5" thickBot="1">
      <c r="A20" s="70" t="s">
        <v>38</v>
      </c>
      <c r="B20">
        <v>15</v>
      </c>
      <c r="C20">
        <v>32.042099999999998</v>
      </c>
      <c r="D20">
        <v>86.86</v>
      </c>
      <c r="E20">
        <v>86.86</v>
      </c>
      <c r="F20">
        <v>86.86</v>
      </c>
      <c r="G20">
        <v>86.86</v>
      </c>
      <c r="H20">
        <v>86.86</v>
      </c>
      <c r="I20">
        <v>86.86</v>
      </c>
      <c r="J20">
        <v>86.86</v>
      </c>
      <c r="K20">
        <v>86.86</v>
      </c>
      <c r="L20">
        <v>86.86</v>
      </c>
      <c r="M20">
        <v>86.86</v>
      </c>
      <c r="N20">
        <v>86.86</v>
      </c>
      <c r="O20">
        <v>86.86</v>
      </c>
      <c r="P20">
        <v>86.86</v>
      </c>
      <c r="Q20">
        <v>86.86</v>
      </c>
      <c r="R20">
        <v>86.86</v>
      </c>
      <c r="S20">
        <v>86.86</v>
      </c>
      <c r="T20">
        <v>86.86</v>
      </c>
      <c r="U20">
        <v>1</v>
      </c>
    </row>
    <row r="21" spans="1:23" ht="13.5" thickBot="1">
      <c r="A21" s="70" t="s">
        <v>40</v>
      </c>
      <c r="B21">
        <v>16</v>
      </c>
      <c r="C21">
        <v>18.0153</v>
      </c>
      <c r="D21">
        <v>86.86</v>
      </c>
      <c r="E21">
        <v>86.86</v>
      </c>
      <c r="F21">
        <v>86.86</v>
      </c>
      <c r="G21">
        <v>86.86</v>
      </c>
      <c r="H21">
        <v>86.86</v>
      </c>
      <c r="I21">
        <v>86.86</v>
      </c>
      <c r="J21">
        <v>86.86</v>
      </c>
      <c r="K21">
        <v>86.86</v>
      </c>
      <c r="L21">
        <v>86.86</v>
      </c>
      <c r="M21">
        <v>86.86</v>
      </c>
      <c r="N21">
        <v>86.86</v>
      </c>
      <c r="O21">
        <v>86.86</v>
      </c>
      <c r="P21">
        <v>86.86</v>
      </c>
      <c r="Q21">
        <v>86.86</v>
      </c>
      <c r="R21">
        <v>86.86</v>
      </c>
      <c r="S21">
        <v>86.86</v>
      </c>
      <c r="T21">
        <v>86.86</v>
      </c>
      <c r="U21">
        <v>1</v>
      </c>
    </row>
    <row r="22" spans="1:23" ht="13.5" thickBot="1">
      <c r="A22" s="70" t="s">
        <v>41</v>
      </c>
      <c r="B22">
        <v>17</v>
      </c>
      <c r="C22">
        <v>29.0184</v>
      </c>
      <c r="D22">
        <v>0.27800000000000002</v>
      </c>
      <c r="E22">
        <v>0.126</v>
      </c>
      <c r="F22">
        <v>-20</v>
      </c>
      <c r="G22">
        <v>525</v>
      </c>
      <c r="H22">
        <v>19.899999999999999</v>
      </c>
      <c r="I22">
        <v>687</v>
      </c>
      <c r="J22">
        <v>0.26500000000000001</v>
      </c>
      <c r="K22">
        <v>1.76546</v>
      </c>
      <c r="L22">
        <v>3.6127879689779392</v>
      </c>
      <c r="M22">
        <v>13.7349</v>
      </c>
      <c r="N22">
        <v>40.246000000000002</v>
      </c>
      <c r="O22">
        <v>-164.60900000000001</v>
      </c>
      <c r="P22">
        <v>-132.09700000000001</v>
      </c>
      <c r="Q22">
        <v>-11.1</v>
      </c>
      <c r="R22">
        <v>0.21199999999999999</v>
      </c>
      <c r="S22">
        <v>-2.5799999999999998E-4</v>
      </c>
      <c r="T22">
        <v>1.17E-7</v>
      </c>
      <c r="U22">
        <v>1</v>
      </c>
      <c r="V22">
        <v>1</v>
      </c>
      <c r="W22">
        <v>1</v>
      </c>
    </row>
    <row r="23" spans="1:23">
      <c r="A23" s="69" t="s">
        <v>42</v>
      </c>
      <c r="B23">
        <v>18</v>
      </c>
      <c r="C23">
        <v>43.045400000000001</v>
      </c>
      <c r="D23">
        <v>0.38700000000000001</v>
      </c>
      <c r="E23">
        <v>0.51300000000000001</v>
      </c>
      <c r="F23">
        <v>77</v>
      </c>
      <c r="G23">
        <v>514</v>
      </c>
      <c r="H23">
        <v>38.9</v>
      </c>
      <c r="I23">
        <v>567.29999999999995</v>
      </c>
      <c r="J23">
        <v>0.217</v>
      </c>
      <c r="K23">
        <v>0.66442000000000001</v>
      </c>
      <c r="L23">
        <v>0.96450371806142998</v>
      </c>
      <c r="M23">
        <v>4.8776000000000002</v>
      </c>
      <c r="N23">
        <v>18.998999999999999</v>
      </c>
      <c r="O23">
        <v>-182.32900000000001</v>
      </c>
      <c r="P23">
        <v>-131.36600000000001</v>
      </c>
      <c r="Q23">
        <v>26</v>
      </c>
      <c r="R23">
        <v>5.8900000000000001E-2</v>
      </c>
      <c r="S23">
        <v>1.17E-4</v>
      </c>
      <c r="T23" s="1">
        <v>-9.3800000000000006E-8</v>
      </c>
      <c r="U23">
        <v>2</v>
      </c>
      <c r="V23">
        <v>3</v>
      </c>
      <c r="W23">
        <v>1</v>
      </c>
    </row>
    <row r="24" spans="1:23">
      <c r="A24" s="69" t="s">
        <v>43</v>
      </c>
      <c r="B24">
        <v>19</v>
      </c>
      <c r="C24">
        <v>42.037500000000001</v>
      </c>
      <c r="D24">
        <v>0.38300000000000001</v>
      </c>
      <c r="E24">
        <v>0.504</v>
      </c>
      <c r="F24">
        <v>78</v>
      </c>
      <c r="G24">
        <v>512</v>
      </c>
      <c r="H24">
        <v>32.9</v>
      </c>
      <c r="I24">
        <v>602.29999999999995</v>
      </c>
      <c r="J24">
        <v>0.20699999999999999</v>
      </c>
      <c r="K24">
        <v>0.78729000000000005</v>
      </c>
      <c r="L24">
        <v>1.1688458933075261</v>
      </c>
      <c r="M24">
        <v>5.6622000000000003</v>
      </c>
      <c r="N24">
        <v>20.041</v>
      </c>
      <c r="O24">
        <v>-164.41</v>
      </c>
      <c r="P24">
        <v>-132.386</v>
      </c>
      <c r="Q24">
        <v>5.54</v>
      </c>
      <c r="R24">
        <v>0.16200000000000001</v>
      </c>
      <c r="S24">
        <v>-9.0099999999999995E-5</v>
      </c>
      <c r="T24" s="1">
        <v>1.48E-8</v>
      </c>
      <c r="U24">
        <v>2</v>
      </c>
      <c r="V24">
        <v>2</v>
      </c>
      <c r="W24">
        <v>1</v>
      </c>
    </row>
    <row r="25" spans="1:23">
      <c r="A25" s="69" t="s">
        <v>2900</v>
      </c>
      <c r="B25">
        <v>301</v>
      </c>
      <c r="C25">
        <v>41.029600000000002</v>
      </c>
      <c r="D25">
        <v>86.86</v>
      </c>
      <c r="E25">
        <v>86.86</v>
      </c>
      <c r="F25">
        <v>86.86</v>
      </c>
      <c r="G25">
        <v>86.86</v>
      </c>
      <c r="H25">
        <v>86.86</v>
      </c>
      <c r="I25">
        <v>86.86</v>
      </c>
      <c r="J25">
        <v>86.86</v>
      </c>
      <c r="K25">
        <v>86.86</v>
      </c>
      <c r="L25">
        <v>86.86</v>
      </c>
      <c r="M25">
        <v>86.86</v>
      </c>
      <c r="N25">
        <v>86.86</v>
      </c>
      <c r="O25">
        <v>86.86</v>
      </c>
      <c r="P25">
        <v>86.86</v>
      </c>
      <c r="Q25">
        <v>86.86</v>
      </c>
      <c r="R25">
        <v>86.86</v>
      </c>
      <c r="S25">
        <v>86.86</v>
      </c>
      <c r="T25">
        <v>86.86</v>
      </c>
    </row>
    <row r="26" spans="1:23" ht="13.5" thickBot="1">
      <c r="A26" s="70" t="s">
        <v>2901</v>
      </c>
      <c r="B26">
        <v>302</v>
      </c>
      <c r="C26">
        <v>40.021700000000003</v>
      </c>
      <c r="D26">
        <v>86.86</v>
      </c>
      <c r="E26">
        <v>86.86</v>
      </c>
      <c r="F26">
        <v>86.86</v>
      </c>
      <c r="G26">
        <v>86.86</v>
      </c>
      <c r="H26">
        <v>86.86</v>
      </c>
      <c r="I26">
        <v>86.86</v>
      </c>
      <c r="J26">
        <v>86.86</v>
      </c>
      <c r="K26">
        <v>86.86</v>
      </c>
      <c r="L26">
        <v>86.86</v>
      </c>
      <c r="M26">
        <v>86.86</v>
      </c>
      <c r="N26">
        <v>86.86</v>
      </c>
      <c r="O26">
        <v>86.86</v>
      </c>
      <c r="P26">
        <v>86.86</v>
      </c>
      <c r="Q26">
        <v>86.86</v>
      </c>
      <c r="R26">
        <v>86.86</v>
      </c>
      <c r="S26">
        <v>86.86</v>
      </c>
      <c r="T26">
        <v>86.86</v>
      </c>
    </row>
    <row r="27" spans="1:23">
      <c r="A27" s="71" t="s">
        <v>44</v>
      </c>
      <c r="B27">
        <v>20</v>
      </c>
      <c r="C27">
        <v>29.0184</v>
      </c>
      <c r="D27">
        <v>0.29899999999999999</v>
      </c>
      <c r="E27">
        <v>0.32400000000000001</v>
      </c>
      <c r="F27">
        <v>-8</v>
      </c>
      <c r="G27">
        <v>396</v>
      </c>
      <c r="H27">
        <v>23.3</v>
      </c>
      <c r="I27">
        <v>415.5</v>
      </c>
      <c r="J27">
        <v>0.216</v>
      </c>
      <c r="K27">
        <v>0.24323</v>
      </c>
      <c r="L27">
        <v>-4.2421030829223723E-2</v>
      </c>
      <c r="M27">
        <v>4.2927</v>
      </c>
      <c r="N27">
        <v>12.909000000000001</v>
      </c>
      <c r="O27">
        <v>-129.15799999999999</v>
      </c>
      <c r="P27">
        <v>-107.858</v>
      </c>
      <c r="Q27">
        <v>30.9</v>
      </c>
      <c r="R27">
        <v>-3.3599999999999998E-2</v>
      </c>
      <c r="S27">
        <v>1.6000000000000001E-4</v>
      </c>
      <c r="T27" s="1">
        <v>-9.8799999999999998E-8</v>
      </c>
      <c r="U27">
        <v>1</v>
      </c>
      <c r="V27">
        <v>1</v>
      </c>
      <c r="W27">
        <v>1</v>
      </c>
    </row>
    <row r="28" spans="1:23" ht="13.5" thickBot="1">
      <c r="A28" s="70" t="s">
        <v>2902</v>
      </c>
      <c r="B28">
        <v>308</v>
      </c>
      <c r="C28">
        <v>30.026299999999999</v>
      </c>
      <c r="D28">
        <v>86.86</v>
      </c>
      <c r="E28">
        <v>86.86</v>
      </c>
      <c r="F28">
        <v>86.86</v>
      </c>
      <c r="G28">
        <v>86.86</v>
      </c>
      <c r="H28">
        <v>86.86</v>
      </c>
      <c r="I28">
        <v>86.86</v>
      </c>
      <c r="J28">
        <v>86.86</v>
      </c>
      <c r="K28">
        <v>86.86</v>
      </c>
      <c r="L28">
        <v>86.86</v>
      </c>
      <c r="M28">
        <v>86.86</v>
      </c>
      <c r="N28">
        <v>86.86</v>
      </c>
      <c r="O28">
        <v>86.86</v>
      </c>
      <c r="P28">
        <v>86.86</v>
      </c>
      <c r="Q28">
        <v>86.86</v>
      </c>
      <c r="R28">
        <v>86.86</v>
      </c>
      <c r="S28">
        <v>86.86</v>
      </c>
      <c r="T28">
        <v>86.86</v>
      </c>
    </row>
    <row r="29" spans="1:23">
      <c r="A29" s="71" t="s">
        <v>45</v>
      </c>
      <c r="B29">
        <v>21</v>
      </c>
      <c r="C29">
        <v>59.044800000000002</v>
      </c>
      <c r="D29">
        <v>0.45700000000000002</v>
      </c>
      <c r="E29">
        <v>0.71199999999999997</v>
      </c>
      <c r="F29">
        <v>102</v>
      </c>
      <c r="G29">
        <v>451</v>
      </c>
      <c r="H29">
        <v>43</v>
      </c>
      <c r="I29">
        <v>521.1</v>
      </c>
      <c r="J29">
        <v>0.217</v>
      </c>
      <c r="K29">
        <v>1.2407699999999999</v>
      </c>
      <c r="L29">
        <v>2.5024913287745618</v>
      </c>
      <c r="M29">
        <v>4.0823</v>
      </c>
      <c r="N29">
        <v>22.709</v>
      </c>
      <c r="O29">
        <v>-389.73700000000002</v>
      </c>
      <c r="P29">
        <v>-318.61599999999999</v>
      </c>
      <c r="Q29">
        <v>44</v>
      </c>
      <c r="R29">
        <v>3.2099999999999997E-2</v>
      </c>
      <c r="S29">
        <v>1.93E-4</v>
      </c>
      <c r="T29">
        <v>-1.42E-7</v>
      </c>
      <c r="U29">
        <v>2</v>
      </c>
      <c r="V29">
        <v>3</v>
      </c>
      <c r="W29">
        <v>2</v>
      </c>
    </row>
    <row r="30" spans="1:23" ht="13.5" thickBot="1">
      <c r="A30" s="70" t="s">
        <v>46</v>
      </c>
      <c r="B30">
        <v>22</v>
      </c>
      <c r="C30">
        <v>58.036900000000003</v>
      </c>
      <c r="D30">
        <v>0.45300000000000001</v>
      </c>
      <c r="E30">
        <v>0.70399999999999996</v>
      </c>
      <c r="F30">
        <v>103</v>
      </c>
      <c r="G30">
        <v>573</v>
      </c>
      <c r="H30">
        <v>37</v>
      </c>
      <c r="I30">
        <v>656.1</v>
      </c>
      <c r="J30">
        <v>0.26100000000000001</v>
      </c>
      <c r="K30">
        <v>0.63902000000000003</v>
      </c>
      <c r="L30">
        <v>0.84662934117461719</v>
      </c>
      <c r="M30">
        <v>3.5571999999999999</v>
      </c>
      <c r="N30">
        <v>17.759</v>
      </c>
      <c r="O30">
        <v>-359.25799999999998</v>
      </c>
      <c r="P30">
        <v>-291.18799999999999</v>
      </c>
      <c r="Q30">
        <v>23.6</v>
      </c>
      <c r="R30">
        <v>0.13500000000000001</v>
      </c>
      <c r="S30">
        <v>-1.42E-5</v>
      </c>
      <c r="T30" s="1">
        <v>-3.33E-8</v>
      </c>
      <c r="U30">
        <v>2</v>
      </c>
      <c r="V30">
        <v>2</v>
      </c>
      <c r="W30">
        <v>2</v>
      </c>
    </row>
    <row r="31" spans="1:23" ht="13.5" thickBot="1">
      <c r="A31" s="72" t="s">
        <v>47</v>
      </c>
      <c r="B31">
        <v>23</v>
      </c>
      <c r="C31">
        <v>45.017800000000001</v>
      </c>
      <c r="D31">
        <v>0.30499999999999999</v>
      </c>
      <c r="E31">
        <v>0.45500000000000002</v>
      </c>
      <c r="F31">
        <v>-6</v>
      </c>
      <c r="G31">
        <v>426</v>
      </c>
      <c r="H31">
        <v>43.3</v>
      </c>
      <c r="I31">
        <v>448.5</v>
      </c>
      <c r="J31">
        <v>0.20899999999999999</v>
      </c>
      <c r="K31">
        <v>0.55559999999999998</v>
      </c>
      <c r="L31">
        <v>0.78513724387035122</v>
      </c>
      <c r="M31">
        <v>4.2249999999999996</v>
      </c>
      <c r="N31">
        <v>14.5</v>
      </c>
      <c r="O31">
        <v>-332.822</v>
      </c>
      <c r="P31">
        <v>-288.90199999999999</v>
      </c>
      <c r="Q31">
        <v>56.4</v>
      </c>
      <c r="R31">
        <v>-9.6799999999999997E-2</v>
      </c>
      <c r="S31">
        <v>2.7099999999999997E-4</v>
      </c>
      <c r="T31">
        <v>-1.54E-7</v>
      </c>
      <c r="U31">
        <v>1</v>
      </c>
      <c r="V31">
        <v>1</v>
      </c>
      <c r="W31">
        <v>2</v>
      </c>
    </row>
    <row r="32" spans="1:23">
      <c r="A32" s="71" t="s">
        <v>48</v>
      </c>
      <c r="B32">
        <v>24</v>
      </c>
      <c r="C32">
        <v>31.034300000000002</v>
      </c>
      <c r="D32">
        <v>0.23400000000000001</v>
      </c>
      <c r="E32">
        <v>0.36699999999999999</v>
      </c>
      <c r="F32">
        <v>41</v>
      </c>
      <c r="G32">
        <v>288</v>
      </c>
      <c r="H32">
        <v>28</v>
      </c>
      <c r="I32">
        <v>262</v>
      </c>
      <c r="J32">
        <v>0.14799999999999999</v>
      </c>
      <c r="K32">
        <v>0.68776999999999999</v>
      </c>
      <c r="L32">
        <v>1.3833462963106142</v>
      </c>
      <c r="M32">
        <v>2.9247999999999998</v>
      </c>
      <c r="N32">
        <v>10.919</v>
      </c>
      <c r="O32">
        <v>-163.56899999999999</v>
      </c>
      <c r="P32">
        <v>-105.767</v>
      </c>
      <c r="Q32">
        <v>45</v>
      </c>
      <c r="R32">
        <v>-7.1300000000000002E-2</v>
      </c>
      <c r="S32">
        <v>2.6400000000000002E-4</v>
      </c>
      <c r="T32">
        <v>-1.5200000000000001E-7</v>
      </c>
      <c r="U32">
        <v>1</v>
      </c>
      <c r="V32">
        <v>3</v>
      </c>
      <c r="W32">
        <v>1</v>
      </c>
    </row>
    <row r="33" spans="1:23">
      <c r="A33" s="69" t="s">
        <v>49</v>
      </c>
      <c r="B33">
        <v>25</v>
      </c>
      <c r="C33">
        <v>30.026399999999999</v>
      </c>
      <c r="D33">
        <v>0.23</v>
      </c>
      <c r="E33">
        <v>0.35799999999999998</v>
      </c>
      <c r="F33">
        <v>42</v>
      </c>
      <c r="G33">
        <v>286</v>
      </c>
      <c r="H33">
        <v>22</v>
      </c>
      <c r="I33">
        <v>297</v>
      </c>
      <c r="J33">
        <v>0.13800000000000001</v>
      </c>
      <c r="K33">
        <v>0.12891</v>
      </c>
      <c r="L33">
        <v>-0.22961280024778508</v>
      </c>
      <c r="M33">
        <v>2.0695000000000001</v>
      </c>
      <c r="N33">
        <v>7.4779999999999998</v>
      </c>
      <c r="O33">
        <v>-151.143</v>
      </c>
      <c r="P33">
        <v>-101.563</v>
      </c>
      <c r="Q33">
        <v>24.6</v>
      </c>
      <c r="R33">
        <v>3.1800000000000002E-2</v>
      </c>
      <c r="S33">
        <v>5.66E-5</v>
      </c>
      <c r="T33" s="1">
        <v>-4.29E-8</v>
      </c>
      <c r="U33">
        <v>1</v>
      </c>
      <c r="V33">
        <v>2</v>
      </c>
      <c r="W33">
        <v>1</v>
      </c>
    </row>
    <row r="34" spans="1:23" ht="13.5" thickBot="1">
      <c r="A34" s="70" t="s">
        <v>44</v>
      </c>
      <c r="B34">
        <v>26</v>
      </c>
      <c r="C34">
        <v>29.0184</v>
      </c>
      <c r="D34">
        <v>0.17499999999999999</v>
      </c>
      <c r="E34">
        <v>0.311</v>
      </c>
      <c r="F34">
        <v>27</v>
      </c>
      <c r="G34">
        <v>262</v>
      </c>
      <c r="H34">
        <v>16</v>
      </c>
      <c r="I34">
        <v>297</v>
      </c>
      <c r="J34">
        <v>0.11700000000000001</v>
      </c>
      <c r="K34">
        <v>5.6509999999999998E-2</v>
      </c>
      <c r="L34">
        <v>-8.3477427445244681E-2</v>
      </c>
      <c r="M34">
        <v>4.0351999999999997</v>
      </c>
      <c r="N34">
        <v>5.7080000000000002</v>
      </c>
      <c r="O34">
        <v>-129.488</v>
      </c>
      <c r="P34">
        <v>-92.099000000000004</v>
      </c>
      <c r="Q34">
        <v>2.5</v>
      </c>
      <c r="R34">
        <v>0.14099999999999999</v>
      </c>
      <c r="S34">
        <v>-1.54E-4</v>
      </c>
      <c r="T34" s="1">
        <v>6.5200000000000001E-8</v>
      </c>
      <c r="U34">
        <v>1</v>
      </c>
      <c r="V34">
        <v>1</v>
      </c>
      <c r="W34">
        <v>1</v>
      </c>
    </row>
    <row r="35" spans="1:23" ht="13.5" thickBot="1">
      <c r="A35" s="69" t="s">
        <v>3035</v>
      </c>
      <c r="B35">
        <v>27</v>
      </c>
      <c r="C35">
        <f>C33+C3</f>
        <v>44.0533</v>
      </c>
      <c r="D35">
        <v>86.86</v>
      </c>
      <c r="E35">
        <v>86.86</v>
      </c>
      <c r="F35">
        <v>86.86</v>
      </c>
      <c r="G35">
        <v>86.86</v>
      </c>
      <c r="H35">
        <v>86.86</v>
      </c>
      <c r="I35">
        <v>86.86</v>
      </c>
      <c r="J35">
        <v>86.86</v>
      </c>
      <c r="K35">
        <v>86.86</v>
      </c>
      <c r="L35">
        <v>86.86</v>
      </c>
      <c r="M35">
        <v>86.86</v>
      </c>
      <c r="N35">
        <v>86.86</v>
      </c>
      <c r="O35">
        <v>86.86</v>
      </c>
      <c r="P35">
        <v>86.86</v>
      </c>
      <c r="Q35">
        <v>86.86</v>
      </c>
      <c r="R35">
        <v>86.86</v>
      </c>
      <c r="S35">
        <v>86.86</v>
      </c>
      <c r="T35">
        <v>86.86</v>
      </c>
      <c r="U35">
        <v>1</v>
      </c>
    </row>
    <row r="36" spans="1:23">
      <c r="A36" s="71" t="s">
        <v>52</v>
      </c>
      <c r="B36">
        <v>28</v>
      </c>
      <c r="C36">
        <v>31.057400000000001</v>
      </c>
      <c r="D36">
        <v>86.86</v>
      </c>
      <c r="E36">
        <v>86.86</v>
      </c>
      <c r="F36">
        <v>86.86</v>
      </c>
      <c r="G36">
        <v>86.86</v>
      </c>
      <c r="H36">
        <v>86.86</v>
      </c>
      <c r="I36">
        <v>86.86</v>
      </c>
      <c r="J36">
        <v>86.86</v>
      </c>
      <c r="K36">
        <v>86.86</v>
      </c>
      <c r="L36">
        <v>86.86</v>
      </c>
      <c r="M36">
        <v>86.86</v>
      </c>
      <c r="N36">
        <v>86.86</v>
      </c>
      <c r="O36">
        <v>86.86</v>
      </c>
      <c r="P36">
        <v>86.86</v>
      </c>
      <c r="Q36">
        <v>86.86</v>
      </c>
      <c r="R36">
        <v>86.86</v>
      </c>
      <c r="S36">
        <v>86.86</v>
      </c>
      <c r="T36">
        <v>86.86</v>
      </c>
      <c r="U36">
        <v>1</v>
      </c>
    </row>
    <row r="37" spans="1:23">
      <c r="A37" s="69" t="s">
        <v>53</v>
      </c>
      <c r="B37">
        <v>29</v>
      </c>
      <c r="C37">
        <v>30.049399999999999</v>
      </c>
      <c r="D37">
        <v>0.30099999999999999</v>
      </c>
      <c r="E37">
        <v>0.316</v>
      </c>
      <c r="F37">
        <v>78</v>
      </c>
      <c r="G37">
        <v>437</v>
      </c>
      <c r="H37">
        <v>32.6</v>
      </c>
      <c r="I37">
        <v>447.4</v>
      </c>
      <c r="J37">
        <v>0.21099999999999999</v>
      </c>
      <c r="K37">
        <v>0.29604999999999998</v>
      </c>
      <c r="L37">
        <v>0.13349843841275266</v>
      </c>
      <c r="M37">
        <v>6.7683999999999997</v>
      </c>
      <c r="N37">
        <v>14.599</v>
      </c>
      <c r="O37">
        <v>-15.505000000000001</v>
      </c>
      <c r="P37">
        <v>58.085000000000001</v>
      </c>
      <c r="Q37">
        <v>26</v>
      </c>
      <c r="R37">
        <v>5.3800000000000001E-2</v>
      </c>
      <c r="S37">
        <v>1.1E-4</v>
      </c>
      <c r="T37" s="1">
        <v>-8.5700000000000006E-8</v>
      </c>
      <c r="U37">
        <v>1</v>
      </c>
      <c r="V37">
        <v>4</v>
      </c>
      <c r="W37">
        <v>1</v>
      </c>
    </row>
    <row r="38" spans="1:23">
      <c r="A38" s="69" t="s">
        <v>54</v>
      </c>
      <c r="B38">
        <v>30</v>
      </c>
      <c r="C38">
        <v>29.041499999999999</v>
      </c>
      <c r="D38">
        <v>0.247</v>
      </c>
      <c r="E38">
        <v>0.26900000000000002</v>
      </c>
      <c r="F38">
        <v>62</v>
      </c>
      <c r="G38">
        <v>412</v>
      </c>
      <c r="H38">
        <v>26.6</v>
      </c>
      <c r="I38">
        <v>447.4</v>
      </c>
      <c r="J38">
        <v>0.19</v>
      </c>
      <c r="K38">
        <v>0.14427000000000001</v>
      </c>
      <c r="L38">
        <v>3.0847441711146995E-2</v>
      </c>
      <c r="M38">
        <v>4.1186999999999996</v>
      </c>
      <c r="N38">
        <v>11.875999999999999</v>
      </c>
      <c r="O38">
        <v>3.32</v>
      </c>
      <c r="P38">
        <v>63.051000000000002</v>
      </c>
      <c r="Q38">
        <v>3.9</v>
      </c>
      <c r="R38">
        <v>0.16300000000000001</v>
      </c>
      <c r="S38">
        <v>-1.01E-4</v>
      </c>
      <c r="T38" s="1">
        <v>2.2399999999999999E-8</v>
      </c>
      <c r="U38">
        <v>1</v>
      </c>
      <c r="V38">
        <v>3</v>
      </c>
      <c r="W38">
        <v>1</v>
      </c>
    </row>
    <row r="39" spans="1:23" ht="13.5" thickBot="1">
      <c r="A39" s="70" t="s">
        <v>2903</v>
      </c>
      <c r="B39">
        <v>85</v>
      </c>
      <c r="C39">
        <v>28.0336</v>
      </c>
      <c r="D39">
        <v>86.86</v>
      </c>
      <c r="E39">
        <v>86.86</v>
      </c>
      <c r="F39">
        <v>86.86</v>
      </c>
      <c r="G39">
        <v>86.86</v>
      </c>
      <c r="H39">
        <v>86.86</v>
      </c>
      <c r="I39">
        <v>86.86</v>
      </c>
      <c r="J39">
        <v>86.86</v>
      </c>
      <c r="K39">
        <v>86.86</v>
      </c>
      <c r="L39">
        <v>86.86</v>
      </c>
      <c r="M39">
        <v>86.86</v>
      </c>
      <c r="N39">
        <v>86.86</v>
      </c>
      <c r="O39">
        <v>86.86</v>
      </c>
      <c r="P39">
        <v>86.86</v>
      </c>
      <c r="Q39">
        <v>86.86</v>
      </c>
      <c r="R39">
        <v>86.86</v>
      </c>
      <c r="S39">
        <v>86.86</v>
      </c>
      <c r="T39">
        <v>86.86</v>
      </c>
    </row>
    <row r="40" spans="1:23">
      <c r="A40" s="69" t="s">
        <v>55</v>
      </c>
      <c r="B40">
        <v>31</v>
      </c>
      <c r="C40">
        <v>30.049399999999999</v>
      </c>
      <c r="D40">
        <v>0.30599999999999999</v>
      </c>
      <c r="E40">
        <v>0.32400000000000001</v>
      </c>
      <c r="F40">
        <v>77</v>
      </c>
      <c r="G40">
        <v>444</v>
      </c>
      <c r="H40">
        <v>32.6</v>
      </c>
      <c r="I40">
        <v>412.4</v>
      </c>
      <c r="J40">
        <v>0.221</v>
      </c>
      <c r="K40">
        <v>0.44401000000000002</v>
      </c>
      <c r="L40">
        <v>0.77644589776034223</v>
      </c>
      <c r="M40">
        <v>4.5340999999999996</v>
      </c>
      <c r="N40">
        <v>14.452</v>
      </c>
      <c r="O40">
        <v>5.4320000000000004</v>
      </c>
      <c r="P40">
        <v>82.471000000000004</v>
      </c>
      <c r="Q40">
        <v>18.3</v>
      </c>
      <c r="R40">
        <v>6.8099999999999994E-2</v>
      </c>
      <c r="S40">
        <v>1.0399999999999999E-4</v>
      </c>
      <c r="T40" s="1">
        <v>-8.6200000000000004E-8</v>
      </c>
      <c r="U40">
        <v>1</v>
      </c>
      <c r="V40">
        <v>4</v>
      </c>
      <c r="W40">
        <v>1</v>
      </c>
    </row>
    <row r="41" spans="1:23">
      <c r="A41" s="69" t="s">
        <v>56</v>
      </c>
      <c r="B41">
        <v>32</v>
      </c>
      <c r="C41">
        <v>29.041499999999999</v>
      </c>
      <c r="D41">
        <v>0.30099999999999999</v>
      </c>
      <c r="E41">
        <v>0.316</v>
      </c>
      <c r="F41">
        <v>78</v>
      </c>
      <c r="G41">
        <v>442</v>
      </c>
      <c r="H41">
        <v>26.6</v>
      </c>
      <c r="I41">
        <v>447.4</v>
      </c>
      <c r="J41">
        <v>0.21099999999999999</v>
      </c>
      <c r="K41">
        <v>0.51041999999999998</v>
      </c>
      <c r="L41">
        <v>0.32892088812673753</v>
      </c>
      <c r="M41">
        <v>6.0609000000000002</v>
      </c>
      <c r="N41">
        <v>14.481</v>
      </c>
      <c r="O41">
        <v>23.100999999999999</v>
      </c>
      <c r="P41">
        <v>95.888000000000005</v>
      </c>
      <c r="Q41">
        <v>-2.12</v>
      </c>
      <c r="R41">
        <v>0.17100000000000001</v>
      </c>
      <c r="S41">
        <v>-1.03E-4</v>
      </c>
      <c r="T41" s="1">
        <v>2.2399999999999999E-8</v>
      </c>
      <c r="U41">
        <v>1</v>
      </c>
      <c r="V41">
        <v>3</v>
      </c>
      <c r="W41">
        <v>1</v>
      </c>
    </row>
    <row r="42" spans="1:23" ht="13.5" thickBot="1">
      <c r="A42" s="70" t="s">
        <v>57</v>
      </c>
      <c r="B42">
        <v>33</v>
      </c>
      <c r="C42">
        <v>28.0336</v>
      </c>
      <c r="D42">
        <v>0.247</v>
      </c>
      <c r="E42">
        <v>0.26900000000000002</v>
      </c>
      <c r="F42">
        <v>62</v>
      </c>
      <c r="G42">
        <v>418</v>
      </c>
      <c r="H42">
        <v>20.6</v>
      </c>
      <c r="I42">
        <v>447.4</v>
      </c>
      <c r="J42">
        <v>0.19</v>
      </c>
      <c r="K42">
        <v>1.0920399999999999</v>
      </c>
      <c r="L42">
        <v>2.4299466563870946</v>
      </c>
      <c r="M42">
        <v>3.41</v>
      </c>
      <c r="N42">
        <v>14</v>
      </c>
      <c r="O42">
        <v>26.718</v>
      </c>
      <c r="P42">
        <v>85.001000000000005</v>
      </c>
      <c r="Q42">
        <v>-24.2</v>
      </c>
      <c r="R42">
        <v>0.28000000000000003</v>
      </c>
      <c r="S42">
        <v>-3.1399999999999999E-4</v>
      </c>
      <c r="T42">
        <v>1.31E-7</v>
      </c>
      <c r="U42">
        <v>1</v>
      </c>
      <c r="V42">
        <v>2</v>
      </c>
      <c r="W42">
        <v>1</v>
      </c>
    </row>
    <row r="43" spans="1:23">
      <c r="A43" s="69" t="s">
        <v>165</v>
      </c>
      <c r="B43">
        <v>34</v>
      </c>
      <c r="C43">
        <v>29.041499999999999</v>
      </c>
      <c r="D43">
        <v>0.14799999999999999</v>
      </c>
      <c r="E43">
        <v>0.313</v>
      </c>
      <c r="F43">
        <v>111</v>
      </c>
      <c r="G43">
        <v>293</v>
      </c>
      <c r="H43">
        <v>34.200000000000003</v>
      </c>
      <c r="I43">
        <v>316.2</v>
      </c>
      <c r="J43">
        <v>1.4999999999999999E-2</v>
      </c>
      <c r="K43">
        <v>0.10365000000000001</v>
      </c>
      <c r="L43">
        <v>0.22182721912059086</v>
      </c>
      <c r="M43">
        <v>4.0579999999999998</v>
      </c>
      <c r="N43">
        <v>6.9470000000000001</v>
      </c>
      <c r="O43">
        <v>54.929000000000002</v>
      </c>
      <c r="P43">
        <v>128.602</v>
      </c>
      <c r="Q43">
        <v>-11.6</v>
      </c>
      <c r="R43">
        <v>0.219</v>
      </c>
      <c r="S43">
        <v>-1.6699999999999999E-4</v>
      </c>
      <c r="T43" s="1">
        <v>4.9299999999999998E-8</v>
      </c>
      <c r="U43">
        <v>1</v>
      </c>
      <c r="V43">
        <v>3</v>
      </c>
      <c r="W43">
        <v>1</v>
      </c>
    </row>
    <row r="44" spans="1:23" ht="13.5" thickBot="1">
      <c r="A44" s="70" t="s">
        <v>166</v>
      </c>
      <c r="B44">
        <v>35</v>
      </c>
      <c r="C44">
        <v>28.0336</v>
      </c>
      <c r="D44">
        <v>0.14399999999999999</v>
      </c>
      <c r="E44">
        <v>0.30399999999999999</v>
      </c>
      <c r="F44">
        <v>112</v>
      </c>
      <c r="G44">
        <v>291</v>
      </c>
      <c r="H44">
        <v>28.2</v>
      </c>
      <c r="I44">
        <v>351.2</v>
      </c>
      <c r="J44">
        <v>5.0000000000000001E-3</v>
      </c>
      <c r="K44">
        <v>0.20061999999999999</v>
      </c>
      <c r="L44">
        <v>2.1138518550900199E-2</v>
      </c>
      <c r="M44">
        <v>0.95440000000000003</v>
      </c>
      <c r="N44">
        <v>6.9180000000000001</v>
      </c>
      <c r="O44">
        <v>69.885000000000005</v>
      </c>
      <c r="P44">
        <v>132.756</v>
      </c>
      <c r="Q44">
        <v>-32</v>
      </c>
      <c r="R44">
        <v>0.32200000000000001</v>
      </c>
      <c r="S44">
        <v>-3.7399999999999998E-4</v>
      </c>
      <c r="T44">
        <v>1.5800000000000001E-7</v>
      </c>
      <c r="U44">
        <v>1</v>
      </c>
      <c r="V44">
        <v>2</v>
      </c>
      <c r="W44">
        <v>1</v>
      </c>
    </row>
    <row r="45" spans="1:23">
      <c r="A45" s="71" t="s">
        <v>60</v>
      </c>
      <c r="B45">
        <v>36</v>
      </c>
      <c r="C45">
        <v>28.0336</v>
      </c>
      <c r="D45">
        <v>0.27</v>
      </c>
      <c r="E45">
        <v>0.21099999999999999</v>
      </c>
      <c r="F45">
        <v>24</v>
      </c>
      <c r="G45">
        <v>655</v>
      </c>
      <c r="H45">
        <v>24.4</v>
      </c>
      <c r="I45">
        <v>700</v>
      </c>
      <c r="J45">
        <v>0.20399999999999999</v>
      </c>
      <c r="K45">
        <v>1.3097399999999999</v>
      </c>
      <c r="L45">
        <v>2.3215661245089576</v>
      </c>
      <c r="M45">
        <v>10.103</v>
      </c>
      <c r="N45">
        <v>28.452999999999999</v>
      </c>
      <c r="O45">
        <v>20.079000000000001</v>
      </c>
      <c r="P45">
        <v>68.861000000000004</v>
      </c>
      <c r="Q45">
        <v>18.7</v>
      </c>
      <c r="R45">
        <v>5.9799999999999999E-2</v>
      </c>
      <c r="S45">
        <v>2.1999999999999999E-5</v>
      </c>
      <c r="T45" s="1">
        <v>-2.9799999999999999E-8</v>
      </c>
      <c r="U45">
        <v>1</v>
      </c>
      <c r="V45">
        <v>2</v>
      </c>
      <c r="W45">
        <v>1</v>
      </c>
    </row>
    <row r="46" spans="1:23">
      <c r="A46" s="69" t="s">
        <v>2904</v>
      </c>
      <c r="B46">
        <v>306</v>
      </c>
      <c r="C46">
        <v>27.025700000000001</v>
      </c>
      <c r="D46">
        <v>86.86</v>
      </c>
      <c r="E46">
        <v>86.86</v>
      </c>
      <c r="F46">
        <v>86.86</v>
      </c>
      <c r="G46">
        <v>86.86</v>
      </c>
      <c r="H46">
        <v>86.86</v>
      </c>
      <c r="I46">
        <v>86.86</v>
      </c>
      <c r="J46">
        <v>86.86</v>
      </c>
      <c r="K46">
        <v>86.86</v>
      </c>
      <c r="L46">
        <v>86.86</v>
      </c>
      <c r="M46">
        <v>86.86</v>
      </c>
      <c r="N46">
        <v>86.86</v>
      </c>
      <c r="O46">
        <v>86.86</v>
      </c>
      <c r="P46">
        <v>86.86</v>
      </c>
      <c r="Q46">
        <v>86.86</v>
      </c>
      <c r="R46">
        <v>86.86</v>
      </c>
      <c r="S46">
        <v>86.86</v>
      </c>
      <c r="T46">
        <v>86.86</v>
      </c>
    </row>
    <row r="47" spans="1:23" ht="13.5" thickBot="1">
      <c r="A47" s="69" t="s">
        <v>2905</v>
      </c>
      <c r="B47">
        <v>307</v>
      </c>
      <c r="C47">
        <v>26.017800000000001</v>
      </c>
      <c r="D47">
        <v>86.86</v>
      </c>
      <c r="E47">
        <v>86.86</v>
      </c>
      <c r="F47">
        <v>86.86</v>
      </c>
      <c r="G47">
        <v>86.86</v>
      </c>
      <c r="H47">
        <v>86.86</v>
      </c>
      <c r="I47">
        <v>86.86</v>
      </c>
      <c r="J47">
        <v>86.86</v>
      </c>
      <c r="K47">
        <v>86.86</v>
      </c>
      <c r="L47">
        <v>86.86</v>
      </c>
      <c r="M47">
        <v>86.86</v>
      </c>
      <c r="N47">
        <v>86.86</v>
      </c>
      <c r="O47">
        <v>86.86</v>
      </c>
      <c r="P47">
        <v>86.86</v>
      </c>
      <c r="Q47">
        <v>86.86</v>
      </c>
      <c r="R47">
        <v>86.86</v>
      </c>
      <c r="S47">
        <v>86.86</v>
      </c>
      <c r="T47">
        <v>86.86</v>
      </c>
    </row>
    <row r="48" spans="1:23">
      <c r="A48" s="73" t="s">
        <v>2906</v>
      </c>
      <c r="B48">
        <v>37</v>
      </c>
      <c r="C48">
        <v>40.044800000000002</v>
      </c>
      <c r="D48">
        <v>0.19600000000000001</v>
      </c>
      <c r="E48">
        <v>0.39</v>
      </c>
      <c r="F48">
        <v>-12</v>
      </c>
      <c r="G48">
        <v>447</v>
      </c>
      <c r="H48">
        <v>41.5</v>
      </c>
      <c r="I48">
        <v>463.6</v>
      </c>
      <c r="J48">
        <v>0.13400000000000001</v>
      </c>
      <c r="K48">
        <v>0.51766999999999996</v>
      </c>
      <c r="L48">
        <f>L49</f>
        <v>1.1881282130038753</v>
      </c>
      <c r="M48">
        <v>9.4839000000000002</v>
      </c>
      <c r="N48">
        <v>10.775</v>
      </c>
      <c r="O48">
        <v>84.668000000000006</v>
      </c>
      <c r="P48">
        <v>124.407</v>
      </c>
      <c r="Q48">
        <v>4.55</v>
      </c>
      <c r="R48">
        <v>0.11119999999999999</v>
      </c>
      <c r="S48">
        <v>4.0299999999999997E-5</v>
      </c>
      <c r="T48">
        <v>-5.8000000000000003E-8</v>
      </c>
      <c r="U48">
        <v>2</v>
      </c>
      <c r="V48">
        <v>2</v>
      </c>
      <c r="W48">
        <v>1</v>
      </c>
    </row>
    <row r="49" spans="1:23">
      <c r="A49" s="74" t="s">
        <v>2907</v>
      </c>
      <c r="B49">
        <v>38</v>
      </c>
      <c r="C49">
        <v>39.036999999999999</v>
      </c>
      <c r="D49">
        <v>0.22600000000000001</v>
      </c>
      <c r="E49">
        <v>0.41</v>
      </c>
      <c r="F49">
        <v>59</v>
      </c>
      <c r="G49">
        <v>570</v>
      </c>
      <c r="H49">
        <v>35.5</v>
      </c>
      <c r="I49">
        <v>556</v>
      </c>
      <c r="J49">
        <v>0.13700000000000001</v>
      </c>
      <c r="K49">
        <v>0.32955000000000001</v>
      </c>
      <c r="L49">
        <f>Regcf!N43-0*Regcf!N14-3*Regcf!N13</f>
        <v>1.1881282130038753</v>
      </c>
      <c r="M49">
        <v>8.2268000000000008</v>
      </c>
      <c r="N49">
        <v>19.228999999999999</v>
      </c>
      <c r="O49">
        <v>100.495</v>
      </c>
      <c r="P49">
        <v>132.35900000000001</v>
      </c>
      <c r="Q49">
        <v>-1.56</v>
      </c>
      <c r="R49">
        <v>0.155</v>
      </c>
      <c r="S49">
        <v>-1E-4</v>
      </c>
      <c r="T49" s="1">
        <v>2.59E-8</v>
      </c>
      <c r="U49">
        <v>2</v>
      </c>
      <c r="V49">
        <v>1</v>
      </c>
      <c r="W49">
        <v>1</v>
      </c>
    </row>
    <row r="50" spans="1:23" ht="13.5" thickBot="1">
      <c r="A50" s="75" t="s">
        <v>2908</v>
      </c>
      <c r="B50">
        <v>39</v>
      </c>
      <c r="C50">
        <v>38.029200000000003</v>
      </c>
      <c r="D50">
        <v>0.22600000000000001</v>
      </c>
      <c r="E50">
        <v>0.41</v>
      </c>
      <c r="F50">
        <v>59</v>
      </c>
      <c r="G50">
        <v>570</v>
      </c>
      <c r="H50">
        <v>29.5</v>
      </c>
      <c r="I50">
        <v>556</v>
      </c>
      <c r="J50">
        <v>0.13700000000000001</v>
      </c>
      <c r="K50">
        <v>0.17774000000000001</v>
      </c>
      <c r="L50">
        <f>Regcf!N43-3*Regcf!N13</f>
        <v>1.1881282130038753</v>
      </c>
      <c r="M50">
        <v>8.2268000000000008</v>
      </c>
      <c r="N50">
        <v>18.710999999999999</v>
      </c>
      <c r="O50">
        <v>106.191</v>
      </c>
      <c r="P50">
        <v>131.68899999999999</v>
      </c>
      <c r="Q50">
        <v>-7.68</v>
      </c>
      <c r="R50">
        <v>0.19800000000000001</v>
      </c>
      <c r="S50">
        <v>-2.4000000000000001E-4</v>
      </c>
      <c r="T50">
        <v>1.1000000000000001E-7</v>
      </c>
      <c r="U50">
        <v>2</v>
      </c>
      <c r="V50">
        <v>1</v>
      </c>
    </row>
    <row r="51" spans="1:23">
      <c r="A51" s="69" t="s">
        <v>64</v>
      </c>
      <c r="B51">
        <v>40</v>
      </c>
      <c r="C51">
        <v>41.052700000000002</v>
      </c>
      <c r="D51">
        <v>86.86</v>
      </c>
      <c r="E51">
        <v>86.86</v>
      </c>
      <c r="F51">
        <v>86.86</v>
      </c>
      <c r="G51">
        <v>86.86</v>
      </c>
      <c r="H51">
        <v>86.86</v>
      </c>
      <c r="I51">
        <v>86.86</v>
      </c>
      <c r="J51">
        <v>86.86</v>
      </c>
      <c r="K51">
        <v>86.86</v>
      </c>
      <c r="L51">
        <v>86.86</v>
      </c>
      <c r="M51">
        <v>86.86</v>
      </c>
      <c r="N51">
        <v>86.86</v>
      </c>
      <c r="O51">
        <v>86.86</v>
      </c>
      <c r="P51">
        <v>86.86</v>
      </c>
      <c r="Q51">
        <v>86.86</v>
      </c>
      <c r="R51">
        <v>86.86</v>
      </c>
      <c r="S51">
        <v>86.86</v>
      </c>
      <c r="T51">
        <v>86.86</v>
      </c>
      <c r="U51">
        <v>1</v>
      </c>
    </row>
    <row r="52" spans="1:23">
      <c r="A52" s="69" t="s">
        <v>65</v>
      </c>
      <c r="B52">
        <v>41</v>
      </c>
      <c r="C52">
        <v>40.044800000000002</v>
      </c>
      <c r="D52">
        <v>0.51200000000000001</v>
      </c>
      <c r="E52">
        <v>0.56399999999999995</v>
      </c>
      <c r="F52">
        <v>27</v>
      </c>
      <c r="G52">
        <v>794</v>
      </c>
      <c r="H52">
        <v>38.700000000000003</v>
      </c>
      <c r="I52">
        <v>839.1</v>
      </c>
      <c r="J52">
        <v>0.28599999999999998</v>
      </c>
      <c r="K52">
        <v>0.23338999999999999</v>
      </c>
      <c r="L52">
        <v>3.1745523290732769E-2</v>
      </c>
      <c r="M52">
        <v>4.1859000000000002</v>
      </c>
      <c r="N52">
        <v>23.34</v>
      </c>
      <c r="O52">
        <v>88.298000000000002</v>
      </c>
      <c r="P52">
        <v>121.544</v>
      </c>
      <c r="Q52">
        <v>35.6</v>
      </c>
      <c r="R52">
        <v>2.1700000000000001E-2</v>
      </c>
      <c r="S52">
        <v>1.2999999999999999E-4</v>
      </c>
      <c r="T52" s="1">
        <v>-9.1100000000000002E-8</v>
      </c>
      <c r="U52">
        <v>2</v>
      </c>
      <c r="V52">
        <v>2</v>
      </c>
      <c r="W52">
        <v>1</v>
      </c>
    </row>
    <row r="53" spans="1:23">
      <c r="A53" s="69" t="s">
        <v>2912</v>
      </c>
      <c r="B53">
        <v>303</v>
      </c>
      <c r="C53">
        <v>39.036900000000003</v>
      </c>
      <c r="D53">
        <v>86.86</v>
      </c>
      <c r="E53">
        <v>86.86</v>
      </c>
      <c r="F53">
        <v>86.86</v>
      </c>
      <c r="G53">
        <v>86.86</v>
      </c>
      <c r="H53">
        <v>86.86</v>
      </c>
      <c r="I53">
        <v>86.86</v>
      </c>
      <c r="J53">
        <v>86.86</v>
      </c>
      <c r="K53">
        <v>86.86</v>
      </c>
      <c r="L53">
        <v>86.86</v>
      </c>
      <c r="M53">
        <v>86.86</v>
      </c>
      <c r="N53">
        <v>86.86</v>
      </c>
      <c r="O53">
        <v>86.86</v>
      </c>
      <c r="P53">
        <v>86.86</v>
      </c>
      <c r="Q53">
        <v>86.86</v>
      </c>
      <c r="R53">
        <v>86.86</v>
      </c>
      <c r="S53">
        <v>86.86</v>
      </c>
      <c r="T53">
        <v>86.86</v>
      </c>
    </row>
    <row r="54" spans="1:23" ht="13.5" thickBot="1">
      <c r="A54" s="70" t="s">
        <v>2913</v>
      </c>
      <c r="B54">
        <v>304</v>
      </c>
      <c r="C54">
        <v>38.029000000000003</v>
      </c>
      <c r="D54">
        <v>86.86</v>
      </c>
      <c r="E54">
        <v>86.86</v>
      </c>
      <c r="F54">
        <v>86.86</v>
      </c>
      <c r="G54">
        <v>86.86</v>
      </c>
      <c r="H54">
        <v>86.86</v>
      </c>
      <c r="I54">
        <v>86.86</v>
      </c>
      <c r="J54">
        <v>86.86</v>
      </c>
      <c r="K54">
        <v>86.86</v>
      </c>
      <c r="L54">
        <v>86.86</v>
      </c>
      <c r="M54">
        <v>86.86</v>
      </c>
      <c r="N54">
        <v>86.86</v>
      </c>
      <c r="O54">
        <v>86.86</v>
      </c>
      <c r="P54">
        <v>86.86</v>
      </c>
      <c r="Q54">
        <v>86.86</v>
      </c>
      <c r="R54">
        <v>86.86</v>
      </c>
      <c r="S54">
        <v>86.86</v>
      </c>
      <c r="T54">
        <v>86.86</v>
      </c>
    </row>
    <row r="55" spans="1:23" ht="13.5" thickBot="1">
      <c r="A55" s="72" t="s">
        <v>66</v>
      </c>
      <c r="B55">
        <v>42</v>
      </c>
      <c r="C55">
        <v>45.017800000000001</v>
      </c>
      <c r="D55">
        <v>0.61499999999999999</v>
      </c>
      <c r="E55">
        <v>0.51100000000000001</v>
      </c>
      <c r="F55">
        <v>-31</v>
      </c>
      <c r="G55">
        <v>858</v>
      </c>
      <c r="H55">
        <v>26.1</v>
      </c>
      <c r="I55">
        <v>1050.0999999999999</v>
      </c>
      <c r="J55">
        <v>0.43099999999999999</v>
      </c>
      <c r="K55">
        <v>86.86</v>
      </c>
      <c r="L55">
        <v>86.86</v>
      </c>
      <c r="M55">
        <v>11.563000000000001</v>
      </c>
      <c r="N55">
        <v>43.045999999999999</v>
      </c>
      <c r="O55">
        <v>-396.24200000000002</v>
      </c>
      <c r="P55">
        <v>-349.43900000000002</v>
      </c>
      <c r="Q55">
        <v>24.1</v>
      </c>
      <c r="R55">
        <v>4.2700000000000002E-2</v>
      </c>
      <c r="S55">
        <v>8.0400000000000003E-5</v>
      </c>
      <c r="T55" s="1">
        <v>-6.87E-8</v>
      </c>
      <c r="U55">
        <v>1</v>
      </c>
      <c r="V55">
        <v>1</v>
      </c>
      <c r="W55">
        <v>2</v>
      </c>
    </row>
    <row r="56" spans="1:23" ht="13.5" thickBot="1">
      <c r="A56" s="70" t="s">
        <v>67</v>
      </c>
      <c r="B56">
        <v>43</v>
      </c>
      <c r="C56">
        <v>46.025700000000001</v>
      </c>
      <c r="D56">
        <v>86.86</v>
      </c>
      <c r="E56">
        <v>86.86</v>
      </c>
      <c r="F56">
        <v>86.86</v>
      </c>
      <c r="G56">
        <v>86.86</v>
      </c>
      <c r="H56">
        <v>86.86</v>
      </c>
      <c r="I56">
        <v>86.86</v>
      </c>
      <c r="J56">
        <v>86.86</v>
      </c>
      <c r="K56">
        <v>86.86</v>
      </c>
      <c r="L56">
        <v>86.86</v>
      </c>
      <c r="M56">
        <v>86.86</v>
      </c>
      <c r="N56">
        <v>86.86</v>
      </c>
      <c r="O56">
        <v>86.86</v>
      </c>
      <c r="P56">
        <v>86.86</v>
      </c>
      <c r="Q56">
        <v>86.86</v>
      </c>
      <c r="R56">
        <v>86.86</v>
      </c>
      <c r="S56">
        <v>86.86</v>
      </c>
      <c r="T56">
        <v>86.86</v>
      </c>
      <c r="U56">
        <v>2</v>
      </c>
    </row>
    <row r="57" spans="1:23">
      <c r="A57" s="69" t="s">
        <v>2914</v>
      </c>
      <c r="B57">
        <v>44</v>
      </c>
      <c r="C57">
        <v>49.479900000000001</v>
      </c>
      <c r="D57">
        <v>0.23599999999999999</v>
      </c>
      <c r="E57">
        <v>0.54200000000000004</v>
      </c>
      <c r="F57">
        <v>79</v>
      </c>
      <c r="G57">
        <v>360</v>
      </c>
      <c r="H57">
        <v>35.1</v>
      </c>
      <c r="I57">
        <v>352.9</v>
      </c>
      <c r="J57">
        <v>0.113</v>
      </c>
      <c r="K57">
        <v>0.37595000000000001</v>
      </c>
      <c r="L57">
        <v>0.60426107752841574</v>
      </c>
      <c r="M57">
        <v>3.3376000000000001</v>
      </c>
      <c r="N57">
        <v>13.78</v>
      </c>
      <c r="O57">
        <v>-73.567999999999998</v>
      </c>
      <c r="P57">
        <v>-33.372999999999998</v>
      </c>
      <c r="Q57">
        <v>32.4</v>
      </c>
      <c r="R57">
        <v>-1.2999999999999999E-3</v>
      </c>
      <c r="S57">
        <v>1.3300000000000001E-4</v>
      </c>
      <c r="T57" s="1">
        <v>-8.7699999999999998E-8</v>
      </c>
      <c r="U57">
        <v>1</v>
      </c>
      <c r="V57">
        <v>2</v>
      </c>
      <c r="W57">
        <v>1</v>
      </c>
    </row>
    <row r="58" spans="1:23">
      <c r="A58" s="69" t="s">
        <v>2915</v>
      </c>
      <c r="B58">
        <v>45</v>
      </c>
      <c r="C58">
        <v>48.472000000000001</v>
      </c>
      <c r="D58">
        <v>0.17799999999999999</v>
      </c>
      <c r="E58">
        <v>0.504</v>
      </c>
      <c r="F58">
        <v>68</v>
      </c>
      <c r="G58">
        <v>336</v>
      </c>
      <c r="H58">
        <v>29.1</v>
      </c>
      <c r="I58">
        <v>352.9</v>
      </c>
      <c r="J58">
        <v>9.2999999999999999E-2</v>
      </c>
      <c r="K58">
        <v>0.39224999999999999</v>
      </c>
      <c r="L58">
        <v>0.53336035095959511</v>
      </c>
      <c r="M58">
        <v>2.9933000000000001</v>
      </c>
      <c r="N58">
        <v>11.984999999999999</v>
      </c>
      <c r="O58">
        <v>-63.795000000000002</v>
      </c>
      <c r="P58">
        <v>-31.501999999999999</v>
      </c>
      <c r="Q58">
        <v>10.3</v>
      </c>
      <c r="R58">
        <v>0.108</v>
      </c>
      <c r="S58">
        <v>-7.7999999999999999E-5</v>
      </c>
      <c r="T58" s="1">
        <v>2.0400000000000001E-8</v>
      </c>
      <c r="U58">
        <v>1</v>
      </c>
      <c r="V58">
        <v>1</v>
      </c>
      <c r="W58">
        <v>1</v>
      </c>
    </row>
    <row r="59" spans="1:23" ht="13.5" thickBot="1">
      <c r="A59" s="70" t="s">
        <v>2916</v>
      </c>
      <c r="B59">
        <v>46</v>
      </c>
      <c r="C59">
        <v>47.464100000000002</v>
      </c>
      <c r="D59">
        <v>0.09</v>
      </c>
      <c r="E59">
        <v>0.46100000000000002</v>
      </c>
      <c r="F59">
        <v>43</v>
      </c>
      <c r="G59">
        <v>313</v>
      </c>
      <c r="H59">
        <v>23.1</v>
      </c>
      <c r="I59">
        <v>347.9</v>
      </c>
      <c r="J59">
        <v>3.6999999999999998E-2</v>
      </c>
      <c r="K59">
        <v>0.29476999999999998</v>
      </c>
      <c r="L59">
        <v>0.34195065951716097</v>
      </c>
      <c r="M59">
        <v>9.8408999999999995</v>
      </c>
      <c r="N59">
        <v>9.8179999999999996</v>
      </c>
      <c r="O59">
        <v>-57.795000000000002</v>
      </c>
      <c r="P59">
        <v>-25.260999999999999</v>
      </c>
      <c r="Q59">
        <v>-32.9</v>
      </c>
      <c r="R59">
        <v>0.33100000000000002</v>
      </c>
      <c r="S59">
        <v>-4.5399999999999998E-4</v>
      </c>
      <c r="T59">
        <v>2.0100000000000001E-7</v>
      </c>
      <c r="U59">
        <v>1</v>
      </c>
      <c r="V59">
        <v>0</v>
      </c>
      <c r="W59">
        <v>1</v>
      </c>
    </row>
    <row r="60" spans="1:23">
      <c r="A60" s="69" t="s">
        <v>837</v>
      </c>
      <c r="B60">
        <v>47</v>
      </c>
      <c r="C60">
        <v>84.933000000000007</v>
      </c>
      <c r="D60">
        <v>86.86</v>
      </c>
      <c r="E60">
        <v>86.86</v>
      </c>
      <c r="F60">
        <v>86.86</v>
      </c>
      <c r="G60">
        <v>86.86</v>
      </c>
      <c r="H60">
        <v>86.86</v>
      </c>
      <c r="I60">
        <v>86.86</v>
      </c>
      <c r="J60">
        <v>86.86</v>
      </c>
      <c r="K60">
        <v>86.86</v>
      </c>
      <c r="L60">
        <v>86.86</v>
      </c>
      <c r="M60">
        <v>86.86</v>
      </c>
      <c r="N60">
        <v>86.86</v>
      </c>
      <c r="O60">
        <v>86.86</v>
      </c>
      <c r="P60">
        <v>86.86</v>
      </c>
      <c r="Q60">
        <v>86.86</v>
      </c>
      <c r="R60">
        <v>86.86</v>
      </c>
      <c r="S60">
        <v>86.86</v>
      </c>
      <c r="T60">
        <v>86.86</v>
      </c>
      <c r="U60">
        <v>2</v>
      </c>
    </row>
    <row r="61" spans="1:23">
      <c r="A61" s="69" t="s">
        <v>2917</v>
      </c>
      <c r="B61">
        <v>48</v>
      </c>
      <c r="C61">
        <v>83.924999999999997</v>
      </c>
      <c r="D61">
        <v>0.28299999999999997</v>
      </c>
      <c r="E61">
        <v>0.82199999999999995</v>
      </c>
      <c r="F61">
        <v>107</v>
      </c>
      <c r="G61">
        <v>575</v>
      </c>
      <c r="H61">
        <v>48.6</v>
      </c>
      <c r="I61">
        <v>570.79999999999995</v>
      </c>
      <c r="J61">
        <v>0.16200000000000001</v>
      </c>
      <c r="K61">
        <v>0.65505999999999998</v>
      </c>
      <c r="L61">
        <v>1.0360969550120038</v>
      </c>
      <c r="M61">
        <v>5.1638000000000002</v>
      </c>
      <c r="N61">
        <v>19.207999999999998</v>
      </c>
      <c r="O61">
        <v>-82.921000000000006</v>
      </c>
      <c r="P61">
        <v>-35.814</v>
      </c>
      <c r="Q61">
        <v>43.6</v>
      </c>
      <c r="R61">
        <v>1.14E-2</v>
      </c>
      <c r="S61">
        <v>1.0900000000000001E-4</v>
      </c>
      <c r="T61" s="1">
        <v>-7.9199999999999995E-8</v>
      </c>
      <c r="U61">
        <v>1</v>
      </c>
      <c r="V61">
        <v>1</v>
      </c>
      <c r="W61">
        <v>2</v>
      </c>
    </row>
    <row r="62" spans="1:23" ht="13.5" thickBot="1">
      <c r="A62" s="70" t="s">
        <v>2918</v>
      </c>
      <c r="B62">
        <v>49</v>
      </c>
      <c r="C62">
        <v>82.917199999999994</v>
      </c>
      <c r="D62">
        <v>0.19600000000000001</v>
      </c>
      <c r="E62">
        <v>0.77900000000000003</v>
      </c>
      <c r="F62">
        <v>82</v>
      </c>
      <c r="G62">
        <v>552</v>
      </c>
      <c r="H62">
        <v>42.6</v>
      </c>
      <c r="I62">
        <v>565.79999999999995</v>
      </c>
      <c r="J62">
        <v>0.106</v>
      </c>
      <c r="K62">
        <v>0.92276999999999998</v>
      </c>
      <c r="L62">
        <v>1.8408973102643729</v>
      </c>
      <c r="M62">
        <v>5</v>
      </c>
      <c r="N62">
        <v>17.574000000000002</v>
      </c>
      <c r="O62">
        <v>86.86</v>
      </c>
      <c r="P62">
        <v>86.86</v>
      </c>
      <c r="Q62">
        <v>0.4</v>
      </c>
      <c r="R62">
        <v>0.23400000000000001</v>
      </c>
      <c r="S62">
        <v>-2.6699999999999998E-4</v>
      </c>
      <c r="T62">
        <v>1.02E-7</v>
      </c>
      <c r="U62">
        <v>1</v>
      </c>
      <c r="V62">
        <v>0</v>
      </c>
      <c r="W62">
        <v>2</v>
      </c>
    </row>
    <row r="63" spans="1:23" ht="13.5" thickBot="1">
      <c r="A63" s="70" t="s">
        <v>942</v>
      </c>
      <c r="B63">
        <v>50</v>
      </c>
      <c r="C63">
        <v>119.378</v>
      </c>
      <c r="D63">
        <v>86.86</v>
      </c>
      <c r="E63">
        <v>86.86</v>
      </c>
      <c r="F63">
        <v>86.86</v>
      </c>
      <c r="G63">
        <v>86.86</v>
      </c>
      <c r="H63">
        <v>86.86</v>
      </c>
      <c r="I63">
        <v>86.86</v>
      </c>
      <c r="J63">
        <v>86.86</v>
      </c>
      <c r="K63">
        <v>86.86</v>
      </c>
      <c r="L63">
        <v>86.86</v>
      </c>
      <c r="M63">
        <v>86.86</v>
      </c>
      <c r="N63">
        <v>86.86</v>
      </c>
      <c r="O63">
        <v>86.86</v>
      </c>
      <c r="P63">
        <v>86.86</v>
      </c>
      <c r="Q63">
        <v>86.86</v>
      </c>
      <c r="R63">
        <v>86.86</v>
      </c>
      <c r="S63">
        <v>86.86</v>
      </c>
      <c r="T63">
        <v>86.86</v>
      </c>
      <c r="U63">
        <v>3</v>
      </c>
    </row>
    <row r="64" spans="1:23" ht="13.5" thickBot="1">
      <c r="A64" s="69" t="s">
        <v>2919</v>
      </c>
      <c r="B64">
        <v>51</v>
      </c>
      <c r="C64">
        <v>118.37</v>
      </c>
      <c r="D64">
        <v>0.32600000000000001</v>
      </c>
      <c r="E64">
        <v>1.161</v>
      </c>
      <c r="F64">
        <v>124</v>
      </c>
      <c r="G64">
        <v>598</v>
      </c>
      <c r="H64">
        <v>62.1</v>
      </c>
      <c r="I64">
        <v>631.70000000000005</v>
      </c>
      <c r="J64">
        <v>0.11899999999999999</v>
      </c>
      <c r="K64">
        <v>2.2688700000000002</v>
      </c>
      <c r="L64">
        <v>5.4746423896004082</v>
      </c>
      <c r="M64">
        <v>10.233700000000001</v>
      </c>
      <c r="N64">
        <v>33.4</v>
      </c>
      <c r="O64">
        <v>-107.188</v>
      </c>
      <c r="P64">
        <v>-53.332000000000001</v>
      </c>
      <c r="Q64">
        <v>33.700000000000003</v>
      </c>
      <c r="R64">
        <v>0.13800000000000001</v>
      </c>
      <c r="S64">
        <v>-8.0000000000000007E-5</v>
      </c>
      <c r="T64" s="1">
        <v>2.1999999999999998E-9</v>
      </c>
      <c r="U64">
        <v>1</v>
      </c>
      <c r="V64">
        <v>0</v>
      </c>
      <c r="W64">
        <v>3</v>
      </c>
    </row>
    <row r="65" spans="1:24" ht="13.5" thickBot="1">
      <c r="A65" s="72" t="s">
        <v>1071</v>
      </c>
      <c r="B65">
        <v>52</v>
      </c>
      <c r="C65">
        <v>153.82300000000001</v>
      </c>
      <c r="D65">
        <v>86.86</v>
      </c>
      <c r="E65">
        <v>86.86</v>
      </c>
      <c r="F65">
        <v>86.86</v>
      </c>
      <c r="G65">
        <v>86.86</v>
      </c>
      <c r="H65">
        <v>86.86</v>
      </c>
      <c r="I65">
        <v>86.86</v>
      </c>
      <c r="J65">
        <v>86.86</v>
      </c>
      <c r="K65">
        <v>86.86</v>
      </c>
      <c r="L65">
        <v>86.86</v>
      </c>
      <c r="M65">
        <v>86.86</v>
      </c>
      <c r="N65">
        <v>86.86</v>
      </c>
      <c r="O65">
        <v>86.86</v>
      </c>
      <c r="P65">
        <v>86.86</v>
      </c>
      <c r="Q65">
        <v>86.86</v>
      </c>
      <c r="R65">
        <v>86.86</v>
      </c>
      <c r="S65">
        <v>86.86</v>
      </c>
      <c r="T65">
        <v>86.86</v>
      </c>
      <c r="U65">
        <v>4</v>
      </c>
    </row>
    <row r="66" spans="1:24" ht="13.5" thickBot="1">
      <c r="A66" s="70" t="s">
        <v>2920</v>
      </c>
      <c r="B66">
        <v>53</v>
      </c>
      <c r="C66">
        <v>47.464100000000002</v>
      </c>
      <c r="D66">
        <v>0.16500000000000001</v>
      </c>
      <c r="E66">
        <v>0.46</v>
      </c>
      <c r="F66">
        <v>47</v>
      </c>
      <c r="G66">
        <v>358</v>
      </c>
      <c r="H66">
        <v>26.9</v>
      </c>
      <c r="I66">
        <v>364.5</v>
      </c>
      <c r="J66">
        <v>8.3000000000000004E-2</v>
      </c>
      <c r="K66">
        <v>0.34511999999999998</v>
      </c>
      <c r="L66">
        <v>0.52274307853348545</v>
      </c>
      <c r="M66">
        <v>2.7336</v>
      </c>
      <c r="N66">
        <v>11.882999999999999</v>
      </c>
      <c r="O66">
        <v>-16.751999999999999</v>
      </c>
      <c r="P66">
        <v>-0.5</v>
      </c>
      <c r="Q66">
        <v>25.1</v>
      </c>
      <c r="R66">
        <v>4.7000000000000002E-3</v>
      </c>
      <c r="S66">
        <v>4.5000000000000003E-5</v>
      </c>
      <c r="T66" s="1">
        <v>-3.18E-8</v>
      </c>
      <c r="U66">
        <v>1</v>
      </c>
      <c r="V66">
        <v>0</v>
      </c>
      <c r="W66">
        <v>1</v>
      </c>
    </row>
    <row r="67" spans="1:24">
      <c r="A67" s="69" t="s">
        <v>78</v>
      </c>
      <c r="B67">
        <v>54</v>
      </c>
      <c r="C67">
        <v>61.040399999999998</v>
      </c>
      <c r="D67">
        <v>86.86</v>
      </c>
      <c r="E67">
        <v>86.86</v>
      </c>
      <c r="F67">
        <v>86.86</v>
      </c>
      <c r="G67">
        <v>86.86</v>
      </c>
      <c r="H67">
        <v>86.86</v>
      </c>
      <c r="I67">
        <v>86.86</v>
      </c>
      <c r="J67">
        <v>86.86</v>
      </c>
      <c r="K67">
        <v>86.86</v>
      </c>
      <c r="L67">
        <v>86.86</v>
      </c>
      <c r="M67">
        <v>86.86</v>
      </c>
      <c r="N67">
        <v>86.86</v>
      </c>
      <c r="O67">
        <v>86.86</v>
      </c>
      <c r="P67">
        <v>86.86</v>
      </c>
      <c r="Q67">
        <v>86.86</v>
      </c>
      <c r="R67">
        <v>86.86</v>
      </c>
      <c r="S67">
        <v>86.86</v>
      </c>
      <c r="T67">
        <v>86.86</v>
      </c>
      <c r="U67">
        <v>2</v>
      </c>
      <c r="V67">
        <v>1</v>
      </c>
    </row>
    <row r="68" spans="1:24">
      <c r="A68" s="69" t="s">
        <v>79</v>
      </c>
      <c r="B68">
        <v>55</v>
      </c>
      <c r="C68">
        <v>60.032499999999999</v>
      </c>
      <c r="D68">
        <v>0.44</v>
      </c>
      <c r="E68">
        <v>0.61699999999999999</v>
      </c>
      <c r="F68">
        <v>34</v>
      </c>
      <c r="G68">
        <v>692</v>
      </c>
      <c r="H68">
        <v>50.2</v>
      </c>
      <c r="I68">
        <v>810.3</v>
      </c>
      <c r="J68">
        <v>0.32800000000000001</v>
      </c>
      <c r="K68">
        <v>1.15141</v>
      </c>
      <c r="L68">
        <v>1.9349993767160001</v>
      </c>
      <c r="M68">
        <v>5.5423999999999998</v>
      </c>
      <c r="N68">
        <v>30.643999999999998</v>
      </c>
      <c r="O68">
        <v>-66.138000000000005</v>
      </c>
      <c r="P68">
        <v>17.963000000000001</v>
      </c>
      <c r="Q68">
        <v>25</v>
      </c>
      <c r="R68">
        <v>9.1300000000000006E-2</v>
      </c>
      <c r="S68">
        <v>7.4599999999999997E-5</v>
      </c>
      <c r="T68" s="1">
        <v>-7.6899999999999994E-8</v>
      </c>
      <c r="U68">
        <v>1</v>
      </c>
      <c r="V68">
        <v>2</v>
      </c>
      <c r="W68">
        <v>2</v>
      </c>
      <c r="X68">
        <v>1</v>
      </c>
    </row>
    <row r="69" spans="1:24">
      <c r="A69" s="69" t="s">
        <v>80</v>
      </c>
      <c r="B69">
        <v>56</v>
      </c>
      <c r="C69">
        <v>59.0246</v>
      </c>
      <c r="D69">
        <v>0.44</v>
      </c>
      <c r="E69">
        <v>0.61699999999999999</v>
      </c>
      <c r="F69">
        <v>34</v>
      </c>
      <c r="G69">
        <v>668</v>
      </c>
      <c r="H69">
        <v>46.3</v>
      </c>
      <c r="I69">
        <v>810.3</v>
      </c>
      <c r="J69">
        <v>0.308</v>
      </c>
      <c r="K69">
        <v>0.80472999999999995</v>
      </c>
      <c r="L69">
        <v>1.2254874082326921</v>
      </c>
      <c r="M69">
        <v>4.9737999999999998</v>
      </c>
      <c r="N69">
        <v>26.277000000000001</v>
      </c>
      <c r="O69">
        <v>-59.142000000000003</v>
      </c>
      <c r="P69">
        <v>18.088000000000001</v>
      </c>
      <c r="Q69">
        <v>2.9</v>
      </c>
      <c r="R69">
        <v>0.2</v>
      </c>
      <c r="S69">
        <v>-1.36E-4</v>
      </c>
      <c r="T69" s="1">
        <v>3.1200000000000001E-8</v>
      </c>
      <c r="U69">
        <v>1</v>
      </c>
      <c r="V69">
        <v>1</v>
      </c>
      <c r="W69">
        <v>2</v>
      </c>
      <c r="X69">
        <v>1</v>
      </c>
    </row>
    <row r="70" spans="1:24" ht="13.5" thickBot="1">
      <c r="A70" s="70" t="s">
        <v>2921</v>
      </c>
      <c r="B70">
        <v>305</v>
      </c>
      <c r="C70">
        <v>58.0167</v>
      </c>
      <c r="D70">
        <v>86.86</v>
      </c>
      <c r="E70">
        <v>86.86</v>
      </c>
      <c r="F70">
        <v>86.86</v>
      </c>
      <c r="G70">
        <v>86.86</v>
      </c>
      <c r="H70">
        <v>86.86</v>
      </c>
      <c r="I70">
        <v>86.86</v>
      </c>
      <c r="J70">
        <v>86.86</v>
      </c>
      <c r="K70">
        <v>86.86</v>
      </c>
      <c r="L70">
        <v>86.86</v>
      </c>
      <c r="M70">
        <v>86.86</v>
      </c>
      <c r="N70">
        <v>86.86</v>
      </c>
      <c r="O70">
        <v>86.86</v>
      </c>
      <c r="P70">
        <v>86.86</v>
      </c>
      <c r="Q70">
        <v>86.86</v>
      </c>
      <c r="R70">
        <v>86.86</v>
      </c>
      <c r="S70">
        <v>86.86</v>
      </c>
      <c r="T70">
        <v>86.86</v>
      </c>
    </row>
    <row r="71" spans="1:24" ht="13.5" thickBot="1">
      <c r="A71" s="72" t="s">
        <v>81</v>
      </c>
      <c r="B71">
        <v>57</v>
      </c>
      <c r="C71">
        <v>58.0167</v>
      </c>
      <c r="D71">
        <v>0.44</v>
      </c>
      <c r="E71">
        <v>0.61699999999999999</v>
      </c>
      <c r="F71">
        <v>34</v>
      </c>
      <c r="G71">
        <v>818</v>
      </c>
      <c r="H71">
        <v>31.4</v>
      </c>
      <c r="I71">
        <v>902</v>
      </c>
      <c r="J71">
        <v>0.318</v>
      </c>
      <c r="K71">
        <v>0.19413</v>
      </c>
      <c r="L71">
        <v>4.3936095581087783E-2</v>
      </c>
      <c r="M71">
        <v>8.4724000000000004</v>
      </c>
      <c r="N71">
        <v>19.7</v>
      </c>
      <c r="O71">
        <v>-7.3650000000000002</v>
      </c>
      <c r="P71">
        <v>60.161000000000001</v>
      </c>
      <c r="Q71">
        <v>17.7</v>
      </c>
      <c r="R71">
        <v>9.7299999999999998E-2</v>
      </c>
      <c r="S71">
        <v>-1.2999999999999999E-5</v>
      </c>
      <c r="T71">
        <v>-2.0999999999999999E-8</v>
      </c>
      <c r="U71">
        <v>1</v>
      </c>
      <c r="V71">
        <v>0</v>
      </c>
      <c r="W71">
        <v>2</v>
      </c>
      <c r="X71">
        <v>1</v>
      </c>
    </row>
    <row r="72" spans="1:24" ht="13.5" thickBot="1">
      <c r="A72" s="70" t="s">
        <v>82</v>
      </c>
      <c r="B72">
        <v>58</v>
      </c>
      <c r="C72">
        <v>76.131100000000004</v>
      </c>
      <c r="D72">
        <v>86.86</v>
      </c>
      <c r="E72">
        <v>86.86</v>
      </c>
      <c r="F72">
        <v>86.86</v>
      </c>
      <c r="G72">
        <v>86.86</v>
      </c>
      <c r="H72">
        <v>86.86</v>
      </c>
      <c r="I72">
        <v>86.86</v>
      </c>
      <c r="J72">
        <v>86.86</v>
      </c>
      <c r="K72">
        <v>86.86</v>
      </c>
      <c r="L72">
        <v>86.86</v>
      </c>
      <c r="M72">
        <v>86.86</v>
      </c>
      <c r="N72">
        <v>86.86</v>
      </c>
      <c r="O72">
        <v>86.86</v>
      </c>
      <c r="P72">
        <v>86.86</v>
      </c>
      <c r="Q72">
        <v>86.86</v>
      </c>
      <c r="R72">
        <v>86.86</v>
      </c>
      <c r="S72">
        <v>86.86</v>
      </c>
      <c r="T72">
        <v>86.86</v>
      </c>
      <c r="U72">
        <v>2</v>
      </c>
    </row>
    <row r="73" spans="1:24">
      <c r="A73" s="71" t="s">
        <v>83</v>
      </c>
      <c r="B73">
        <v>59</v>
      </c>
      <c r="C73">
        <v>48.102699999999999</v>
      </c>
      <c r="D73">
        <v>86.86</v>
      </c>
      <c r="E73">
        <v>86.86</v>
      </c>
      <c r="F73">
        <v>86.86</v>
      </c>
      <c r="G73">
        <v>86.86</v>
      </c>
      <c r="H73">
        <v>86.86</v>
      </c>
      <c r="I73">
        <v>86.86</v>
      </c>
      <c r="J73">
        <v>86.86</v>
      </c>
      <c r="K73">
        <v>86.86</v>
      </c>
      <c r="L73">
        <v>86.86</v>
      </c>
      <c r="M73">
        <v>86.86</v>
      </c>
      <c r="N73">
        <v>86.86</v>
      </c>
      <c r="O73">
        <v>86.86</v>
      </c>
      <c r="P73">
        <v>86.86</v>
      </c>
      <c r="Q73">
        <v>86.86</v>
      </c>
      <c r="R73">
        <v>86.86</v>
      </c>
      <c r="S73">
        <v>86.86</v>
      </c>
      <c r="T73">
        <v>86.86</v>
      </c>
      <c r="U73">
        <v>1</v>
      </c>
    </row>
    <row r="74" spans="1:24">
      <c r="A74" s="69" t="s">
        <v>84</v>
      </c>
      <c r="B74">
        <v>60</v>
      </c>
      <c r="C74">
        <v>47.094799999999999</v>
      </c>
      <c r="D74">
        <v>0.20300000000000001</v>
      </c>
      <c r="E74">
        <v>0.47599999999999998</v>
      </c>
      <c r="F74">
        <v>65</v>
      </c>
      <c r="G74">
        <v>515</v>
      </c>
      <c r="H74">
        <v>46.7</v>
      </c>
      <c r="I74">
        <v>548.70000000000005</v>
      </c>
      <c r="J74">
        <v>0.13800000000000001</v>
      </c>
      <c r="K74">
        <v>0.29208000000000001</v>
      </c>
      <c r="L74">
        <v>0.29328582790887286</v>
      </c>
      <c r="M74">
        <v>3.0044</v>
      </c>
      <c r="N74">
        <v>14.930999999999999</v>
      </c>
      <c r="O74">
        <v>-8.2530000000000001</v>
      </c>
      <c r="P74">
        <v>16.731000000000002</v>
      </c>
      <c r="Q74">
        <v>34.4</v>
      </c>
      <c r="R74">
        <v>1.9199999999999998E-2</v>
      </c>
      <c r="S74">
        <v>1.3100000000000001E-4</v>
      </c>
      <c r="T74" s="1">
        <v>-9.1100000000000002E-8</v>
      </c>
      <c r="U74">
        <v>1</v>
      </c>
      <c r="V74">
        <v>3</v>
      </c>
      <c r="W74">
        <v>1</v>
      </c>
    </row>
    <row r="75" spans="1:24">
      <c r="A75" s="69" t="s">
        <v>2922</v>
      </c>
      <c r="B75">
        <v>192</v>
      </c>
      <c r="C75">
        <v>46.0869</v>
      </c>
      <c r="D75">
        <v>86.86</v>
      </c>
      <c r="E75">
        <v>86.86</v>
      </c>
      <c r="F75">
        <v>86.86</v>
      </c>
      <c r="G75">
        <v>86.86</v>
      </c>
      <c r="H75">
        <v>86.86</v>
      </c>
      <c r="I75">
        <v>86.86</v>
      </c>
      <c r="J75">
        <v>86.86</v>
      </c>
      <c r="K75">
        <v>86.86</v>
      </c>
      <c r="L75">
        <v>86.86</v>
      </c>
      <c r="M75">
        <v>86.86</v>
      </c>
      <c r="N75">
        <v>86.86</v>
      </c>
      <c r="O75">
        <v>86.86</v>
      </c>
      <c r="P75">
        <v>86.86</v>
      </c>
      <c r="Q75">
        <v>86.86</v>
      </c>
      <c r="R75">
        <v>86.86</v>
      </c>
      <c r="S75">
        <v>86.86</v>
      </c>
      <c r="T75">
        <v>86.86</v>
      </c>
    </row>
    <row r="76" spans="1:24">
      <c r="A76" s="69" t="s">
        <v>2923</v>
      </c>
      <c r="B76">
        <v>193</v>
      </c>
      <c r="C76">
        <v>45.079000000000001</v>
      </c>
      <c r="D76">
        <v>86.86</v>
      </c>
      <c r="E76">
        <v>86.86</v>
      </c>
      <c r="F76">
        <v>86.86</v>
      </c>
      <c r="G76">
        <v>86.86</v>
      </c>
      <c r="H76">
        <v>86.86</v>
      </c>
      <c r="I76">
        <v>86.86</v>
      </c>
      <c r="J76">
        <v>86.86</v>
      </c>
      <c r="K76">
        <v>86.86</v>
      </c>
      <c r="L76">
        <v>86.86</v>
      </c>
      <c r="M76">
        <v>86.86</v>
      </c>
      <c r="N76">
        <v>86.86</v>
      </c>
      <c r="O76">
        <v>86.86</v>
      </c>
      <c r="P76">
        <v>86.86</v>
      </c>
      <c r="Q76">
        <v>86.86</v>
      </c>
      <c r="R76">
        <v>86.86</v>
      </c>
      <c r="S76">
        <v>86.86</v>
      </c>
      <c r="T76">
        <v>86.86</v>
      </c>
    </row>
    <row r="77" spans="1:24" ht="13.5" thickBot="1">
      <c r="A77" s="70" t="s">
        <v>2924</v>
      </c>
      <c r="B77">
        <v>194</v>
      </c>
      <c r="C77">
        <v>45.079000000000001</v>
      </c>
      <c r="D77">
        <v>86.86</v>
      </c>
      <c r="E77">
        <v>86.86</v>
      </c>
      <c r="F77">
        <v>86.86</v>
      </c>
      <c r="G77">
        <v>86.86</v>
      </c>
      <c r="H77">
        <v>86.86</v>
      </c>
      <c r="I77">
        <v>86.86</v>
      </c>
      <c r="J77">
        <v>86.86</v>
      </c>
      <c r="K77">
        <v>86.86</v>
      </c>
      <c r="L77">
        <v>86.86</v>
      </c>
      <c r="M77">
        <v>86.86</v>
      </c>
      <c r="N77">
        <v>86.86</v>
      </c>
      <c r="O77">
        <v>86.86</v>
      </c>
      <c r="P77">
        <v>86.86</v>
      </c>
      <c r="Q77">
        <v>86.86</v>
      </c>
      <c r="R77">
        <v>86.86</v>
      </c>
      <c r="S77">
        <v>86.86</v>
      </c>
      <c r="T77">
        <v>86.86</v>
      </c>
    </row>
    <row r="78" spans="1:24" ht="13.5" thickBot="1">
      <c r="A78" s="72" t="s">
        <v>2925</v>
      </c>
      <c r="B78">
        <v>61</v>
      </c>
      <c r="C78">
        <v>96.086200000000005</v>
      </c>
      <c r="D78">
        <v>86.86</v>
      </c>
      <c r="E78">
        <v>86.86</v>
      </c>
      <c r="F78">
        <v>86.86</v>
      </c>
      <c r="G78">
        <v>86.86</v>
      </c>
      <c r="H78">
        <v>86.86</v>
      </c>
      <c r="I78">
        <v>86.86</v>
      </c>
      <c r="J78">
        <v>86.86</v>
      </c>
      <c r="K78">
        <v>86.86</v>
      </c>
      <c r="L78">
        <v>86.86</v>
      </c>
      <c r="M78">
        <v>86.86</v>
      </c>
      <c r="N78">
        <v>86.86</v>
      </c>
      <c r="O78">
        <v>86.86</v>
      </c>
      <c r="P78">
        <v>86.86</v>
      </c>
      <c r="Q78">
        <v>86.86</v>
      </c>
      <c r="R78">
        <v>86.86</v>
      </c>
      <c r="S78">
        <v>86.86</v>
      </c>
      <c r="T78">
        <v>86.86</v>
      </c>
    </row>
    <row r="79" spans="1:24" ht="21">
      <c r="A79" s="69" t="s">
        <v>2926</v>
      </c>
      <c r="B79">
        <v>62</v>
      </c>
      <c r="C79">
        <v>62.0685</v>
      </c>
      <c r="D79">
        <v>86.86</v>
      </c>
      <c r="E79">
        <v>86.86</v>
      </c>
      <c r="F79">
        <v>86.86</v>
      </c>
      <c r="G79">
        <v>86.86</v>
      </c>
      <c r="H79">
        <v>86.86</v>
      </c>
      <c r="I79">
        <v>86.86</v>
      </c>
      <c r="J79">
        <v>86.86</v>
      </c>
      <c r="K79">
        <v>86.86</v>
      </c>
      <c r="L79">
        <v>86.86</v>
      </c>
      <c r="M79">
        <v>86.86</v>
      </c>
      <c r="N79">
        <v>86.86</v>
      </c>
      <c r="O79">
        <v>86.86</v>
      </c>
      <c r="P79">
        <v>86.86</v>
      </c>
      <c r="Q79">
        <v>86.86</v>
      </c>
      <c r="R79">
        <v>86.86</v>
      </c>
      <c r="S79">
        <v>86.86</v>
      </c>
      <c r="T79">
        <v>86.86</v>
      </c>
    </row>
    <row r="80" spans="1:24" ht="21">
      <c r="A80" s="69" t="s">
        <v>2927</v>
      </c>
      <c r="B80">
        <v>205</v>
      </c>
      <c r="C80">
        <v>61.060600000000001</v>
      </c>
      <c r="D80">
        <v>86.86</v>
      </c>
      <c r="E80">
        <v>86.86</v>
      </c>
      <c r="F80">
        <v>86.86</v>
      </c>
      <c r="G80">
        <v>86.86</v>
      </c>
      <c r="H80">
        <v>86.86</v>
      </c>
      <c r="I80">
        <v>86.86</v>
      </c>
      <c r="J80">
        <v>86.86</v>
      </c>
      <c r="K80">
        <v>86.86</v>
      </c>
      <c r="L80">
        <v>86.86</v>
      </c>
      <c r="M80">
        <v>86.86</v>
      </c>
      <c r="N80">
        <v>86.86</v>
      </c>
      <c r="O80">
        <v>86.86</v>
      </c>
      <c r="P80">
        <v>86.86</v>
      </c>
      <c r="Q80">
        <v>86.86</v>
      </c>
      <c r="R80">
        <v>86.86</v>
      </c>
      <c r="S80">
        <v>86.86</v>
      </c>
      <c r="T80">
        <v>86.86</v>
      </c>
    </row>
    <row r="81" spans="1:23" ht="21">
      <c r="A81" s="69" t="s">
        <v>2928</v>
      </c>
      <c r="B81">
        <v>206</v>
      </c>
      <c r="C81">
        <v>60.052700000000002</v>
      </c>
      <c r="D81">
        <v>86.86</v>
      </c>
      <c r="E81">
        <v>86.86</v>
      </c>
      <c r="F81">
        <v>86.86</v>
      </c>
      <c r="G81">
        <v>86.86</v>
      </c>
      <c r="H81">
        <v>86.86</v>
      </c>
      <c r="I81">
        <v>86.86</v>
      </c>
      <c r="J81">
        <v>86.86</v>
      </c>
      <c r="K81">
        <v>86.86</v>
      </c>
      <c r="L81">
        <v>86.86</v>
      </c>
      <c r="M81">
        <v>86.86</v>
      </c>
      <c r="N81">
        <v>86.86</v>
      </c>
      <c r="O81">
        <v>86.86</v>
      </c>
      <c r="P81">
        <v>86.86</v>
      </c>
      <c r="Q81">
        <v>86.86</v>
      </c>
      <c r="R81">
        <v>86.86</v>
      </c>
      <c r="S81">
        <v>86.86</v>
      </c>
      <c r="T81">
        <v>86.86</v>
      </c>
    </row>
    <row r="82" spans="1:23" ht="21">
      <c r="A82" s="69" t="s">
        <v>2929</v>
      </c>
      <c r="B82">
        <v>207</v>
      </c>
      <c r="C82">
        <v>61.060600000000001</v>
      </c>
      <c r="D82">
        <v>86.86</v>
      </c>
      <c r="E82">
        <v>86.86</v>
      </c>
      <c r="F82">
        <v>86.86</v>
      </c>
      <c r="G82">
        <v>86.86</v>
      </c>
      <c r="H82">
        <v>86.86</v>
      </c>
      <c r="I82">
        <v>86.86</v>
      </c>
      <c r="J82">
        <v>86.86</v>
      </c>
      <c r="K82">
        <v>86.86</v>
      </c>
      <c r="L82">
        <v>86.86</v>
      </c>
      <c r="M82">
        <v>86.86</v>
      </c>
      <c r="N82">
        <v>86.86</v>
      </c>
      <c r="O82">
        <v>86.86</v>
      </c>
      <c r="P82">
        <v>86.86</v>
      </c>
      <c r="Q82">
        <v>86.86</v>
      </c>
      <c r="R82">
        <v>86.86</v>
      </c>
      <c r="S82">
        <v>86.86</v>
      </c>
      <c r="T82">
        <v>86.86</v>
      </c>
    </row>
    <row r="83" spans="1:23" ht="21">
      <c r="A83" s="69" t="s">
        <v>2930</v>
      </c>
      <c r="B83">
        <v>208</v>
      </c>
      <c r="C83">
        <v>60.052700000000002</v>
      </c>
      <c r="D83">
        <v>86.86</v>
      </c>
      <c r="E83">
        <v>86.86</v>
      </c>
      <c r="F83">
        <v>86.86</v>
      </c>
      <c r="G83">
        <v>86.86</v>
      </c>
      <c r="H83">
        <v>86.86</v>
      </c>
      <c r="I83">
        <v>86.86</v>
      </c>
      <c r="J83">
        <v>86.86</v>
      </c>
      <c r="K83">
        <v>86.86</v>
      </c>
      <c r="L83">
        <v>86.86</v>
      </c>
      <c r="M83">
        <v>86.86</v>
      </c>
      <c r="N83">
        <v>86.86</v>
      </c>
      <c r="O83">
        <v>86.86</v>
      </c>
      <c r="P83">
        <v>86.86</v>
      </c>
      <c r="Q83">
        <v>86.86</v>
      </c>
      <c r="R83">
        <v>86.86</v>
      </c>
      <c r="S83">
        <v>86.86</v>
      </c>
      <c r="T83">
        <v>86.86</v>
      </c>
    </row>
    <row r="84" spans="1:23" ht="21.5" thickBot="1">
      <c r="A84" s="70" t="s">
        <v>2931</v>
      </c>
      <c r="B84">
        <v>209</v>
      </c>
      <c r="C84">
        <v>59.044800000000002</v>
      </c>
      <c r="D84">
        <v>86.86</v>
      </c>
      <c r="E84">
        <v>86.86</v>
      </c>
      <c r="F84">
        <v>86.86</v>
      </c>
      <c r="G84">
        <v>86.86</v>
      </c>
      <c r="H84">
        <v>86.86</v>
      </c>
      <c r="I84">
        <v>86.86</v>
      </c>
      <c r="J84">
        <v>86.86</v>
      </c>
      <c r="K84">
        <v>86.86</v>
      </c>
      <c r="L84">
        <v>86.86</v>
      </c>
      <c r="M84">
        <v>86.86</v>
      </c>
      <c r="N84">
        <v>86.86</v>
      </c>
      <c r="O84">
        <v>86.86</v>
      </c>
      <c r="P84">
        <v>86.86</v>
      </c>
      <c r="Q84">
        <v>86.86</v>
      </c>
      <c r="R84">
        <v>86.86</v>
      </c>
      <c r="S84">
        <v>86.86</v>
      </c>
      <c r="T84">
        <v>86.86</v>
      </c>
    </row>
    <row r="85" spans="1:23" ht="13.5" thickBot="1">
      <c r="A85" s="70" t="s">
        <v>87</v>
      </c>
      <c r="B85">
        <v>63</v>
      </c>
      <c r="C85">
        <v>126.905</v>
      </c>
      <c r="D85">
        <v>5.6000000000000001E-2</v>
      </c>
      <c r="E85">
        <v>0.81599999999999995</v>
      </c>
      <c r="F85">
        <v>-7</v>
      </c>
      <c r="G85">
        <v>525</v>
      </c>
      <c r="H85">
        <v>42.6</v>
      </c>
      <c r="I85">
        <v>527.6</v>
      </c>
      <c r="J85">
        <v>7.4999999999999997E-2</v>
      </c>
      <c r="K85">
        <v>0.10539999999999999</v>
      </c>
      <c r="L85">
        <v>-4.8480982174574853E-2</v>
      </c>
      <c r="M85">
        <v>4.6089000000000002</v>
      </c>
      <c r="N85">
        <v>14.364000000000001</v>
      </c>
      <c r="O85">
        <v>57.545999999999999</v>
      </c>
      <c r="P85">
        <v>46.945</v>
      </c>
      <c r="Q85">
        <v>32.1</v>
      </c>
      <c r="R85">
        <v>-6.4100000000000004E-2</v>
      </c>
      <c r="S85">
        <v>1.26E-4</v>
      </c>
      <c r="T85" s="1">
        <v>-6.87E-8</v>
      </c>
      <c r="U85">
        <v>1</v>
      </c>
      <c r="V85">
        <v>0</v>
      </c>
    </row>
    <row r="86" spans="1:23" ht="13.5" thickBot="1">
      <c r="A86" s="70" t="s">
        <v>88</v>
      </c>
      <c r="B86">
        <v>64</v>
      </c>
      <c r="C86">
        <v>79.903999999999996</v>
      </c>
      <c r="D86">
        <v>5.6000000000000001E-2</v>
      </c>
      <c r="E86">
        <v>0.52200000000000002</v>
      </c>
      <c r="F86">
        <v>6</v>
      </c>
      <c r="G86">
        <v>353</v>
      </c>
      <c r="H86">
        <v>25.3</v>
      </c>
      <c r="I86">
        <v>336.1</v>
      </c>
      <c r="J86">
        <v>5.8999999999999997E-2</v>
      </c>
      <c r="K86">
        <v>0.32357000000000002</v>
      </c>
      <c r="L86">
        <v>0.35258790797090123</v>
      </c>
      <c r="M86">
        <v>3.7442000000000002</v>
      </c>
      <c r="N86">
        <v>11.423</v>
      </c>
      <c r="O86">
        <v>1.8340000000000001</v>
      </c>
      <c r="P86">
        <v>-1.7210000000000001</v>
      </c>
      <c r="Q86">
        <v>28.6</v>
      </c>
      <c r="R86">
        <v>-6.4899999999999999E-2</v>
      </c>
      <c r="S86">
        <v>1.36E-4</v>
      </c>
      <c r="T86" s="1">
        <v>-7.4499999999999999E-8</v>
      </c>
      <c r="U86">
        <v>1</v>
      </c>
      <c r="V86">
        <v>0</v>
      </c>
    </row>
    <row r="87" spans="1:23">
      <c r="A87" s="69" t="s">
        <v>2932</v>
      </c>
      <c r="B87">
        <v>65</v>
      </c>
      <c r="C87">
        <v>25.030200000000001</v>
      </c>
      <c r="D87">
        <v>0.125</v>
      </c>
      <c r="E87">
        <v>0.27400000000000002</v>
      </c>
      <c r="F87">
        <v>-12</v>
      </c>
      <c r="G87">
        <v>288</v>
      </c>
      <c r="H87">
        <v>40.200000000000003</v>
      </c>
      <c r="I87">
        <v>305.39999999999998</v>
      </c>
      <c r="J87">
        <v>8.3000000000000004E-2</v>
      </c>
      <c r="K87">
        <v>0.16766</v>
      </c>
      <c r="L87">
        <v>0.16713352773813508</v>
      </c>
      <c r="M87">
        <v>3.9106000000000001</v>
      </c>
      <c r="N87">
        <v>7.7510000000000003</v>
      </c>
      <c r="O87">
        <v>220.803</v>
      </c>
      <c r="P87">
        <v>217.00299999999999</v>
      </c>
      <c r="Q87">
        <v>32.4</v>
      </c>
      <c r="R87">
        <v>-7.0000000000000001E-3</v>
      </c>
      <c r="S87">
        <v>1.03E-4</v>
      </c>
      <c r="T87" s="1">
        <v>-6.6399999999999999E-8</v>
      </c>
      <c r="U87">
        <v>2</v>
      </c>
      <c r="V87">
        <v>1</v>
      </c>
    </row>
    <row r="88" spans="1:23" ht="13.5" thickBot="1">
      <c r="A88" s="70" t="s">
        <v>2933</v>
      </c>
      <c r="B88">
        <v>66</v>
      </c>
      <c r="C88">
        <v>24.022300000000001</v>
      </c>
      <c r="D88">
        <v>0.125</v>
      </c>
      <c r="E88">
        <v>0.27400000000000002</v>
      </c>
      <c r="F88">
        <v>-12</v>
      </c>
      <c r="G88">
        <v>288</v>
      </c>
      <c r="H88">
        <v>28.8</v>
      </c>
      <c r="I88">
        <v>305.39999999999998</v>
      </c>
      <c r="J88">
        <v>8.3000000000000004E-2</v>
      </c>
      <c r="K88">
        <v>0.75485999999999998</v>
      </c>
      <c r="L88">
        <v>0.69640577080292476</v>
      </c>
      <c r="M88">
        <v>9.5792999999999999</v>
      </c>
      <c r="N88">
        <v>11.548999999999999</v>
      </c>
      <c r="O88">
        <v>227.36799999999999</v>
      </c>
      <c r="P88">
        <v>216.328</v>
      </c>
      <c r="Q88">
        <v>15.7</v>
      </c>
      <c r="R88">
        <v>4.02E-2</v>
      </c>
      <c r="S88">
        <v>-1.6699999999999999E-5</v>
      </c>
      <c r="T88" s="1">
        <v>2.7799999999999999E-9</v>
      </c>
      <c r="U88">
        <v>2</v>
      </c>
      <c r="V88">
        <v>0</v>
      </c>
    </row>
    <row r="89" spans="1:23" ht="13.5" thickBot="1">
      <c r="A89" s="70" t="s">
        <v>2934</v>
      </c>
      <c r="B89">
        <v>67</v>
      </c>
      <c r="C89">
        <v>78.129099999999994</v>
      </c>
      <c r="D89">
        <v>86.86</v>
      </c>
      <c r="E89">
        <v>86.86</v>
      </c>
      <c r="F89">
        <v>86.86</v>
      </c>
      <c r="G89">
        <v>86.86</v>
      </c>
      <c r="H89">
        <v>86.86</v>
      </c>
      <c r="I89">
        <v>86.86</v>
      </c>
      <c r="J89">
        <v>86.86</v>
      </c>
      <c r="K89">
        <v>86.86</v>
      </c>
      <c r="L89">
        <v>86.86</v>
      </c>
      <c r="M89">
        <v>86.86</v>
      </c>
      <c r="N89">
        <v>86.86</v>
      </c>
      <c r="O89">
        <v>86.86</v>
      </c>
      <c r="P89">
        <v>86.86</v>
      </c>
      <c r="Q89">
        <v>86.86</v>
      </c>
      <c r="R89">
        <v>86.86</v>
      </c>
      <c r="S89">
        <v>86.86</v>
      </c>
      <c r="T89">
        <v>86.86</v>
      </c>
    </row>
    <row r="90" spans="1:23" ht="13.5" thickBot="1">
      <c r="A90" s="70" t="s">
        <v>2935</v>
      </c>
      <c r="B90">
        <v>68</v>
      </c>
      <c r="C90">
        <v>53.063899999999997</v>
      </c>
      <c r="D90">
        <v>86.86</v>
      </c>
      <c r="E90">
        <v>86.86</v>
      </c>
      <c r="F90">
        <v>86.86</v>
      </c>
      <c r="G90">
        <v>86.86</v>
      </c>
      <c r="H90">
        <v>86.86</v>
      </c>
      <c r="I90">
        <v>86.86</v>
      </c>
      <c r="J90">
        <v>86.86</v>
      </c>
      <c r="K90">
        <v>86.86</v>
      </c>
      <c r="L90">
        <v>86.86</v>
      </c>
      <c r="M90">
        <v>86.86</v>
      </c>
      <c r="N90">
        <v>86.86</v>
      </c>
      <c r="O90">
        <v>86.86</v>
      </c>
      <c r="P90">
        <v>86.86</v>
      </c>
      <c r="Q90">
        <v>86.86</v>
      </c>
      <c r="R90">
        <v>86.86</v>
      </c>
      <c r="S90">
        <v>86.86</v>
      </c>
      <c r="T90">
        <v>86.86</v>
      </c>
    </row>
    <row r="91" spans="1:23" ht="13.5" thickBot="1">
      <c r="A91" s="70" t="s">
        <v>2936</v>
      </c>
      <c r="B91">
        <v>69</v>
      </c>
      <c r="C91">
        <v>35.453000000000003</v>
      </c>
      <c r="D91">
        <v>8.2000000000000003E-2</v>
      </c>
      <c r="E91">
        <v>0.318</v>
      </c>
      <c r="F91">
        <v>23</v>
      </c>
      <c r="G91">
        <v>190</v>
      </c>
      <c r="H91">
        <v>19.5</v>
      </c>
      <c r="I91">
        <v>154.4</v>
      </c>
      <c r="J91">
        <v>4.2999999999999997E-2</v>
      </c>
      <c r="K91">
        <v>0.37551000000000001</v>
      </c>
      <c r="L91">
        <v>0.63061610370120902</v>
      </c>
      <c r="M91">
        <v>1.5598000000000001</v>
      </c>
      <c r="N91">
        <v>7</v>
      </c>
      <c r="O91">
        <v>-36.097000000000001</v>
      </c>
      <c r="P91">
        <v>-28.148</v>
      </c>
      <c r="Q91">
        <v>33.299999999999997</v>
      </c>
      <c r="R91">
        <v>-9.6299999999999997E-2</v>
      </c>
      <c r="S91">
        <v>1.8699999999999999E-4</v>
      </c>
      <c r="T91" s="1">
        <v>-9.9600000000000005E-8</v>
      </c>
      <c r="U91">
        <v>0</v>
      </c>
      <c r="V91">
        <v>0</v>
      </c>
      <c r="W91">
        <v>1</v>
      </c>
    </row>
    <row r="92" spans="1:23" ht="13.5" thickBot="1">
      <c r="A92" s="70" t="s">
        <v>94</v>
      </c>
      <c r="B92">
        <v>71</v>
      </c>
      <c r="C92">
        <v>31.009599999999999</v>
      </c>
      <c r="D92">
        <v>0.14699999999999999</v>
      </c>
      <c r="E92">
        <v>0.34</v>
      </c>
      <c r="F92">
        <v>27</v>
      </c>
      <c r="G92">
        <v>135</v>
      </c>
      <c r="H92">
        <v>18.600000000000001</v>
      </c>
      <c r="I92">
        <v>136.4</v>
      </c>
      <c r="J92">
        <v>6.7000000000000004E-2</v>
      </c>
      <c r="K92">
        <v>0.24567</v>
      </c>
      <c r="L92">
        <v>0.467427651819115</v>
      </c>
      <c r="M92">
        <v>2.5015000000000001</v>
      </c>
      <c r="N92">
        <v>4.8769999999999998</v>
      </c>
      <c r="O92">
        <v>-161.74</v>
      </c>
      <c r="P92">
        <v>-144.54900000000001</v>
      </c>
      <c r="Q92">
        <v>18.3</v>
      </c>
      <c r="R92">
        <v>9.7000000000000003E-3</v>
      </c>
      <c r="S92">
        <v>4.8999999999999998E-5</v>
      </c>
      <c r="T92" s="1">
        <v>-3.5199999999999998E-8</v>
      </c>
      <c r="U92">
        <v>1</v>
      </c>
      <c r="V92">
        <v>0</v>
      </c>
      <c r="W92">
        <v>1</v>
      </c>
    </row>
    <row r="93" spans="1:23">
      <c r="A93" s="69" t="s">
        <v>2937</v>
      </c>
      <c r="B93">
        <v>72</v>
      </c>
      <c r="C93">
        <v>73.094800000000006</v>
      </c>
      <c r="D93">
        <v>86.86</v>
      </c>
      <c r="E93">
        <v>86.86</v>
      </c>
      <c r="F93">
        <v>86.86</v>
      </c>
      <c r="G93">
        <v>86.86</v>
      </c>
      <c r="H93">
        <v>86.86</v>
      </c>
      <c r="I93">
        <v>86.86</v>
      </c>
      <c r="J93">
        <v>86.86</v>
      </c>
      <c r="K93">
        <v>86.86</v>
      </c>
      <c r="L93">
        <v>86.86</v>
      </c>
      <c r="M93">
        <v>86.86</v>
      </c>
      <c r="N93">
        <v>86.86</v>
      </c>
      <c r="O93">
        <v>86.86</v>
      </c>
      <c r="P93">
        <v>86.86</v>
      </c>
      <c r="Q93">
        <v>86.86</v>
      </c>
      <c r="R93">
        <v>86.86</v>
      </c>
      <c r="S93">
        <v>86.86</v>
      </c>
      <c r="T93">
        <v>86.86</v>
      </c>
    </row>
    <row r="94" spans="1:23" ht="13.5" thickBot="1">
      <c r="A94" s="70" t="s">
        <v>2938</v>
      </c>
      <c r="B94">
        <v>73</v>
      </c>
      <c r="C94">
        <v>71.078800000000001</v>
      </c>
      <c r="D94">
        <v>86.86</v>
      </c>
      <c r="E94">
        <v>86.86</v>
      </c>
      <c r="F94">
        <v>86.86</v>
      </c>
      <c r="G94">
        <v>86.86</v>
      </c>
      <c r="H94">
        <v>86.86</v>
      </c>
      <c r="I94">
        <v>86.86</v>
      </c>
      <c r="J94">
        <v>86.86</v>
      </c>
      <c r="K94">
        <v>86.86</v>
      </c>
      <c r="L94">
        <v>86.86</v>
      </c>
      <c r="M94">
        <v>86.86</v>
      </c>
      <c r="N94">
        <v>86.86</v>
      </c>
      <c r="O94">
        <v>86.86</v>
      </c>
      <c r="P94">
        <v>86.86</v>
      </c>
      <c r="Q94">
        <v>86.86</v>
      </c>
      <c r="R94">
        <v>86.86</v>
      </c>
      <c r="S94">
        <v>86.86</v>
      </c>
      <c r="T94">
        <v>86.86</v>
      </c>
    </row>
    <row r="95" spans="1:23">
      <c r="A95" s="71" t="s">
        <v>97</v>
      </c>
      <c r="B95">
        <v>74</v>
      </c>
      <c r="C95">
        <v>69.006299999999996</v>
      </c>
      <c r="D95">
        <v>0.34</v>
      </c>
      <c r="E95">
        <v>0.88600000000000001</v>
      </c>
      <c r="F95">
        <v>188</v>
      </c>
      <c r="G95">
        <v>141</v>
      </c>
      <c r="H95">
        <v>37.200000000000003</v>
      </c>
      <c r="I95">
        <v>130</v>
      </c>
      <c r="J95">
        <v>0.13</v>
      </c>
      <c r="K95">
        <v>0.55700000000000005</v>
      </c>
      <c r="L95" s="3">
        <f>1.90476*K95</f>
        <v>1.06095132</v>
      </c>
      <c r="M95">
        <v>3.2410999999999999</v>
      </c>
      <c r="N95">
        <v>8.9009999999999998</v>
      </c>
      <c r="O95">
        <v>-679.19500000000005</v>
      </c>
      <c r="P95">
        <v>-626.58000000000004</v>
      </c>
      <c r="Q95">
        <v>13.3</v>
      </c>
      <c r="R95">
        <v>0.153</v>
      </c>
      <c r="S95">
        <v>-6.7999999999999999E-5</v>
      </c>
      <c r="T95">
        <v>-8.0000000000000005E-9</v>
      </c>
      <c r="U95">
        <v>1</v>
      </c>
      <c r="V95">
        <v>0</v>
      </c>
      <c r="W95">
        <v>3</v>
      </c>
    </row>
    <row r="96" spans="1:23">
      <c r="A96" s="69" t="s">
        <v>98</v>
      </c>
      <c r="B96">
        <v>75</v>
      </c>
      <c r="C96">
        <v>50.007899999999999</v>
      </c>
      <c r="D96">
        <v>0.222</v>
      </c>
      <c r="E96">
        <v>0.63800000000000001</v>
      </c>
      <c r="F96">
        <v>127</v>
      </c>
      <c r="G96">
        <v>108</v>
      </c>
      <c r="H96">
        <v>26</v>
      </c>
      <c r="I96">
        <v>130</v>
      </c>
      <c r="J96">
        <v>7.5999999999999998E-2</v>
      </c>
      <c r="K96">
        <v>0.126</v>
      </c>
      <c r="L96" s="3">
        <f>1.90476*K96</f>
        <v>0.23999976000000001</v>
      </c>
      <c r="M96">
        <v>86.86</v>
      </c>
      <c r="N96">
        <v>1.86</v>
      </c>
      <c r="O96">
        <v>86.86</v>
      </c>
      <c r="P96">
        <v>86.86</v>
      </c>
      <c r="Q96">
        <v>-13.2</v>
      </c>
      <c r="R96">
        <v>0.24399999999999999</v>
      </c>
      <c r="S96">
        <v>-2.5900000000000001E-4</v>
      </c>
      <c r="T96">
        <v>9.5000000000000004E-8</v>
      </c>
      <c r="U96">
        <v>1</v>
      </c>
      <c r="V96">
        <v>0</v>
      </c>
      <c r="W96">
        <v>2</v>
      </c>
    </row>
    <row r="97" spans="1:24" ht="13.5" thickBot="1">
      <c r="A97" s="70" t="s">
        <v>99</v>
      </c>
      <c r="B97">
        <v>76</v>
      </c>
      <c r="C97">
        <v>31.009599999999999</v>
      </c>
      <c r="D97">
        <v>0.10299999999999999</v>
      </c>
      <c r="E97">
        <v>0.39100000000000001</v>
      </c>
      <c r="F97">
        <v>66</v>
      </c>
      <c r="G97">
        <v>91</v>
      </c>
      <c r="H97">
        <v>14.8</v>
      </c>
      <c r="I97">
        <v>130</v>
      </c>
      <c r="J97">
        <v>2.1999999999999999E-2</v>
      </c>
      <c r="K97">
        <v>0.111</v>
      </c>
      <c r="L97" s="3">
        <f>1.90476*K97</f>
        <v>0.21142836000000001</v>
      </c>
      <c r="M97">
        <v>86.86</v>
      </c>
      <c r="N97">
        <v>86.86</v>
      </c>
      <c r="O97">
        <v>86.86</v>
      </c>
      <c r="P97">
        <v>86.86</v>
      </c>
      <c r="Q97">
        <v>-39.700000000000003</v>
      </c>
      <c r="R97">
        <v>0.33600000000000002</v>
      </c>
      <c r="S97">
        <v>-4.4999999999999999E-4</v>
      </c>
      <c r="T97">
        <v>1.98E-7</v>
      </c>
      <c r="U97">
        <v>1</v>
      </c>
      <c r="V97">
        <v>0</v>
      </c>
      <c r="W97">
        <v>1</v>
      </c>
    </row>
    <row r="98" spans="1:24" ht="13.5" thickBot="1">
      <c r="A98" s="72" t="s">
        <v>100</v>
      </c>
      <c r="B98">
        <v>77</v>
      </c>
      <c r="C98">
        <v>44.009900000000002</v>
      </c>
      <c r="D98">
        <v>0.32700000000000001</v>
      </c>
      <c r="E98">
        <v>0.48499999999999999</v>
      </c>
      <c r="F98">
        <v>47</v>
      </c>
      <c r="G98">
        <v>338</v>
      </c>
      <c r="H98">
        <v>25.7</v>
      </c>
      <c r="I98">
        <v>431.5</v>
      </c>
      <c r="J98">
        <v>0.16900000000000001</v>
      </c>
      <c r="K98">
        <v>0.49802000000000002</v>
      </c>
      <c r="L98">
        <v>0.40137567883600245</v>
      </c>
      <c r="M98">
        <v>3.4447999999999999</v>
      </c>
      <c r="N98">
        <v>13.4</v>
      </c>
      <c r="O98">
        <v>-313.54500000000002</v>
      </c>
      <c r="P98">
        <v>-281.495</v>
      </c>
      <c r="Q98">
        <v>24.5</v>
      </c>
      <c r="R98">
        <v>4.02E-2</v>
      </c>
      <c r="S98">
        <v>4.0200000000000001E-5</v>
      </c>
      <c r="T98" s="1">
        <v>-4.5200000000000001E-8</v>
      </c>
      <c r="U98">
        <v>1</v>
      </c>
      <c r="V98">
        <v>0</v>
      </c>
      <c r="W98">
        <v>2</v>
      </c>
    </row>
    <row r="99" spans="1:24">
      <c r="A99" s="69" t="s">
        <v>2939</v>
      </c>
      <c r="B99">
        <v>78</v>
      </c>
      <c r="C99">
        <v>14.026899999999999</v>
      </c>
      <c r="D99">
        <v>7.6999999999999999E-2</v>
      </c>
      <c r="E99">
        <v>0.17699999999999999</v>
      </c>
      <c r="F99">
        <v>25</v>
      </c>
      <c r="G99">
        <v>138</v>
      </c>
      <c r="H99">
        <v>15.6</v>
      </c>
      <c r="I99">
        <v>135.1</v>
      </c>
      <c r="J99">
        <v>3.6999999999999998E-2</v>
      </c>
      <c r="K99">
        <v>0.17998</v>
      </c>
      <c r="L99">
        <v>0.29447064044463223</v>
      </c>
      <c r="M99">
        <v>0.46400000000000002</v>
      </c>
      <c r="N99">
        <v>4.6500000000000004</v>
      </c>
      <c r="O99">
        <v>-20.763000000000002</v>
      </c>
      <c r="P99">
        <v>8.2309999999999999</v>
      </c>
      <c r="Q99">
        <v>-0.90900000000000003</v>
      </c>
      <c r="R99">
        <v>9.5000000000000001E-2</v>
      </c>
      <c r="S99">
        <v>-5.4400000000000001E-5</v>
      </c>
      <c r="T99" s="1">
        <v>1.1900000000000001E-8</v>
      </c>
      <c r="U99">
        <v>1</v>
      </c>
      <c r="V99">
        <v>2</v>
      </c>
    </row>
    <row r="100" spans="1:24">
      <c r="A100" s="69" t="s">
        <v>2940</v>
      </c>
      <c r="B100">
        <v>79</v>
      </c>
      <c r="C100">
        <v>13.019</v>
      </c>
      <c r="D100">
        <v>7.0000000000000007E-2</v>
      </c>
      <c r="E100">
        <v>0.19500000000000001</v>
      </c>
      <c r="F100">
        <v>37</v>
      </c>
      <c r="G100">
        <v>107</v>
      </c>
      <c r="H100">
        <v>9.6</v>
      </c>
      <c r="I100">
        <v>143.30000000000001</v>
      </c>
      <c r="J100">
        <v>8.9999999999999993E-3</v>
      </c>
      <c r="K100">
        <v>-1.2800000000000001E-2</v>
      </c>
      <c r="L100" s="66">
        <v>-6.0248058592368127E-2</v>
      </c>
      <c r="M100">
        <v>0.92459999999999998</v>
      </c>
      <c r="N100">
        <v>2.7709999999999999</v>
      </c>
      <c r="O100">
        <v>-3.766</v>
      </c>
      <c r="P100">
        <v>19.847999999999999</v>
      </c>
      <c r="Q100">
        <v>-23</v>
      </c>
      <c r="R100">
        <v>0.20399999999999999</v>
      </c>
      <c r="S100">
        <v>-2.6499999999999999E-4</v>
      </c>
      <c r="T100">
        <v>1.1999999999999999E-7</v>
      </c>
      <c r="U100">
        <v>1</v>
      </c>
      <c r="V100">
        <v>1</v>
      </c>
    </row>
    <row r="101" spans="1:24" ht="13.5" thickBot="1">
      <c r="A101" s="70" t="s">
        <v>2941</v>
      </c>
      <c r="B101">
        <v>80</v>
      </c>
      <c r="C101">
        <v>12.011200000000001</v>
      </c>
      <c r="D101">
        <v>7.0000000000000007E-2</v>
      </c>
      <c r="E101">
        <v>0.20399999999999999</v>
      </c>
      <c r="F101">
        <v>55</v>
      </c>
      <c r="G101">
        <v>20</v>
      </c>
      <c r="H101">
        <v>3.6</v>
      </c>
      <c r="I101">
        <v>81.599999999999994</v>
      </c>
      <c r="J101">
        <v>-2.1999999999999999E-2</v>
      </c>
      <c r="K101">
        <v>-0.1241</v>
      </c>
      <c r="L101" s="66">
        <v>-0.27508822228622964</v>
      </c>
      <c r="M101">
        <v>0.35570000000000002</v>
      </c>
      <c r="N101">
        <v>1.284</v>
      </c>
      <c r="O101">
        <v>17.119</v>
      </c>
      <c r="P101">
        <v>37.976999999999997</v>
      </c>
      <c r="Q101">
        <v>-66.2</v>
      </c>
      <c r="R101">
        <v>0.42699999999999999</v>
      </c>
      <c r="S101">
        <v>-6.4099999999999997E-4</v>
      </c>
      <c r="T101">
        <v>3.0100000000000001E-7</v>
      </c>
      <c r="U101">
        <v>1</v>
      </c>
      <c r="V101">
        <v>0</v>
      </c>
    </row>
    <row r="102" spans="1:24" ht="21">
      <c r="A102" s="69" t="s">
        <v>2942</v>
      </c>
      <c r="B102">
        <v>83</v>
      </c>
      <c r="C102">
        <v>37.039850000000001</v>
      </c>
      <c r="D102">
        <v>86.86</v>
      </c>
      <c r="E102">
        <v>86.86</v>
      </c>
      <c r="F102">
        <v>86.86</v>
      </c>
      <c r="G102">
        <v>86.86</v>
      </c>
      <c r="H102">
        <v>86.86</v>
      </c>
      <c r="I102">
        <v>86.86</v>
      </c>
      <c r="J102">
        <v>86.86</v>
      </c>
      <c r="K102">
        <v>86.86</v>
      </c>
      <c r="L102">
        <v>86.86</v>
      </c>
      <c r="M102">
        <v>86.86</v>
      </c>
      <c r="N102">
        <v>86.86</v>
      </c>
      <c r="O102">
        <v>86.86</v>
      </c>
      <c r="P102">
        <v>86.86</v>
      </c>
      <c r="Q102">
        <v>86.86</v>
      </c>
      <c r="R102">
        <v>86.86</v>
      </c>
      <c r="S102">
        <v>86.86</v>
      </c>
      <c r="T102">
        <v>86.86</v>
      </c>
    </row>
    <row r="103" spans="1:24" ht="21.5" thickBot="1">
      <c r="A103" s="70" t="s">
        <v>2943</v>
      </c>
      <c r="B103">
        <v>84</v>
      </c>
      <c r="C103">
        <v>30.026399999999999</v>
      </c>
      <c r="D103">
        <v>86.86</v>
      </c>
      <c r="E103">
        <v>86.86</v>
      </c>
      <c r="F103">
        <v>86.86</v>
      </c>
      <c r="G103">
        <v>86.86</v>
      </c>
      <c r="H103">
        <v>86.86</v>
      </c>
      <c r="I103">
        <v>86.86</v>
      </c>
      <c r="J103">
        <v>86.86</v>
      </c>
      <c r="K103">
        <v>86.86</v>
      </c>
      <c r="L103">
        <v>86.86</v>
      </c>
      <c r="M103">
        <v>86.86</v>
      </c>
      <c r="N103">
        <v>86.86</v>
      </c>
      <c r="O103">
        <v>86.86</v>
      </c>
      <c r="P103">
        <v>86.86</v>
      </c>
      <c r="Q103">
        <v>86.86</v>
      </c>
      <c r="R103">
        <v>86.86</v>
      </c>
      <c r="S103">
        <v>86.86</v>
      </c>
      <c r="T103">
        <v>86.86</v>
      </c>
    </row>
    <row r="104" spans="1:24">
      <c r="A104" s="69" t="s">
        <v>2944</v>
      </c>
      <c r="B104">
        <v>86</v>
      </c>
      <c r="C104">
        <v>58.059800000000003</v>
      </c>
      <c r="D104">
        <v>86.86</v>
      </c>
      <c r="E104">
        <v>86.86</v>
      </c>
      <c r="F104">
        <v>86.86</v>
      </c>
      <c r="G104">
        <v>86.86</v>
      </c>
      <c r="H104">
        <v>86.86</v>
      </c>
      <c r="I104">
        <v>86.86</v>
      </c>
      <c r="J104">
        <v>86.86</v>
      </c>
      <c r="K104">
        <v>86.86</v>
      </c>
      <c r="L104">
        <v>86.86</v>
      </c>
      <c r="M104">
        <v>86.86</v>
      </c>
      <c r="N104">
        <v>86.86</v>
      </c>
      <c r="O104">
        <v>86.86</v>
      </c>
      <c r="P104">
        <v>86.86</v>
      </c>
      <c r="Q104">
        <v>86.86</v>
      </c>
      <c r="R104">
        <v>86.86</v>
      </c>
      <c r="S104">
        <v>86.86</v>
      </c>
      <c r="T104">
        <v>86.86</v>
      </c>
    </row>
    <row r="105" spans="1:24">
      <c r="A105" s="69" t="s">
        <v>2945</v>
      </c>
      <c r="B105">
        <v>87</v>
      </c>
      <c r="C105">
        <v>57.051900000000003</v>
      </c>
      <c r="D105">
        <v>86.86</v>
      </c>
      <c r="E105">
        <v>86.86</v>
      </c>
      <c r="F105">
        <v>86.86</v>
      </c>
      <c r="G105">
        <v>86.86</v>
      </c>
      <c r="H105">
        <v>86.86</v>
      </c>
      <c r="I105">
        <v>86.86</v>
      </c>
      <c r="J105">
        <v>86.86</v>
      </c>
      <c r="K105">
        <v>86.86</v>
      </c>
      <c r="L105">
        <v>86.86</v>
      </c>
      <c r="M105">
        <v>86.86</v>
      </c>
      <c r="N105">
        <v>86.86</v>
      </c>
      <c r="O105">
        <v>86.86</v>
      </c>
      <c r="P105">
        <v>86.86</v>
      </c>
      <c r="Q105">
        <v>86.86</v>
      </c>
      <c r="R105">
        <v>86.86</v>
      </c>
      <c r="S105">
        <v>86.86</v>
      </c>
      <c r="T105">
        <v>86.86</v>
      </c>
    </row>
    <row r="106" spans="1:24">
      <c r="A106" s="69" t="s">
        <v>2946</v>
      </c>
      <c r="B106">
        <v>88</v>
      </c>
      <c r="C106">
        <v>56.043999999999997</v>
      </c>
      <c r="D106">
        <v>86.86</v>
      </c>
      <c r="E106">
        <v>86.86</v>
      </c>
      <c r="F106">
        <v>86.86</v>
      </c>
      <c r="G106">
        <v>86.86</v>
      </c>
      <c r="H106">
        <v>86.86</v>
      </c>
      <c r="I106">
        <v>86.86</v>
      </c>
      <c r="J106">
        <v>86.86</v>
      </c>
      <c r="K106">
        <v>86.86</v>
      </c>
      <c r="L106">
        <v>86.86</v>
      </c>
      <c r="M106">
        <v>86.86</v>
      </c>
      <c r="N106">
        <v>86.86</v>
      </c>
      <c r="O106">
        <v>86.86</v>
      </c>
      <c r="P106">
        <v>86.86</v>
      </c>
      <c r="Q106">
        <v>86.86</v>
      </c>
      <c r="R106">
        <v>86.86</v>
      </c>
      <c r="S106">
        <v>86.86</v>
      </c>
      <c r="T106">
        <v>86.86</v>
      </c>
    </row>
    <row r="107" spans="1:24" ht="13.5" thickBot="1">
      <c r="A107" s="70" t="s">
        <v>2947</v>
      </c>
      <c r="B107">
        <v>89</v>
      </c>
      <c r="C107">
        <v>55.036099999999998</v>
      </c>
      <c r="D107">
        <v>86.86</v>
      </c>
      <c r="E107">
        <v>86.86</v>
      </c>
      <c r="F107">
        <v>86.86</v>
      </c>
      <c r="G107">
        <v>86.86</v>
      </c>
      <c r="H107">
        <v>86.86</v>
      </c>
      <c r="I107">
        <v>86.86</v>
      </c>
      <c r="J107">
        <v>86.86</v>
      </c>
      <c r="K107">
        <v>86.86</v>
      </c>
      <c r="L107">
        <v>86.86</v>
      </c>
      <c r="M107">
        <v>86.86</v>
      </c>
      <c r="N107">
        <v>86.86</v>
      </c>
      <c r="O107">
        <v>86.86</v>
      </c>
      <c r="P107">
        <v>86.86</v>
      </c>
      <c r="Q107">
        <v>86.86</v>
      </c>
      <c r="R107">
        <v>86.86</v>
      </c>
      <c r="S107">
        <v>86.86</v>
      </c>
      <c r="T107">
        <v>86.86</v>
      </c>
    </row>
    <row r="108" spans="1:24">
      <c r="A108" s="69" t="s">
        <v>118</v>
      </c>
      <c r="B108">
        <v>92</v>
      </c>
      <c r="C108">
        <v>58.06</v>
      </c>
      <c r="D108">
        <v>0.55700000000000005</v>
      </c>
      <c r="E108">
        <v>0.60499999999999998</v>
      </c>
      <c r="F108">
        <v>114</v>
      </c>
      <c r="G108">
        <v>835</v>
      </c>
      <c r="H108">
        <v>49.9</v>
      </c>
      <c r="I108">
        <v>1526.7</v>
      </c>
      <c r="J108">
        <v>0.40100000000000002</v>
      </c>
      <c r="K108">
        <v>86.86</v>
      </c>
      <c r="L108">
        <v>86.86</v>
      </c>
      <c r="M108">
        <v>86.86</v>
      </c>
      <c r="N108">
        <v>38.5</v>
      </c>
      <c r="O108">
        <v>-67.778000000000006</v>
      </c>
      <c r="P108">
        <v>86.86</v>
      </c>
      <c r="Q108">
        <v>24.7</v>
      </c>
      <c r="R108">
        <v>0.13500000000000001</v>
      </c>
      <c r="S108">
        <v>6.8700000000000003E-5</v>
      </c>
      <c r="T108" s="1">
        <v>-8.3299999999999998E-8</v>
      </c>
      <c r="U108">
        <v>2</v>
      </c>
      <c r="V108">
        <v>4</v>
      </c>
      <c r="W108">
        <v>1</v>
      </c>
      <c r="X108">
        <v>1</v>
      </c>
    </row>
    <row r="109" spans="1:24" ht="13.5" thickBot="1">
      <c r="A109" s="70" t="s">
        <v>119</v>
      </c>
      <c r="B109">
        <v>100</v>
      </c>
      <c r="C109">
        <v>57.052100000000003</v>
      </c>
      <c r="D109">
        <v>0.55300000000000005</v>
      </c>
      <c r="E109">
        <v>0.59599999999999997</v>
      </c>
      <c r="F109">
        <v>115</v>
      </c>
      <c r="G109">
        <v>833</v>
      </c>
      <c r="H109">
        <v>43.9</v>
      </c>
      <c r="I109">
        <v>1561.7</v>
      </c>
      <c r="J109">
        <v>0.39100000000000001</v>
      </c>
      <c r="K109">
        <v>86.86</v>
      </c>
      <c r="L109">
        <v>86.86</v>
      </c>
      <c r="M109">
        <v>86.86</v>
      </c>
      <c r="N109">
        <v>51.786999999999999</v>
      </c>
      <c r="O109">
        <v>-182.096</v>
      </c>
      <c r="P109">
        <v>86.86</v>
      </c>
      <c r="Q109">
        <v>4.33</v>
      </c>
      <c r="R109">
        <v>0.23799999999999999</v>
      </c>
      <c r="S109">
        <v>-1.3899999999999999E-4</v>
      </c>
      <c r="T109" s="1">
        <v>2.5300000000000002E-8</v>
      </c>
      <c r="U109">
        <v>2</v>
      </c>
      <c r="V109">
        <v>3</v>
      </c>
      <c r="W109">
        <v>1</v>
      </c>
      <c r="X109">
        <v>1</v>
      </c>
    </row>
    <row r="110" spans="1:24">
      <c r="A110" s="69" t="s">
        <v>120</v>
      </c>
      <c r="B110">
        <v>101</v>
      </c>
      <c r="C110">
        <v>72.087000000000003</v>
      </c>
      <c r="D110">
        <v>0.67</v>
      </c>
      <c r="E110">
        <v>0.94599999999999995</v>
      </c>
      <c r="F110">
        <v>101</v>
      </c>
      <c r="G110">
        <v>862</v>
      </c>
      <c r="H110">
        <v>78.900000000000006</v>
      </c>
      <c r="I110">
        <v>1626.7</v>
      </c>
      <c r="J110">
        <v>0.45500000000000002</v>
      </c>
      <c r="K110">
        <v>86.86</v>
      </c>
      <c r="L110">
        <v>86.86</v>
      </c>
      <c r="M110">
        <v>11.377000000000001</v>
      </c>
      <c r="N110">
        <v>38.9</v>
      </c>
      <c r="O110">
        <v>-189.88800000000001</v>
      </c>
      <c r="P110">
        <v>-65.641999999999996</v>
      </c>
      <c r="Q110">
        <v>14.4</v>
      </c>
      <c r="R110">
        <v>0.27800000000000002</v>
      </c>
      <c r="S110">
        <v>-4.9700000000000002E-5</v>
      </c>
      <c r="T110" s="1">
        <v>-4.4500000000000001E-8</v>
      </c>
      <c r="U110">
        <v>3</v>
      </c>
      <c r="V110">
        <v>6</v>
      </c>
      <c r="W110">
        <v>1</v>
      </c>
      <c r="X110">
        <v>1</v>
      </c>
    </row>
    <row r="111" spans="1:24">
      <c r="A111" s="69" t="s">
        <v>2948</v>
      </c>
      <c r="B111">
        <v>102</v>
      </c>
      <c r="C111">
        <v>71.078999999999994</v>
      </c>
      <c r="D111">
        <v>0.66600000000000004</v>
      </c>
      <c r="E111">
        <v>0.93700000000000006</v>
      </c>
      <c r="F111">
        <v>102</v>
      </c>
      <c r="G111">
        <v>860</v>
      </c>
      <c r="H111">
        <v>72.900000000000006</v>
      </c>
      <c r="I111">
        <v>1661.7</v>
      </c>
      <c r="J111">
        <v>0.44500000000000001</v>
      </c>
      <c r="K111">
        <v>86.86</v>
      </c>
      <c r="L111">
        <v>86.86</v>
      </c>
      <c r="M111">
        <v>86.86</v>
      </c>
      <c r="N111">
        <v>39.1</v>
      </c>
      <c r="O111">
        <v>-46.561999999999998</v>
      </c>
      <c r="P111">
        <v>86.86</v>
      </c>
      <c r="Q111">
        <v>-6.06</v>
      </c>
      <c r="R111">
        <v>0.38100000000000001</v>
      </c>
      <c r="S111">
        <v>-2.5700000000000001E-4</v>
      </c>
      <c r="T111" s="1">
        <v>6.4099999999999998E-8</v>
      </c>
      <c r="U111">
        <v>3</v>
      </c>
      <c r="V111">
        <v>5</v>
      </c>
      <c r="W111">
        <v>1</v>
      </c>
      <c r="X111">
        <v>1</v>
      </c>
    </row>
    <row r="112" spans="1:24" ht="13.5" thickBot="1">
      <c r="A112" s="70" t="s">
        <v>122</v>
      </c>
      <c r="B112">
        <v>103</v>
      </c>
      <c r="C112">
        <v>70.071200000000005</v>
      </c>
      <c r="D112">
        <v>0.66200000000000003</v>
      </c>
      <c r="E112">
        <v>0.92900000000000005</v>
      </c>
      <c r="F112">
        <v>103</v>
      </c>
      <c r="G112">
        <v>858</v>
      </c>
      <c r="H112">
        <v>66.900000000000006</v>
      </c>
      <c r="I112">
        <v>1696.7</v>
      </c>
      <c r="J112">
        <v>0.435</v>
      </c>
      <c r="K112">
        <v>86.86</v>
      </c>
      <c r="L112">
        <v>86.86</v>
      </c>
      <c r="M112">
        <v>86.86</v>
      </c>
      <c r="N112">
        <v>39.299999999999997</v>
      </c>
      <c r="O112">
        <v>86.86</v>
      </c>
      <c r="P112">
        <v>86.86</v>
      </c>
      <c r="Q112">
        <v>-26.5</v>
      </c>
      <c r="R112">
        <v>0.48399999999999999</v>
      </c>
      <c r="S112">
        <v>-4.6500000000000003E-4</v>
      </c>
      <c r="T112">
        <v>1.73E-7</v>
      </c>
      <c r="U112">
        <v>3</v>
      </c>
      <c r="V112">
        <v>4</v>
      </c>
      <c r="W112">
        <v>1</v>
      </c>
      <c r="X112">
        <v>1</v>
      </c>
    </row>
    <row r="113" spans="1:23">
      <c r="A113" s="69" t="s">
        <v>2949</v>
      </c>
      <c r="B113">
        <v>93</v>
      </c>
      <c r="C113">
        <v>59.067700000000002</v>
      </c>
      <c r="D113">
        <v>86.86</v>
      </c>
      <c r="E113">
        <v>86.86</v>
      </c>
      <c r="F113">
        <v>86.86</v>
      </c>
      <c r="G113">
        <v>86.86</v>
      </c>
      <c r="H113">
        <v>86.86</v>
      </c>
      <c r="I113">
        <v>86.86</v>
      </c>
      <c r="J113">
        <v>86.86</v>
      </c>
      <c r="K113">
        <v>86.86</v>
      </c>
      <c r="L113">
        <v>86.86</v>
      </c>
      <c r="M113">
        <v>86.86</v>
      </c>
      <c r="N113">
        <v>86.86</v>
      </c>
      <c r="O113">
        <v>86.86</v>
      </c>
      <c r="P113">
        <v>86.86</v>
      </c>
      <c r="Q113">
        <v>86.86</v>
      </c>
      <c r="R113">
        <v>86.86</v>
      </c>
      <c r="S113">
        <v>86.86</v>
      </c>
      <c r="T113">
        <v>86.86</v>
      </c>
    </row>
    <row r="114" spans="1:23" ht="13.5" thickBot="1">
      <c r="A114" s="70" t="s">
        <v>2950</v>
      </c>
      <c r="B114">
        <v>94</v>
      </c>
      <c r="C114">
        <v>58.059800000000003</v>
      </c>
      <c r="D114">
        <v>86.86</v>
      </c>
      <c r="E114">
        <v>86.86</v>
      </c>
      <c r="F114">
        <v>86.86</v>
      </c>
      <c r="G114">
        <v>86.86</v>
      </c>
      <c r="H114">
        <v>86.86</v>
      </c>
      <c r="I114">
        <v>86.86</v>
      </c>
      <c r="J114">
        <v>86.86</v>
      </c>
      <c r="K114">
        <v>86.86</v>
      </c>
      <c r="L114">
        <v>86.86</v>
      </c>
      <c r="M114">
        <v>86.86</v>
      </c>
      <c r="N114">
        <v>86.86</v>
      </c>
      <c r="O114">
        <v>86.86</v>
      </c>
      <c r="P114">
        <v>86.86</v>
      </c>
      <c r="Q114">
        <v>86.86</v>
      </c>
      <c r="R114">
        <v>86.86</v>
      </c>
      <c r="S114">
        <v>86.86</v>
      </c>
      <c r="T114">
        <v>86.86</v>
      </c>
    </row>
    <row r="115" spans="1:23" ht="13.5" thickBot="1">
      <c r="A115" s="70" t="s">
        <v>2951</v>
      </c>
      <c r="B115">
        <v>116</v>
      </c>
      <c r="C115">
        <v>38.029000000000003</v>
      </c>
      <c r="D115">
        <v>86.86</v>
      </c>
      <c r="E115">
        <v>86.86</v>
      </c>
      <c r="F115">
        <v>86.86</v>
      </c>
      <c r="G115">
        <v>86.86</v>
      </c>
      <c r="H115">
        <v>86.86</v>
      </c>
      <c r="I115">
        <v>86.86</v>
      </c>
      <c r="J115">
        <v>86.86</v>
      </c>
      <c r="K115">
        <v>86.86</v>
      </c>
      <c r="L115">
        <v>86.86</v>
      </c>
      <c r="M115">
        <v>86.86</v>
      </c>
      <c r="N115">
        <v>86.86</v>
      </c>
      <c r="O115">
        <v>86.86</v>
      </c>
      <c r="P115">
        <v>86.86</v>
      </c>
      <c r="Q115">
        <v>86.86</v>
      </c>
      <c r="R115">
        <v>86.86</v>
      </c>
      <c r="S115">
        <v>86.86</v>
      </c>
      <c r="T115">
        <v>86.86</v>
      </c>
    </row>
    <row r="116" spans="1:23">
      <c r="A116" s="71" t="s">
        <v>2952</v>
      </c>
      <c r="B116">
        <v>117</v>
      </c>
      <c r="C116">
        <v>58.059800000000003</v>
      </c>
      <c r="D116">
        <v>86.86</v>
      </c>
      <c r="E116">
        <v>86.86</v>
      </c>
      <c r="F116">
        <v>86.86</v>
      </c>
      <c r="G116">
        <v>86.86</v>
      </c>
      <c r="H116">
        <v>86.86</v>
      </c>
      <c r="I116">
        <v>86.86</v>
      </c>
      <c r="J116">
        <v>86.86</v>
      </c>
      <c r="K116">
        <v>86.86</v>
      </c>
      <c r="L116">
        <v>86.86</v>
      </c>
      <c r="M116">
        <v>86.86</v>
      </c>
      <c r="N116">
        <v>86.86</v>
      </c>
      <c r="O116">
        <v>86.86</v>
      </c>
      <c r="P116">
        <v>86.86</v>
      </c>
      <c r="Q116">
        <v>86.86</v>
      </c>
      <c r="R116">
        <v>86.86</v>
      </c>
      <c r="S116">
        <v>86.86</v>
      </c>
      <c r="T116">
        <v>86.86</v>
      </c>
    </row>
    <row r="117" spans="1:23">
      <c r="A117" s="69" t="s">
        <v>2953</v>
      </c>
      <c r="B117">
        <v>118</v>
      </c>
      <c r="C117">
        <v>57.051900000000003</v>
      </c>
      <c r="D117">
        <v>86.86</v>
      </c>
      <c r="E117">
        <v>86.86</v>
      </c>
      <c r="F117">
        <v>86.86</v>
      </c>
      <c r="G117">
        <v>86.86</v>
      </c>
      <c r="H117">
        <v>86.86</v>
      </c>
      <c r="I117">
        <v>86.86</v>
      </c>
      <c r="J117">
        <v>86.86</v>
      </c>
      <c r="K117">
        <v>86.86</v>
      </c>
      <c r="L117">
        <v>86.86</v>
      </c>
      <c r="M117">
        <v>86.86</v>
      </c>
      <c r="N117">
        <v>86.86</v>
      </c>
      <c r="O117">
        <v>86.86</v>
      </c>
      <c r="P117">
        <v>86.86</v>
      </c>
      <c r="Q117">
        <v>86.86</v>
      </c>
      <c r="R117">
        <v>86.86</v>
      </c>
      <c r="S117">
        <v>86.86</v>
      </c>
      <c r="T117">
        <v>86.86</v>
      </c>
    </row>
    <row r="118" spans="1:23">
      <c r="A118" s="69" t="s">
        <v>2954</v>
      </c>
      <c r="B118">
        <v>119</v>
      </c>
      <c r="C118">
        <v>56.043999999999997</v>
      </c>
      <c r="D118">
        <v>86.86</v>
      </c>
      <c r="E118">
        <v>86.86</v>
      </c>
      <c r="F118">
        <v>86.86</v>
      </c>
      <c r="G118">
        <v>86.86</v>
      </c>
      <c r="H118">
        <v>86.86</v>
      </c>
      <c r="I118">
        <v>86.86</v>
      </c>
      <c r="J118">
        <v>86.86</v>
      </c>
      <c r="K118">
        <v>86.86</v>
      </c>
      <c r="L118">
        <v>86.86</v>
      </c>
      <c r="M118">
        <v>86.86</v>
      </c>
      <c r="N118">
        <v>86.86</v>
      </c>
      <c r="O118">
        <v>86.86</v>
      </c>
      <c r="P118">
        <v>86.86</v>
      </c>
      <c r="Q118">
        <v>86.86</v>
      </c>
      <c r="R118">
        <v>86.86</v>
      </c>
      <c r="S118">
        <v>86.86</v>
      </c>
      <c r="T118">
        <v>86.86</v>
      </c>
    </row>
    <row r="119" spans="1:23" ht="13.5" thickBot="1">
      <c r="A119" s="70" t="s">
        <v>2955</v>
      </c>
      <c r="B119">
        <v>120</v>
      </c>
      <c r="C119">
        <v>55.036099999999998</v>
      </c>
      <c r="D119">
        <v>86.86</v>
      </c>
      <c r="E119">
        <v>86.86</v>
      </c>
      <c r="F119">
        <v>86.86</v>
      </c>
      <c r="G119">
        <v>86.86</v>
      </c>
      <c r="H119">
        <v>86.86</v>
      </c>
      <c r="I119">
        <v>86.86</v>
      </c>
      <c r="J119">
        <v>86.86</v>
      </c>
      <c r="K119">
        <v>86.86</v>
      </c>
      <c r="L119">
        <v>86.86</v>
      </c>
      <c r="M119">
        <v>86.86</v>
      </c>
      <c r="N119">
        <v>86.86</v>
      </c>
      <c r="O119">
        <v>86.86</v>
      </c>
      <c r="P119">
        <v>86.86</v>
      </c>
      <c r="Q119">
        <v>86.86</v>
      </c>
      <c r="R119">
        <v>86.86</v>
      </c>
      <c r="S119">
        <v>86.86</v>
      </c>
      <c r="T119">
        <v>86.86</v>
      </c>
    </row>
    <row r="120" spans="1:23">
      <c r="A120" s="71" t="s">
        <v>2956</v>
      </c>
      <c r="B120">
        <v>104</v>
      </c>
      <c r="C120">
        <v>58.098100000000002</v>
      </c>
      <c r="D120">
        <v>0.21099999999999999</v>
      </c>
      <c r="E120">
        <v>0.63400000000000001</v>
      </c>
      <c r="F120">
        <v>22</v>
      </c>
      <c r="G120">
        <v>376</v>
      </c>
      <c r="H120">
        <v>44.8</v>
      </c>
      <c r="I120">
        <v>523.20000000000005</v>
      </c>
      <c r="J120">
        <v>0.113</v>
      </c>
      <c r="K120">
        <v>-1.0889899999999999</v>
      </c>
      <c r="L120">
        <f>AVERAGE(L121:L122)</f>
        <v>-0.20308119133074978</v>
      </c>
      <c r="M120">
        <v>86.86</v>
      </c>
      <c r="N120">
        <v>11.316000000000001</v>
      </c>
      <c r="O120">
        <v>86.86</v>
      </c>
      <c r="P120">
        <v>86.86</v>
      </c>
      <c r="Q120">
        <v>12.4</v>
      </c>
      <c r="R120">
        <v>0.12</v>
      </c>
      <c r="S120">
        <v>2.4600000000000002E-5</v>
      </c>
      <c r="T120" s="1">
        <v>-5.2899999999999997E-8</v>
      </c>
      <c r="U120">
        <v>2</v>
      </c>
      <c r="V120">
        <v>2</v>
      </c>
      <c r="W120">
        <v>1</v>
      </c>
    </row>
    <row r="121" spans="1:23">
      <c r="A121" s="69" t="s">
        <v>2957</v>
      </c>
      <c r="B121">
        <v>105</v>
      </c>
      <c r="C121">
        <v>57.090299999999999</v>
      </c>
      <c r="D121">
        <v>0.24099999999999999</v>
      </c>
      <c r="E121">
        <v>0.65400000000000003</v>
      </c>
      <c r="F121">
        <v>93</v>
      </c>
      <c r="G121">
        <v>499</v>
      </c>
      <c r="H121">
        <v>38.799999999999997</v>
      </c>
      <c r="I121">
        <v>615.6</v>
      </c>
      <c r="J121">
        <v>0.11600000000000001</v>
      </c>
      <c r="K121">
        <v>-0.28105000000000002</v>
      </c>
      <c r="L121">
        <f>Regcf!N110-2*Regcf!N13</f>
        <v>-0.17358119133074978</v>
      </c>
      <c r="M121">
        <v>86.86</v>
      </c>
      <c r="N121">
        <v>19.77</v>
      </c>
      <c r="O121">
        <v>86.86</v>
      </c>
      <c r="P121">
        <v>86.86</v>
      </c>
      <c r="Q121">
        <v>6.31</v>
      </c>
      <c r="R121">
        <v>0.16300000000000001</v>
      </c>
      <c r="S121">
        <v>-1.16E-4</v>
      </c>
      <c r="T121" s="1">
        <v>3.0799999999999998E-8</v>
      </c>
      <c r="U121">
        <v>2</v>
      </c>
      <c r="V121">
        <v>1</v>
      </c>
      <c r="W121">
        <v>1</v>
      </c>
    </row>
    <row r="122" spans="1:23" ht="13.5" thickBot="1">
      <c r="A122" s="69" t="s">
        <v>2958</v>
      </c>
      <c r="B122">
        <v>106</v>
      </c>
      <c r="C122">
        <v>56.0824</v>
      </c>
      <c r="D122">
        <v>0.23400000000000001</v>
      </c>
      <c r="E122">
        <v>0.67200000000000004</v>
      </c>
      <c r="F122">
        <v>105</v>
      </c>
      <c r="G122">
        <v>499</v>
      </c>
      <c r="H122">
        <v>32.799999999999997</v>
      </c>
      <c r="I122">
        <v>615.6</v>
      </c>
      <c r="J122">
        <v>0.11600000000000001</v>
      </c>
      <c r="K122">
        <v>-0.34259000000000001</v>
      </c>
      <c r="L122">
        <f>Regcf!N111-2*Regcf!N13</f>
        <v>-0.23258119133074978</v>
      </c>
      <c r="M122">
        <v>86.86</v>
      </c>
      <c r="N122">
        <v>19.803999999999998</v>
      </c>
      <c r="O122">
        <v>86.86</v>
      </c>
      <c r="P122">
        <v>86.86</v>
      </c>
      <c r="Q122">
        <v>0.2</v>
      </c>
      <c r="R122">
        <v>0.20699999999999999</v>
      </c>
      <c r="S122">
        <v>-2.5700000000000001E-4</v>
      </c>
      <c r="T122">
        <v>1.15E-7</v>
      </c>
      <c r="U122">
        <v>2</v>
      </c>
      <c r="V122">
        <v>1</v>
      </c>
    </row>
    <row r="123" spans="1:23">
      <c r="A123" s="71" t="s">
        <v>2959</v>
      </c>
      <c r="B123">
        <v>107</v>
      </c>
      <c r="C123">
        <v>43.045400000000001</v>
      </c>
      <c r="D123">
        <v>86.86</v>
      </c>
      <c r="E123">
        <v>86.86</v>
      </c>
      <c r="F123">
        <v>86.86</v>
      </c>
      <c r="G123">
        <v>86.86</v>
      </c>
      <c r="H123">
        <v>86.86</v>
      </c>
      <c r="I123">
        <v>86.86</v>
      </c>
      <c r="J123">
        <v>86.86</v>
      </c>
      <c r="K123">
        <v>86.86</v>
      </c>
      <c r="L123">
        <v>86.86</v>
      </c>
      <c r="M123">
        <v>86.86</v>
      </c>
      <c r="N123">
        <v>86.86</v>
      </c>
      <c r="O123">
        <v>86.86</v>
      </c>
      <c r="P123">
        <v>86.86</v>
      </c>
      <c r="Q123">
        <v>86.86</v>
      </c>
      <c r="R123">
        <v>86.86</v>
      </c>
      <c r="S123">
        <v>86.86</v>
      </c>
      <c r="T123">
        <v>86.86</v>
      </c>
    </row>
    <row r="124" spans="1:23">
      <c r="A124" s="69" t="s">
        <v>2960</v>
      </c>
      <c r="B124">
        <v>109</v>
      </c>
      <c r="C124">
        <v>42.037500000000001</v>
      </c>
      <c r="D124">
        <v>86.86</v>
      </c>
      <c r="E124">
        <v>86.86</v>
      </c>
      <c r="F124">
        <v>86.86</v>
      </c>
      <c r="G124">
        <v>86.86</v>
      </c>
      <c r="H124">
        <v>86.86</v>
      </c>
      <c r="I124">
        <v>86.86</v>
      </c>
      <c r="J124">
        <v>86.86</v>
      </c>
      <c r="K124">
        <v>86.86</v>
      </c>
      <c r="L124">
        <v>86.86</v>
      </c>
      <c r="M124">
        <v>86.86</v>
      </c>
      <c r="N124">
        <v>86.86</v>
      </c>
      <c r="O124">
        <v>86.86</v>
      </c>
      <c r="P124">
        <v>86.86</v>
      </c>
      <c r="Q124">
        <v>86.86</v>
      </c>
      <c r="R124">
        <v>86.86</v>
      </c>
      <c r="S124">
        <v>86.86</v>
      </c>
      <c r="T124">
        <v>86.86</v>
      </c>
    </row>
    <row r="125" spans="1:23" ht="13.5" thickBot="1">
      <c r="A125" s="70" t="s">
        <v>2961</v>
      </c>
      <c r="B125">
        <v>121</v>
      </c>
      <c r="C125">
        <v>72.020399999999995</v>
      </c>
      <c r="D125">
        <v>86.86</v>
      </c>
      <c r="E125">
        <v>86.86</v>
      </c>
      <c r="F125">
        <v>86.86</v>
      </c>
      <c r="G125">
        <v>86.86</v>
      </c>
      <c r="H125">
        <v>86.86</v>
      </c>
      <c r="I125">
        <v>86.86</v>
      </c>
      <c r="J125">
        <v>86.86</v>
      </c>
      <c r="K125">
        <v>86.86</v>
      </c>
      <c r="L125">
        <v>86.86</v>
      </c>
      <c r="M125">
        <v>86.86</v>
      </c>
      <c r="N125">
        <v>86.86</v>
      </c>
      <c r="O125">
        <v>86.86</v>
      </c>
      <c r="P125">
        <v>86.86</v>
      </c>
      <c r="Q125">
        <v>86.86</v>
      </c>
      <c r="R125">
        <v>86.86</v>
      </c>
      <c r="S125">
        <v>86.86</v>
      </c>
      <c r="T125">
        <v>86.86</v>
      </c>
    </row>
    <row r="126" spans="1:23">
      <c r="A126" s="71" t="s">
        <v>2962</v>
      </c>
      <c r="B126">
        <v>112</v>
      </c>
      <c r="C126">
        <v>90.079099999999997</v>
      </c>
      <c r="D126">
        <v>86.86</v>
      </c>
      <c r="E126">
        <v>86.86</v>
      </c>
      <c r="F126">
        <v>86.86</v>
      </c>
      <c r="G126">
        <v>86.86</v>
      </c>
      <c r="H126">
        <v>86.86</v>
      </c>
      <c r="I126">
        <v>86.86</v>
      </c>
      <c r="J126">
        <v>86.86</v>
      </c>
      <c r="K126">
        <v>86.86</v>
      </c>
      <c r="L126">
        <v>86.86</v>
      </c>
      <c r="M126">
        <v>86.86</v>
      </c>
      <c r="N126">
        <v>86.86</v>
      </c>
      <c r="O126">
        <v>86.86</v>
      </c>
      <c r="P126">
        <v>86.86</v>
      </c>
      <c r="Q126">
        <v>86.86</v>
      </c>
      <c r="R126">
        <v>86.86</v>
      </c>
      <c r="S126">
        <v>86.86</v>
      </c>
      <c r="T126">
        <v>86.86</v>
      </c>
    </row>
    <row r="127" spans="1:23">
      <c r="A127" s="69" t="s">
        <v>2963</v>
      </c>
      <c r="B127">
        <v>113</v>
      </c>
      <c r="C127">
        <v>88.063299999999998</v>
      </c>
      <c r="D127">
        <v>86.86</v>
      </c>
      <c r="E127">
        <v>86.86</v>
      </c>
      <c r="F127">
        <v>86.86</v>
      </c>
      <c r="G127">
        <v>86.86</v>
      </c>
      <c r="H127">
        <v>86.86</v>
      </c>
      <c r="I127">
        <v>86.86</v>
      </c>
      <c r="J127">
        <v>86.86</v>
      </c>
      <c r="K127">
        <v>86.86</v>
      </c>
      <c r="L127">
        <v>86.86</v>
      </c>
      <c r="M127">
        <v>86.86</v>
      </c>
      <c r="N127">
        <v>86.86</v>
      </c>
      <c r="O127">
        <v>86.86</v>
      </c>
      <c r="P127">
        <v>86.86</v>
      </c>
      <c r="Q127">
        <v>86.86</v>
      </c>
      <c r="R127">
        <v>86.86</v>
      </c>
      <c r="S127">
        <v>86.86</v>
      </c>
      <c r="T127">
        <v>86.86</v>
      </c>
    </row>
    <row r="128" spans="1:23" ht="21">
      <c r="A128" s="69" t="s">
        <v>2964</v>
      </c>
      <c r="B128">
        <v>114</v>
      </c>
      <c r="C128">
        <v>89.071200000000005</v>
      </c>
      <c r="D128">
        <v>86.86</v>
      </c>
      <c r="E128">
        <v>86.86</v>
      </c>
      <c r="F128">
        <v>86.86</v>
      </c>
      <c r="G128">
        <v>86.86</v>
      </c>
      <c r="H128">
        <v>86.86</v>
      </c>
      <c r="I128">
        <v>86.86</v>
      </c>
      <c r="J128">
        <v>86.86</v>
      </c>
      <c r="K128">
        <v>86.86</v>
      </c>
      <c r="L128">
        <v>86.86</v>
      </c>
      <c r="M128">
        <v>86.86</v>
      </c>
      <c r="N128">
        <v>86.86</v>
      </c>
      <c r="O128">
        <v>86.86</v>
      </c>
      <c r="P128">
        <v>86.86</v>
      </c>
      <c r="Q128">
        <v>86.86</v>
      </c>
      <c r="R128">
        <v>86.86</v>
      </c>
      <c r="S128">
        <v>86.86</v>
      </c>
      <c r="T128">
        <v>86.86</v>
      </c>
    </row>
    <row r="129" spans="1:23" ht="21">
      <c r="A129" s="69" t="s">
        <v>2965</v>
      </c>
      <c r="B129">
        <v>199</v>
      </c>
      <c r="C129">
        <v>86.047499999999999</v>
      </c>
      <c r="D129">
        <v>86.86</v>
      </c>
      <c r="E129">
        <v>86.86</v>
      </c>
      <c r="F129">
        <v>86.86</v>
      </c>
      <c r="G129">
        <v>86.86</v>
      </c>
      <c r="H129">
        <v>86.86</v>
      </c>
      <c r="I129">
        <v>86.86</v>
      </c>
      <c r="J129">
        <v>86.86</v>
      </c>
      <c r="K129">
        <v>86.86</v>
      </c>
      <c r="L129">
        <v>86.86</v>
      </c>
      <c r="M129">
        <v>86.86</v>
      </c>
      <c r="N129">
        <v>86.86</v>
      </c>
      <c r="O129">
        <v>86.86</v>
      </c>
      <c r="P129">
        <v>86.86</v>
      </c>
      <c r="Q129">
        <v>86.86</v>
      </c>
      <c r="R129">
        <v>86.86</v>
      </c>
      <c r="S129">
        <v>86.86</v>
      </c>
      <c r="T129">
        <v>86.86</v>
      </c>
    </row>
    <row r="130" spans="1:23" ht="21.5" thickBot="1">
      <c r="A130" s="70" t="s">
        <v>2966</v>
      </c>
      <c r="B130">
        <v>200</v>
      </c>
      <c r="C130">
        <v>84.031700000000001</v>
      </c>
      <c r="D130">
        <v>86.86</v>
      </c>
      <c r="E130">
        <v>86.86</v>
      </c>
      <c r="F130">
        <v>86.86</v>
      </c>
      <c r="G130">
        <v>86.86</v>
      </c>
      <c r="H130">
        <v>86.86</v>
      </c>
      <c r="I130">
        <v>86.86</v>
      </c>
      <c r="J130">
        <v>86.86</v>
      </c>
      <c r="K130">
        <v>86.86</v>
      </c>
      <c r="L130">
        <v>86.86</v>
      </c>
      <c r="M130">
        <v>86.86</v>
      </c>
      <c r="N130">
        <v>86.86</v>
      </c>
      <c r="O130">
        <v>86.86</v>
      </c>
      <c r="P130">
        <v>86.86</v>
      </c>
      <c r="Q130">
        <v>86.86</v>
      </c>
      <c r="R130">
        <v>86.86</v>
      </c>
      <c r="S130">
        <v>86.86</v>
      </c>
      <c r="T130">
        <v>86.86</v>
      </c>
    </row>
    <row r="131" spans="1:23">
      <c r="A131" s="69" t="s">
        <v>2967</v>
      </c>
      <c r="B131">
        <v>110</v>
      </c>
      <c r="C131">
        <v>92.116200000000006</v>
      </c>
      <c r="D131">
        <v>86.86</v>
      </c>
      <c r="E131">
        <v>86.86</v>
      </c>
      <c r="F131">
        <v>86.86</v>
      </c>
      <c r="G131">
        <v>86.86</v>
      </c>
      <c r="H131">
        <v>86.86</v>
      </c>
      <c r="I131">
        <v>86.86</v>
      </c>
      <c r="J131">
        <v>86.86</v>
      </c>
      <c r="K131">
        <v>86.86</v>
      </c>
      <c r="L131">
        <v>86.86</v>
      </c>
      <c r="M131">
        <v>86.86</v>
      </c>
      <c r="N131">
        <v>86.86</v>
      </c>
      <c r="O131">
        <v>86.86</v>
      </c>
      <c r="P131">
        <v>86.86</v>
      </c>
      <c r="Q131">
        <v>86.86</v>
      </c>
      <c r="R131">
        <v>86.86</v>
      </c>
      <c r="S131">
        <v>86.86</v>
      </c>
      <c r="T131">
        <v>86.86</v>
      </c>
    </row>
    <row r="132" spans="1:23">
      <c r="A132" s="69" t="s">
        <v>2968</v>
      </c>
      <c r="B132">
        <v>111</v>
      </c>
      <c r="C132">
        <v>91.1083</v>
      </c>
      <c r="D132">
        <v>86.86</v>
      </c>
      <c r="E132">
        <v>86.86</v>
      </c>
      <c r="F132">
        <v>86.86</v>
      </c>
      <c r="G132">
        <v>86.86</v>
      </c>
      <c r="H132">
        <v>86.86</v>
      </c>
      <c r="I132">
        <v>86.86</v>
      </c>
      <c r="J132">
        <v>86.86</v>
      </c>
      <c r="K132">
        <v>86.86</v>
      </c>
      <c r="L132">
        <v>86.86</v>
      </c>
      <c r="M132">
        <v>86.86</v>
      </c>
      <c r="N132">
        <v>86.86</v>
      </c>
      <c r="O132">
        <v>86.86</v>
      </c>
      <c r="P132">
        <v>86.86</v>
      </c>
      <c r="Q132">
        <v>86.86</v>
      </c>
      <c r="R132">
        <v>86.86</v>
      </c>
      <c r="S132">
        <v>86.86</v>
      </c>
      <c r="T132">
        <v>86.86</v>
      </c>
    </row>
    <row r="133" spans="1:23" ht="13.5" thickBot="1">
      <c r="A133" s="70" t="s">
        <v>2969</v>
      </c>
      <c r="B133">
        <v>122</v>
      </c>
      <c r="C133">
        <v>76.073599999999999</v>
      </c>
      <c r="D133">
        <v>86.86</v>
      </c>
      <c r="E133">
        <v>86.86</v>
      </c>
      <c r="F133">
        <v>86.86</v>
      </c>
      <c r="G133">
        <v>86.86</v>
      </c>
      <c r="H133">
        <v>86.86</v>
      </c>
      <c r="I133">
        <v>86.86</v>
      </c>
      <c r="J133">
        <v>86.86</v>
      </c>
      <c r="K133">
        <v>86.86</v>
      </c>
      <c r="L133">
        <v>86.86</v>
      </c>
      <c r="M133">
        <v>86.86</v>
      </c>
      <c r="N133">
        <v>86.86</v>
      </c>
      <c r="O133">
        <v>86.86</v>
      </c>
      <c r="P133">
        <v>86.86</v>
      </c>
      <c r="Q133">
        <v>86.86</v>
      </c>
      <c r="R133">
        <v>86.86</v>
      </c>
      <c r="S133">
        <v>86.86</v>
      </c>
      <c r="T133">
        <v>86.86</v>
      </c>
    </row>
    <row r="134" spans="1:23" ht="13.5" thickBot="1">
      <c r="A134" s="70" t="s">
        <v>2970</v>
      </c>
      <c r="B134">
        <v>123</v>
      </c>
      <c r="C134">
        <v>41.029600000000002</v>
      </c>
      <c r="D134">
        <v>86.86</v>
      </c>
      <c r="E134">
        <v>86.86</v>
      </c>
      <c r="F134">
        <v>86.86</v>
      </c>
      <c r="G134">
        <v>86.86</v>
      </c>
      <c r="H134">
        <v>86.86</v>
      </c>
      <c r="I134">
        <v>86.86</v>
      </c>
      <c r="J134">
        <v>86.86</v>
      </c>
      <c r="K134">
        <v>86.86</v>
      </c>
      <c r="L134">
        <v>86.86</v>
      </c>
      <c r="M134">
        <v>86.86</v>
      </c>
      <c r="N134">
        <v>86.86</v>
      </c>
      <c r="O134">
        <v>86.86</v>
      </c>
      <c r="P134">
        <v>86.86</v>
      </c>
      <c r="Q134">
        <v>86.86</v>
      </c>
      <c r="R134">
        <v>86.86</v>
      </c>
      <c r="S134">
        <v>86.86</v>
      </c>
      <c r="T134">
        <v>86.86</v>
      </c>
    </row>
    <row r="135" spans="1:23" ht="13.5" thickBot="1">
      <c r="A135" s="71" t="s">
        <v>2971</v>
      </c>
      <c r="B135">
        <v>124</v>
      </c>
      <c r="C135">
        <v>57.029000000000003</v>
      </c>
      <c r="D135">
        <v>86.86</v>
      </c>
      <c r="E135">
        <v>86.86</v>
      </c>
      <c r="F135">
        <v>86.86</v>
      </c>
      <c r="G135">
        <v>86.86</v>
      </c>
      <c r="H135">
        <v>86.86</v>
      </c>
      <c r="I135">
        <v>86.86</v>
      </c>
      <c r="J135">
        <v>86.86</v>
      </c>
      <c r="K135">
        <v>86.86</v>
      </c>
      <c r="L135">
        <v>86.86</v>
      </c>
      <c r="M135">
        <v>86.86</v>
      </c>
      <c r="N135">
        <v>86.86</v>
      </c>
      <c r="O135">
        <v>86.86</v>
      </c>
      <c r="P135">
        <v>86.86</v>
      </c>
      <c r="Q135">
        <v>86.86</v>
      </c>
      <c r="R135">
        <v>86.86</v>
      </c>
      <c r="S135">
        <v>86.86</v>
      </c>
      <c r="T135">
        <v>86.86</v>
      </c>
    </row>
    <row r="136" spans="1:23">
      <c r="A136" s="71" t="s">
        <v>2972</v>
      </c>
      <c r="B136">
        <v>127</v>
      </c>
      <c r="C136">
        <v>71.055899999999994</v>
      </c>
      <c r="D136">
        <v>86.86</v>
      </c>
      <c r="E136">
        <v>86.86</v>
      </c>
      <c r="F136">
        <v>86.86</v>
      </c>
      <c r="G136">
        <v>86.86</v>
      </c>
      <c r="H136">
        <v>86.86</v>
      </c>
      <c r="I136">
        <v>86.86</v>
      </c>
      <c r="J136">
        <v>86.86</v>
      </c>
      <c r="K136">
        <v>86.86</v>
      </c>
      <c r="L136">
        <v>86.86</v>
      </c>
      <c r="M136">
        <v>86.86</v>
      </c>
      <c r="N136">
        <v>86.86</v>
      </c>
      <c r="O136">
        <v>86.86</v>
      </c>
      <c r="P136">
        <v>86.86</v>
      </c>
      <c r="Q136">
        <v>86.86</v>
      </c>
      <c r="R136">
        <v>86.86</v>
      </c>
      <c r="S136">
        <v>86.86</v>
      </c>
      <c r="T136">
        <v>86.86</v>
      </c>
    </row>
    <row r="137" spans="1:23">
      <c r="A137" s="69" t="s">
        <v>2973</v>
      </c>
      <c r="B137">
        <v>128</v>
      </c>
      <c r="C137">
        <v>70.048000000000002</v>
      </c>
      <c r="D137">
        <v>86.86</v>
      </c>
      <c r="E137">
        <v>86.86</v>
      </c>
      <c r="F137">
        <v>86.86</v>
      </c>
      <c r="G137">
        <v>86.86</v>
      </c>
      <c r="H137">
        <v>86.86</v>
      </c>
      <c r="I137">
        <v>86.86</v>
      </c>
      <c r="J137">
        <v>86.86</v>
      </c>
      <c r="K137">
        <v>86.86</v>
      </c>
      <c r="L137">
        <v>86.86</v>
      </c>
      <c r="M137">
        <v>86.86</v>
      </c>
      <c r="N137">
        <v>86.86</v>
      </c>
      <c r="O137">
        <v>86.86</v>
      </c>
      <c r="P137">
        <v>86.86</v>
      </c>
      <c r="Q137">
        <v>86.86</v>
      </c>
      <c r="R137">
        <v>86.86</v>
      </c>
      <c r="S137">
        <v>86.86</v>
      </c>
      <c r="T137">
        <v>86.86</v>
      </c>
    </row>
    <row r="138" spans="1:23">
      <c r="A138" s="69" t="s">
        <v>2974</v>
      </c>
      <c r="B138">
        <v>129</v>
      </c>
      <c r="C138">
        <v>69.040099999999995</v>
      </c>
      <c r="D138">
        <v>86.86</v>
      </c>
      <c r="E138">
        <v>86.86</v>
      </c>
      <c r="F138">
        <v>86.86</v>
      </c>
      <c r="G138">
        <v>86.86</v>
      </c>
      <c r="H138">
        <v>86.86</v>
      </c>
      <c r="I138">
        <v>86.86</v>
      </c>
      <c r="J138">
        <v>86.86</v>
      </c>
      <c r="K138">
        <v>86.86</v>
      </c>
      <c r="L138">
        <v>86.86</v>
      </c>
      <c r="M138">
        <v>86.86</v>
      </c>
      <c r="N138">
        <v>86.86</v>
      </c>
      <c r="O138">
        <v>86.86</v>
      </c>
      <c r="P138">
        <v>86.86</v>
      </c>
      <c r="Q138">
        <v>86.86</v>
      </c>
      <c r="R138">
        <v>86.86</v>
      </c>
      <c r="S138">
        <v>86.86</v>
      </c>
      <c r="T138">
        <v>86.86</v>
      </c>
    </row>
    <row r="139" spans="1:23" ht="13.5" thickBot="1">
      <c r="A139" s="70" t="s">
        <v>2975</v>
      </c>
      <c r="B139">
        <v>130</v>
      </c>
      <c r="C139">
        <v>68.032200000000003</v>
      </c>
      <c r="D139">
        <v>86.86</v>
      </c>
      <c r="E139">
        <v>86.86</v>
      </c>
      <c r="F139">
        <v>86.86</v>
      </c>
      <c r="G139">
        <v>86.86</v>
      </c>
      <c r="H139">
        <v>86.86</v>
      </c>
      <c r="I139">
        <v>86.86</v>
      </c>
      <c r="J139">
        <v>86.86</v>
      </c>
      <c r="K139">
        <v>86.86</v>
      </c>
      <c r="L139">
        <v>86.86</v>
      </c>
      <c r="M139">
        <v>86.86</v>
      </c>
      <c r="N139">
        <v>86.86</v>
      </c>
      <c r="O139">
        <v>86.86</v>
      </c>
      <c r="P139">
        <v>86.86</v>
      </c>
      <c r="Q139">
        <v>86.86</v>
      </c>
      <c r="R139">
        <v>86.86</v>
      </c>
      <c r="S139">
        <v>86.86</v>
      </c>
      <c r="T139">
        <v>86.86</v>
      </c>
    </row>
    <row r="140" spans="1:23" ht="21">
      <c r="A140" s="69" t="s">
        <v>2976</v>
      </c>
      <c r="B140">
        <v>131</v>
      </c>
      <c r="C140">
        <v>61.060600000000001</v>
      </c>
      <c r="D140">
        <v>0.83899999999999997</v>
      </c>
      <c r="E140">
        <v>0.65800000000000003</v>
      </c>
      <c r="F140">
        <v>55</v>
      </c>
      <c r="G140">
        <v>830</v>
      </c>
      <c r="H140">
        <v>50</v>
      </c>
      <c r="I140">
        <v>983.3</v>
      </c>
      <c r="J140">
        <v>0.57599999999999996</v>
      </c>
      <c r="K140">
        <v>86.86</v>
      </c>
      <c r="L140">
        <v>86.86</v>
      </c>
      <c r="M140">
        <v>86.86</v>
      </c>
      <c r="N140">
        <v>36.656999999999996</v>
      </c>
      <c r="O140">
        <v>-344.125</v>
      </c>
      <c r="P140">
        <v>-241.37299999999999</v>
      </c>
      <c r="Q140">
        <v>49.4</v>
      </c>
      <c r="R140">
        <v>5.7700000000000001E-2</v>
      </c>
      <c r="S140">
        <v>1.7899999999999999E-4</v>
      </c>
      <c r="T140">
        <v>-1.3E-7</v>
      </c>
      <c r="U140">
        <v>2</v>
      </c>
      <c r="V140">
        <v>5</v>
      </c>
      <c r="W140">
        <v>2</v>
      </c>
    </row>
    <row r="141" spans="1:23" ht="21">
      <c r="A141" s="69" t="s">
        <v>2977</v>
      </c>
      <c r="B141">
        <v>132</v>
      </c>
      <c r="C141">
        <v>60.052700000000002</v>
      </c>
      <c r="D141">
        <v>0.60899999999999999</v>
      </c>
      <c r="E141">
        <v>0.76100000000000001</v>
      </c>
      <c r="F141">
        <v>109</v>
      </c>
      <c r="G141">
        <v>495</v>
      </c>
      <c r="H141">
        <v>44</v>
      </c>
      <c r="I141">
        <v>594</v>
      </c>
      <c r="J141">
        <v>0.27600000000000002</v>
      </c>
      <c r="K141">
        <v>0.27276</v>
      </c>
      <c r="L141">
        <v>0.21</v>
      </c>
      <c r="M141">
        <v>86.86</v>
      </c>
      <c r="N141">
        <v>14.956</v>
      </c>
      <c r="O141">
        <v>86.86</v>
      </c>
      <c r="P141">
        <v>86.86</v>
      </c>
      <c r="Q141">
        <v>49.2</v>
      </c>
      <c r="R141">
        <v>6.3600000000000004E-2</v>
      </c>
      <c r="S141">
        <v>1.13E-4</v>
      </c>
      <c r="T141">
        <v>-8.6000000000000002E-8</v>
      </c>
      <c r="U141">
        <v>2</v>
      </c>
      <c r="V141">
        <v>4</v>
      </c>
      <c r="W141">
        <v>2</v>
      </c>
    </row>
    <row r="142" spans="1:23" ht="21.5" thickBot="1">
      <c r="A142" s="69" t="s">
        <v>2978</v>
      </c>
      <c r="B142">
        <v>133</v>
      </c>
      <c r="C142">
        <v>60.052700000000002</v>
      </c>
      <c r="D142">
        <v>0.60899999999999999</v>
      </c>
      <c r="E142">
        <v>0.76100000000000001</v>
      </c>
      <c r="F142">
        <v>109</v>
      </c>
      <c r="G142">
        <v>495</v>
      </c>
      <c r="H142">
        <v>44</v>
      </c>
      <c r="I142">
        <v>594</v>
      </c>
      <c r="J142">
        <v>0.27600000000000002</v>
      </c>
      <c r="K142">
        <v>0.27276</v>
      </c>
      <c r="L142">
        <v>0.21</v>
      </c>
      <c r="M142">
        <v>86.86</v>
      </c>
      <c r="N142">
        <v>14.956</v>
      </c>
      <c r="O142">
        <v>86.86</v>
      </c>
      <c r="P142">
        <v>86.86</v>
      </c>
      <c r="Q142">
        <v>49.2</v>
      </c>
      <c r="R142">
        <v>6.3600000000000004E-2</v>
      </c>
      <c r="S142">
        <v>1.13E-4</v>
      </c>
      <c r="T142">
        <v>-8.6000000000000002E-8</v>
      </c>
      <c r="U142">
        <v>2</v>
      </c>
      <c r="V142">
        <v>4</v>
      </c>
      <c r="W142">
        <v>2</v>
      </c>
    </row>
    <row r="143" spans="1:23">
      <c r="A143" s="71" t="s">
        <v>2979</v>
      </c>
      <c r="B143">
        <v>134</v>
      </c>
      <c r="C143">
        <v>47.094799999999999</v>
      </c>
      <c r="D143">
        <v>0.20699999999999999</v>
      </c>
      <c r="E143">
        <v>0.48499999999999999</v>
      </c>
      <c r="F143">
        <v>64</v>
      </c>
      <c r="G143">
        <v>473</v>
      </c>
      <c r="H143">
        <v>39.6</v>
      </c>
      <c r="I143">
        <v>450</v>
      </c>
      <c r="J143">
        <v>0.13100000000000001</v>
      </c>
      <c r="K143">
        <v>0.49792999999999998</v>
      </c>
      <c r="L143">
        <v>0.88432335198962198</v>
      </c>
      <c r="M143">
        <v>5.0506000000000002</v>
      </c>
      <c r="N143">
        <v>16.920999999999999</v>
      </c>
      <c r="O143">
        <v>-2.0840000000000001</v>
      </c>
      <c r="P143">
        <v>30.222000000000001</v>
      </c>
      <c r="Q143">
        <v>39.1</v>
      </c>
      <c r="R143">
        <v>-1.37E-2</v>
      </c>
      <c r="S143">
        <v>1.93E-4</v>
      </c>
      <c r="T143">
        <v>-1.24E-7</v>
      </c>
      <c r="U143">
        <v>1</v>
      </c>
      <c r="V143">
        <v>3</v>
      </c>
      <c r="W143">
        <v>1</v>
      </c>
    </row>
    <row r="144" spans="1:23">
      <c r="A144" s="69" t="s">
        <v>2980</v>
      </c>
      <c r="B144">
        <v>135</v>
      </c>
      <c r="C144">
        <v>46.0869</v>
      </c>
      <c r="D144">
        <v>0.20300000000000001</v>
      </c>
      <c r="E144">
        <v>0.47599999999999998</v>
      </c>
      <c r="F144">
        <v>65</v>
      </c>
      <c r="G144">
        <v>471</v>
      </c>
      <c r="H144">
        <v>33.6</v>
      </c>
      <c r="I144">
        <v>485</v>
      </c>
      <c r="J144">
        <v>0.121</v>
      </c>
      <c r="K144">
        <v>0.65395000000000003</v>
      </c>
      <c r="L144">
        <v>1.167050828125153</v>
      </c>
      <c r="M144">
        <v>3.1467999999999998</v>
      </c>
      <c r="N144">
        <v>17.117000000000001</v>
      </c>
      <c r="O144">
        <v>18.021999999999998</v>
      </c>
      <c r="P144">
        <v>38.345999999999997</v>
      </c>
      <c r="Q144">
        <v>18.7</v>
      </c>
      <c r="R144">
        <v>8.9399999999999993E-2</v>
      </c>
      <c r="S144">
        <v>-1.42E-5</v>
      </c>
      <c r="T144" s="1">
        <v>-1.5700000000000002E-8</v>
      </c>
      <c r="U144">
        <v>1</v>
      </c>
      <c r="V144">
        <v>2</v>
      </c>
      <c r="W144">
        <v>1</v>
      </c>
    </row>
    <row r="145" spans="1:24">
      <c r="A145" s="69" t="s">
        <v>2981</v>
      </c>
      <c r="B145">
        <v>136</v>
      </c>
      <c r="C145">
        <v>45.079000000000001</v>
      </c>
      <c r="D145">
        <v>0.14899999999999999</v>
      </c>
      <c r="E145">
        <v>0.42899999999999999</v>
      </c>
      <c r="F145">
        <v>49</v>
      </c>
      <c r="G145">
        <v>447</v>
      </c>
      <c r="H145">
        <v>27.6</v>
      </c>
      <c r="I145">
        <v>485</v>
      </c>
      <c r="J145">
        <v>0.1</v>
      </c>
      <c r="K145">
        <v>-2.69E-2</v>
      </c>
      <c r="L145">
        <f>K145*1.90476</f>
        <v>-5.1238044000000003E-2</v>
      </c>
      <c r="M145">
        <v>86.86</v>
      </c>
      <c r="N145">
        <v>13.265000000000001</v>
      </c>
      <c r="O145">
        <v>86.86</v>
      </c>
      <c r="P145">
        <v>86.86</v>
      </c>
      <c r="Q145">
        <v>-3.4</v>
      </c>
      <c r="R145">
        <v>0.19800000000000001</v>
      </c>
      <c r="S145">
        <v>-2.2499999999999999E-4</v>
      </c>
      <c r="T145" s="1">
        <v>9.2399999999999994E-8</v>
      </c>
      <c r="U145">
        <v>1</v>
      </c>
      <c r="V145">
        <v>1</v>
      </c>
      <c r="W145">
        <v>1</v>
      </c>
    </row>
    <row r="146" spans="1:24">
      <c r="A146" s="69" t="s">
        <v>2982</v>
      </c>
      <c r="B146">
        <v>137</v>
      </c>
      <c r="C146">
        <v>44.071100000000001</v>
      </c>
      <c r="D146">
        <v>86.86</v>
      </c>
      <c r="E146">
        <v>86.86</v>
      </c>
      <c r="F146">
        <v>86.86</v>
      </c>
      <c r="G146">
        <v>86.86</v>
      </c>
      <c r="H146">
        <v>86.86</v>
      </c>
      <c r="I146">
        <v>86.86</v>
      </c>
      <c r="J146">
        <v>86.86</v>
      </c>
      <c r="K146">
        <v>86.86</v>
      </c>
      <c r="L146">
        <v>86.86</v>
      </c>
      <c r="M146">
        <v>86.86</v>
      </c>
      <c r="N146">
        <v>86.86</v>
      </c>
      <c r="O146">
        <v>86.86</v>
      </c>
      <c r="P146">
        <v>86.86</v>
      </c>
      <c r="Q146">
        <v>86.86</v>
      </c>
      <c r="R146">
        <v>86.86</v>
      </c>
      <c r="S146">
        <v>86.86</v>
      </c>
      <c r="T146">
        <v>86.86</v>
      </c>
    </row>
    <row r="147" spans="1:24" ht="13.5" thickBot="1">
      <c r="A147" s="70" t="s">
        <v>2983</v>
      </c>
      <c r="B147">
        <v>187</v>
      </c>
      <c r="C147">
        <v>44.071100000000001</v>
      </c>
      <c r="D147">
        <v>86.86</v>
      </c>
      <c r="E147">
        <v>86.86</v>
      </c>
      <c r="F147">
        <v>86.86</v>
      </c>
      <c r="G147">
        <v>86.86</v>
      </c>
      <c r="H147">
        <v>86.86</v>
      </c>
      <c r="I147">
        <v>86.86</v>
      </c>
      <c r="J147">
        <v>86.86</v>
      </c>
      <c r="K147">
        <v>86.86</v>
      </c>
      <c r="L147">
        <v>86.86</v>
      </c>
      <c r="M147">
        <v>86.86</v>
      </c>
      <c r="N147">
        <v>86.86</v>
      </c>
      <c r="O147">
        <v>86.86</v>
      </c>
      <c r="P147">
        <v>86.86</v>
      </c>
      <c r="Q147">
        <v>86.86</v>
      </c>
      <c r="R147">
        <v>86.86</v>
      </c>
      <c r="S147">
        <v>86.86</v>
      </c>
      <c r="T147">
        <v>86.86</v>
      </c>
    </row>
    <row r="148" spans="1:24" ht="13.5" thickBot="1">
      <c r="A148" s="70" t="s">
        <v>2984</v>
      </c>
      <c r="B148">
        <v>125</v>
      </c>
      <c r="C148">
        <v>44.032899999999998</v>
      </c>
      <c r="D148">
        <v>86.86</v>
      </c>
      <c r="E148">
        <v>86.86</v>
      </c>
      <c r="F148">
        <v>86.86</v>
      </c>
      <c r="G148">
        <v>86.86</v>
      </c>
      <c r="H148">
        <v>86.86</v>
      </c>
      <c r="I148">
        <v>86.86</v>
      </c>
      <c r="J148">
        <v>86.86</v>
      </c>
      <c r="K148">
        <v>86.86</v>
      </c>
      <c r="L148">
        <v>86.86</v>
      </c>
      <c r="M148">
        <v>86.86</v>
      </c>
      <c r="N148">
        <v>86.86</v>
      </c>
      <c r="O148">
        <v>86.86</v>
      </c>
      <c r="P148">
        <v>86.86</v>
      </c>
      <c r="Q148">
        <v>86.86</v>
      </c>
      <c r="R148">
        <v>86.86</v>
      </c>
      <c r="S148">
        <v>86.86</v>
      </c>
      <c r="T148">
        <v>86.86</v>
      </c>
    </row>
    <row r="149" spans="1:24" ht="13.5" thickBot="1">
      <c r="A149" s="71" t="s">
        <v>2985</v>
      </c>
      <c r="B149">
        <v>126</v>
      </c>
      <c r="C149">
        <v>44.009900000000002</v>
      </c>
      <c r="D149">
        <v>86.86</v>
      </c>
      <c r="E149">
        <v>86.86</v>
      </c>
      <c r="F149">
        <v>86.86</v>
      </c>
      <c r="G149">
        <v>86.86</v>
      </c>
      <c r="H149">
        <v>86.86</v>
      </c>
      <c r="I149">
        <v>86.86</v>
      </c>
      <c r="J149">
        <v>86.86</v>
      </c>
      <c r="K149">
        <v>86.86</v>
      </c>
      <c r="L149">
        <v>86.86</v>
      </c>
      <c r="M149">
        <v>86.86</v>
      </c>
      <c r="N149">
        <v>86.86</v>
      </c>
      <c r="O149">
        <v>86.86</v>
      </c>
      <c r="P149">
        <v>86.86</v>
      </c>
      <c r="Q149">
        <v>86.86</v>
      </c>
      <c r="R149">
        <v>86.86</v>
      </c>
      <c r="S149">
        <v>86.86</v>
      </c>
      <c r="T149">
        <v>86.86</v>
      </c>
    </row>
    <row r="150" spans="1:24">
      <c r="A150" s="71" t="s">
        <v>2986</v>
      </c>
      <c r="B150">
        <v>138</v>
      </c>
      <c r="C150">
        <v>47.0336</v>
      </c>
      <c r="D150">
        <v>86.86</v>
      </c>
      <c r="E150">
        <v>86.86</v>
      </c>
      <c r="F150">
        <v>86.86</v>
      </c>
      <c r="G150">
        <v>86.86</v>
      </c>
      <c r="H150">
        <v>86.86</v>
      </c>
      <c r="I150">
        <v>86.86</v>
      </c>
      <c r="J150">
        <v>86.86</v>
      </c>
      <c r="K150">
        <v>86.86</v>
      </c>
      <c r="L150">
        <v>86.86</v>
      </c>
      <c r="M150">
        <v>86.86</v>
      </c>
      <c r="N150">
        <v>86.86</v>
      </c>
      <c r="O150">
        <v>86.86</v>
      </c>
      <c r="P150">
        <v>86.86</v>
      </c>
      <c r="Q150">
        <v>86.86</v>
      </c>
      <c r="R150">
        <v>86.86</v>
      </c>
      <c r="S150">
        <v>86.86</v>
      </c>
      <c r="T150">
        <v>86.86</v>
      </c>
    </row>
    <row r="151" spans="1:24">
      <c r="A151" s="69" t="s">
        <v>2987</v>
      </c>
      <c r="B151">
        <v>139</v>
      </c>
      <c r="C151">
        <v>46.025700000000001</v>
      </c>
      <c r="D151">
        <v>86.86</v>
      </c>
      <c r="E151">
        <v>86.86</v>
      </c>
      <c r="F151">
        <v>86.86</v>
      </c>
      <c r="G151">
        <v>86.86</v>
      </c>
      <c r="H151">
        <v>86.86</v>
      </c>
      <c r="I151">
        <v>86.86</v>
      </c>
      <c r="J151">
        <v>86.86</v>
      </c>
      <c r="K151">
        <v>86.86</v>
      </c>
      <c r="L151">
        <v>86.86</v>
      </c>
      <c r="M151">
        <v>86.86</v>
      </c>
      <c r="N151">
        <v>86.86</v>
      </c>
      <c r="O151">
        <v>86.86</v>
      </c>
      <c r="P151">
        <v>86.86</v>
      </c>
      <c r="Q151">
        <v>86.86</v>
      </c>
      <c r="R151">
        <v>86.86</v>
      </c>
      <c r="S151">
        <v>86.86</v>
      </c>
      <c r="T151">
        <v>86.86</v>
      </c>
    </row>
    <row r="152" spans="1:24">
      <c r="A152" s="69" t="s">
        <v>2988</v>
      </c>
      <c r="B152">
        <v>140</v>
      </c>
      <c r="C152">
        <v>45.017800000000001</v>
      </c>
      <c r="D152">
        <v>86.86</v>
      </c>
      <c r="E152">
        <v>86.86</v>
      </c>
      <c r="F152">
        <v>86.86</v>
      </c>
      <c r="G152">
        <v>86.86</v>
      </c>
      <c r="H152">
        <v>86.86</v>
      </c>
      <c r="I152">
        <v>86.86</v>
      </c>
      <c r="J152">
        <v>86.86</v>
      </c>
      <c r="K152">
        <v>86.86</v>
      </c>
      <c r="L152">
        <v>86.86</v>
      </c>
      <c r="M152">
        <v>86.86</v>
      </c>
      <c r="N152">
        <v>86.86</v>
      </c>
      <c r="O152">
        <v>86.86</v>
      </c>
      <c r="P152">
        <v>86.86</v>
      </c>
      <c r="Q152">
        <v>86.86</v>
      </c>
      <c r="R152">
        <v>86.86</v>
      </c>
      <c r="S152">
        <v>86.86</v>
      </c>
      <c r="T152">
        <v>86.86</v>
      </c>
    </row>
    <row r="153" spans="1:24">
      <c r="A153" s="69" t="s">
        <v>2989</v>
      </c>
      <c r="B153">
        <v>141</v>
      </c>
      <c r="C153">
        <v>44.009900000000002</v>
      </c>
      <c r="D153">
        <v>86.86</v>
      </c>
      <c r="E153">
        <v>86.86</v>
      </c>
      <c r="F153">
        <v>86.86</v>
      </c>
      <c r="G153">
        <v>86.86</v>
      </c>
      <c r="H153">
        <v>86.86</v>
      </c>
      <c r="I153">
        <v>86.86</v>
      </c>
      <c r="J153">
        <v>86.86</v>
      </c>
      <c r="K153">
        <v>86.86</v>
      </c>
      <c r="L153">
        <v>86.86</v>
      </c>
      <c r="M153">
        <v>86.86</v>
      </c>
      <c r="N153">
        <v>86.86</v>
      </c>
      <c r="O153">
        <v>86.86</v>
      </c>
      <c r="P153">
        <v>86.86</v>
      </c>
      <c r="Q153">
        <v>86.86</v>
      </c>
      <c r="R153">
        <v>86.86</v>
      </c>
      <c r="S153">
        <v>86.86</v>
      </c>
      <c r="T153">
        <v>86.86</v>
      </c>
    </row>
    <row r="154" spans="1:24" ht="13.5" thickBot="1">
      <c r="A154" s="70" t="s">
        <v>2990</v>
      </c>
      <c r="B154">
        <v>142</v>
      </c>
      <c r="C154">
        <v>44.009900000000002</v>
      </c>
      <c r="D154">
        <v>86.86</v>
      </c>
      <c r="E154">
        <v>86.86</v>
      </c>
      <c r="F154">
        <v>86.86</v>
      </c>
      <c r="G154">
        <v>86.86</v>
      </c>
      <c r="H154">
        <v>86.86</v>
      </c>
      <c r="I154">
        <v>86.86</v>
      </c>
      <c r="J154">
        <v>86.86</v>
      </c>
      <c r="K154">
        <v>86.86</v>
      </c>
      <c r="L154">
        <v>86.86</v>
      </c>
      <c r="M154">
        <v>86.86</v>
      </c>
      <c r="N154">
        <v>86.86</v>
      </c>
      <c r="O154">
        <v>86.86</v>
      </c>
      <c r="P154">
        <v>86.86</v>
      </c>
      <c r="Q154">
        <v>86.86</v>
      </c>
      <c r="R154">
        <v>86.86</v>
      </c>
      <c r="S154">
        <v>86.86</v>
      </c>
      <c r="T154">
        <v>86.86</v>
      </c>
    </row>
    <row r="155" spans="1:24" ht="13.5" thickBot="1">
      <c r="A155" s="70" t="s">
        <v>2991</v>
      </c>
      <c r="B155">
        <v>143</v>
      </c>
      <c r="C155">
        <v>32.017099999999999</v>
      </c>
      <c r="D155">
        <v>86.86</v>
      </c>
      <c r="E155">
        <v>86.86</v>
      </c>
      <c r="F155">
        <v>86.86</v>
      </c>
      <c r="G155">
        <v>86.86</v>
      </c>
      <c r="H155">
        <v>86.86</v>
      </c>
      <c r="I155">
        <v>86.86</v>
      </c>
      <c r="J155">
        <v>86.86</v>
      </c>
      <c r="K155">
        <v>86.86</v>
      </c>
      <c r="L155">
        <v>86.86</v>
      </c>
      <c r="M155">
        <v>86.86</v>
      </c>
      <c r="N155">
        <v>86.86</v>
      </c>
      <c r="O155">
        <v>86.86</v>
      </c>
      <c r="P155">
        <v>86.86</v>
      </c>
      <c r="Q155">
        <v>86.86</v>
      </c>
      <c r="R155">
        <v>86.86</v>
      </c>
      <c r="S155">
        <v>86.86</v>
      </c>
      <c r="T155">
        <v>86.86</v>
      </c>
    </row>
    <row r="156" spans="1:24" ht="13.5" thickBot="1">
      <c r="A156" s="70" t="s">
        <v>2992</v>
      </c>
      <c r="B156">
        <v>144</v>
      </c>
      <c r="C156">
        <v>66.462599999999995</v>
      </c>
      <c r="D156">
        <v>86.86</v>
      </c>
      <c r="E156">
        <v>86.86</v>
      </c>
      <c r="F156">
        <v>86.86</v>
      </c>
      <c r="G156">
        <v>86.86</v>
      </c>
      <c r="H156">
        <v>86.86</v>
      </c>
      <c r="I156">
        <v>86.86</v>
      </c>
      <c r="J156">
        <v>86.86</v>
      </c>
      <c r="K156">
        <v>86.86</v>
      </c>
      <c r="L156">
        <v>86.86</v>
      </c>
      <c r="M156">
        <v>86.86</v>
      </c>
      <c r="N156">
        <v>86.86</v>
      </c>
      <c r="O156">
        <v>86.86</v>
      </c>
      <c r="P156">
        <v>86.86</v>
      </c>
      <c r="Q156">
        <v>86.86</v>
      </c>
      <c r="R156">
        <v>86.86</v>
      </c>
      <c r="S156">
        <v>86.86</v>
      </c>
      <c r="T156">
        <v>86.86</v>
      </c>
    </row>
    <row r="157" spans="1:24" ht="13.5" thickBot="1">
      <c r="A157" s="70" t="s">
        <v>2993</v>
      </c>
      <c r="B157">
        <v>145</v>
      </c>
      <c r="C157">
        <v>101.916</v>
      </c>
      <c r="D157">
        <v>0.314</v>
      </c>
      <c r="E157">
        <v>1.0269999999999999</v>
      </c>
      <c r="F157">
        <v>143</v>
      </c>
      <c r="G157">
        <v>569</v>
      </c>
      <c r="H157">
        <v>53.8</v>
      </c>
      <c r="I157">
        <v>565.79999999999995</v>
      </c>
      <c r="J157">
        <v>0.16</v>
      </c>
      <c r="K157">
        <v>0.41326000000000002</v>
      </c>
      <c r="L157">
        <v>0.64746344874533646</v>
      </c>
      <c r="M157">
        <v>7.4756</v>
      </c>
      <c r="N157">
        <v>13.321999999999999</v>
      </c>
      <c r="O157">
        <v>-258.95999999999998</v>
      </c>
      <c r="P157">
        <v>-209.33699999999999</v>
      </c>
      <c r="Q157">
        <v>26.9</v>
      </c>
      <c r="R157">
        <v>0.14299999999999999</v>
      </c>
      <c r="S157">
        <v>-7.6000000000000004E-5</v>
      </c>
      <c r="T157" s="1">
        <v>-1.2E-9</v>
      </c>
      <c r="U157">
        <v>1</v>
      </c>
      <c r="V157">
        <v>0</v>
      </c>
      <c r="W157">
        <v>2</v>
      </c>
      <c r="X157">
        <v>1</v>
      </c>
    </row>
    <row r="158" spans="1:24">
      <c r="A158" s="69" t="s">
        <v>2999</v>
      </c>
      <c r="B158">
        <v>152</v>
      </c>
      <c r="C158">
        <v>44.009900000000002</v>
      </c>
      <c r="D158">
        <v>86.86</v>
      </c>
      <c r="E158">
        <v>86.86</v>
      </c>
      <c r="F158">
        <v>86.86</v>
      </c>
      <c r="G158">
        <v>86.86</v>
      </c>
      <c r="H158">
        <v>86.86</v>
      </c>
      <c r="I158">
        <v>86.86</v>
      </c>
      <c r="J158">
        <v>86.86</v>
      </c>
      <c r="K158">
        <v>86.86</v>
      </c>
      <c r="L158">
        <v>86.86</v>
      </c>
      <c r="M158">
        <v>86.86</v>
      </c>
      <c r="N158">
        <v>86.86</v>
      </c>
      <c r="O158">
        <v>86.86</v>
      </c>
      <c r="P158">
        <v>86.86</v>
      </c>
      <c r="Q158">
        <v>86.86</v>
      </c>
      <c r="R158">
        <v>86.86</v>
      </c>
      <c r="S158">
        <v>86.86</v>
      </c>
      <c r="T158">
        <v>86.86</v>
      </c>
    </row>
    <row r="159" spans="1:24">
      <c r="A159" s="69" t="s">
        <v>3000</v>
      </c>
      <c r="B159">
        <v>186</v>
      </c>
      <c r="C159">
        <v>61.017200000000003</v>
      </c>
      <c r="D159">
        <v>86.86</v>
      </c>
      <c r="E159">
        <v>86.86</v>
      </c>
      <c r="F159">
        <v>86.86</v>
      </c>
      <c r="G159">
        <v>86.86</v>
      </c>
      <c r="H159">
        <v>86.86</v>
      </c>
      <c r="I159">
        <v>86.86</v>
      </c>
      <c r="J159">
        <v>86.86</v>
      </c>
      <c r="K159">
        <v>86.86</v>
      </c>
      <c r="L159">
        <v>86.86</v>
      </c>
      <c r="M159">
        <v>86.86</v>
      </c>
      <c r="N159">
        <v>86.86</v>
      </c>
      <c r="O159">
        <v>86.86</v>
      </c>
      <c r="P159">
        <v>86.86</v>
      </c>
      <c r="Q159">
        <v>86.86</v>
      </c>
      <c r="R159">
        <v>86.86</v>
      </c>
      <c r="S159">
        <v>86.86</v>
      </c>
      <c r="T159">
        <v>86.86</v>
      </c>
    </row>
    <row r="160" spans="1:24" ht="13.5" thickBot="1">
      <c r="A160" s="69" t="s">
        <v>3001</v>
      </c>
      <c r="B160">
        <v>309</v>
      </c>
      <c r="C160">
        <v>78.024500000000003</v>
      </c>
      <c r="D160">
        <v>86.86</v>
      </c>
      <c r="E160">
        <v>86.86</v>
      </c>
      <c r="F160">
        <v>86.86</v>
      </c>
      <c r="G160">
        <v>86.86</v>
      </c>
      <c r="H160">
        <v>86.86</v>
      </c>
      <c r="I160">
        <v>86.86</v>
      </c>
      <c r="J160">
        <v>86.86</v>
      </c>
      <c r="K160">
        <v>86.86</v>
      </c>
      <c r="L160">
        <v>86.86</v>
      </c>
      <c r="M160">
        <v>86.86</v>
      </c>
      <c r="N160">
        <v>86.86</v>
      </c>
      <c r="O160">
        <v>86.86</v>
      </c>
      <c r="P160">
        <v>86.86</v>
      </c>
      <c r="Q160">
        <v>86.86</v>
      </c>
      <c r="R160">
        <v>86.86</v>
      </c>
      <c r="S160">
        <v>86.86</v>
      </c>
      <c r="T160">
        <v>86.86</v>
      </c>
    </row>
    <row r="161" spans="1:20">
      <c r="A161" s="71" t="s">
        <v>3002</v>
      </c>
      <c r="B161">
        <v>153</v>
      </c>
      <c r="C161">
        <v>57.095500000000001</v>
      </c>
      <c r="D161">
        <v>86.86</v>
      </c>
      <c r="E161">
        <v>86.86</v>
      </c>
      <c r="F161">
        <v>86.86</v>
      </c>
      <c r="G161">
        <v>86.86</v>
      </c>
      <c r="H161">
        <v>86.86</v>
      </c>
      <c r="I161">
        <v>86.86</v>
      </c>
      <c r="J161">
        <v>86.86</v>
      </c>
      <c r="K161">
        <v>86.86</v>
      </c>
      <c r="L161">
        <v>86.86</v>
      </c>
      <c r="M161">
        <v>86.86</v>
      </c>
      <c r="N161">
        <v>86.86</v>
      </c>
      <c r="O161">
        <v>86.86</v>
      </c>
      <c r="P161">
        <v>86.86</v>
      </c>
      <c r="Q161">
        <v>86.86</v>
      </c>
      <c r="R161">
        <v>86.86</v>
      </c>
      <c r="S161">
        <v>86.86</v>
      </c>
      <c r="T161">
        <v>86.86</v>
      </c>
    </row>
    <row r="162" spans="1:20">
      <c r="A162" s="69" t="s">
        <v>3003</v>
      </c>
      <c r="B162">
        <v>154</v>
      </c>
      <c r="C162">
        <v>56.087600000000002</v>
      </c>
      <c r="D162">
        <v>86.86</v>
      </c>
      <c r="E162">
        <v>86.86</v>
      </c>
      <c r="F162">
        <v>86.86</v>
      </c>
      <c r="G162">
        <v>86.86</v>
      </c>
      <c r="H162">
        <v>86.86</v>
      </c>
      <c r="I162">
        <v>86.86</v>
      </c>
      <c r="J162">
        <v>86.86</v>
      </c>
      <c r="K162">
        <v>86.86</v>
      </c>
      <c r="L162">
        <v>86.86</v>
      </c>
      <c r="M162">
        <v>86.86</v>
      </c>
      <c r="N162">
        <v>86.86</v>
      </c>
      <c r="O162">
        <v>86.86</v>
      </c>
      <c r="P162">
        <v>86.86</v>
      </c>
      <c r="Q162">
        <v>86.86</v>
      </c>
      <c r="R162">
        <v>86.86</v>
      </c>
      <c r="S162">
        <v>86.86</v>
      </c>
      <c r="T162">
        <v>86.86</v>
      </c>
    </row>
    <row r="163" spans="1:20" ht="13.5" thickBot="1">
      <c r="A163" s="70" t="s">
        <v>3004</v>
      </c>
      <c r="B163">
        <v>155</v>
      </c>
      <c r="C163">
        <v>55.079700000000003</v>
      </c>
      <c r="D163">
        <v>86.86</v>
      </c>
      <c r="E163">
        <v>86.86</v>
      </c>
      <c r="F163">
        <v>86.86</v>
      </c>
      <c r="G163">
        <v>86.86</v>
      </c>
      <c r="H163">
        <v>86.86</v>
      </c>
      <c r="I163">
        <v>86.86</v>
      </c>
      <c r="J163">
        <v>86.86</v>
      </c>
      <c r="K163">
        <v>86.86</v>
      </c>
      <c r="L163">
        <v>86.86</v>
      </c>
      <c r="M163">
        <v>86.86</v>
      </c>
      <c r="N163">
        <v>86.86</v>
      </c>
      <c r="O163">
        <v>86.86</v>
      </c>
      <c r="P163">
        <v>86.86</v>
      </c>
      <c r="Q163">
        <v>86.86</v>
      </c>
      <c r="R163">
        <v>86.86</v>
      </c>
      <c r="S163">
        <v>86.86</v>
      </c>
      <c r="T163">
        <v>86.86</v>
      </c>
    </row>
    <row r="164" spans="1:20">
      <c r="A164" s="69" t="s">
        <v>3005</v>
      </c>
      <c r="B164">
        <v>156</v>
      </c>
      <c r="C164">
        <v>43.0685</v>
      </c>
      <c r="D164">
        <v>86.86</v>
      </c>
      <c r="E164">
        <v>86.86</v>
      </c>
      <c r="F164">
        <v>86.86</v>
      </c>
      <c r="G164">
        <v>86.86</v>
      </c>
      <c r="H164">
        <v>86.86</v>
      </c>
      <c r="I164">
        <v>86.86</v>
      </c>
      <c r="J164">
        <v>86.86</v>
      </c>
      <c r="K164">
        <v>86.86</v>
      </c>
      <c r="L164">
        <v>86.86</v>
      </c>
      <c r="M164">
        <v>86.86</v>
      </c>
      <c r="N164">
        <v>86.86</v>
      </c>
      <c r="O164">
        <v>86.86</v>
      </c>
      <c r="P164">
        <v>86.86</v>
      </c>
      <c r="Q164">
        <v>86.86</v>
      </c>
      <c r="R164">
        <v>86.86</v>
      </c>
      <c r="S164">
        <v>86.86</v>
      </c>
      <c r="T164">
        <v>86.86</v>
      </c>
    </row>
    <row r="165" spans="1:20">
      <c r="A165" s="69" t="s">
        <v>3006</v>
      </c>
      <c r="B165">
        <v>157</v>
      </c>
      <c r="C165">
        <v>42.060600000000001</v>
      </c>
      <c r="D165">
        <v>86.86</v>
      </c>
      <c r="E165">
        <v>86.86</v>
      </c>
      <c r="F165">
        <v>86.86</v>
      </c>
      <c r="G165">
        <v>86.86</v>
      </c>
      <c r="H165">
        <v>86.86</v>
      </c>
      <c r="I165">
        <v>86.86</v>
      </c>
      <c r="J165">
        <v>86.86</v>
      </c>
      <c r="K165">
        <v>86.86</v>
      </c>
      <c r="L165">
        <v>86.86</v>
      </c>
      <c r="M165">
        <v>86.86</v>
      </c>
      <c r="N165">
        <v>86.86</v>
      </c>
      <c r="O165">
        <v>86.86</v>
      </c>
      <c r="P165">
        <v>86.86</v>
      </c>
      <c r="Q165">
        <v>86.86</v>
      </c>
      <c r="R165">
        <v>86.86</v>
      </c>
      <c r="S165">
        <v>86.86</v>
      </c>
      <c r="T165">
        <v>86.86</v>
      </c>
    </row>
    <row r="166" spans="1:20" ht="13.5" thickBot="1">
      <c r="A166" s="70" t="s">
        <v>3007</v>
      </c>
      <c r="B166">
        <v>158</v>
      </c>
      <c r="C166">
        <v>41.052700000000002</v>
      </c>
      <c r="D166">
        <v>86.86</v>
      </c>
      <c r="E166">
        <v>86.86</v>
      </c>
      <c r="F166">
        <v>86.86</v>
      </c>
      <c r="G166">
        <v>86.86</v>
      </c>
      <c r="H166">
        <v>86.86</v>
      </c>
      <c r="I166">
        <v>86.86</v>
      </c>
      <c r="J166">
        <v>86.86</v>
      </c>
      <c r="K166">
        <v>86.86</v>
      </c>
      <c r="L166">
        <v>86.86</v>
      </c>
      <c r="M166">
        <v>86.86</v>
      </c>
      <c r="N166">
        <v>86.86</v>
      </c>
      <c r="O166">
        <v>86.86</v>
      </c>
      <c r="P166">
        <v>86.86</v>
      </c>
      <c r="Q166">
        <v>86.86</v>
      </c>
      <c r="R166">
        <v>86.86</v>
      </c>
      <c r="S166">
        <v>86.86</v>
      </c>
      <c r="T166">
        <v>86.86</v>
      </c>
    </row>
    <row r="167" spans="1:20">
      <c r="A167" s="69" t="s">
        <v>3008</v>
      </c>
      <c r="B167">
        <v>159</v>
      </c>
      <c r="C167">
        <v>42.037500000000001</v>
      </c>
      <c r="D167">
        <v>86.86</v>
      </c>
      <c r="E167">
        <v>86.86</v>
      </c>
      <c r="F167">
        <v>86.86</v>
      </c>
      <c r="G167">
        <v>86.86</v>
      </c>
      <c r="H167">
        <v>86.86</v>
      </c>
      <c r="I167">
        <v>86.86</v>
      </c>
      <c r="J167">
        <v>86.86</v>
      </c>
      <c r="K167">
        <v>86.86</v>
      </c>
      <c r="L167">
        <v>86.86</v>
      </c>
      <c r="M167">
        <v>86.86</v>
      </c>
      <c r="N167">
        <v>86.86</v>
      </c>
      <c r="O167">
        <v>86.86</v>
      </c>
      <c r="P167">
        <v>86.86</v>
      </c>
      <c r="Q167">
        <v>86.86</v>
      </c>
      <c r="R167">
        <v>86.86</v>
      </c>
      <c r="S167">
        <v>86.86</v>
      </c>
      <c r="T167">
        <v>86.86</v>
      </c>
    </row>
    <row r="168" spans="1:20">
      <c r="A168" s="69" t="s">
        <v>3009</v>
      </c>
      <c r="B168">
        <v>160</v>
      </c>
      <c r="C168">
        <v>41.029600000000002</v>
      </c>
      <c r="D168">
        <v>86.86</v>
      </c>
      <c r="E168">
        <v>86.86</v>
      </c>
      <c r="F168">
        <v>86.86</v>
      </c>
      <c r="G168">
        <v>86.86</v>
      </c>
      <c r="H168">
        <v>86.86</v>
      </c>
      <c r="I168">
        <v>86.86</v>
      </c>
      <c r="J168">
        <v>86.86</v>
      </c>
      <c r="K168">
        <v>86.86</v>
      </c>
      <c r="L168">
        <v>86.86</v>
      </c>
      <c r="M168">
        <v>86.86</v>
      </c>
      <c r="N168">
        <v>86.86</v>
      </c>
      <c r="O168">
        <v>86.86</v>
      </c>
      <c r="P168">
        <v>86.86</v>
      </c>
      <c r="Q168">
        <v>86.86</v>
      </c>
      <c r="R168">
        <v>86.86</v>
      </c>
      <c r="S168">
        <v>86.86</v>
      </c>
      <c r="T168">
        <v>86.86</v>
      </c>
    </row>
    <row r="169" spans="1:20" ht="13.5" thickBot="1">
      <c r="A169" s="70" t="s">
        <v>3010</v>
      </c>
      <c r="B169">
        <v>161</v>
      </c>
      <c r="C169">
        <v>40.021700000000003</v>
      </c>
      <c r="D169">
        <v>86.86</v>
      </c>
      <c r="E169">
        <v>86.86</v>
      </c>
      <c r="F169">
        <v>86.86</v>
      </c>
      <c r="G169">
        <v>86.86</v>
      </c>
      <c r="H169">
        <v>86.86</v>
      </c>
      <c r="I169">
        <v>86.86</v>
      </c>
      <c r="J169">
        <v>86.86</v>
      </c>
      <c r="K169">
        <v>86.86</v>
      </c>
      <c r="L169">
        <v>86.86</v>
      </c>
      <c r="M169">
        <v>86.86</v>
      </c>
      <c r="N169">
        <v>86.86</v>
      </c>
      <c r="O169">
        <v>86.86</v>
      </c>
      <c r="P169">
        <v>86.86</v>
      </c>
      <c r="Q169">
        <v>86.86</v>
      </c>
      <c r="R169">
        <v>86.86</v>
      </c>
      <c r="S169">
        <v>86.86</v>
      </c>
      <c r="T169">
        <v>86.86</v>
      </c>
    </row>
    <row r="170" spans="1:20">
      <c r="A170" s="69" t="s">
        <v>3011</v>
      </c>
      <c r="B170">
        <v>188</v>
      </c>
      <c r="C170">
        <v>29.041499999999999</v>
      </c>
      <c r="D170">
        <v>86.86</v>
      </c>
      <c r="E170">
        <v>86.86</v>
      </c>
      <c r="F170">
        <v>86.86</v>
      </c>
      <c r="G170">
        <v>86.86</v>
      </c>
      <c r="H170">
        <v>86.86</v>
      </c>
      <c r="I170">
        <v>86.86</v>
      </c>
      <c r="J170">
        <v>86.86</v>
      </c>
      <c r="K170">
        <v>86.86</v>
      </c>
      <c r="L170">
        <v>86.86</v>
      </c>
      <c r="M170">
        <v>86.86</v>
      </c>
      <c r="N170">
        <v>86.86</v>
      </c>
      <c r="O170">
        <v>86.86</v>
      </c>
      <c r="P170">
        <v>86.86</v>
      </c>
      <c r="Q170">
        <v>86.86</v>
      </c>
      <c r="R170">
        <v>86.86</v>
      </c>
      <c r="S170">
        <v>86.86</v>
      </c>
      <c r="T170">
        <v>86.86</v>
      </c>
    </row>
    <row r="171" spans="1:20">
      <c r="A171" s="69" t="s">
        <v>3012</v>
      </c>
      <c r="B171">
        <v>162</v>
      </c>
      <c r="C171">
        <v>28.0336</v>
      </c>
      <c r="D171">
        <v>86.86</v>
      </c>
      <c r="E171">
        <v>86.86</v>
      </c>
      <c r="F171">
        <v>86.86</v>
      </c>
      <c r="G171">
        <v>86.86</v>
      </c>
      <c r="H171">
        <v>86.86</v>
      </c>
      <c r="I171">
        <v>86.86</v>
      </c>
      <c r="J171">
        <v>86.86</v>
      </c>
      <c r="K171">
        <v>86.86</v>
      </c>
      <c r="L171">
        <v>86.86</v>
      </c>
      <c r="M171">
        <v>86.86</v>
      </c>
      <c r="N171">
        <v>86.86</v>
      </c>
      <c r="O171">
        <v>86.86</v>
      </c>
      <c r="P171">
        <v>86.86</v>
      </c>
      <c r="Q171">
        <v>86.86</v>
      </c>
      <c r="R171">
        <v>86.86</v>
      </c>
      <c r="S171">
        <v>86.86</v>
      </c>
      <c r="T171">
        <v>86.86</v>
      </c>
    </row>
    <row r="172" spans="1:20" ht="13.5" thickBot="1">
      <c r="A172" s="69" t="s">
        <v>3013</v>
      </c>
      <c r="B172">
        <v>163</v>
      </c>
      <c r="C172">
        <v>27.025700000000001</v>
      </c>
      <c r="D172">
        <v>86.86</v>
      </c>
      <c r="E172">
        <v>86.86</v>
      </c>
      <c r="F172">
        <v>86.86</v>
      </c>
      <c r="G172">
        <v>86.86</v>
      </c>
      <c r="H172">
        <v>86.86</v>
      </c>
      <c r="I172">
        <v>86.86</v>
      </c>
      <c r="J172">
        <v>86.86</v>
      </c>
      <c r="K172">
        <v>86.86</v>
      </c>
      <c r="L172">
        <v>86.86</v>
      </c>
      <c r="M172">
        <v>86.86</v>
      </c>
      <c r="N172">
        <v>86.86</v>
      </c>
      <c r="O172">
        <v>86.86</v>
      </c>
      <c r="P172">
        <v>86.86</v>
      </c>
      <c r="Q172">
        <v>86.86</v>
      </c>
      <c r="R172">
        <v>86.86</v>
      </c>
      <c r="S172">
        <v>86.86</v>
      </c>
      <c r="T172">
        <v>86.86</v>
      </c>
    </row>
    <row r="173" spans="1:20">
      <c r="A173" s="71" t="s">
        <v>3014</v>
      </c>
      <c r="B173">
        <v>189</v>
      </c>
      <c r="C173">
        <v>44.0764</v>
      </c>
      <c r="D173">
        <v>86.86</v>
      </c>
      <c r="E173">
        <v>86.86</v>
      </c>
      <c r="F173">
        <v>86.86</v>
      </c>
      <c r="G173">
        <v>86.86</v>
      </c>
      <c r="H173">
        <v>86.86</v>
      </c>
      <c r="I173">
        <v>86.86</v>
      </c>
      <c r="J173">
        <v>86.86</v>
      </c>
      <c r="K173">
        <v>86.86</v>
      </c>
      <c r="L173">
        <v>86.86</v>
      </c>
      <c r="M173">
        <v>86.86</v>
      </c>
      <c r="N173">
        <v>86.86</v>
      </c>
      <c r="O173">
        <v>86.86</v>
      </c>
      <c r="P173">
        <v>86.86</v>
      </c>
      <c r="Q173">
        <v>86.86</v>
      </c>
      <c r="R173">
        <v>86.86</v>
      </c>
      <c r="S173">
        <v>86.86</v>
      </c>
      <c r="T173">
        <v>86.86</v>
      </c>
    </row>
    <row r="174" spans="1:20">
      <c r="A174" s="69" t="s">
        <v>3015</v>
      </c>
      <c r="B174">
        <v>190</v>
      </c>
      <c r="C174">
        <v>43.0685</v>
      </c>
      <c r="D174">
        <v>86.86</v>
      </c>
      <c r="E174">
        <v>86.86</v>
      </c>
      <c r="F174">
        <v>86.86</v>
      </c>
      <c r="G174">
        <v>86.86</v>
      </c>
      <c r="H174">
        <v>86.86</v>
      </c>
      <c r="I174">
        <v>86.86</v>
      </c>
      <c r="J174">
        <v>86.86</v>
      </c>
      <c r="K174">
        <v>86.86</v>
      </c>
      <c r="L174">
        <v>86.86</v>
      </c>
      <c r="M174">
        <v>86.86</v>
      </c>
      <c r="N174">
        <v>86.86</v>
      </c>
      <c r="O174">
        <v>86.86</v>
      </c>
      <c r="P174">
        <v>86.86</v>
      </c>
      <c r="Q174">
        <v>86.86</v>
      </c>
      <c r="R174">
        <v>86.86</v>
      </c>
      <c r="S174">
        <v>86.86</v>
      </c>
      <c r="T174">
        <v>86.86</v>
      </c>
    </row>
    <row r="175" spans="1:20">
      <c r="A175" s="69" t="s">
        <v>3016</v>
      </c>
      <c r="B175">
        <v>191</v>
      </c>
      <c r="C175">
        <v>42.060600000000001</v>
      </c>
      <c r="D175">
        <v>86.86</v>
      </c>
      <c r="E175">
        <v>86.86</v>
      </c>
      <c r="F175">
        <v>86.86</v>
      </c>
      <c r="G175">
        <v>86.86</v>
      </c>
      <c r="H175">
        <v>86.86</v>
      </c>
      <c r="I175">
        <v>86.86</v>
      </c>
      <c r="J175">
        <v>86.86</v>
      </c>
      <c r="K175">
        <v>86.86</v>
      </c>
      <c r="L175">
        <v>86.86</v>
      </c>
      <c r="M175">
        <v>86.86</v>
      </c>
      <c r="N175">
        <v>86.86</v>
      </c>
      <c r="O175">
        <v>86.86</v>
      </c>
      <c r="P175">
        <v>86.86</v>
      </c>
      <c r="Q175">
        <v>86.86</v>
      </c>
      <c r="R175">
        <v>86.86</v>
      </c>
      <c r="S175">
        <v>86.86</v>
      </c>
      <c r="T175">
        <v>86.86</v>
      </c>
    </row>
    <row r="176" spans="1:20">
      <c r="A176" s="69" t="s">
        <v>3017</v>
      </c>
      <c r="B176">
        <v>164</v>
      </c>
      <c r="C176">
        <v>43.0685</v>
      </c>
      <c r="D176">
        <v>86.86</v>
      </c>
      <c r="E176">
        <v>86.86</v>
      </c>
      <c r="F176">
        <v>86.86</v>
      </c>
      <c r="G176">
        <v>86.86</v>
      </c>
      <c r="H176">
        <v>86.86</v>
      </c>
      <c r="I176">
        <v>86.86</v>
      </c>
      <c r="J176">
        <v>86.86</v>
      </c>
      <c r="K176">
        <v>86.86</v>
      </c>
      <c r="L176">
        <v>86.86</v>
      </c>
      <c r="M176">
        <v>86.86</v>
      </c>
      <c r="N176">
        <v>86.86</v>
      </c>
      <c r="O176">
        <v>86.86</v>
      </c>
      <c r="P176">
        <v>86.86</v>
      </c>
      <c r="Q176">
        <v>86.86</v>
      </c>
      <c r="R176">
        <v>86.86</v>
      </c>
      <c r="S176">
        <v>86.86</v>
      </c>
      <c r="T176">
        <v>86.86</v>
      </c>
    </row>
    <row r="177" spans="1:20">
      <c r="A177" s="69" t="s">
        <v>3018</v>
      </c>
      <c r="B177">
        <v>165</v>
      </c>
      <c r="C177">
        <v>42.060600000000001</v>
      </c>
      <c r="D177">
        <v>86.86</v>
      </c>
      <c r="E177">
        <v>86.86</v>
      </c>
      <c r="F177">
        <v>86.86</v>
      </c>
      <c r="G177">
        <v>86.86</v>
      </c>
      <c r="H177">
        <v>86.86</v>
      </c>
      <c r="I177">
        <v>86.86</v>
      </c>
      <c r="J177">
        <v>86.86</v>
      </c>
      <c r="K177">
        <v>86.86</v>
      </c>
      <c r="L177">
        <v>86.86</v>
      </c>
      <c r="M177">
        <v>86.86</v>
      </c>
      <c r="N177">
        <v>86.86</v>
      </c>
      <c r="O177">
        <v>86.86</v>
      </c>
      <c r="P177">
        <v>86.86</v>
      </c>
      <c r="Q177">
        <v>86.86</v>
      </c>
      <c r="R177">
        <v>86.86</v>
      </c>
      <c r="S177">
        <v>86.86</v>
      </c>
      <c r="T177">
        <v>86.86</v>
      </c>
    </row>
    <row r="178" spans="1:20" ht="13.5" thickBot="1">
      <c r="A178" s="70" t="s">
        <v>3019</v>
      </c>
      <c r="B178">
        <v>166</v>
      </c>
      <c r="C178">
        <v>41.052700000000002</v>
      </c>
      <c r="D178">
        <v>86.86</v>
      </c>
      <c r="E178">
        <v>86.86</v>
      </c>
      <c r="F178">
        <v>86.86</v>
      </c>
      <c r="G178">
        <v>86.86</v>
      </c>
      <c r="H178">
        <v>86.86</v>
      </c>
      <c r="I178">
        <v>86.86</v>
      </c>
      <c r="J178">
        <v>86.86</v>
      </c>
      <c r="K178">
        <v>86.86</v>
      </c>
      <c r="L178">
        <v>86.86</v>
      </c>
      <c r="M178">
        <v>86.86</v>
      </c>
      <c r="N178">
        <v>86.86</v>
      </c>
      <c r="O178">
        <v>86.86</v>
      </c>
      <c r="P178">
        <v>86.86</v>
      </c>
      <c r="Q178">
        <v>86.86</v>
      </c>
      <c r="R178">
        <v>86.86</v>
      </c>
      <c r="S178">
        <v>86.86</v>
      </c>
      <c r="T178">
        <v>86.86</v>
      </c>
    </row>
    <row r="179" spans="1:20">
      <c r="A179" s="69" t="s">
        <v>3020</v>
      </c>
      <c r="B179">
        <v>170</v>
      </c>
      <c r="C179">
        <v>31.109200000000001</v>
      </c>
      <c r="D179">
        <v>0.20899999999999999</v>
      </c>
      <c r="E179">
        <v>0.39800000000000002</v>
      </c>
      <c r="F179">
        <v>-6</v>
      </c>
      <c r="G179">
        <v>86.86</v>
      </c>
      <c r="H179">
        <v>21.6</v>
      </c>
      <c r="I179">
        <v>86.86</v>
      </c>
      <c r="J179">
        <v>3.5000000000000003E-2</v>
      </c>
      <c r="K179">
        <v>7.6100000000000001E-2</v>
      </c>
      <c r="L179">
        <v>0.16092215071533486</v>
      </c>
      <c r="M179">
        <v>86.86</v>
      </c>
      <c r="N179">
        <v>3.4</v>
      </c>
      <c r="O179">
        <v>86.86</v>
      </c>
      <c r="P179">
        <v>86.86</v>
      </c>
      <c r="Q179">
        <v>86.86</v>
      </c>
      <c r="R179">
        <v>86.86</v>
      </c>
      <c r="S179">
        <v>86.86</v>
      </c>
      <c r="T179">
        <v>86.86</v>
      </c>
    </row>
    <row r="180" spans="1:20">
      <c r="A180" s="69" t="s">
        <v>3021</v>
      </c>
      <c r="B180">
        <v>171</v>
      </c>
      <c r="C180">
        <v>30.101299999999998</v>
      </c>
      <c r="D180">
        <v>0.20499999999999999</v>
      </c>
      <c r="E180">
        <v>0.29799999999999999</v>
      </c>
      <c r="F180">
        <v>41</v>
      </c>
      <c r="G180">
        <v>86.86</v>
      </c>
      <c r="H180">
        <v>58.4</v>
      </c>
      <c r="I180">
        <v>86.86</v>
      </c>
      <c r="J180">
        <v>3.5000000000000003E-2</v>
      </c>
      <c r="K180">
        <v>1.035E-2</v>
      </c>
      <c r="L180">
        <v>5.2175747343795369E-2</v>
      </c>
      <c r="M180">
        <v>86.86</v>
      </c>
      <c r="N180">
        <v>3.4</v>
      </c>
      <c r="O180">
        <v>86.86</v>
      </c>
      <c r="P180">
        <v>86.86</v>
      </c>
      <c r="Q180">
        <v>86.86</v>
      </c>
      <c r="R180">
        <v>86.86</v>
      </c>
      <c r="S180">
        <v>86.86</v>
      </c>
      <c r="T180">
        <v>86.86</v>
      </c>
    </row>
    <row r="181" spans="1:20">
      <c r="A181" s="69" t="s">
        <v>3022</v>
      </c>
      <c r="B181">
        <v>172</v>
      </c>
      <c r="C181">
        <v>29.093399999999999</v>
      </c>
      <c r="D181">
        <v>0.151</v>
      </c>
      <c r="E181">
        <v>0.251</v>
      </c>
      <c r="F181">
        <v>25</v>
      </c>
      <c r="G181">
        <v>86.86</v>
      </c>
      <c r="H181">
        <v>53.7</v>
      </c>
      <c r="I181">
        <v>86.86</v>
      </c>
      <c r="J181">
        <v>3.5000000000000003E-2</v>
      </c>
      <c r="K181">
        <v>0.19159000000000001</v>
      </c>
      <c r="L181">
        <v>0.43822904034498061</v>
      </c>
      <c r="M181">
        <v>86.86</v>
      </c>
      <c r="N181">
        <v>3.4</v>
      </c>
      <c r="O181">
        <v>86.86</v>
      </c>
      <c r="P181">
        <v>86.86</v>
      </c>
      <c r="Q181">
        <v>86.86</v>
      </c>
      <c r="R181">
        <v>86.86</v>
      </c>
      <c r="S181">
        <v>86.86</v>
      </c>
      <c r="T181">
        <v>86.86</v>
      </c>
    </row>
    <row r="182" spans="1:20" ht="13.5" thickBot="1">
      <c r="A182" s="70" t="s">
        <v>3023</v>
      </c>
      <c r="B182">
        <v>173</v>
      </c>
      <c r="C182">
        <v>28.0855</v>
      </c>
      <c r="D182">
        <v>0.14399999999999999</v>
      </c>
      <c r="E182">
        <v>0.26900000000000002</v>
      </c>
      <c r="F182">
        <v>37</v>
      </c>
      <c r="G182">
        <v>86.86</v>
      </c>
      <c r="H182">
        <v>50.3</v>
      </c>
      <c r="I182">
        <v>86.86</v>
      </c>
      <c r="J182">
        <v>3.5000000000000003E-2</v>
      </c>
      <c r="K182">
        <v>0.21529000000000001</v>
      </c>
      <c r="L182">
        <v>0.40798720089362372</v>
      </c>
      <c r="M182">
        <v>86.86</v>
      </c>
      <c r="N182">
        <v>3.4</v>
      </c>
      <c r="O182">
        <v>86.86</v>
      </c>
      <c r="P182">
        <v>86.86</v>
      </c>
      <c r="Q182">
        <v>86.86</v>
      </c>
      <c r="R182">
        <v>86.86</v>
      </c>
      <c r="S182">
        <v>86.86</v>
      </c>
      <c r="T182">
        <v>86.86</v>
      </c>
    </row>
    <row r="183" spans="1:20">
      <c r="A183" s="69" t="s">
        <v>3024</v>
      </c>
      <c r="B183">
        <v>174</v>
      </c>
      <c r="C183">
        <v>46.100700000000003</v>
      </c>
      <c r="D183">
        <v>0.245</v>
      </c>
      <c r="E183">
        <v>0.67500000000000004</v>
      </c>
      <c r="F183">
        <v>108</v>
      </c>
      <c r="G183">
        <v>86.86</v>
      </c>
      <c r="H183">
        <v>33.799999999999997</v>
      </c>
      <c r="I183">
        <v>86.86</v>
      </c>
      <c r="J183">
        <v>2.8000000000000001E-2</v>
      </c>
      <c r="K183">
        <v>2.5368499999999998</v>
      </c>
      <c r="L183">
        <v>1.819</v>
      </c>
      <c r="M183">
        <v>86.86</v>
      </c>
      <c r="N183">
        <v>6.8</v>
      </c>
      <c r="O183">
        <v>86.86</v>
      </c>
      <c r="P183">
        <v>86.86</v>
      </c>
      <c r="Q183">
        <v>86.86</v>
      </c>
      <c r="R183">
        <v>86.86</v>
      </c>
      <c r="S183">
        <v>86.86</v>
      </c>
      <c r="T183">
        <v>86.86</v>
      </c>
    </row>
    <row r="184" spans="1:20">
      <c r="A184" s="69" t="s">
        <v>3025</v>
      </c>
      <c r="B184">
        <v>175</v>
      </c>
      <c r="C184">
        <v>45.092799999999997</v>
      </c>
      <c r="D184">
        <v>0.245</v>
      </c>
      <c r="E184">
        <v>0.67500000000000004</v>
      </c>
      <c r="F184">
        <v>108</v>
      </c>
      <c r="G184">
        <v>86.86</v>
      </c>
      <c r="H184">
        <v>33.799999999999997</v>
      </c>
      <c r="I184">
        <v>86.86</v>
      </c>
      <c r="J184">
        <v>2.8000000000000001E-2</v>
      </c>
      <c r="K184">
        <v>2.5368499999999998</v>
      </c>
      <c r="L184">
        <v>1.819</v>
      </c>
      <c r="M184">
        <v>86.86</v>
      </c>
      <c r="N184">
        <v>6.8</v>
      </c>
      <c r="O184">
        <v>86.86</v>
      </c>
      <c r="P184">
        <v>86.86</v>
      </c>
      <c r="Q184">
        <v>86.86</v>
      </c>
      <c r="R184">
        <v>86.86</v>
      </c>
      <c r="S184">
        <v>86.86</v>
      </c>
      <c r="T184">
        <v>86.86</v>
      </c>
    </row>
    <row r="185" spans="1:20" ht="13.5" thickBot="1">
      <c r="A185" s="70" t="s">
        <v>3026</v>
      </c>
      <c r="B185">
        <v>176</v>
      </c>
      <c r="C185">
        <v>44.084899999999998</v>
      </c>
      <c r="D185">
        <v>0.215</v>
      </c>
      <c r="E185">
        <v>0.64500000000000002</v>
      </c>
      <c r="F185">
        <v>108</v>
      </c>
      <c r="G185">
        <v>86.86</v>
      </c>
      <c r="H185">
        <v>33.799999999999997</v>
      </c>
      <c r="I185">
        <v>86.86</v>
      </c>
      <c r="J185">
        <v>2.8000000000000001E-2</v>
      </c>
      <c r="K185">
        <v>0.79590000000000005</v>
      </c>
      <c r="L185">
        <v>1.6763162403658314</v>
      </c>
      <c r="M185">
        <v>86.86</v>
      </c>
      <c r="N185">
        <v>6.8</v>
      </c>
      <c r="O185">
        <v>86.86</v>
      </c>
      <c r="P185">
        <v>86.86</v>
      </c>
      <c r="Q185">
        <v>86.86</v>
      </c>
      <c r="R185">
        <v>86.86</v>
      </c>
      <c r="S185">
        <v>86.86</v>
      </c>
      <c r="T185">
        <v>86.86</v>
      </c>
    </row>
    <row r="186" spans="1:20">
      <c r="A186" s="69" t="s">
        <v>3027</v>
      </c>
      <c r="B186">
        <v>309</v>
      </c>
      <c r="C186">
        <v>45.040799999999997</v>
      </c>
      <c r="D186">
        <v>86.86</v>
      </c>
      <c r="E186">
        <v>86.86</v>
      </c>
      <c r="F186">
        <v>86.86</v>
      </c>
      <c r="G186">
        <v>86.86</v>
      </c>
      <c r="H186">
        <v>86.86</v>
      </c>
      <c r="I186">
        <v>86.86</v>
      </c>
      <c r="J186">
        <v>86.86</v>
      </c>
      <c r="K186">
        <v>86.86</v>
      </c>
      <c r="L186">
        <v>86.86</v>
      </c>
      <c r="M186">
        <v>86.86</v>
      </c>
      <c r="N186">
        <v>86.86</v>
      </c>
      <c r="O186">
        <v>86.86</v>
      </c>
      <c r="P186">
        <v>86.86</v>
      </c>
      <c r="Q186">
        <v>86.86</v>
      </c>
      <c r="R186">
        <v>86.86</v>
      </c>
      <c r="S186">
        <v>86.86</v>
      </c>
      <c r="T186">
        <v>86.86</v>
      </c>
    </row>
    <row r="187" spans="1:20" ht="13.5" thickBot="1">
      <c r="A187" s="69" t="s">
        <v>3028</v>
      </c>
      <c r="B187">
        <v>177</v>
      </c>
      <c r="C187">
        <v>44.032899999999998</v>
      </c>
      <c r="D187">
        <v>86.86</v>
      </c>
      <c r="E187">
        <v>86.86</v>
      </c>
      <c r="F187">
        <v>86.86</v>
      </c>
      <c r="G187">
        <v>86.86</v>
      </c>
      <c r="H187">
        <v>86.86</v>
      </c>
      <c r="I187">
        <v>86.86</v>
      </c>
      <c r="J187">
        <v>86.86</v>
      </c>
      <c r="K187">
        <v>86.86</v>
      </c>
      <c r="L187">
        <v>86.86</v>
      </c>
      <c r="M187">
        <v>86.86</v>
      </c>
      <c r="N187">
        <v>86.86</v>
      </c>
      <c r="O187">
        <v>86.86</v>
      </c>
      <c r="P187">
        <v>86.86</v>
      </c>
      <c r="Q187">
        <v>86.86</v>
      </c>
      <c r="R187">
        <v>86.86</v>
      </c>
      <c r="S187">
        <v>86.86</v>
      </c>
      <c r="T187">
        <v>86.86</v>
      </c>
    </row>
    <row r="188" spans="1:20" ht="13.5" thickBot="1">
      <c r="A188" s="72" t="s">
        <v>3029</v>
      </c>
      <c r="B188">
        <v>178</v>
      </c>
      <c r="C188">
        <v>40.021700000000003</v>
      </c>
      <c r="D188">
        <v>86.86</v>
      </c>
      <c r="E188">
        <v>86.86</v>
      </c>
      <c r="F188">
        <v>86.86</v>
      </c>
      <c r="G188">
        <v>86.86</v>
      </c>
      <c r="H188">
        <v>86.86</v>
      </c>
      <c r="I188">
        <v>86.86</v>
      </c>
      <c r="J188">
        <v>86.86</v>
      </c>
      <c r="K188">
        <v>86.86</v>
      </c>
      <c r="L188">
        <v>86.86</v>
      </c>
      <c r="M188">
        <v>86.86</v>
      </c>
      <c r="N188">
        <v>86.86</v>
      </c>
      <c r="O188">
        <v>86.86</v>
      </c>
      <c r="P188">
        <v>86.86</v>
      </c>
      <c r="Q188">
        <v>86.86</v>
      </c>
      <c r="R188">
        <v>86.86</v>
      </c>
      <c r="S188">
        <v>86.86</v>
      </c>
      <c r="T188">
        <v>86.86</v>
      </c>
    </row>
    <row r="189" spans="1:20" ht="13.5" thickBot="1">
      <c r="A189" s="70" t="s">
        <v>1458</v>
      </c>
      <c r="B189">
        <v>179</v>
      </c>
      <c r="C189">
        <v>165.834</v>
      </c>
      <c r="D189">
        <v>86.86</v>
      </c>
      <c r="E189">
        <v>86.86</v>
      </c>
      <c r="F189">
        <v>86.86</v>
      </c>
      <c r="G189">
        <v>86.86</v>
      </c>
      <c r="H189">
        <v>86.86</v>
      </c>
      <c r="I189">
        <v>86.86</v>
      </c>
      <c r="J189">
        <v>86.86</v>
      </c>
      <c r="K189">
        <v>86.86</v>
      </c>
      <c r="L189">
        <v>86.86</v>
      </c>
      <c r="M189">
        <v>86.86</v>
      </c>
      <c r="N189">
        <v>86.86</v>
      </c>
      <c r="O189">
        <v>86.86</v>
      </c>
      <c r="P189">
        <v>86.86</v>
      </c>
      <c r="Q189">
        <v>86.86</v>
      </c>
      <c r="R189">
        <v>86.86</v>
      </c>
      <c r="S189">
        <v>86.86</v>
      </c>
      <c r="T189">
        <v>86.86</v>
      </c>
    </row>
    <row r="190" spans="1:20" ht="13.5" thickBot="1">
      <c r="A190" s="70" t="s">
        <v>3030</v>
      </c>
      <c r="B190">
        <v>180</v>
      </c>
      <c r="C190">
        <v>29.041499999999999</v>
      </c>
      <c r="D190">
        <v>86.86</v>
      </c>
      <c r="E190">
        <v>86.86</v>
      </c>
      <c r="F190">
        <v>86.86</v>
      </c>
      <c r="G190">
        <v>86.86</v>
      </c>
      <c r="H190">
        <v>86.86</v>
      </c>
      <c r="I190">
        <v>86.86</v>
      </c>
      <c r="J190">
        <v>86.86</v>
      </c>
      <c r="K190">
        <v>86.86</v>
      </c>
      <c r="L190">
        <v>86.86</v>
      </c>
      <c r="M190">
        <v>86.86</v>
      </c>
      <c r="N190">
        <v>86.86</v>
      </c>
      <c r="O190">
        <v>86.86</v>
      </c>
      <c r="P190">
        <v>86.86</v>
      </c>
      <c r="Q190">
        <v>86.86</v>
      </c>
      <c r="R190">
        <v>86.86</v>
      </c>
      <c r="S190">
        <v>86.86</v>
      </c>
      <c r="T190">
        <v>86.86</v>
      </c>
    </row>
    <row r="191" spans="1:20">
      <c r="A191" s="69" t="s">
        <v>3031</v>
      </c>
      <c r="B191">
        <v>201</v>
      </c>
      <c r="C191">
        <v>26.0381</v>
      </c>
      <c r="D191">
        <v>86.86</v>
      </c>
      <c r="E191">
        <v>86.86</v>
      </c>
      <c r="F191">
        <v>86.86</v>
      </c>
      <c r="G191">
        <v>86.86</v>
      </c>
      <c r="H191">
        <v>86.86</v>
      </c>
      <c r="I191">
        <v>86.86</v>
      </c>
      <c r="J191">
        <v>86.86</v>
      </c>
      <c r="K191">
        <v>86.86</v>
      </c>
      <c r="L191">
        <v>86.86</v>
      </c>
      <c r="M191">
        <v>86.86</v>
      </c>
      <c r="N191">
        <v>86.86</v>
      </c>
      <c r="O191">
        <v>86.86</v>
      </c>
      <c r="P191">
        <v>86.86</v>
      </c>
      <c r="Q191">
        <v>86.86</v>
      </c>
      <c r="R191">
        <v>86.86</v>
      </c>
      <c r="S191">
        <v>86.86</v>
      </c>
      <c r="T191">
        <v>86.86</v>
      </c>
    </row>
    <row r="192" spans="1:20">
      <c r="A192" s="69" t="s">
        <v>3032</v>
      </c>
      <c r="B192">
        <v>202</v>
      </c>
      <c r="C192">
        <v>25.030200000000001</v>
      </c>
      <c r="D192">
        <v>86.86</v>
      </c>
      <c r="E192">
        <v>86.86</v>
      </c>
      <c r="F192">
        <v>86.86</v>
      </c>
      <c r="G192">
        <v>86.86</v>
      </c>
      <c r="H192">
        <v>86.86</v>
      </c>
      <c r="I192">
        <v>86.86</v>
      </c>
      <c r="J192">
        <v>86.86</v>
      </c>
      <c r="K192">
        <v>86.86</v>
      </c>
      <c r="L192">
        <v>86.86</v>
      </c>
      <c r="M192">
        <v>86.86</v>
      </c>
      <c r="N192">
        <v>86.86</v>
      </c>
      <c r="O192">
        <v>86.86</v>
      </c>
      <c r="P192">
        <v>86.86</v>
      </c>
      <c r="Q192">
        <v>86.86</v>
      </c>
      <c r="R192">
        <v>86.86</v>
      </c>
      <c r="S192">
        <v>86.86</v>
      </c>
      <c r="T192">
        <v>86.86</v>
      </c>
    </row>
    <row r="193" spans="1:20" ht="13.5" thickBot="1">
      <c r="A193" s="70" t="s">
        <v>3033</v>
      </c>
      <c r="B193">
        <v>203</v>
      </c>
      <c r="C193">
        <v>24.022300000000001</v>
      </c>
      <c r="D193">
        <v>86.86</v>
      </c>
      <c r="E193">
        <v>86.86</v>
      </c>
      <c r="F193">
        <v>86.86</v>
      </c>
      <c r="G193">
        <v>86.86</v>
      </c>
      <c r="H193">
        <v>86.86</v>
      </c>
      <c r="I193">
        <v>86.86</v>
      </c>
      <c r="J193">
        <v>86.86</v>
      </c>
      <c r="K193">
        <v>86.86</v>
      </c>
      <c r="L193">
        <v>86.86</v>
      </c>
      <c r="M193">
        <v>86.86</v>
      </c>
      <c r="N193">
        <v>86.86</v>
      </c>
      <c r="O193">
        <v>86.86</v>
      </c>
      <c r="P193">
        <v>86.86</v>
      </c>
      <c r="Q193">
        <v>86.86</v>
      </c>
      <c r="R193">
        <v>86.86</v>
      </c>
      <c r="S193">
        <v>86.86</v>
      </c>
      <c r="T193">
        <v>86.86</v>
      </c>
    </row>
    <row r="194" spans="1:20" ht="13.5" thickBot="1">
      <c r="A194" s="70" t="s">
        <v>3034</v>
      </c>
      <c r="B194">
        <v>204</v>
      </c>
      <c r="C194">
        <v>92.09</v>
      </c>
      <c r="D194">
        <v>86.86</v>
      </c>
      <c r="E194">
        <v>86.86</v>
      </c>
      <c r="F194">
        <v>86.86</v>
      </c>
      <c r="G194">
        <v>86.86</v>
      </c>
      <c r="H194">
        <v>86.86</v>
      </c>
      <c r="I194">
        <v>86.86</v>
      </c>
      <c r="J194">
        <v>86.86</v>
      </c>
      <c r="K194">
        <v>86.86</v>
      </c>
      <c r="L194">
        <v>86.86</v>
      </c>
      <c r="M194">
        <v>86.86</v>
      </c>
      <c r="N194">
        <v>86.86</v>
      </c>
      <c r="O194">
        <v>86.86</v>
      </c>
      <c r="P194">
        <v>86.86</v>
      </c>
      <c r="Q194">
        <v>86.86</v>
      </c>
      <c r="R194">
        <v>86.86</v>
      </c>
      <c r="S194">
        <v>86.86</v>
      </c>
      <c r="T194">
        <v>86.86</v>
      </c>
    </row>
    <row r="195" spans="1:20">
      <c r="A195" s="69" t="s">
        <v>2909</v>
      </c>
    </row>
    <row r="196" spans="1:20">
      <c r="A196" s="69" t="s">
        <v>2910</v>
      </c>
    </row>
    <row r="197" spans="1:20" ht="13.5" thickBot="1">
      <c r="A197" s="70" t="s">
        <v>2911</v>
      </c>
    </row>
    <row r="198" spans="1:20" ht="13.5" thickBot="1">
      <c r="A198" s="70" t="s">
        <v>2994</v>
      </c>
    </row>
    <row r="199" spans="1:20" ht="13.5" thickBot="1">
      <c r="A199" s="70" t="s">
        <v>2995</v>
      </c>
    </row>
    <row r="200" spans="1:20" ht="13.5" thickBot="1">
      <c r="A200" s="70" t="s">
        <v>2996</v>
      </c>
    </row>
    <row r="201" spans="1:20" ht="13.5" thickBot="1">
      <c r="A201" s="70" t="s">
        <v>2997</v>
      </c>
    </row>
    <row r="202" spans="1:20" ht="13.5" thickBot="1">
      <c r="A202" s="70" t="s">
        <v>2998</v>
      </c>
    </row>
    <row r="203" spans="1:20" ht="13.5" thickBot="1">
      <c r="A203" s="70" t="s">
        <v>452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A5EB-B560-44B4-B456-37E65C59238A}">
  <dimension ref="A1:K118"/>
  <sheetViews>
    <sheetView workbookViewId="0">
      <selection activeCell="B10" sqref="B10"/>
    </sheetView>
  </sheetViews>
  <sheetFormatPr defaultRowHeight="13"/>
  <cols>
    <col min="7" max="7" width="15.3984375" customWidth="1"/>
    <col min="8" max="8" width="8.8984375" style="5"/>
    <col min="9" max="11" width="9.3984375" style="5"/>
  </cols>
  <sheetData>
    <row r="1" spans="1:11">
      <c r="A1" s="59" t="s">
        <v>405</v>
      </c>
      <c r="H1" s="64" t="s">
        <v>2799</v>
      </c>
    </row>
    <row r="2" spans="1:11">
      <c r="A2" s="59"/>
      <c r="C2" s="57" t="s">
        <v>410</v>
      </c>
    </row>
    <row r="3" spans="1:11">
      <c r="A3" s="59"/>
      <c r="C3" s="57" t="s">
        <v>409</v>
      </c>
      <c r="D3" s="57" t="s">
        <v>12</v>
      </c>
      <c r="E3" s="57" t="s">
        <v>182</v>
      </c>
      <c r="G3" t="s">
        <v>5</v>
      </c>
      <c r="H3" s="5" t="s">
        <v>10</v>
      </c>
      <c r="I3" s="5" t="s">
        <v>6</v>
      </c>
      <c r="J3" s="5" t="s">
        <v>12</v>
      </c>
      <c r="K3" s="5" t="s">
        <v>7</v>
      </c>
    </row>
    <row r="4" spans="1:11">
      <c r="A4" s="59" t="s">
        <v>158</v>
      </c>
      <c r="B4">
        <v>665</v>
      </c>
      <c r="C4">
        <v>116.28400000000001</v>
      </c>
      <c r="D4">
        <v>76.569000000000003</v>
      </c>
      <c r="E4">
        <v>8.5999999999999993E-2</v>
      </c>
      <c r="G4" t="s">
        <v>23</v>
      </c>
      <c r="H4" s="5">
        <v>123</v>
      </c>
      <c r="I4" s="5">
        <v>15.0349</v>
      </c>
      <c r="J4" s="5">
        <v>100</v>
      </c>
      <c r="K4" s="5">
        <v>0.13500000000000001</v>
      </c>
    </row>
    <row r="5" spans="1:11">
      <c r="A5" s="59" t="s">
        <v>159</v>
      </c>
      <c r="B5">
        <v>517</v>
      </c>
      <c r="C5">
        <v>123.631</v>
      </c>
      <c r="D5">
        <v>111.4</v>
      </c>
      <c r="E5">
        <v>4.1000000000000002E-2</v>
      </c>
      <c r="G5" t="s">
        <v>24</v>
      </c>
      <c r="H5" s="5">
        <v>121</v>
      </c>
      <c r="I5" s="5">
        <v>14.026899999999999</v>
      </c>
      <c r="J5" s="5">
        <v>135</v>
      </c>
      <c r="K5" s="5">
        <v>0.13100000000000001</v>
      </c>
    </row>
    <row r="6" spans="1:11">
      <c r="A6" s="59" t="s">
        <v>25</v>
      </c>
      <c r="B6">
        <v>164</v>
      </c>
      <c r="C6">
        <v>95.944000000000003</v>
      </c>
      <c r="D6">
        <v>111</v>
      </c>
      <c r="E6">
        <v>-8.9999999999999993E-3</v>
      </c>
      <c r="G6" t="s">
        <v>25</v>
      </c>
      <c r="H6" s="5">
        <v>97</v>
      </c>
      <c r="I6" s="5">
        <v>13.019</v>
      </c>
      <c r="J6" s="5">
        <v>135</v>
      </c>
      <c r="K6" s="5">
        <v>7.2999999999999995E-2</v>
      </c>
    </row>
    <row r="7" spans="1:11">
      <c r="A7" s="59" t="s">
        <v>162</v>
      </c>
      <c r="B7">
        <v>65</v>
      </c>
      <c r="C7">
        <v>58.45</v>
      </c>
      <c r="D7">
        <v>90.710999999999999</v>
      </c>
      <c r="E7">
        <v>-8.5999999999999993E-2</v>
      </c>
      <c r="G7" t="s">
        <v>26</v>
      </c>
      <c r="H7" s="5">
        <v>74</v>
      </c>
      <c r="I7" s="5">
        <v>12.011200000000001</v>
      </c>
      <c r="J7" s="5">
        <v>130</v>
      </c>
      <c r="K7" s="5">
        <v>-1.4999999999999999E-2</v>
      </c>
    </row>
    <row r="8" spans="1:11">
      <c r="A8" s="59" t="s">
        <v>27</v>
      </c>
      <c r="B8">
        <v>72</v>
      </c>
      <c r="C8">
        <v>229.791</v>
      </c>
      <c r="D8">
        <v>178</v>
      </c>
      <c r="E8">
        <v>0.112</v>
      </c>
      <c r="G8" t="s">
        <v>27</v>
      </c>
      <c r="H8" s="5">
        <v>257</v>
      </c>
      <c r="I8" s="5">
        <v>27.045999999999999</v>
      </c>
      <c r="J8" s="5">
        <v>226.5</v>
      </c>
      <c r="K8" s="5">
        <v>0.16900000000000001</v>
      </c>
    </row>
    <row r="9" spans="1:11">
      <c r="A9" s="59" t="s">
        <v>28</v>
      </c>
      <c r="B9">
        <v>57</v>
      </c>
      <c r="C9">
        <v>258.03800000000001</v>
      </c>
      <c r="D9">
        <v>225.81899999999999</v>
      </c>
      <c r="E9">
        <v>7.9000000000000001E-2</v>
      </c>
      <c r="G9" t="s">
        <v>28</v>
      </c>
      <c r="H9" s="5">
        <v>257</v>
      </c>
      <c r="I9" s="5">
        <v>26.0381</v>
      </c>
      <c r="J9" s="5">
        <v>255.9</v>
      </c>
      <c r="K9" s="5">
        <v>0.16900000000000001</v>
      </c>
    </row>
    <row r="10" spans="1:11">
      <c r="A10" s="59" t="s">
        <v>29</v>
      </c>
      <c r="B10">
        <v>32</v>
      </c>
      <c r="C10">
        <v>240.28700000000001</v>
      </c>
      <c r="D10">
        <v>208.54499999999999</v>
      </c>
      <c r="E10">
        <v>0.05</v>
      </c>
      <c r="G10" t="s">
        <v>29</v>
      </c>
      <c r="H10" s="5">
        <v>257</v>
      </c>
      <c r="I10" s="5">
        <v>26.0381</v>
      </c>
      <c r="J10" s="5">
        <v>255.9</v>
      </c>
      <c r="K10" s="5">
        <v>0.16900000000000001</v>
      </c>
    </row>
    <row r="11" spans="1:11">
      <c r="A11" s="59" t="s">
        <v>30</v>
      </c>
      <c r="B11">
        <v>17</v>
      </c>
      <c r="C11">
        <v>266.85199999999998</v>
      </c>
      <c r="D11">
        <v>264.29000000000002</v>
      </c>
      <c r="E11">
        <v>2.5000000000000001E-2</v>
      </c>
      <c r="G11" t="s">
        <v>30</v>
      </c>
      <c r="H11" s="5">
        <v>257</v>
      </c>
      <c r="I11" s="5">
        <v>25.030200000000001</v>
      </c>
      <c r="J11" s="5">
        <v>255.9</v>
      </c>
      <c r="K11" s="5">
        <v>0.16900000000000001</v>
      </c>
    </row>
    <row r="12" spans="1:11">
      <c r="A12" s="59" t="s">
        <v>31</v>
      </c>
      <c r="B12">
        <v>3</v>
      </c>
      <c r="C12">
        <v>188.12</v>
      </c>
      <c r="D12">
        <v>180</v>
      </c>
      <c r="E12">
        <v>-0.17599999999999999</v>
      </c>
      <c r="G12" t="s">
        <v>31</v>
      </c>
      <c r="H12" s="5">
        <v>257</v>
      </c>
      <c r="I12" s="5">
        <v>24.022300000000001</v>
      </c>
      <c r="J12" s="5">
        <v>255.9</v>
      </c>
      <c r="K12" s="5">
        <v>0.16900000000000001</v>
      </c>
    </row>
    <row r="13" spans="1:11">
      <c r="A13" s="59" t="s">
        <v>32</v>
      </c>
      <c r="B13">
        <v>240</v>
      </c>
      <c r="C13">
        <v>132.60900000000001</v>
      </c>
      <c r="D13">
        <v>108</v>
      </c>
      <c r="E13">
        <v>3.6999999999999998E-2</v>
      </c>
      <c r="G13" t="s">
        <v>32</v>
      </c>
      <c r="H13" s="5">
        <v>124</v>
      </c>
      <c r="I13" s="5">
        <v>13.019</v>
      </c>
      <c r="J13" s="5">
        <v>134.30000000000001</v>
      </c>
      <c r="K13" s="5">
        <v>6.9000000000000006E-2</v>
      </c>
    </row>
    <row r="14" spans="1:11">
      <c r="A14" s="59" t="s">
        <v>164</v>
      </c>
      <c r="B14">
        <v>101</v>
      </c>
      <c r="C14">
        <v>204.55799999999999</v>
      </c>
      <c r="D14">
        <v>192.74</v>
      </c>
      <c r="E14">
        <v>4.0000000000000001E-3</v>
      </c>
      <c r="G14" t="s">
        <v>33</v>
      </c>
      <c r="H14" s="5">
        <v>247</v>
      </c>
      <c r="I14" s="5">
        <v>12.011200000000001</v>
      </c>
      <c r="J14" s="5">
        <v>226.7</v>
      </c>
      <c r="K14" s="5">
        <v>9.9000000000000005E-2</v>
      </c>
    </row>
    <row r="15" spans="1:11">
      <c r="A15" s="59" t="s">
        <v>34</v>
      </c>
      <c r="B15">
        <v>63</v>
      </c>
      <c r="C15">
        <v>282.512</v>
      </c>
      <c r="D15">
        <v>243.18</v>
      </c>
      <c r="E15">
        <v>9.9000000000000005E-2</v>
      </c>
      <c r="G15" t="s">
        <v>34</v>
      </c>
      <c r="H15" s="5">
        <v>282</v>
      </c>
      <c r="I15" s="5">
        <v>27.045999999999999</v>
      </c>
      <c r="J15" s="5">
        <v>283.60000000000002</v>
      </c>
      <c r="K15" s="5">
        <v>0.221</v>
      </c>
    </row>
    <row r="16" spans="1:11">
      <c r="A16" s="59" t="s">
        <v>35</v>
      </c>
      <c r="B16">
        <v>51</v>
      </c>
      <c r="C16">
        <v>273.625</v>
      </c>
      <c r="D16">
        <v>267.89999999999998</v>
      </c>
      <c r="E16">
        <v>5.3999999999999999E-2</v>
      </c>
      <c r="G16" t="s">
        <v>35</v>
      </c>
      <c r="H16" s="5">
        <v>303</v>
      </c>
      <c r="I16" s="5">
        <v>26.0381</v>
      </c>
      <c r="J16" s="5">
        <v>266.60000000000002</v>
      </c>
      <c r="K16" s="5">
        <v>0.20699999999999999</v>
      </c>
    </row>
    <row r="17" spans="1:11">
      <c r="A17" s="59" t="s">
        <v>36</v>
      </c>
      <c r="B17">
        <v>10</v>
      </c>
      <c r="C17">
        <v>226.53</v>
      </c>
      <c r="D17">
        <v>248</v>
      </c>
      <c r="E17">
        <v>-5.0000000000000001E-3</v>
      </c>
      <c r="G17" t="s">
        <v>36</v>
      </c>
      <c r="H17" s="5">
        <v>191</v>
      </c>
      <c r="I17" s="5">
        <v>25.030200000000001</v>
      </c>
      <c r="J17" s="5">
        <v>243.2</v>
      </c>
      <c r="K17" s="5">
        <v>0.13600000000000001</v>
      </c>
    </row>
    <row r="18" spans="1:11">
      <c r="A18" s="59" t="s">
        <v>37</v>
      </c>
      <c r="B18">
        <v>99</v>
      </c>
      <c r="C18">
        <v>412</v>
      </c>
      <c r="D18">
        <v>397.86</v>
      </c>
      <c r="E18">
        <v>0.22500000000000001</v>
      </c>
      <c r="G18" t="s">
        <v>37</v>
      </c>
      <c r="H18" s="5">
        <v>474</v>
      </c>
      <c r="I18" s="5">
        <v>17.007300000000001</v>
      </c>
      <c r="J18" s="5">
        <v>551.29999999999995</v>
      </c>
      <c r="K18" s="5">
        <v>0.55400000000000005</v>
      </c>
    </row>
    <row r="19" spans="1:11">
      <c r="A19" s="59"/>
      <c r="C19" t="str">
        <f>H19</f>
        <v>NA</v>
      </c>
      <c r="D19" t="str">
        <f>J19</f>
        <v>NA</v>
      </c>
      <c r="E19" t="str">
        <f>K19</f>
        <v>NA</v>
      </c>
      <c r="G19" t="s">
        <v>38</v>
      </c>
      <c r="H19" s="5" t="s">
        <v>39</v>
      </c>
      <c r="I19" s="5">
        <v>32.042099999999998</v>
      </c>
      <c r="J19" s="5" t="s">
        <v>39</v>
      </c>
      <c r="K19" s="5" t="s">
        <v>39</v>
      </c>
    </row>
    <row r="20" spans="1:11">
      <c r="A20" s="59"/>
      <c r="C20" t="str">
        <f>H20</f>
        <v>NA</v>
      </c>
      <c r="D20" t="str">
        <f>J20</f>
        <v>NA</v>
      </c>
      <c r="E20" t="str">
        <f>K20</f>
        <v>NA</v>
      </c>
      <c r="G20" t="s">
        <v>40</v>
      </c>
      <c r="H20" s="5" t="s">
        <v>39</v>
      </c>
      <c r="I20" s="5">
        <v>18.0153</v>
      </c>
      <c r="J20" s="5" t="s">
        <v>39</v>
      </c>
      <c r="K20" s="5" t="s">
        <v>39</v>
      </c>
    </row>
    <row r="21" spans="1:11">
      <c r="A21" s="59" t="s">
        <v>41</v>
      </c>
      <c r="B21">
        <v>26</v>
      </c>
      <c r="C21">
        <v>525.221</v>
      </c>
      <c r="D21">
        <v>571.44899999999996</v>
      </c>
      <c r="E21">
        <v>0.16300000000000001</v>
      </c>
      <c r="G21" t="s">
        <v>41</v>
      </c>
      <c r="H21" s="5">
        <v>525</v>
      </c>
      <c r="I21" s="5">
        <v>29.0184</v>
      </c>
      <c r="J21" s="5">
        <v>687</v>
      </c>
      <c r="K21" s="5">
        <v>0.27800000000000002</v>
      </c>
    </row>
    <row r="22" spans="1:11">
      <c r="A22" s="59" t="s">
        <v>42</v>
      </c>
      <c r="B22">
        <v>22</v>
      </c>
      <c r="C22">
        <v>518.74900000000002</v>
      </c>
      <c r="D22">
        <v>447.54700000000003</v>
      </c>
      <c r="E22">
        <v>0.193</v>
      </c>
      <c r="G22" t="s">
        <v>42</v>
      </c>
      <c r="H22" s="5">
        <v>514</v>
      </c>
      <c r="I22" s="5">
        <v>43.045400000000001</v>
      </c>
      <c r="J22" s="5">
        <v>567.29999999999995</v>
      </c>
      <c r="K22" s="5">
        <v>0.38700000000000001</v>
      </c>
    </row>
    <row r="23" spans="1:11">
      <c r="A23" s="59" t="s">
        <v>43</v>
      </c>
      <c r="B23">
        <v>14</v>
      </c>
      <c r="C23">
        <v>493.09</v>
      </c>
      <c r="D23">
        <v>468.1</v>
      </c>
      <c r="E23">
        <v>0.16700000000000001</v>
      </c>
      <c r="G23" t="s">
        <v>43</v>
      </c>
      <c r="H23" s="5">
        <v>512</v>
      </c>
      <c r="I23" s="5">
        <v>42.037500000000001</v>
      </c>
      <c r="J23" s="5">
        <v>602.29999999999995</v>
      </c>
      <c r="K23" s="5">
        <v>0.38300000000000001</v>
      </c>
    </row>
    <row r="24" spans="1:11">
      <c r="A24" s="59" t="s">
        <v>44</v>
      </c>
      <c r="B24">
        <v>25</v>
      </c>
      <c r="C24">
        <v>384.48</v>
      </c>
      <c r="D24">
        <v>332.5</v>
      </c>
      <c r="E24">
        <v>0.18</v>
      </c>
      <c r="G24" t="s">
        <v>44</v>
      </c>
      <c r="H24" s="5">
        <v>396</v>
      </c>
      <c r="I24" s="5">
        <v>29.0184</v>
      </c>
      <c r="J24" s="5">
        <v>415.5</v>
      </c>
      <c r="K24" s="5">
        <v>0.29899999999999999</v>
      </c>
    </row>
    <row r="25" spans="1:11">
      <c r="A25" s="59" t="s">
        <v>45</v>
      </c>
      <c r="B25">
        <v>23</v>
      </c>
      <c r="C25">
        <v>520.79100000000005</v>
      </c>
      <c r="D25">
        <v>462.72</v>
      </c>
      <c r="E25">
        <v>0.222</v>
      </c>
      <c r="G25" t="s">
        <v>45</v>
      </c>
      <c r="H25" s="5">
        <v>451</v>
      </c>
      <c r="I25" s="5">
        <v>59.044800000000002</v>
      </c>
      <c r="J25" s="5">
        <v>521.1</v>
      </c>
      <c r="K25" s="5">
        <v>0.45700000000000002</v>
      </c>
    </row>
    <row r="26" spans="1:11">
      <c r="A26" s="59" t="s">
        <v>46</v>
      </c>
      <c r="B26">
        <v>33</v>
      </c>
      <c r="C26">
        <v>497.16300000000001</v>
      </c>
      <c r="D26">
        <v>472.52</v>
      </c>
      <c r="E26">
        <v>0.20399999999999999</v>
      </c>
      <c r="G26" t="s">
        <v>46</v>
      </c>
      <c r="H26" s="5">
        <v>573</v>
      </c>
      <c r="I26" s="5">
        <v>58.036900000000003</v>
      </c>
      <c r="J26" s="5">
        <v>656.1</v>
      </c>
      <c r="K26" s="5">
        <v>0.45300000000000001</v>
      </c>
    </row>
    <row r="27" spans="1:11">
      <c r="A27" s="59" t="s">
        <v>47</v>
      </c>
      <c r="B27">
        <v>16</v>
      </c>
      <c r="C27">
        <v>409</v>
      </c>
      <c r="D27">
        <v>360.57900000000001</v>
      </c>
      <c r="E27">
        <v>0.188</v>
      </c>
      <c r="G27" t="s">
        <v>47</v>
      </c>
      <c r="H27" s="5">
        <v>426</v>
      </c>
      <c r="I27" s="5">
        <v>45.017800000000001</v>
      </c>
      <c r="J27" s="5">
        <v>448.5</v>
      </c>
      <c r="K27" s="5">
        <v>0.30499999999999999</v>
      </c>
    </row>
    <row r="28" spans="1:11">
      <c r="A28" s="59" t="s">
        <v>48</v>
      </c>
      <c r="B28">
        <v>23</v>
      </c>
      <c r="C28">
        <v>250</v>
      </c>
      <c r="D28">
        <v>207.642</v>
      </c>
      <c r="E28">
        <v>0.14499999999999999</v>
      </c>
      <c r="G28" t="s">
        <v>48</v>
      </c>
      <c r="H28" s="5">
        <v>288</v>
      </c>
      <c r="I28" s="5">
        <v>31.034300000000002</v>
      </c>
      <c r="J28" s="5">
        <v>262</v>
      </c>
      <c r="K28" s="5">
        <v>0.23400000000000001</v>
      </c>
    </row>
    <row r="29" spans="1:11">
      <c r="A29" s="59" t="s">
        <v>49</v>
      </c>
      <c r="B29">
        <v>56</v>
      </c>
      <c r="C29">
        <v>245.95699999999999</v>
      </c>
      <c r="D29">
        <v>234.65100000000001</v>
      </c>
      <c r="E29">
        <v>0.108</v>
      </c>
      <c r="G29" t="s">
        <v>49</v>
      </c>
      <c r="H29" s="5">
        <v>286</v>
      </c>
      <c r="I29" s="5">
        <v>30.026399999999999</v>
      </c>
      <c r="J29" s="5">
        <v>297</v>
      </c>
      <c r="K29" s="5">
        <v>0.23</v>
      </c>
    </row>
    <row r="30" spans="1:11">
      <c r="A30" s="59" t="s">
        <v>406</v>
      </c>
      <c r="B30">
        <v>6</v>
      </c>
      <c r="C30">
        <v>213.8</v>
      </c>
      <c r="D30">
        <v>188</v>
      </c>
      <c r="E30">
        <v>4.5999999999999999E-2</v>
      </c>
      <c r="G30" t="s">
        <v>50</v>
      </c>
      <c r="H30" s="5">
        <v>262</v>
      </c>
      <c r="I30" s="5">
        <v>29.0184</v>
      </c>
      <c r="J30" s="5">
        <v>297</v>
      </c>
      <c r="K30" s="5">
        <v>0.17499999999999999</v>
      </c>
    </row>
    <row r="31" spans="1:11">
      <c r="A31" s="59" t="s">
        <v>51</v>
      </c>
      <c r="B31">
        <v>1</v>
      </c>
      <c r="C31">
        <v>337</v>
      </c>
      <c r="D31">
        <v>256</v>
      </c>
      <c r="E31">
        <v>0.112</v>
      </c>
      <c r="G31" t="s">
        <v>51</v>
      </c>
      <c r="H31" s="5">
        <v>323</v>
      </c>
      <c r="I31" s="5">
        <v>30.026399999999999</v>
      </c>
      <c r="J31" s="5">
        <v>366.5</v>
      </c>
      <c r="K31" s="5">
        <v>0.14000000000000001</v>
      </c>
    </row>
    <row r="32" spans="1:11">
      <c r="A32" s="59"/>
      <c r="C32" t="str">
        <f>H32</f>
        <v>NA</v>
      </c>
      <c r="D32" t="str">
        <f>J32</f>
        <v>NA</v>
      </c>
      <c r="E32" t="str">
        <f>K32</f>
        <v>NA</v>
      </c>
      <c r="G32" t="s">
        <v>52</v>
      </c>
      <c r="H32" s="5" t="s">
        <v>39</v>
      </c>
      <c r="I32" s="5">
        <v>31.057400000000001</v>
      </c>
      <c r="J32" s="5" t="s">
        <v>39</v>
      </c>
      <c r="K32" s="5" t="s">
        <v>39</v>
      </c>
    </row>
    <row r="33" spans="1:11">
      <c r="A33" s="59" t="s">
        <v>53</v>
      </c>
      <c r="B33">
        <v>19</v>
      </c>
      <c r="C33">
        <v>409.40800000000002</v>
      </c>
      <c r="D33">
        <v>367.3</v>
      </c>
      <c r="E33">
        <v>0.189</v>
      </c>
      <c r="G33" t="s">
        <v>53</v>
      </c>
      <c r="H33" s="5">
        <v>437</v>
      </c>
      <c r="I33" s="5">
        <v>30.049399999999999</v>
      </c>
      <c r="J33" s="5">
        <v>447.4</v>
      </c>
      <c r="K33" s="5">
        <v>0.30099999999999999</v>
      </c>
    </row>
    <row r="34" spans="1:11">
      <c r="A34" s="59" t="s">
        <v>54</v>
      </c>
      <c r="B34">
        <v>4</v>
      </c>
      <c r="C34">
        <v>351.959</v>
      </c>
      <c r="D34">
        <v>323.10000000000002</v>
      </c>
      <c r="E34">
        <v>0.105</v>
      </c>
      <c r="G34" t="s">
        <v>54</v>
      </c>
      <c r="H34" s="5">
        <v>412</v>
      </c>
      <c r="I34" s="5">
        <v>29.041499999999999</v>
      </c>
      <c r="J34" s="5">
        <v>447.4</v>
      </c>
      <c r="K34" s="5">
        <v>0.247</v>
      </c>
    </row>
    <row r="35" spans="1:11">
      <c r="A35" s="59" t="s">
        <v>55</v>
      </c>
      <c r="B35">
        <v>3</v>
      </c>
      <c r="C35">
        <v>325.3</v>
      </c>
      <c r="D35">
        <v>308</v>
      </c>
      <c r="E35">
        <v>0.14799999999999999</v>
      </c>
      <c r="G35" t="s">
        <v>55</v>
      </c>
      <c r="H35" s="5">
        <v>444</v>
      </c>
      <c r="I35" s="5">
        <v>30.049399999999999</v>
      </c>
      <c r="J35" s="5">
        <v>412.4</v>
      </c>
      <c r="K35" s="5">
        <v>0.30599999999999999</v>
      </c>
    </row>
    <row r="36" spans="1:11">
      <c r="A36" s="59" t="s">
        <v>56</v>
      </c>
      <c r="B36">
        <v>9</v>
      </c>
      <c r="C36">
        <v>325.3</v>
      </c>
      <c r="D36">
        <v>308</v>
      </c>
      <c r="E36">
        <v>0.105</v>
      </c>
      <c r="G36" t="s">
        <v>56</v>
      </c>
      <c r="H36" s="5">
        <v>442</v>
      </c>
      <c r="I36" s="5">
        <v>29.041499999999999</v>
      </c>
      <c r="J36" s="5">
        <v>447.4</v>
      </c>
      <c r="K36" s="5">
        <v>0.30099999999999999</v>
      </c>
    </row>
    <row r="37" spans="1:11">
      <c r="A37" s="59" t="s">
        <v>57</v>
      </c>
      <c r="B37">
        <v>2</v>
      </c>
      <c r="C37">
        <v>325.3</v>
      </c>
      <c r="D37">
        <v>308</v>
      </c>
      <c r="E37">
        <v>0.13700000000000001</v>
      </c>
      <c r="G37" t="s">
        <v>57</v>
      </c>
      <c r="H37" s="5">
        <v>418</v>
      </c>
      <c r="I37" s="5">
        <v>28.0336</v>
      </c>
      <c r="J37" s="5">
        <v>447.4</v>
      </c>
      <c r="K37" s="5">
        <v>0.247</v>
      </c>
    </row>
    <row r="38" spans="1:11">
      <c r="A38" s="59" t="s">
        <v>165</v>
      </c>
      <c r="B38">
        <v>1</v>
      </c>
      <c r="C38">
        <v>142</v>
      </c>
      <c r="D38">
        <v>217.68100000000001</v>
      </c>
      <c r="E38">
        <v>0.14399999999999999</v>
      </c>
      <c r="G38" t="s">
        <v>58</v>
      </c>
      <c r="H38" s="5">
        <v>293</v>
      </c>
      <c r="I38" s="5">
        <v>29.041499999999999</v>
      </c>
      <c r="J38" s="5">
        <v>316.2</v>
      </c>
      <c r="K38" s="5">
        <v>0.14799999999999999</v>
      </c>
    </row>
    <row r="39" spans="1:11">
      <c r="A39" s="59" t="s">
        <v>166</v>
      </c>
      <c r="B39">
        <v>5</v>
      </c>
      <c r="C39">
        <v>142</v>
      </c>
      <c r="D39">
        <v>217.68100000000001</v>
      </c>
      <c r="E39">
        <v>8.0000000000000002E-3</v>
      </c>
      <c r="G39" t="s">
        <v>59</v>
      </c>
      <c r="H39" s="5">
        <v>291</v>
      </c>
      <c r="I39" s="5">
        <v>28.0336</v>
      </c>
      <c r="J39" s="5">
        <v>351.2</v>
      </c>
      <c r="K39" s="5">
        <v>0.14399999999999999</v>
      </c>
    </row>
    <row r="40" spans="1:11">
      <c r="A40" s="59" t="s">
        <v>60</v>
      </c>
      <c r="B40">
        <v>13</v>
      </c>
      <c r="C40">
        <v>611.20000000000005</v>
      </c>
      <c r="D40">
        <v>546.553</v>
      </c>
      <c r="E40">
        <v>0.112</v>
      </c>
      <c r="G40" t="s">
        <v>60</v>
      </c>
      <c r="H40" s="5">
        <v>655</v>
      </c>
      <c r="I40" s="5">
        <v>28.0336</v>
      </c>
      <c r="J40" s="5">
        <v>700</v>
      </c>
      <c r="K40" s="5">
        <v>0.27</v>
      </c>
    </row>
    <row r="41" spans="1:11">
      <c r="A41" s="59"/>
      <c r="C41" t="str">
        <f>H41</f>
        <v>NA</v>
      </c>
      <c r="D41" t="str">
        <f>J41</f>
        <v>NA</v>
      </c>
      <c r="E41" t="str">
        <f>K41</f>
        <v>NA</v>
      </c>
      <c r="G41" t="s">
        <v>61</v>
      </c>
      <c r="H41" s="5" t="s">
        <v>39</v>
      </c>
      <c r="I41" s="5">
        <v>79.102000000000004</v>
      </c>
      <c r="J41" s="5" t="s">
        <v>39</v>
      </c>
      <c r="K41" s="5" t="s">
        <v>39</v>
      </c>
    </row>
    <row r="42" spans="1:11">
      <c r="A42" s="59" t="s">
        <v>62</v>
      </c>
      <c r="B42">
        <v>3</v>
      </c>
      <c r="C42">
        <v>925.245</v>
      </c>
      <c r="D42">
        <v>828.66200000000003</v>
      </c>
      <c r="E42">
        <v>0.19600000000000001</v>
      </c>
      <c r="G42" t="s">
        <v>62</v>
      </c>
      <c r="H42" s="5">
        <v>942</v>
      </c>
      <c r="I42" s="5">
        <v>78.093999999999994</v>
      </c>
      <c r="J42" s="5">
        <v>958.9</v>
      </c>
      <c r="K42" s="5">
        <v>0.433</v>
      </c>
    </row>
    <row r="43" spans="1:11">
      <c r="A43" s="59"/>
      <c r="C43" s="62">
        <f>H43*0.95</f>
        <v>894.9</v>
      </c>
      <c r="D43" s="62">
        <v>820</v>
      </c>
      <c r="E43" s="61">
        <f>E42</f>
        <v>0.19600000000000001</v>
      </c>
      <c r="G43" t="s">
        <v>63</v>
      </c>
      <c r="H43" s="5">
        <v>942</v>
      </c>
      <c r="I43" s="5">
        <v>77.086200000000005</v>
      </c>
      <c r="J43" s="5">
        <v>958.9</v>
      </c>
      <c r="K43" s="5">
        <v>0.433</v>
      </c>
    </row>
    <row r="44" spans="1:11">
      <c r="A44" s="59"/>
      <c r="C44" t="str">
        <f>H44</f>
        <v>NA</v>
      </c>
      <c r="D44" t="str">
        <f>J44</f>
        <v>NA</v>
      </c>
      <c r="E44" t="str">
        <f>K44</f>
        <v>NA</v>
      </c>
      <c r="G44" t="s">
        <v>64</v>
      </c>
      <c r="H44" s="5" t="s">
        <v>39</v>
      </c>
      <c r="I44" s="5">
        <v>41.052700000000002</v>
      </c>
      <c r="J44" s="5" t="s">
        <v>39</v>
      </c>
      <c r="K44" s="5" t="s">
        <v>39</v>
      </c>
    </row>
    <row r="45" spans="1:11">
      <c r="A45" s="59" t="s">
        <v>65</v>
      </c>
      <c r="B45">
        <v>10</v>
      </c>
      <c r="C45">
        <v>734.00099999999998</v>
      </c>
      <c r="D45">
        <v>628.005</v>
      </c>
      <c r="E45">
        <v>0.17899999999999999</v>
      </c>
      <c r="G45" t="s">
        <v>65</v>
      </c>
      <c r="H45" s="5">
        <v>794</v>
      </c>
      <c r="I45" s="5">
        <v>40.044800000000002</v>
      </c>
      <c r="J45" s="5">
        <v>839.1</v>
      </c>
      <c r="K45" s="5">
        <v>0.51200000000000001</v>
      </c>
    </row>
    <row r="46" spans="1:11">
      <c r="A46" s="59" t="s">
        <v>66</v>
      </c>
      <c r="B46">
        <v>58</v>
      </c>
      <c r="C46">
        <v>800.05200000000002</v>
      </c>
      <c r="D46">
        <v>797.12900000000002</v>
      </c>
      <c r="E46">
        <v>0.317</v>
      </c>
      <c r="G46" t="s">
        <v>66</v>
      </c>
      <c r="H46" s="5">
        <v>858</v>
      </c>
      <c r="I46" s="5">
        <v>45.017800000000001</v>
      </c>
      <c r="J46" s="5">
        <v>1050.0999999999999</v>
      </c>
      <c r="K46" s="5">
        <v>0.61499999999999999</v>
      </c>
    </row>
    <row r="47" spans="1:11">
      <c r="A47" s="59"/>
      <c r="C47" t="str">
        <f>H47</f>
        <v>NA</v>
      </c>
      <c r="D47" t="str">
        <f>J47</f>
        <v>NA</v>
      </c>
      <c r="E47" t="str">
        <f>K47</f>
        <v>NA</v>
      </c>
      <c r="G47" t="s">
        <v>67</v>
      </c>
      <c r="H47" s="5" t="s">
        <v>39</v>
      </c>
      <c r="I47" s="5">
        <v>46.025700000000001</v>
      </c>
      <c r="J47" s="5" t="s">
        <v>39</v>
      </c>
      <c r="K47" s="5" t="s">
        <v>39</v>
      </c>
    </row>
    <row r="48" spans="1:11">
      <c r="A48" s="59" t="s">
        <v>68</v>
      </c>
      <c r="B48">
        <v>23</v>
      </c>
      <c r="C48">
        <v>399.99900000000002</v>
      </c>
      <c r="D48">
        <v>346.59100000000001</v>
      </c>
      <c r="E48">
        <v>0.129</v>
      </c>
      <c r="G48" t="s">
        <v>68</v>
      </c>
      <c r="H48" s="5">
        <v>360</v>
      </c>
      <c r="I48" s="5">
        <v>49.479900000000001</v>
      </c>
      <c r="J48" s="5">
        <v>352.9</v>
      </c>
      <c r="K48" s="5">
        <v>0.23599999999999999</v>
      </c>
    </row>
    <row r="49" spans="1:11">
      <c r="A49" s="59" t="s">
        <v>69</v>
      </c>
      <c r="B49">
        <v>12</v>
      </c>
      <c r="C49">
        <v>312</v>
      </c>
      <c r="D49">
        <v>265.517</v>
      </c>
      <c r="E49">
        <v>7.3999999999999996E-2</v>
      </c>
      <c r="G49" t="s">
        <v>69</v>
      </c>
      <c r="H49" s="5">
        <v>336</v>
      </c>
      <c r="I49" s="5">
        <v>48.472000000000001</v>
      </c>
      <c r="J49" s="5">
        <v>352.9</v>
      </c>
      <c r="K49" s="5">
        <v>0.17799999999999999</v>
      </c>
    </row>
    <row r="50" spans="1:11">
      <c r="A50" s="59" t="s">
        <v>70</v>
      </c>
      <c r="B50">
        <v>4</v>
      </c>
      <c r="C50">
        <v>275.60000000000002</v>
      </c>
      <c r="D50">
        <v>236.61</v>
      </c>
      <c r="E50">
        <v>6.6000000000000003E-2</v>
      </c>
      <c r="G50" t="s">
        <v>70</v>
      </c>
      <c r="H50" s="5">
        <v>313</v>
      </c>
      <c r="I50" s="5">
        <v>47.464100000000002</v>
      </c>
      <c r="J50" s="5">
        <v>347.9</v>
      </c>
      <c r="K50" s="5">
        <v>0.09</v>
      </c>
    </row>
    <row r="51" spans="1:11">
      <c r="A51" s="59"/>
      <c r="C51" t="str">
        <f>H51</f>
        <v>NA</v>
      </c>
      <c r="D51" t="str">
        <f>J51</f>
        <v>NA</v>
      </c>
      <c r="E51" t="str">
        <f>K51</f>
        <v>NA</v>
      </c>
      <c r="G51" t="s">
        <v>71</v>
      </c>
      <c r="H51" s="5" t="s">
        <v>39</v>
      </c>
      <c r="I51" s="5">
        <v>84.933000000000007</v>
      </c>
      <c r="J51" s="5" t="s">
        <v>39</v>
      </c>
      <c r="K51" s="5" t="s">
        <v>39</v>
      </c>
    </row>
    <row r="52" spans="1:11">
      <c r="A52" s="59" t="s">
        <v>72</v>
      </c>
      <c r="B52">
        <v>7</v>
      </c>
      <c r="C52">
        <v>568.32399999999996</v>
      </c>
      <c r="D52">
        <v>474.2</v>
      </c>
      <c r="E52">
        <v>0.161</v>
      </c>
      <c r="G52" t="s">
        <v>72</v>
      </c>
      <c r="H52" s="5">
        <v>575</v>
      </c>
      <c r="I52" s="5">
        <v>83.924999999999997</v>
      </c>
      <c r="J52" s="5">
        <v>570.79999999999995</v>
      </c>
      <c r="K52" s="5">
        <v>0.28299999999999997</v>
      </c>
    </row>
    <row r="53" spans="1:11">
      <c r="A53" s="59" t="s">
        <v>73</v>
      </c>
      <c r="B53">
        <v>3</v>
      </c>
      <c r="C53">
        <v>469.5</v>
      </c>
      <c r="D53">
        <v>375.33100000000002</v>
      </c>
      <c r="E53">
        <v>8.6999999999999994E-2</v>
      </c>
      <c r="G53" t="s">
        <v>73</v>
      </c>
      <c r="H53" s="5">
        <v>552</v>
      </c>
      <c r="I53" s="5">
        <v>82.917199999999994</v>
      </c>
      <c r="J53" s="5">
        <v>565.79999999999995</v>
      </c>
      <c r="K53" s="5">
        <v>0.19600000000000001</v>
      </c>
    </row>
    <row r="54" spans="1:11">
      <c r="A54" s="59"/>
      <c r="C54" t="str">
        <f>H54</f>
        <v>NA</v>
      </c>
      <c r="D54" t="str">
        <f>J54</f>
        <v>NA</v>
      </c>
      <c r="E54" t="str">
        <f>K54</f>
        <v>NA</v>
      </c>
      <c r="G54" t="s">
        <v>74</v>
      </c>
      <c r="H54" s="5" t="s">
        <v>39</v>
      </c>
      <c r="I54" s="5">
        <v>119.378</v>
      </c>
      <c r="J54" s="5" t="s">
        <v>39</v>
      </c>
      <c r="K54" s="5" t="s">
        <v>39</v>
      </c>
    </row>
    <row r="55" spans="1:11">
      <c r="A55" s="59" t="s">
        <v>75</v>
      </c>
      <c r="B55">
        <v>7</v>
      </c>
      <c r="C55">
        <v>647.41</v>
      </c>
      <c r="D55">
        <v>519.42100000000005</v>
      </c>
      <c r="E55">
        <v>0.14799999999999999</v>
      </c>
      <c r="G55" t="s">
        <v>75</v>
      </c>
      <c r="H55" s="5">
        <v>598</v>
      </c>
      <c r="I55" s="5">
        <v>118.37</v>
      </c>
      <c r="J55" s="5">
        <v>631.70000000000005</v>
      </c>
      <c r="K55" s="5">
        <v>0.32600000000000001</v>
      </c>
    </row>
    <row r="56" spans="1:11">
      <c r="A56" s="59"/>
      <c r="C56" t="str">
        <f>H56</f>
        <v>NA</v>
      </c>
      <c r="D56" t="str">
        <f>J56</f>
        <v>NA</v>
      </c>
      <c r="E56" t="str">
        <f>K56</f>
        <v>NA</v>
      </c>
      <c r="G56" t="s">
        <v>76</v>
      </c>
      <c r="H56" s="5" t="s">
        <v>39</v>
      </c>
      <c r="I56" s="5">
        <v>153.82300000000001</v>
      </c>
      <c r="J56" s="5" t="s">
        <v>39</v>
      </c>
      <c r="K56" s="5" t="s">
        <v>39</v>
      </c>
    </row>
    <row r="57" spans="1:11">
      <c r="A57" s="59" t="s">
        <v>77</v>
      </c>
      <c r="B57">
        <v>13</v>
      </c>
      <c r="C57">
        <v>366.30500000000001</v>
      </c>
      <c r="D57">
        <v>310.47000000000003</v>
      </c>
      <c r="E57">
        <v>0.08</v>
      </c>
      <c r="G57" t="s">
        <v>77</v>
      </c>
      <c r="H57" s="5">
        <v>358</v>
      </c>
      <c r="I57" s="5">
        <v>47.464100000000002</v>
      </c>
      <c r="J57" s="5">
        <v>364.5</v>
      </c>
      <c r="K57" s="5">
        <v>0.16500000000000001</v>
      </c>
    </row>
    <row r="58" spans="1:11">
      <c r="A58" s="59"/>
      <c r="C58" t="str">
        <f>H58</f>
        <v>NA</v>
      </c>
      <c r="D58" t="str">
        <f>J58</f>
        <v>NA</v>
      </c>
      <c r="E58" t="str">
        <f>K58</f>
        <v>NA</v>
      </c>
      <c r="G58" t="s">
        <v>78</v>
      </c>
      <c r="H58" s="5" t="s">
        <v>39</v>
      </c>
      <c r="I58" s="5">
        <v>61.040399999999998</v>
      </c>
      <c r="J58" s="5" t="s">
        <v>39</v>
      </c>
      <c r="K58" s="5" t="s">
        <v>39</v>
      </c>
    </row>
    <row r="59" spans="1:11">
      <c r="A59" s="59" t="s">
        <v>79</v>
      </c>
      <c r="B59">
        <v>2</v>
      </c>
      <c r="C59">
        <v>797</v>
      </c>
      <c r="D59">
        <v>696</v>
      </c>
      <c r="E59">
        <v>0.22</v>
      </c>
      <c r="G59" t="s">
        <v>79</v>
      </c>
      <c r="H59" s="5">
        <v>692</v>
      </c>
      <c r="I59" s="5">
        <v>60.032499999999999</v>
      </c>
      <c r="J59" s="5">
        <v>810.3</v>
      </c>
      <c r="K59" s="5">
        <v>0.44</v>
      </c>
    </row>
    <row r="60" spans="1:11">
      <c r="A60" s="59" t="s">
        <v>80</v>
      </c>
      <c r="B60">
        <v>1</v>
      </c>
      <c r="C60">
        <v>744</v>
      </c>
      <c r="D60">
        <v>672</v>
      </c>
      <c r="E60">
        <v>0.17399999999999999</v>
      </c>
      <c r="G60" t="s">
        <v>80</v>
      </c>
      <c r="H60" s="5">
        <v>668</v>
      </c>
      <c r="I60" s="5">
        <v>59.0246</v>
      </c>
      <c r="J60" s="5">
        <v>810.3</v>
      </c>
      <c r="K60" s="5">
        <v>0.44</v>
      </c>
    </row>
    <row r="61" spans="1:11">
      <c r="A61" s="59" t="s">
        <v>81</v>
      </c>
      <c r="B61">
        <v>16</v>
      </c>
      <c r="C61">
        <v>733</v>
      </c>
      <c r="D61">
        <v>671</v>
      </c>
      <c r="E61">
        <v>0.16400000000000001</v>
      </c>
      <c r="G61" t="s">
        <v>81</v>
      </c>
      <c r="H61" s="5">
        <v>818</v>
      </c>
      <c r="I61" s="5">
        <v>58.0167</v>
      </c>
      <c r="J61" s="5">
        <v>902</v>
      </c>
      <c r="K61" s="5">
        <v>0.44</v>
      </c>
    </row>
    <row r="62" spans="1:11">
      <c r="A62" s="59"/>
      <c r="C62" t="str">
        <f>H62</f>
        <v>NA</v>
      </c>
      <c r="D62" t="str">
        <f>J62</f>
        <v>NA</v>
      </c>
      <c r="E62" t="str">
        <f>K62</f>
        <v>NA</v>
      </c>
      <c r="G62" t="s">
        <v>82</v>
      </c>
      <c r="H62" s="5" t="s">
        <v>39</v>
      </c>
      <c r="I62" s="5">
        <v>76.131100000000004</v>
      </c>
      <c r="J62" s="5" t="s">
        <v>39</v>
      </c>
      <c r="K62" s="5" t="s">
        <v>39</v>
      </c>
    </row>
    <row r="63" spans="1:11">
      <c r="A63" s="59"/>
      <c r="C63" t="str">
        <f>H63</f>
        <v>NA</v>
      </c>
      <c r="D63" t="str">
        <f>J63</f>
        <v>NA</v>
      </c>
      <c r="E63" t="str">
        <f>K63</f>
        <v>NA</v>
      </c>
      <c r="G63" t="s">
        <v>83</v>
      </c>
      <c r="H63" s="5" t="s">
        <v>39</v>
      </c>
      <c r="I63" s="5">
        <v>48.102699999999999</v>
      </c>
      <c r="J63" s="5" t="s">
        <v>39</v>
      </c>
      <c r="K63" s="5" t="s">
        <v>39</v>
      </c>
    </row>
    <row r="64" spans="1:11">
      <c r="A64" s="59" t="s">
        <v>84</v>
      </c>
      <c r="B64">
        <v>20</v>
      </c>
      <c r="C64">
        <v>501</v>
      </c>
      <c r="D64">
        <v>418.27699999999999</v>
      </c>
      <c r="E64">
        <v>0.129</v>
      </c>
      <c r="G64" t="s">
        <v>84</v>
      </c>
      <c r="H64" s="5">
        <v>515</v>
      </c>
      <c r="I64" s="5">
        <v>47.094799999999999</v>
      </c>
      <c r="J64" s="5">
        <v>548.70000000000005</v>
      </c>
      <c r="K64" s="5">
        <v>0.20300000000000001</v>
      </c>
    </row>
    <row r="65" spans="1:11">
      <c r="A65" s="59"/>
      <c r="C65" t="str">
        <f>H65</f>
        <v>NA</v>
      </c>
      <c r="D65" t="str">
        <f>J65</f>
        <v>NA</v>
      </c>
      <c r="E65" t="str">
        <f>K65</f>
        <v>NA</v>
      </c>
      <c r="G65" t="s">
        <v>85</v>
      </c>
      <c r="H65" s="5" t="s">
        <v>39</v>
      </c>
      <c r="I65" s="5">
        <v>96.086200000000005</v>
      </c>
      <c r="J65" s="5" t="s">
        <v>39</v>
      </c>
      <c r="K65" s="5" t="s">
        <v>39</v>
      </c>
    </row>
    <row r="66" spans="1:11">
      <c r="A66" s="59"/>
      <c r="C66" t="str">
        <f>H66</f>
        <v>NA</v>
      </c>
      <c r="D66" t="str">
        <f>J66</f>
        <v>NA</v>
      </c>
      <c r="E66" t="str">
        <f>K66</f>
        <v>NA</v>
      </c>
      <c r="G66" t="s">
        <v>86</v>
      </c>
      <c r="H66" s="5" t="s">
        <v>39</v>
      </c>
      <c r="I66" s="5">
        <v>62.0685</v>
      </c>
      <c r="J66" s="5" t="s">
        <v>39</v>
      </c>
      <c r="K66" s="5" t="s">
        <v>39</v>
      </c>
    </row>
    <row r="67" spans="1:11">
      <c r="A67" s="59" t="s">
        <v>87</v>
      </c>
      <c r="B67">
        <v>5</v>
      </c>
      <c r="C67">
        <v>509</v>
      </c>
      <c r="D67">
        <v>424.42</v>
      </c>
      <c r="E67">
        <v>7.1999999999999995E-2</v>
      </c>
      <c r="G67" t="s">
        <v>87</v>
      </c>
      <c r="H67" s="5">
        <v>525</v>
      </c>
      <c r="I67" s="5">
        <v>126.905</v>
      </c>
      <c r="J67" s="5">
        <v>527.6</v>
      </c>
      <c r="K67" s="5">
        <v>5.6000000000000001E-2</v>
      </c>
    </row>
    <row r="68" spans="1:11">
      <c r="A68" s="59" t="s">
        <v>88</v>
      </c>
      <c r="B68">
        <v>25</v>
      </c>
      <c r="C68">
        <v>201.72399999999999</v>
      </c>
      <c r="D68">
        <v>125.556</v>
      </c>
      <c r="E68">
        <v>-2.3E-2</v>
      </c>
      <c r="G68" t="s">
        <v>88</v>
      </c>
      <c r="H68" s="5">
        <v>353</v>
      </c>
      <c r="I68" s="5">
        <v>79.903999999999996</v>
      </c>
      <c r="J68" s="5">
        <v>336.1</v>
      </c>
      <c r="K68" s="5">
        <v>5.6000000000000001E-2</v>
      </c>
    </row>
    <row r="69" spans="1:11">
      <c r="A69" s="59" t="s">
        <v>89</v>
      </c>
      <c r="B69">
        <v>12</v>
      </c>
      <c r="C69">
        <v>263.387</v>
      </c>
      <c r="D69">
        <v>210.34200000000001</v>
      </c>
      <c r="E69">
        <v>0.106</v>
      </c>
      <c r="G69" t="s">
        <v>89</v>
      </c>
      <c r="H69" s="5">
        <v>288</v>
      </c>
      <c r="I69" s="5">
        <v>25.030200000000001</v>
      </c>
      <c r="J69" s="5">
        <v>305.39999999999998</v>
      </c>
      <c r="K69" s="5">
        <v>0.125</v>
      </c>
    </row>
    <row r="70" spans="1:11">
      <c r="A70" s="59" t="s">
        <v>407</v>
      </c>
      <c r="B70">
        <v>7</v>
      </c>
      <c r="C70">
        <v>309.64800000000002</v>
      </c>
      <c r="D70">
        <v>97.537999999999997</v>
      </c>
      <c r="E70">
        <v>-0.185</v>
      </c>
      <c r="G70" t="s">
        <v>90</v>
      </c>
      <c r="H70" s="5">
        <v>288</v>
      </c>
      <c r="I70" s="5">
        <v>24.022300000000001</v>
      </c>
      <c r="J70" s="5">
        <v>305.39999999999998</v>
      </c>
      <c r="K70" s="5">
        <v>0.125</v>
      </c>
    </row>
    <row r="71" spans="1:11">
      <c r="A71" s="59"/>
      <c r="C71" t="str">
        <f>H71</f>
        <v>NA</v>
      </c>
      <c r="D71" t="str">
        <f>J71</f>
        <v>NA</v>
      </c>
      <c r="E71" t="str">
        <f>K71</f>
        <v>NA</v>
      </c>
      <c r="G71" t="s">
        <v>91</v>
      </c>
      <c r="H71" s="5" t="s">
        <v>39</v>
      </c>
      <c r="I71" s="5">
        <v>78.129099999999994</v>
      </c>
      <c r="J71" s="5" t="s">
        <v>39</v>
      </c>
      <c r="K71" s="5" t="s">
        <v>39</v>
      </c>
    </row>
    <row r="72" spans="1:11">
      <c r="A72" s="59"/>
      <c r="C72" t="str">
        <f>H72</f>
        <v>NA</v>
      </c>
      <c r="D72" t="str">
        <f>J72</f>
        <v>NA</v>
      </c>
      <c r="E72" t="str">
        <f>K72</f>
        <v>NA</v>
      </c>
      <c r="G72" t="s">
        <v>92</v>
      </c>
      <c r="H72" s="5" t="s">
        <v>39</v>
      </c>
      <c r="I72" s="5">
        <v>53.063899999999997</v>
      </c>
      <c r="J72" s="5" t="s">
        <v>39</v>
      </c>
      <c r="K72" s="5" t="s">
        <v>39</v>
      </c>
    </row>
    <row r="73" spans="1:11">
      <c r="A73" s="59" t="s">
        <v>408</v>
      </c>
      <c r="B73">
        <v>7</v>
      </c>
      <c r="C73">
        <v>183.17099999999999</v>
      </c>
      <c r="D73">
        <v>140</v>
      </c>
      <c r="E73">
        <v>9.1999999999999998E-2</v>
      </c>
      <c r="G73" t="s">
        <v>93</v>
      </c>
      <c r="H73" s="5">
        <v>190</v>
      </c>
      <c r="I73" s="5">
        <v>35.453000000000003</v>
      </c>
      <c r="J73" s="5">
        <v>154.4</v>
      </c>
      <c r="K73" s="5">
        <v>8.2000000000000003E-2</v>
      </c>
    </row>
    <row r="74" spans="1:11">
      <c r="A74" s="59" t="s">
        <v>94</v>
      </c>
      <c r="B74">
        <v>2</v>
      </c>
      <c r="C74">
        <v>131</v>
      </c>
      <c r="D74">
        <v>112.32299999999999</v>
      </c>
      <c r="E74">
        <v>7.0999999999999994E-2</v>
      </c>
      <c r="G74" t="s">
        <v>94</v>
      </c>
      <c r="H74" s="5">
        <v>135</v>
      </c>
      <c r="I74" s="5">
        <v>31.009599999999999</v>
      </c>
      <c r="J74" s="5">
        <v>136.4</v>
      </c>
      <c r="K74" s="5">
        <v>0.14699999999999999</v>
      </c>
    </row>
    <row r="75" spans="1:11">
      <c r="A75" s="59"/>
      <c r="C75" t="str">
        <f>H75</f>
        <v>NA</v>
      </c>
      <c r="D75" t="str">
        <f>J75</f>
        <v>NA</v>
      </c>
      <c r="E75" t="str">
        <f>K75</f>
        <v>NA</v>
      </c>
      <c r="G75" t="s">
        <v>95</v>
      </c>
      <c r="H75" s="5" t="s">
        <v>39</v>
      </c>
      <c r="I75" s="5">
        <v>73.094800000000006</v>
      </c>
      <c r="J75" s="5" t="s">
        <v>39</v>
      </c>
      <c r="K75" s="5" t="s">
        <v>39</v>
      </c>
    </row>
    <row r="76" spans="1:11">
      <c r="A76" s="59"/>
      <c r="C76" t="str">
        <f>H76</f>
        <v>NA</v>
      </c>
      <c r="D76" t="str">
        <f>J76</f>
        <v>NA</v>
      </c>
      <c r="E76" t="str">
        <f>K76</f>
        <v>NA</v>
      </c>
      <c r="G76" t="s">
        <v>96</v>
      </c>
      <c r="H76" s="5" t="s">
        <v>39</v>
      </c>
      <c r="I76" s="5">
        <v>43.025199999999998</v>
      </c>
      <c r="J76" s="5" t="s">
        <v>39</v>
      </c>
      <c r="K76" s="5" t="s">
        <v>39</v>
      </c>
    </row>
    <row r="77" spans="1:11">
      <c r="A77" s="59" t="s">
        <v>97</v>
      </c>
      <c r="B77">
        <v>12</v>
      </c>
      <c r="C77">
        <v>1E-3</v>
      </c>
      <c r="D77">
        <v>1E-3</v>
      </c>
      <c r="E77">
        <v>-0.122</v>
      </c>
      <c r="G77" t="s">
        <v>97</v>
      </c>
      <c r="H77" s="5">
        <v>141</v>
      </c>
      <c r="I77" s="5">
        <v>69.006299999999996</v>
      </c>
      <c r="J77" s="5">
        <v>130</v>
      </c>
      <c r="K77" s="5">
        <v>0.34</v>
      </c>
    </row>
    <row r="78" spans="1:11">
      <c r="A78" s="59" t="s">
        <v>98</v>
      </c>
      <c r="B78">
        <v>11</v>
      </c>
      <c r="C78">
        <v>90</v>
      </c>
      <c r="D78">
        <v>10</v>
      </c>
      <c r="E78">
        <v>-8.7999999999999995E-2</v>
      </c>
      <c r="G78" t="s">
        <v>98</v>
      </c>
      <c r="H78" s="5">
        <v>108</v>
      </c>
      <c r="I78" s="5">
        <v>50.007899999999999</v>
      </c>
      <c r="J78" s="5">
        <v>130</v>
      </c>
      <c r="K78" s="5">
        <v>0.222</v>
      </c>
    </row>
    <row r="79" spans="1:11">
      <c r="A79" s="59" t="s">
        <v>99</v>
      </c>
      <c r="B79">
        <v>4</v>
      </c>
      <c r="C79">
        <v>110</v>
      </c>
      <c r="D79">
        <v>92</v>
      </c>
      <c r="E79">
        <v>0.107</v>
      </c>
      <c r="G79" t="s">
        <v>99</v>
      </c>
      <c r="H79" s="5">
        <v>91</v>
      </c>
      <c r="I79" s="5">
        <v>31.009599999999999</v>
      </c>
      <c r="J79" s="5">
        <v>130</v>
      </c>
      <c r="K79" s="5">
        <v>0.10299999999999999</v>
      </c>
    </row>
    <row r="80" spans="1:11">
      <c r="A80" s="59" t="s">
        <v>100</v>
      </c>
      <c r="B80">
        <v>43</v>
      </c>
      <c r="C80">
        <v>385.89299999999997</v>
      </c>
      <c r="D80">
        <v>361.33100000000002</v>
      </c>
      <c r="E80">
        <v>0.15</v>
      </c>
      <c r="G80" t="s">
        <v>100</v>
      </c>
      <c r="H80" s="5">
        <v>338</v>
      </c>
      <c r="I80" s="5">
        <v>44.009900000000002</v>
      </c>
      <c r="J80" s="5">
        <v>431.5</v>
      </c>
      <c r="K80" s="5">
        <v>0.32700000000000001</v>
      </c>
    </row>
    <row r="81" spans="1:11">
      <c r="A81" s="59" t="s">
        <v>101</v>
      </c>
      <c r="B81">
        <v>1</v>
      </c>
      <c r="C81">
        <v>167.864</v>
      </c>
      <c r="D81">
        <v>137</v>
      </c>
      <c r="E81">
        <v>7.0999999999999994E-2</v>
      </c>
      <c r="G81" t="s">
        <v>101</v>
      </c>
      <c r="H81" s="5">
        <v>164</v>
      </c>
      <c r="I81" s="5">
        <v>31.109200000000001</v>
      </c>
      <c r="J81" s="5">
        <v>191.6</v>
      </c>
      <c r="K81" s="5">
        <v>0.20899999999999999</v>
      </c>
    </row>
    <row r="82" spans="1:11">
      <c r="A82" s="59" t="s">
        <v>102</v>
      </c>
      <c r="B82">
        <v>1</v>
      </c>
      <c r="C82">
        <v>160</v>
      </c>
      <c r="D82">
        <v>153</v>
      </c>
      <c r="E82">
        <v>2.9000000000000001E-2</v>
      </c>
      <c r="G82" t="s">
        <v>102</v>
      </c>
      <c r="H82" s="5">
        <v>164</v>
      </c>
      <c r="I82" s="5">
        <v>30.101299999999998</v>
      </c>
      <c r="J82" s="5">
        <v>191.6</v>
      </c>
      <c r="K82" s="5">
        <v>0.20499999999999999</v>
      </c>
    </row>
    <row r="83" spans="1:11">
      <c r="A83" s="59" t="s">
        <v>103</v>
      </c>
      <c r="B83">
        <v>1</v>
      </c>
      <c r="C83">
        <v>133</v>
      </c>
      <c r="D83">
        <v>144</v>
      </c>
      <c r="E83">
        <v>-2.5999999999999999E-2</v>
      </c>
      <c r="G83" t="s">
        <v>103</v>
      </c>
      <c r="H83" s="5">
        <v>164</v>
      </c>
      <c r="I83" s="5">
        <v>29.093399999999999</v>
      </c>
      <c r="J83" s="5">
        <v>191.6</v>
      </c>
      <c r="K83" s="5">
        <v>0.151</v>
      </c>
    </row>
    <row r="84" spans="1:11">
      <c r="A84" s="59" t="s">
        <v>104</v>
      </c>
      <c r="B84">
        <v>3</v>
      </c>
      <c r="C84">
        <v>94</v>
      </c>
      <c r="D84">
        <v>135</v>
      </c>
      <c r="E84">
        <v>-5.0999999999999997E-2</v>
      </c>
      <c r="G84" t="s">
        <v>104</v>
      </c>
      <c r="H84" s="5">
        <v>164</v>
      </c>
      <c r="I84" s="5">
        <v>28.0855</v>
      </c>
      <c r="J84" s="5">
        <v>191.6</v>
      </c>
      <c r="K84" s="5">
        <v>0.14399999999999999</v>
      </c>
    </row>
    <row r="85" spans="1:11">
      <c r="A85" s="60" t="str">
        <f>G85</f>
        <v>SiH2O</v>
      </c>
      <c r="B85" s="61"/>
      <c r="C85" s="62">
        <f>H85*0.95</f>
        <v>41.8</v>
      </c>
      <c r="D85" s="62">
        <f>J85*0.975</f>
        <v>116.60999999999999</v>
      </c>
      <c r="E85" s="61">
        <f>E81*1.2</f>
        <v>8.5199999999999984E-2</v>
      </c>
      <c r="G85" t="s">
        <v>105</v>
      </c>
      <c r="H85" s="5">
        <v>44</v>
      </c>
      <c r="I85" s="5">
        <v>46.100700000000003</v>
      </c>
      <c r="J85" s="5">
        <v>119.6</v>
      </c>
      <c r="K85" s="5">
        <v>0.245</v>
      </c>
    </row>
    <row r="86" spans="1:11">
      <c r="A86" s="60" t="str">
        <f>G86</f>
        <v>SiHO</v>
      </c>
      <c r="B86" s="61"/>
      <c r="C86" s="62">
        <f>H86*0.95</f>
        <v>41.8</v>
      </c>
      <c r="D86" s="62">
        <f>J86*0.975</f>
        <v>116.60999999999999</v>
      </c>
      <c r="E86" s="61">
        <f>E82*1.2</f>
        <v>3.4799999999999998E-2</v>
      </c>
      <c r="G86" t="s">
        <v>106</v>
      </c>
      <c r="H86" s="5">
        <v>44</v>
      </c>
      <c r="I86" s="5">
        <v>45.092799999999997</v>
      </c>
      <c r="J86" s="5">
        <v>119.6</v>
      </c>
      <c r="K86" s="5">
        <v>0.245</v>
      </c>
    </row>
    <row r="87" spans="1:11">
      <c r="A87" s="59" t="s">
        <v>107</v>
      </c>
      <c r="B87">
        <v>5</v>
      </c>
      <c r="C87">
        <v>108.48099999999999</v>
      </c>
      <c r="D87">
        <v>138</v>
      </c>
      <c r="E87">
        <v>2.5999999999999999E-2</v>
      </c>
      <c r="G87" t="s">
        <v>107</v>
      </c>
      <c r="H87" s="5">
        <v>61</v>
      </c>
      <c r="I87" s="5">
        <v>44.084899999999998</v>
      </c>
      <c r="J87" s="5">
        <v>119.6</v>
      </c>
      <c r="K87" s="5">
        <v>0.215</v>
      </c>
    </row>
    <row r="88" spans="1:11">
      <c r="A88" s="59" t="s">
        <v>108</v>
      </c>
      <c r="B88">
        <v>5</v>
      </c>
      <c r="C88">
        <v>94</v>
      </c>
      <c r="D88">
        <v>140</v>
      </c>
      <c r="E88">
        <v>-4.1000000000000002E-2</v>
      </c>
      <c r="G88" t="s">
        <v>108</v>
      </c>
      <c r="H88" s="5">
        <v>225</v>
      </c>
      <c r="I88" s="5">
        <v>14.0067</v>
      </c>
      <c r="J88" s="5">
        <v>206.7</v>
      </c>
      <c r="K88" s="5">
        <v>0.14799999999999999</v>
      </c>
    </row>
    <row r="89" spans="1:11">
      <c r="A89" s="59"/>
      <c r="C89" t="str">
        <f>H89</f>
        <v>NA</v>
      </c>
      <c r="D89" t="str">
        <f>J89</f>
        <v>NA</v>
      </c>
      <c r="E89" t="str">
        <f>K89</f>
        <v>NA</v>
      </c>
      <c r="G89" t="s">
        <v>109</v>
      </c>
      <c r="H89" s="5" t="s">
        <v>39</v>
      </c>
      <c r="I89" s="5">
        <v>137.369</v>
      </c>
      <c r="J89" s="5" t="s">
        <v>39</v>
      </c>
      <c r="K89" s="5" t="s">
        <v>39</v>
      </c>
    </row>
    <row r="90" spans="1:11">
      <c r="A90" s="59" t="s">
        <v>110</v>
      </c>
      <c r="B90">
        <v>2</v>
      </c>
      <c r="C90">
        <v>408.55700000000002</v>
      </c>
      <c r="D90">
        <v>344.18099999999998</v>
      </c>
      <c r="E90">
        <v>0.161</v>
      </c>
      <c r="G90" t="s">
        <v>110</v>
      </c>
      <c r="H90" s="5">
        <v>569</v>
      </c>
      <c r="I90" s="5">
        <v>101.916</v>
      </c>
      <c r="J90" s="5">
        <v>565.79999999999995</v>
      </c>
      <c r="K90" s="5">
        <v>0.314</v>
      </c>
    </row>
    <row r="91" spans="1:11">
      <c r="A91" s="59"/>
      <c r="C91" t="str">
        <f>H91</f>
        <v>NA</v>
      </c>
      <c r="D91" t="str">
        <f>J91</f>
        <v>NA</v>
      </c>
      <c r="E91" t="str">
        <f>K91</f>
        <v>NA</v>
      </c>
      <c r="G91" t="s">
        <v>111</v>
      </c>
      <c r="H91" s="5" t="s">
        <v>39</v>
      </c>
      <c r="I91" s="5">
        <v>102.923</v>
      </c>
      <c r="J91" s="5" t="s">
        <v>39</v>
      </c>
      <c r="K91" s="5" t="s">
        <v>39</v>
      </c>
    </row>
    <row r="92" spans="1:11">
      <c r="A92" s="60" t="str">
        <f>G92</f>
        <v>HCCLF</v>
      </c>
      <c r="B92" s="61"/>
      <c r="C92" s="62">
        <f>H92*0.95</f>
        <v>453.15</v>
      </c>
      <c r="D92" s="62">
        <f>J92*0.975</f>
        <v>344.07749999999999</v>
      </c>
      <c r="E92" s="61">
        <v>0.1</v>
      </c>
      <c r="G92" t="s">
        <v>112</v>
      </c>
      <c r="H92" s="5">
        <v>477</v>
      </c>
      <c r="I92" s="5">
        <v>67.470500000000001</v>
      </c>
      <c r="J92" s="5">
        <v>352.9</v>
      </c>
      <c r="K92" s="5">
        <v>0.20899999999999999</v>
      </c>
    </row>
    <row r="93" spans="1:11">
      <c r="A93" s="59" t="s">
        <v>113</v>
      </c>
      <c r="B93">
        <v>5</v>
      </c>
      <c r="C93">
        <v>14.5</v>
      </c>
      <c r="D93">
        <v>37.700000000000003</v>
      </c>
      <c r="E93">
        <v>-0.14499999999999999</v>
      </c>
      <c r="G93" t="s">
        <v>113</v>
      </c>
      <c r="H93" s="5">
        <v>348</v>
      </c>
      <c r="I93" s="5">
        <v>85.460999999999999</v>
      </c>
      <c r="J93" s="5">
        <v>284.39999999999998</v>
      </c>
      <c r="K93" s="5">
        <v>0.32700000000000001</v>
      </c>
    </row>
    <row r="94" spans="1:11">
      <c r="A94" s="59"/>
      <c r="C94" t="str">
        <f>H94</f>
        <v>NA</v>
      </c>
      <c r="D94" t="str">
        <f t="shared" ref="D94:E96" si="0">J94</f>
        <v>NA</v>
      </c>
      <c r="E94" t="str">
        <f t="shared" si="0"/>
        <v>NA</v>
      </c>
      <c r="G94" t="s">
        <v>114</v>
      </c>
      <c r="H94" s="5" t="s">
        <v>39</v>
      </c>
      <c r="I94" s="5">
        <v>86.468800000000002</v>
      </c>
      <c r="J94" s="5" t="s">
        <v>39</v>
      </c>
      <c r="K94" s="5" t="s">
        <v>39</v>
      </c>
    </row>
    <row r="95" spans="1:11">
      <c r="A95" s="59"/>
      <c r="C95" t="str">
        <f>H95</f>
        <v>NA</v>
      </c>
      <c r="D95" t="str">
        <f t="shared" si="0"/>
        <v>NA</v>
      </c>
      <c r="E95" t="str">
        <f t="shared" si="0"/>
        <v>NA</v>
      </c>
      <c r="G95" t="s">
        <v>115</v>
      </c>
      <c r="H95" s="5" t="s">
        <v>39</v>
      </c>
      <c r="I95" s="5">
        <v>104.459</v>
      </c>
      <c r="J95" s="5" t="s">
        <v>39</v>
      </c>
      <c r="K95" s="5" t="s">
        <v>39</v>
      </c>
    </row>
    <row r="96" spans="1:11">
      <c r="A96" s="59"/>
      <c r="C96" t="str">
        <f>H96</f>
        <v>NA</v>
      </c>
      <c r="D96" t="str">
        <f t="shared" si="0"/>
        <v>NA</v>
      </c>
      <c r="E96" t="str">
        <f t="shared" si="0"/>
        <v>NA</v>
      </c>
      <c r="G96" t="s">
        <v>116</v>
      </c>
      <c r="H96" s="5" t="s">
        <v>39</v>
      </c>
      <c r="I96" s="5">
        <v>120.914</v>
      </c>
      <c r="J96" s="5" t="s">
        <v>39</v>
      </c>
      <c r="K96" s="5" t="s">
        <v>39</v>
      </c>
    </row>
    <row r="97" spans="1:11">
      <c r="A97" s="59" t="s">
        <v>117</v>
      </c>
      <c r="B97">
        <v>3</v>
      </c>
      <c r="C97">
        <v>1371.95</v>
      </c>
      <c r="D97">
        <v>1066.585</v>
      </c>
      <c r="E97">
        <v>0.125</v>
      </c>
      <c r="G97" t="s">
        <v>117</v>
      </c>
      <c r="H97" s="5">
        <v>1255</v>
      </c>
      <c r="I97" s="5">
        <v>44.033099999999997</v>
      </c>
      <c r="J97" s="5">
        <v>1426.7</v>
      </c>
      <c r="K97" s="5">
        <v>0.33</v>
      </c>
    </row>
    <row r="98" spans="1:11">
      <c r="A98" s="60" t="str">
        <f>G98</f>
        <v>CONHCH3</v>
      </c>
      <c r="B98" s="61"/>
      <c r="C98" s="62">
        <f t="shared" ref="C98:C104" si="1">H98*0.95</f>
        <v>793.25</v>
      </c>
      <c r="D98" s="62">
        <f>J98*0.975</f>
        <v>1488.5325</v>
      </c>
      <c r="E98" s="63">
        <f t="shared" ref="E98:E104" si="2">$E$97*K98/$K$97</f>
        <v>0.2109848484848485</v>
      </c>
      <c r="G98" t="s">
        <v>118</v>
      </c>
      <c r="H98" s="5">
        <v>835</v>
      </c>
      <c r="I98" s="5">
        <v>58.06</v>
      </c>
      <c r="J98" s="5">
        <v>1526.7</v>
      </c>
      <c r="K98" s="5">
        <v>0.55700000000000005</v>
      </c>
    </row>
    <row r="99" spans="1:11">
      <c r="A99" s="60" t="str">
        <f t="shared" ref="A99:A104" si="3">G99</f>
        <v>CONHCH2</v>
      </c>
      <c r="B99" s="61"/>
      <c r="C99" s="62">
        <f t="shared" si="1"/>
        <v>791.34999999999991</v>
      </c>
      <c r="D99" s="62">
        <f t="shared" ref="D99:D104" si="4">J99*0.975</f>
        <v>1522.6575</v>
      </c>
      <c r="E99" s="63">
        <f t="shared" si="2"/>
        <v>0.20946969696969697</v>
      </c>
      <c r="G99" t="s">
        <v>119</v>
      </c>
      <c r="H99" s="5">
        <v>833</v>
      </c>
      <c r="I99" s="5">
        <v>57.052100000000003</v>
      </c>
      <c r="J99" s="5">
        <v>1561.7</v>
      </c>
      <c r="K99" s="5">
        <v>0.55300000000000005</v>
      </c>
    </row>
    <row r="100" spans="1:11">
      <c r="A100" s="60" t="str">
        <f t="shared" si="3"/>
        <v>CON(CH3)2</v>
      </c>
      <c r="B100" s="61"/>
      <c r="C100" s="62">
        <f t="shared" si="1"/>
        <v>818.9</v>
      </c>
      <c r="D100" s="62">
        <f t="shared" si="4"/>
        <v>1586.0325</v>
      </c>
      <c r="E100" s="63">
        <f t="shared" si="2"/>
        <v>0.25378787878787878</v>
      </c>
      <c r="G100" t="s">
        <v>120</v>
      </c>
      <c r="H100" s="5">
        <v>862</v>
      </c>
      <c r="I100" s="5">
        <v>72.087000000000003</v>
      </c>
      <c r="J100" s="5">
        <v>1626.7</v>
      </c>
      <c r="K100" s="5">
        <v>0.67</v>
      </c>
    </row>
    <row r="101" spans="1:11">
      <c r="A101" s="60" t="str">
        <f t="shared" si="3"/>
        <v>CONCH3CH2</v>
      </c>
      <c r="B101" s="61"/>
      <c r="C101" s="62">
        <f t="shared" si="1"/>
        <v>817</v>
      </c>
      <c r="D101" s="62">
        <f t="shared" si="4"/>
        <v>1620.1575</v>
      </c>
      <c r="E101" s="63">
        <f t="shared" si="2"/>
        <v>0.25227272727272726</v>
      </c>
      <c r="G101" t="s">
        <v>121</v>
      </c>
      <c r="H101" s="5">
        <v>860</v>
      </c>
      <c r="I101" s="5">
        <v>71.078999999999994</v>
      </c>
      <c r="J101" s="5">
        <v>1661.7</v>
      </c>
      <c r="K101" s="5">
        <v>0.66600000000000004</v>
      </c>
    </row>
    <row r="102" spans="1:11">
      <c r="A102" s="60" t="str">
        <f t="shared" si="3"/>
        <v>CON(CH2)2</v>
      </c>
      <c r="B102" s="61"/>
      <c r="C102" s="62">
        <f t="shared" si="1"/>
        <v>815.09999999999991</v>
      </c>
      <c r="D102" s="62">
        <f t="shared" si="4"/>
        <v>1654.2825</v>
      </c>
      <c r="E102" s="63">
        <f t="shared" si="2"/>
        <v>0.25075757575757573</v>
      </c>
      <c r="G102" t="s">
        <v>122</v>
      </c>
      <c r="H102" s="5">
        <v>858</v>
      </c>
      <c r="I102" s="5">
        <v>70.071200000000005</v>
      </c>
      <c r="J102" s="5">
        <v>1696.7</v>
      </c>
      <c r="K102" s="5">
        <v>0.66200000000000003</v>
      </c>
    </row>
    <row r="103" spans="1:11">
      <c r="A103" s="60" t="str">
        <f t="shared" si="3"/>
        <v>C2H5O2</v>
      </c>
      <c r="B103" s="61"/>
      <c r="C103" s="62">
        <f t="shared" si="1"/>
        <v>788.5</v>
      </c>
      <c r="D103" s="62">
        <f t="shared" si="4"/>
        <v>958.71749999999997</v>
      </c>
      <c r="E103" s="63">
        <f t="shared" si="2"/>
        <v>0.31780303030303025</v>
      </c>
      <c r="G103" t="s">
        <v>123</v>
      </c>
      <c r="H103" s="5">
        <v>830</v>
      </c>
      <c r="I103" s="5">
        <v>61.060600000000001</v>
      </c>
      <c r="J103" s="5">
        <v>983.3</v>
      </c>
      <c r="K103" s="5">
        <v>0.83899999999999997</v>
      </c>
    </row>
    <row r="104" spans="1:11">
      <c r="A104" s="60" t="str">
        <f t="shared" si="3"/>
        <v>C2H4O2</v>
      </c>
      <c r="B104" s="61"/>
      <c r="C104" s="62">
        <f t="shared" si="1"/>
        <v>470.25</v>
      </c>
      <c r="D104" s="62">
        <f t="shared" si="4"/>
        <v>579.15</v>
      </c>
      <c r="E104" s="63">
        <f t="shared" si="2"/>
        <v>0.23068181818181815</v>
      </c>
      <c r="G104" t="s">
        <v>124</v>
      </c>
      <c r="H104" s="5">
        <v>495</v>
      </c>
      <c r="I104" s="5">
        <v>60.052700000000002</v>
      </c>
      <c r="J104" s="5">
        <v>594</v>
      </c>
      <c r="K104" s="5">
        <v>0.60899999999999999</v>
      </c>
    </row>
    <row r="105" spans="1:11">
      <c r="A105" s="59" t="s">
        <v>125</v>
      </c>
      <c r="B105">
        <v>2</v>
      </c>
      <c r="C105">
        <v>464.6</v>
      </c>
      <c r="D105">
        <v>411.03500000000003</v>
      </c>
      <c r="E105">
        <v>0.11899999999999999</v>
      </c>
      <c r="G105" t="s">
        <v>125</v>
      </c>
      <c r="H105" s="5">
        <v>473</v>
      </c>
      <c r="I105" s="5">
        <v>47.094799999999999</v>
      </c>
      <c r="J105" s="5">
        <v>450</v>
      </c>
      <c r="K105" s="5">
        <v>0.20699999999999999</v>
      </c>
    </row>
    <row r="106" spans="1:11">
      <c r="A106" s="59" t="s">
        <v>126</v>
      </c>
      <c r="B106">
        <v>5</v>
      </c>
      <c r="C106">
        <v>464.6</v>
      </c>
      <c r="D106">
        <v>411.03500000000003</v>
      </c>
      <c r="E106">
        <v>9.0999999999999998E-2</v>
      </c>
      <c r="G106" t="s">
        <v>126</v>
      </c>
      <c r="H106" s="5">
        <v>471</v>
      </c>
      <c r="I106" s="5">
        <v>46.0869</v>
      </c>
      <c r="J106" s="5">
        <v>485</v>
      </c>
      <c r="K106" s="5">
        <v>0.20300000000000001</v>
      </c>
    </row>
    <row r="107" spans="1:11">
      <c r="A107" t="str">
        <f>G107</f>
        <v>CHS</v>
      </c>
      <c r="C107">
        <f>C106-(H106-H107)</f>
        <v>440.6</v>
      </c>
      <c r="D107">
        <f>D106-(J106-J107)</f>
        <v>411.03500000000003</v>
      </c>
      <c r="E107">
        <f>E106-(K106-K107)</f>
        <v>3.6999999999999977E-2</v>
      </c>
      <c r="G107" t="s">
        <v>127</v>
      </c>
      <c r="H107" s="5">
        <v>447</v>
      </c>
      <c r="I107" s="5">
        <v>45.079000000000001</v>
      </c>
      <c r="J107" s="5">
        <v>485</v>
      </c>
      <c r="K107" s="5">
        <v>0.14899999999999999</v>
      </c>
    </row>
    <row r="108" spans="1:11">
      <c r="A108" t="str">
        <f>G108</f>
        <v>MORPH</v>
      </c>
      <c r="C108" t="str">
        <f>H108</f>
        <v>NA</v>
      </c>
      <c r="D108" t="str">
        <f>J108</f>
        <v>NA</v>
      </c>
      <c r="E108" t="str">
        <f>K108</f>
        <v>NA</v>
      </c>
      <c r="G108" t="s">
        <v>128</v>
      </c>
      <c r="H108" s="5" t="s">
        <v>39</v>
      </c>
      <c r="I108" s="5">
        <v>87.121799999999993</v>
      </c>
      <c r="J108" s="5" t="s">
        <v>39</v>
      </c>
      <c r="K108" s="5" t="s">
        <v>39</v>
      </c>
    </row>
    <row r="109" spans="1:11">
      <c r="A109" t="str">
        <f t="shared" ref="A109:A118" si="5">G109</f>
        <v>C4H4S</v>
      </c>
      <c r="C109" t="str">
        <f>H109</f>
        <v>NA</v>
      </c>
      <c r="D109" t="str">
        <f>J109</f>
        <v>NA</v>
      </c>
      <c r="E109" t="str">
        <f>K109</f>
        <v>NA</v>
      </c>
      <c r="G109" t="s">
        <v>129</v>
      </c>
      <c r="H109" s="5" t="s">
        <v>39</v>
      </c>
      <c r="I109" s="5">
        <v>84.136200000000002</v>
      </c>
      <c r="J109" s="5" t="s">
        <v>39</v>
      </c>
      <c r="K109" s="5" t="s">
        <v>39</v>
      </c>
    </row>
    <row r="110" spans="1:11">
      <c r="A110" t="str">
        <f t="shared" si="5"/>
        <v>C4H3S</v>
      </c>
      <c r="B110" s="61"/>
      <c r="C110" s="61">
        <f>H110-50</f>
        <v>697</v>
      </c>
      <c r="D110" s="61">
        <f>J110-50</f>
        <v>834.2</v>
      </c>
      <c r="E110" s="61">
        <f>K110</f>
        <v>0.379</v>
      </c>
      <c r="G110" t="s">
        <v>130</v>
      </c>
      <c r="H110" s="5">
        <v>747</v>
      </c>
      <c r="I110" s="5">
        <v>83.128299999999996</v>
      </c>
      <c r="J110" s="5">
        <v>884.2</v>
      </c>
      <c r="K110" s="5">
        <v>0.379</v>
      </c>
    </row>
    <row r="111" spans="1:11">
      <c r="A111" t="str">
        <f t="shared" si="5"/>
        <v>C4H2S</v>
      </c>
      <c r="B111" s="61"/>
      <c r="C111" s="61">
        <f>H111-50</f>
        <v>697</v>
      </c>
      <c r="D111" s="61">
        <f>J111-50</f>
        <v>834.2</v>
      </c>
      <c r="E111" s="61">
        <f>K111</f>
        <v>0.372</v>
      </c>
      <c r="G111" t="s">
        <v>131</v>
      </c>
      <c r="H111" s="5">
        <v>747</v>
      </c>
      <c r="I111" s="5">
        <v>82.120400000000004</v>
      </c>
      <c r="J111" s="5">
        <v>884.2</v>
      </c>
      <c r="K111" s="5">
        <v>0.372</v>
      </c>
    </row>
    <row r="112" spans="1:11">
      <c r="A112" t="str">
        <f t="shared" si="5"/>
        <v>NMP</v>
      </c>
      <c r="C112" t="str">
        <f>H112</f>
        <v>NA</v>
      </c>
      <c r="D112" t="str">
        <f>J112</f>
        <v>NA</v>
      </c>
      <c r="E112" t="str">
        <f>K112</f>
        <v>NA</v>
      </c>
      <c r="G112" t="s">
        <v>132</v>
      </c>
      <c r="H112" s="5" t="s">
        <v>39</v>
      </c>
      <c r="I112" s="5">
        <v>99.132900000000006</v>
      </c>
      <c r="J112" s="5" t="s">
        <v>39</v>
      </c>
      <c r="K112" s="5" t="s">
        <v>39</v>
      </c>
    </row>
    <row r="113" spans="1:11">
      <c r="A113" t="str">
        <f t="shared" si="5"/>
        <v>RCH2&lt;</v>
      </c>
      <c r="B113">
        <v>82</v>
      </c>
      <c r="C113">
        <v>133.83099999999999</v>
      </c>
      <c r="D113">
        <v>110.85899999999999</v>
      </c>
      <c r="E113">
        <v>3.5999999999999997E-2</v>
      </c>
      <c r="G113" t="s">
        <v>134</v>
      </c>
      <c r="H113" s="5">
        <v>138</v>
      </c>
      <c r="I113" s="5">
        <v>14.026899999999999</v>
      </c>
      <c r="J113" s="5">
        <v>135.1</v>
      </c>
      <c r="K113" s="5">
        <v>7.6999999999999999E-2</v>
      </c>
    </row>
    <row r="114" spans="1:11">
      <c r="A114" t="str">
        <f t="shared" si="5"/>
        <v>&gt;RCH-</v>
      </c>
      <c r="B114">
        <v>42</v>
      </c>
      <c r="C114">
        <v>111.63</v>
      </c>
      <c r="D114">
        <v>101.1</v>
      </c>
      <c r="E114">
        <v>1.4999999999999999E-2</v>
      </c>
      <c r="G114" t="s">
        <v>136</v>
      </c>
      <c r="H114" s="5">
        <v>107</v>
      </c>
      <c r="I114" s="5">
        <v>13.019</v>
      </c>
      <c r="J114" s="5">
        <v>143.30000000000001</v>
      </c>
      <c r="K114" s="5">
        <v>7.0000000000000007E-2</v>
      </c>
    </row>
    <row r="115" spans="1:11">
      <c r="A115" t="str">
        <f t="shared" si="5"/>
        <v>&gt;RC&lt;</v>
      </c>
      <c r="B115">
        <v>12</v>
      </c>
      <c r="C115">
        <v>36.299999999999997</v>
      </c>
      <c r="D115">
        <v>72.856999999999999</v>
      </c>
      <c r="E115">
        <v>3.7999999999999999E-2</v>
      </c>
      <c r="G115" t="s">
        <v>138</v>
      </c>
      <c r="H115" s="5">
        <v>20</v>
      </c>
      <c r="I115" s="5">
        <v>12.011200000000001</v>
      </c>
      <c r="J115" s="5">
        <v>81.599999999999994</v>
      </c>
      <c r="K115" s="5">
        <v>7.0000000000000007E-2</v>
      </c>
    </row>
    <row r="116" spans="1:11">
      <c r="A116" t="str">
        <f t="shared" si="5"/>
        <v>CH2=C=CH</v>
      </c>
      <c r="C116" s="62">
        <f>H116*0.95</f>
        <v>488.29999999999995</v>
      </c>
      <c r="D116" s="62">
        <f>J116*0.975</f>
        <v>374.4</v>
      </c>
      <c r="E116" s="63">
        <f>E8+E9/2</f>
        <v>0.1515</v>
      </c>
      <c r="G116" t="s">
        <v>140</v>
      </c>
      <c r="H116" s="5">
        <v>514</v>
      </c>
      <c r="I116" s="5">
        <v>39.057099999999998</v>
      </c>
      <c r="J116" s="5">
        <v>384</v>
      </c>
      <c r="K116" s="5">
        <v>0.33800000000000002</v>
      </c>
    </row>
    <row r="117" spans="1:11">
      <c r="A117" t="str">
        <f t="shared" si="5"/>
        <v>SO2</v>
      </c>
      <c r="C117" s="62">
        <f>H117*0.95</f>
        <v>960.44999999999993</v>
      </c>
      <c r="D117" s="62">
        <f>J117*0.975</f>
        <v>1084.2975000000001</v>
      </c>
      <c r="E117" s="61">
        <f>K117/2</f>
        <v>0.22500000000000001</v>
      </c>
      <c r="G117" t="s">
        <v>330</v>
      </c>
      <c r="H117" s="5">
        <v>1011</v>
      </c>
      <c r="I117" s="5">
        <v>64.061800000000005</v>
      </c>
      <c r="J117" s="5">
        <f>H117*1.1</f>
        <v>1112.1000000000001</v>
      </c>
      <c r="K117" s="5">
        <v>0.45</v>
      </c>
    </row>
    <row r="118" spans="1:11">
      <c r="A118" t="str">
        <f t="shared" si="5"/>
        <v>&gt;C=O(other)</v>
      </c>
      <c r="C118" t="str">
        <f>H118</f>
        <v>NA</v>
      </c>
      <c r="D118" t="str">
        <f>J118</f>
        <v>NA</v>
      </c>
      <c r="E118" t="str">
        <f>K118</f>
        <v>NA</v>
      </c>
      <c r="G118" s="52" t="s">
        <v>394</v>
      </c>
      <c r="H118" s="5" t="s">
        <v>39</v>
      </c>
      <c r="I118" s="5" t="s">
        <v>39</v>
      </c>
      <c r="J118" s="5" t="s">
        <v>39</v>
      </c>
      <c r="K118" s="5" t="s">
        <v>39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9"/>
  <sheetViews>
    <sheetView workbookViewId="0">
      <selection activeCell="B1" sqref="B1:B1048576"/>
    </sheetView>
  </sheetViews>
  <sheetFormatPr defaultRowHeight="13"/>
  <sheetData>
    <row r="1" spans="1:4">
      <c r="C1" t="s">
        <v>181</v>
      </c>
      <c r="D1" t="s">
        <v>156</v>
      </c>
    </row>
    <row r="2" spans="1:4">
      <c r="A2" t="s">
        <v>158</v>
      </c>
      <c r="B2">
        <v>1</v>
      </c>
      <c r="C2">
        <v>0</v>
      </c>
      <c r="D2">
        <v>0</v>
      </c>
    </row>
    <row r="3" spans="1:4">
      <c r="A3" t="s">
        <v>159</v>
      </c>
      <c r="B3">
        <v>2</v>
      </c>
      <c r="C3">
        <v>0</v>
      </c>
      <c r="D3">
        <v>0</v>
      </c>
    </row>
    <row r="4" spans="1:4">
      <c r="A4" t="s">
        <v>25</v>
      </c>
      <c r="B4">
        <v>3</v>
      </c>
      <c r="C4">
        <v>0</v>
      </c>
      <c r="D4">
        <v>0</v>
      </c>
    </row>
    <row r="5" spans="1:4">
      <c r="A5" t="s">
        <v>162</v>
      </c>
      <c r="B5">
        <v>4</v>
      </c>
      <c r="C5">
        <v>0</v>
      </c>
      <c r="D5">
        <v>0</v>
      </c>
    </row>
    <row r="6" spans="1:4">
      <c r="A6" t="s">
        <v>27</v>
      </c>
      <c r="B6">
        <v>5</v>
      </c>
      <c r="C6">
        <v>0</v>
      </c>
      <c r="D6">
        <v>0</v>
      </c>
    </row>
    <row r="7" spans="1:4">
      <c r="A7" t="s">
        <v>28</v>
      </c>
      <c r="B7">
        <v>6</v>
      </c>
      <c r="C7">
        <v>0</v>
      </c>
      <c r="D7">
        <v>0</v>
      </c>
    </row>
    <row r="8" spans="1:4">
      <c r="A8" t="s">
        <v>29</v>
      </c>
      <c r="B8">
        <v>7</v>
      </c>
      <c r="C8">
        <v>0</v>
      </c>
      <c r="D8">
        <v>0</v>
      </c>
    </row>
    <row r="9" spans="1:4">
      <c r="A9" t="s">
        <v>30</v>
      </c>
      <c r="B9">
        <v>8</v>
      </c>
      <c r="C9">
        <v>0</v>
      </c>
      <c r="D9">
        <v>0</v>
      </c>
    </row>
    <row r="10" spans="1:4">
      <c r="A10" t="s">
        <v>31</v>
      </c>
      <c r="B10">
        <v>9</v>
      </c>
      <c r="C10">
        <v>0</v>
      </c>
      <c r="D10">
        <v>0</v>
      </c>
    </row>
    <row r="11" spans="1:4">
      <c r="A11" t="s">
        <v>32</v>
      </c>
      <c r="B11">
        <v>10</v>
      </c>
      <c r="C11">
        <v>0</v>
      </c>
      <c r="D11">
        <v>0</v>
      </c>
    </row>
    <row r="12" spans="1:4">
      <c r="A12" t="s">
        <v>164</v>
      </c>
      <c r="B12">
        <v>11</v>
      </c>
      <c r="C12">
        <v>0</v>
      </c>
      <c r="D12">
        <v>0</v>
      </c>
    </row>
    <row r="13" spans="1:4">
      <c r="A13" t="s">
        <v>34</v>
      </c>
      <c r="B13">
        <v>12</v>
      </c>
      <c r="C13">
        <v>0</v>
      </c>
      <c r="D13">
        <v>0</v>
      </c>
    </row>
    <row r="14" spans="1:4">
      <c r="A14" t="s">
        <v>35</v>
      </c>
      <c r="B14">
        <v>13</v>
      </c>
      <c r="C14">
        <v>0</v>
      </c>
      <c r="D14">
        <v>0</v>
      </c>
    </row>
    <row r="15" spans="1:4">
      <c r="A15" t="s">
        <v>36</v>
      </c>
      <c r="B15">
        <v>14</v>
      </c>
      <c r="C15">
        <v>0</v>
      </c>
      <c r="D15">
        <v>0</v>
      </c>
    </row>
    <row r="16" spans="1:4">
      <c r="A16" t="s">
        <v>37</v>
      </c>
      <c r="B16">
        <v>15</v>
      </c>
      <c r="C16">
        <v>4</v>
      </c>
      <c r="D16">
        <v>1</v>
      </c>
    </row>
    <row r="17" spans="1:4">
      <c r="A17" t="s">
        <v>38</v>
      </c>
      <c r="B17">
        <v>16</v>
      </c>
      <c r="C17">
        <v>0</v>
      </c>
      <c r="D17">
        <v>0</v>
      </c>
    </row>
    <row r="18" spans="1:4">
      <c r="A18" t="s">
        <v>40</v>
      </c>
      <c r="B18">
        <v>17</v>
      </c>
      <c r="C18">
        <v>0</v>
      </c>
      <c r="D18">
        <v>0</v>
      </c>
    </row>
    <row r="19" spans="1:4">
      <c r="A19" t="s">
        <v>41</v>
      </c>
      <c r="B19">
        <v>18</v>
      </c>
      <c r="C19">
        <v>4</v>
      </c>
      <c r="D19">
        <v>1</v>
      </c>
    </row>
    <row r="20" spans="1:4">
      <c r="A20" t="s">
        <v>42</v>
      </c>
      <c r="B20">
        <v>19</v>
      </c>
      <c r="C20">
        <v>0</v>
      </c>
      <c r="D20">
        <v>0</v>
      </c>
    </row>
    <row r="21" spans="1:4">
      <c r="A21" t="s">
        <v>43</v>
      </c>
      <c r="B21">
        <v>20</v>
      </c>
      <c r="C21">
        <v>0</v>
      </c>
      <c r="D21">
        <v>0</v>
      </c>
    </row>
    <row r="22" spans="1:4">
      <c r="A22" t="s">
        <v>44</v>
      </c>
      <c r="B22">
        <v>21</v>
      </c>
      <c r="C22">
        <v>1.25</v>
      </c>
      <c r="D22">
        <v>1</v>
      </c>
    </row>
    <row r="23" spans="1:4">
      <c r="A23" t="s">
        <v>45</v>
      </c>
      <c r="B23">
        <v>22</v>
      </c>
      <c r="C23">
        <v>0</v>
      </c>
      <c r="D23">
        <v>0</v>
      </c>
    </row>
    <row r="24" spans="1:4">
      <c r="A24" t="s">
        <v>46</v>
      </c>
      <c r="B24">
        <v>23</v>
      </c>
      <c r="C24">
        <v>0</v>
      </c>
      <c r="D24">
        <v>0</v>
      </c>
    </row>
    <row r="25" spans="1:4">
      <c r="A25" t="s">
        <v>47</v>
      </c>
      <c r="B25">
        <v>24</v>
      </c>
      <c r="C25">
        <v>0</v>
      </c>
      <c r="D25">
        <v>0</v>
      </c>
    </row>
    <row r="26" spans="1:4">
      <c r="A26" t="s">
        <v>48</v>
      </c>
      <c r="B26">
        <v>25</v>
      </c>
      <c r="C26">
        <v>0</v>
      </c>
      <c r="D26">
        <v>0</v>
      </c>
    </row>
    <row r="27" spans="1:4">
      <c r="A27" t="s">
        <v>49</v>
      </c>
      <c r="B27">
        <v>26</v>
      </c>
      <c r="C27">
        <v>0</v>
      </c>
      <c r="D27">
        <v>0</v>
      </c>
    </row>
    <row r="28" spans="1:4">
      <c r="A28" t="s">
        <v>50</v>
      </c>
      <c r="B28">
        <v>27</v>
      </c>
      <c r="C28">
        <v>0</v>
      </c>
      <c r="D28">
        <v>0</v>
      </c>
    </row>
    <row r="29" spans="1:4">
      <c r="A29" t="s">
        <v>51</v>
      </c>
      <c r="B29">
        <v>28</v>
      </c>
      <c r="C29">
        <v>0</v>
      </c>
      <c r="D29">
        <v>0</v>
      </c>
    </row>
    <row r="30" spans="1:4">
      <c r="A30" t="s">
        <v>52</v>
      </c>
      <c r="B30">
        <v>29</v>
      </c>
      <c r="C30">
        <v>0</v>
      </c>
      <c r="D30">
        <v>0</v>
      </c>
    </row>
    <row r="31" spans="1:4">
      <c r="A31" t="s">
        <v>53</v>
      </c>
      <c r="B31">
        <v>30</v>
      </c>
      <c r="C31">
        <v>1.25</v>
      </c>
      <c r="D31">
        <v>1</v>
      </c>
    </row>
    <row r="32" spans="1:4">
      <c r="A32" t="s">
        <v>54</v>
      </c>
      <c r="B32">
        <v>31</v>
      </c>
      <c r="C32">
        <v>1.25</v>
      </c>
      <c r="D32">
        <v>1</v>
      </c>
    </row>
    <row r="33" spans="1:4">
      <c r="A33" t="s">
        <v>55</v>
      </c>
      <c r="B33">
        <v>32</v>
      </c>
      <c r="C33">
        <v>1.25</v>
      </c>
      <c r="D33">
        <v>1</v>
      </c>
    </row>
    <row r="34" spans="1:4">
      <c r="A34" t="s">
        <v>56</v>
      </c>
      <c r="B34">
        <v>33</v>
      </c>
      <c r="C34">
        <v>1.25</v>
      </c>
      <c r="D34">
        <v>1</v>
      </c>
    </row>
    <row r="35" spans="1:4">
      <c r="A35" t="s">
        <v>57</v>
      </c>
      <c r="B35">
        <v>34</v>
      </c>
      <c r="C35">
        <v>1.25</v>
      </c>
      <c r="D35">
        <v>1</v>
      </c>
    </row>
    <row r="36" spans="1:4">
      <c r="A36" t="s">
        <v>165</v>
      </c>
      <c r="B36">
        <v>35</v>
      </c>
      <c r="C36">
        <v>0</v>
      </c>
      <c r="D36">
        <v>0</v>
      </c>
    </row>
    <row r="37" spans="1:4">
      <c r="A37" t="s">
        <v>166</v>
      </c>
      <c r="B37">
        <v>36</v>
      </c>
      <c r="C37">
        <v>0</v>
      </c>
      <c r="D37">
        <v>0</v>
      </c>
    </row>
    <row r="38" spans="1:4">
      <c r="A38" t="s">
        <v>60</v>
      </c>
      <c r="B38">
        <v>37</v>
      </c>
      <c r="C38">
        <v>1.25</v>
      </c>
      <c r="D38">
        <v>1</v>
      </c>
    </row>
    <row r="39" spans="1:4">
      <c r="A39" t="s">
        <v>61</v>
      </c>
      <c r="B39">
        <v>38</v>
      </c>
      <c r="C39">
        <v>0</v>
      </c>
      <c r="D39">
        <v>0</v>
      </c>
    </row>
    <row r="40" spans="1:4">
      <c r="A40" t="s">
        <v>62</v>
      </c>
      <c r="B40">
        <v>39</v>
      </c>
      <c r="C40">
        <v>0</v>
      </c>
      <c r="D40">
        <v>0</v>
      </c>
    </row>
    <row r="41" spans="1:4">
      <c r="A41" t="s">
        <v>63</v>
      </c>
      <c r="B41">
        <v>40</v>
      </c>
      <c r="C41">
        <v>0</v>
      </c>
      <c r="D41">
        <v>0</v>
      </c>
    </row>
    <row r="42" spans="1:4">
      <c r="A42" t="s">
        <v>64</v>
      </c>
      <c r="B42">
        <v>41</v>
      </c>
      <c r="C42">
        <v>0</v>
      </c>
      <c r="D42">
        <v>0</v>
      </c>
    </row>
    <row r="43" spans="1:4">
      <c r="A43" t="s">
        <v>65</v>
      </c>
      <c r="B43">
        <v>42</v>
      </c>
      <c r="C43">
        <v>1.25</v>
      </c>
      <c r="D43">
        <v>1</v>
      </c>
    </row>
    <row r="44" spans="1:4">
      <c r="A44" t="s">
        <v>66</v>
      </c>
      <c r="B44">
        <v>43</v>
      </c>
      <c r="C44">
        <v>0</v>
      </c>
      <c r="D44">
        <v>0</v>
      </c>
    </row>
    <row r="45" spans="1:4">
      <c r="A45" t="s">
        <v>67</v>
      </c>
      <c r="B45">
        <v>44</v>
      </c>
      <c r="C45">
        <v>0</v>
      </c>
      <c r="D45">
        <v>0</v>
      </c>
    </row>
    <row r="46" spans="1:4">
      <c r="A46" t="s">
        <v>68</v>
      </c>
      <c r="B46">
        <v>45</v>
      </c>
      <c r="C46">
        <v>0</v>
      </c>
      <c r="D46">
        <v>0</v>
      </c>
    </row>
    <row r="47" spans="1:4">
      <c r="A47" t="s">
        <v>69</v>
      </c>
      <c r="B47">
        <v>46</v>
      </c>
      <c r="C47">
        <v>0</v>
      </c>
      <c r="D47">
        <v>0</v>
      </c>
    </row>
    <row r="48" spans="1:4">
      <c r="A48" t="s">
        <v>70</v>
      </c>
      <c r="B48">
        <v>47</v>
      </c>
      <c r="C48">
        <v>0</v>
      </c>
      <c r="D48">
        <v>0</v>
      </c>
    </row>
    <row r="49" spans="1:4">
      <c r="A49" t="s">
        <v>71</v>
      </c>
      <c r="B49">
        <v>48</v>
      </c>
      <c r="C49">
        <v>0</v>
      </c>
      <c r="D49">
        <v>0</v>
      </c>
    </row>
    <row r="50" spans="1:4">
      <c r="A50" t="s">
        <v>72</v>
      </c>
      <c r="B50">
        <v>49</v>
      </c>
      <c r="C50">
        <v>0</v>
      </c>
      <c r="D50">
        <v>0</v>
      </c>
    </row>
    <row r="51" spans="1:4">
      <c r="A51" t="s">
        <v>73</v>
      </c>
      <c r="B51">
        <v>50</v>
      </c>
      <c r="C51">
        <v>0</v>
      </c>
      <c r="D51">
        <v>0</v>
      </c>
    </row>
    <row r="52" spans="1:4">
      <c r="A52" t="s">
        <v>74</v>
      </c>
      <c r="B52">
        <v>51</v>
      </c>
      <c r="C52">
        <v>0</v>
      </c>
      <c r="D52">
        <v>0</v>
      </c>
    </row>
    <row r="53" spans="1:4">
      <c r="A53" t="s">
        <v>75</v>
      </c>
      <c r="B53">
        <v>52</v>
      </c>
      <c r="C53">
        <v>0</v>
      </c>
      <c r="D53">
        <v>0</v>
      </c>
    </row>
    <row r="54" spans="1:4">
      <c r="A54" t="s">
        <v>76</v>
      </c>
      <c r="B54">
        <v>53</v>
      </c>
      <c r="C54">
        <v>0</v>
      </c>
      <c r="D54">
        <v>0</v>
      </c>
    </row>
    <row r="55" spans="1:4">
      <c r="A55" t="s">
        <v>77</v>
      </c>
      <c r="B55">
        <v>54</v>
      </c>
      <c r="C55">
        <v>0</v>
      </c>
      <c r="D55">
        <v>0</v>
      </c>
    </row>
    <row r="56" spans="1:4">
      <c r="A56" t="s">
        <v>78</v>
      </c>
      <c r="B56">
        <v>55</v>
      </c>
      <c r="C56">
        <v>0</v>
      </c>
      <c r="D56">
        <v>0</v>
      </c>
    </row>
    <row r="57" spans="1:4">
      <c r="A57" t="s">
        <v>79</v>
      </c>
      <c r="B57">
        <v>56</v>
      </c>
      <c r="C57">
        <v>0</v>
      </c>
      <c r="D57">
        <v>0</v>
      </c>
    </row>
    <row r="58" spans="1:4">
      <c r="A58" t="s">
        <v>80</v>
      </c>
      <c r="B58">
        <v>57</v>
      </c>
      <c r="C58">
        <v>0</v>
      </c>
      <c r="D58">
        <v>0</v>
      </c>
    </row>
    <row r="59" spans="1:4">
      <c r="A59" t="s">
        <v>81</v>
      </c>
      <c r="B59">
        <v>58</v>
      </c>
      <c r="C59">
        <v>0</v>
      </c>
      <c r="D59">
        <v>0</v>
      </c>
    </row>
    <row r="60" spans="1:4">
      <c r="A60" t="s">
        <v>82</v>
      </c>
      <c r="B60">
        <v>59</v>
      </c>
      <c r="C60">
        <v>0</v>
      </c>
      <c r="D60">
        <v>0</v>
      </c>
    </row>
    <row r="61" spans="1:4">
      <c r="A61" t="s">
        <v>83</v>
      </c>
      <c r="B61">
        <v>60</v>
      </c>
      <c r="C61">
        <v>0</v>
      </c>
      <c r="D61">
        <v>0</v>
      </c>
    </row>
    <row r="62" spans="1:4">
      <c r="A62" t="s">
        <v>84</v>
      </c>
      <c r="B62">
        <v>61</v>
      </c>
      <c r="C62">
        <v>0</v>
      </c>
      <c r="D62">
        <v>0</v>
      </c>
    </row>
    <row r="63" spans="1:4">
      <c r="A63" t="s">
        <v>85</v>
      </c>
      <c r="B63">
        <v>62</v>
      </c>
      <c r="C63">
        <v>0</v>
      </c>
      <c r="D63">
        <v>0</v>
      </c>
    </row>
    <row r="64" spans="1:4">
      <c r="A64" t="s">
        <v>86</v>
      </c>
      <c r="B64">
        <v>63</v>
      </c>
      <c r="C64">
        <v>0</v>
      </c>
      <c r="D64">
        <v>0</v>
      </c>
    </row>
    <row r="65" spans="1:4">
      <c r="A65" t="s">
        <v>87</v>
      </c>
      <c r="B65">
        <v>64</v>
      </c>
      <c r="C65">
        <v>0</v>
      </c>
      <c r="D65">
        <v>0</v>
      </c>
    </row>
    <row r="66" spans="1:4">
      <c r="A66" t="s">
        <v>88</v>
      </c>
      <c r="B66">
        <v>65</v>
      </c>
      <c r="C66">
        <v>0</v>
      </c>
      <c r="D66">
        <v>0</v>
      </c>
    </row>
    <row r="67" spans="1:4">
      <c r="A67" t="s">
        <v>167</v>
      </c>
      <c r="B67">
        <v>66</v>
      </c>
      <c r="C67">
        <v>0</v>
      </c>
      <c r="D67">
        <v>0</v>
      </c>
    </row>
    <row r="68" spans="1:4">
      <c r="A68" t="s">
        <v>168</v>
      </c>
      <c r="B68">
        <v>67</v>
      </c>
      <c r="C68">
        <v>0</v>
      </c>
      <c r="D68">
        <v>0</v>
      </c>
    </row>
    <row r="69" spans="1:4">
      <c r="A69" t="s">
        <v>91</v>
      </c>
      <c r="B69">
        <v>68</v>
      </c>
      <c r="C69">
        <v>0</v>
      </c>
      <c r="D69">
        <v>0</v>
      </c>
    </row>
    <row r="70" spans="1:4">
      <c r="A70" t="s">
        <v>92</v>
      </c>
      <c r="B70">
        <v>69</v>
      </c>
      <c r="C70">
        <v>0</v>
      </c>
      <c r="D70">
        <v>0</v>
      </c>
    </row>
    <row r="71" spans="1:4">
      <c r="A71" t="s">
        <v>169</v>
      </c>
      <c r="B71">
        <v>70</v>
      </c>
      <c r="C71">
        <v>0</v>
      </c>
      <c r="D71">
        <v>0</v>
      </c>
    </row>
    <row r="72" spans="1:4">
      <c r="A72" t="s">
        <v>94</v>
      </c>
      <c r="B72">
        <v>71</v>
      </c>
      <c r="C72">
        <v>0</v>
      </c>
      <c r="D72">
        <v>0</v>
      </c>
    </row>
    <row r="73" spans="1:4">
      <c r="A73" t="s">
        <v>95</v>
      </c>
      <c r="B73">
        <v>72</v>
      </c>
      <c r="C73">
        <v>0</v>
      </c>
      <c r="D73">
        <v>0</v>
      </c>
    </row>
    <row r="74" spans="1:4">
      <c r="A74" t="s">
        <v>96</v>
      </c>
      <c r="B74">
        <v>73</v>
      </c>
      <c r="C74">
        <v>0</v>
      </c>
      <c r="D74">
        <v>0</v>
      </c>
    </row>
    <row r="75" spans="1:4">
      <c r="A75" t="s">
        <v>97</v>
      </c>
      <c r="B75">
        <v>74</v>
      </c>
      <c r="C75">
        <v>0</v>
      </c>
      <c r="D75">
        <v>0</v>
      </c>
    </row>
    <row r="76" spans="1:4">
      <c r="A76" t="s">
        <v>98</v>
      </c>
      <c r="B76">
        <v>75</v>
      </c>
      <c r="C76">
        <v>0</v>
      </c>
      <c r="D76">
        <v>0</v>
      </c>
    </row>
    <row r="77" spans="1:4">
      <c r="A77" t="s">
        <v>99</v>
      </c>
      <c r="B77">
        <v>76</v>
      </c>
      <c r="C77">
        <v>0</v>
      </c>
      <c r="D77">
        <v>0</v>
      </c>
    </row>
    <row r="78" spans="1:4">
      <c r="A78" t="s">
        <v>100</v>
      </c>
      <c r="B78">
        <v>77</v>
      </c>
      <c r="C78">
        <v>0</v>
      </c>
      <c r="D78">
        <v>0</v>
      </c>
    </row>
    <row r="79" spans="1:4">
      <c r="A79" t="s">
        <v>101</v>
      </c>
      <c r="B79">
        <v>78</v>
      </c>
      <c r="C79">
        <v>0</v>
      </c>
      <c r="D79">
        <v>0</v>
      </c>
    </row>
    <row r="80" spans="1:4">
      <c r="A80" t="s">
        <v>102</v>
      </c>
      <c r="B80">
        <v>79</v>
      </c>
      <c r="C80">
        <v>0</v>
      </c>
      <c r="D80">
        <v>0</v>
      </c>
    </row>
    <row r="81" spans="1:4">
      <c r="A81" t="s">
        <v>103</v>
      </c>
      <c r="B81">
        <v>80</v>
      </c>
      <c r="C81">
        <v>0</v>
      </c>
      <c r="D81">
        <v>0</v>
      </c>
    </row>
    <row r="82" spans="1:4">
      <c r="A82" t="s">
        <v>104</v>
      </c>
      <c r="B82">
        <v>81</v>
      </c>
      <c r="C82">
        <v>0</v>
      </c>
      <c r="D82">
        <v>0</v>
      </c>
    </row>
    <row r="83" spans="1:4">
      <c r="A83" t="s">
        <v>105</v>
      </c>
      <c r="B83">
        <v>82</v>
      </c>
      <c r="C83">
        <v>0</v>
      </c>
      <c r="D83">
        <v>0</v>
      </c>
    </row>
    <row r="84" spans="1:4">
      <c r="A84" t="s">
        <v>106</v>
      </c>
      <c r="B84">
        <v>83</v>
      </c>
      <c r="C84">
        <v>0</v>
      </c>
      <c r="D84">
        <v>0</v>
      </c>
    </row>
    <row r="85" spans="1:4">
      <c r="A85" t="s">
        <v>107</v>
      </c>
      <c r="B85">
        <v>84</v>
      </c>
      <c r="C85">
        <v>0</v>
      </c>
      <c r="D85">
        <v>0</v>
      </c>
    </row>
    <row r="86" spans="1:4">
      <c r="A86" t="s">
        <v>108</v>
      </c>
      <c r="B86">
        <v>85</v>
      </c>
      <c r="C86">
        <v>0</v>
      </c>
      <c r="D86">
        <v>0</v>
      </c>
    </row>
    <row r="87" spans="1:4">
      <c r="A87" t="s">
        <v>109</v>
      </c>
      <c r="B87">
        <v>86</v>
      </c>
      <c r="C87">
        <v>0</v>
      </c>
      <c r="D87">
        <v>0</v>
      </c>
    </row>
    <row r="88" spans="1:4">
      <c r="A88" t="s">
        <v>110</v>
      </c>
      <c r="B88">
        <v>87</v>
      </c>
      <c r="C88">
        <v>0</v>
      </c>
      <c r="D88">
        <v>0</v>
      </c>
    </row>
    <row r="89" spans="1:4">
      <c r="A89" t="s">
        <v>111</v>
      </c>
      <c r="B89">
        <v>88</v>
      </c>
      <c r="C89">
        <v>0</v>
      </c>
      <c r="D89">
        <v>0</v>
      </c>
    </row>
    <row r="90" spans="1:4">
      <c r="A90" t="s">
        <v>112</v>
      </c>
      <c r="B90">
        <v>89</v>
      </c>
      <c r="C90">
        <v>0</v>
      </c>
      <c r="D90">
        <v>0</v>
      </c>
    </row>
    <row r="91" spans="1:4">
      <c r="A91" t="s">
        <v>113</v>
      </c>
      <c r="B91">
        <v>90</v>
      </c>
      <c r="C91">
        <v>0</v>
      </c>
      <c r="D91">
        <v>0</v>
      </c>
    </row>
    <row r="92" spans="1:4">
      <c r="A92" t="s">
        <v>114</v>
      </c>
      <c r="B92">
        <v>91</v>
      </c>
      <c r="C92">
        <v>0</v>
      </c>
      <c r="D92">
        <v>0</v>
      </c>
    </row>
    <row r="93" spans="1:4">
      <c r="A93" t="s">
        <v>115</v>
      </c>
      <c r="B93">
        <v>92</v>
      </c>
      <c r="C93">
        <v>0</v>
      </c>
      <c r="D93">
        <v>0</v>
      </c>
    </row>
    <row r="94" spans="1:4">
      <c r="A94" t="s">
        <v>116</v>
      </c>
      <c r="B94">
        <v>93</v>
      </c>
      <c r="C94">
        <v>0</v>
      </c>
      <c r="D94">
        <v>0</v>
      </c>
    </row>
    <row r="95" spans="1:4">
      <c r="A95" t="s">
        <v>117</v>
      </c>
      <c r="B95">
        <v>94</v>
      </c>
      <c r="C95">
        <v>1.25</v>
      </c>
      <c r="D95">
        <v>1</v>
      </c>
    </row>
    <row r="96" spans="1:4">
      <c r="A96" t="s">
        <v>118</v>
      </c>
      <c r="B96">
        <v>95</v>
      </c>
      <c r="C96">
        <v>1.25</v>
      </c>
      <c r="D96">
        <v>1</v>
      </c>
    </row>
    <row r="97" spans="1:4">
      <c r="A97" t="s">
        <v>119</v>
      </c>
      <c r="B97">
        <v>96</v>
      </c>
      <c r="C97">
        <v>1.25</v>
      </c>
      <c r="D97">
        <v>1</v>
      </c>
    </row>
    <row r="98" spans="1:4">
      <c r="A98" t="s">
        <v>170</v>
      </c>
      <c r="B98">
        <v>97</v>
      </c>
      <c r="C98">
        <v>0</v>
      </c>
      <c r="D98">
        <v>0</v>
      </c>
    </row>
    <row r="99" spans="1:4">
      <c r="A99" t="s">
        <v>121</v>
      </c>
      <c r="B99">
        <v>98</v>
      </c>
      <c r="C99">
        <v>0</v>
      </c>
      <c r="D99">
        <v>0</v>
      </c>
    </row>
    <row r="100" spans="1:4">
      <c r="A100" t="s">
        <v>171</v>
      </c>
      <c r="B100">
        <v>99</v>
      </c>
      <c r="C100">
        <v>0</v>
      </c>
      <c r="D100">
        <v>0</v>
      </c>
    </row>
    <row r="101" spans="1:4">
      <c r="A101" t="s">
        <v>123</v>
      </c>
      <c r="B101">
        <v>100</v>
      </c>
      <c r="C101">
        <v>4</v>
      </c>
      <c r="D101">
        <v>1</v>
      </c>
    </row>
    <row r="102" spans="1:4">
      <c r="A102" t="s">
        <v>124</v>
      </c>
      <c r="B102">
        <v>101</v>
      </c>
      <c r="C102">
        <v>0</v>
      </c>
      <c r="D102">
        <v>0</v>
      </c>
    </row>
    <row r="103" spans="1:4">
      <c r="A103" t="s">
        <v>125</v>
      </c>
      <c r="B103">
        <v>102</v>
      </c>
      <c r="C103">
        <v>0</v>
      </c>
      <c r="D103">
        <v>0</v>
      </c>
    </row>
    <row r="104" spans="1:4">
      <c r="A104" t="s">
        <v>126</v>
      </c>
      <c r="B104">
        <v>103</v>
      </c>
      <c r="C104">
        <v>0</v>
      </c>
      <c r="D104">
        <v>0</v>
      </c>
    </row>
    <row r="105" spans="1:4">
      <c r="A105" t="s">
        <v>127</v>
      </c>
      <c r="B105">
        <v>104</v>
      </c>
      <c r="C105">
        <v>0</v>
      </c>
      <c r="D105">
        <v>0</v>
      </c>
    </row>
    <row r="106" spans="1:4">
      <c r="A106" t="s">
        <v>128</v>
      </c>
      <c r="B106">
        <v>105</v>
      </c>
      <c r="C106">
        <v>0</v>
      </c>
      <c r="D106">
        <v>0</v>
      </c>
    </row>
    <row r="107" spans="1:4">
      <c r="A107" t="s">
        <v>129</v>
      </c>
      <c r="B107">
        <v>106</v>
      </c>
      <c r="C107">
        <v>0</v>
      </c>
      <c r="D107">
        <v>0</v>
      </c>
    </row>
    <row r="108" spans="1:4">
      <c r="A108" t="s">
        <v>130</v>
      </c>
      <c r="B108">
        <v>107</v>
      </c>
      <c r="C108">
        <v>0</v>
      </c>
      <c r="D108">
        <v>0</v>
      </c>
    </row>
    <row r="109" spans="1:4">
      <c r="A109" t="s">
        <v>131</v>
      </c>
      <c r="B109">
        <v>108</v>
      </c>
      <c r="C109">
        <v>0</v>
      </c>
      <c r="D109">
        <v>0</v>
      </c>
    </row>
    <row r="110" spans="1:4">
      <c r="A110" t="s">
        <v>132</v>
      </c>
      <c r="B110">
        <v>109</v>
      </c>
      <c r="C110">
        <v>0</v>
      </c>
      <c r="D110">
        <v>0</v>
      </c>
    </row>
    <row r="111" spans="1:4">
      <c r="A111" t="s">
        <v>172</v>
      </c>
      <c r="B111">
        <v>110</v>
      </c>
      <c r="C111">
        <v>0</v>
      </c>
      <c r="D111">
        <v>0</v>
      </c>
    </row>
    <row r="112" spans="1:4">
      <c r="A112" t="s">
        <v>172</v>
      </c>
      <c r="B112">
        <v>111</v>
      </c>
      <c r="C112">
        <v>0</v>
      </c>
      <c r="D112">
        <v>0</v>
      </c>
    </row>
    <row r="113" spans="1:4">
      <c r="A113" t="s">
        <v>172</v>
      </c>
      <c r="B113">
        <v>112</v>
      </c>
      <c r="C113">
        <v>0</v>
      </c>
      <c r="D113">
        <v>0</v>
      </c>
    </row>
    <row r="114" spans="1:4">
      <c r="A114" t="s">
        <v>172</v>
      </c>
      <c r="B114">
        <v>113</v>
      </c>
      <c r="C114">
        <v>0</v>
      </c>
      <c r="D114">
        <v>0</v>
      </c>
    </row>
    <row r="115" spans="1:4">
      <c r="A115" t="s">
        <v>172</v>
      </c>
      <c r="B115">
        <v>114</v>
      </c>
      <c r="C115">
        <v>0</v>
      </c>
      <c r="D115">
        <v>0</v>
      </c>
    </row>
    <row r="116" spans="1:4">
      <c r="A116" t="s">
        <v>172</v>
      </c>
      <c r="B116">
        <v>115</v>
      </c>
      <c r="C116">
        <v>0</v>
      </c>
      <c r="D116">
        <v>0</v>
      </c>
    </row>
    <row r="117" spans="1:4">
      <c r="A117" t="s">
        <v>172</v>
      </c>
      <c r="B117">
        <v>116</v>
      </c>
      <c r="C117">
        <v>0</v>
      </c>
      <c r="D117">
        <v>0</v>
      </c>
    </row>
    <row r="118" spans="1:4">
      <c r="A118" t="s">
        <v>172</v>
      </c>
      <c r="B118">
        <v>117</v>
      </c>
      <c r="C118">
        <v>0</v>
      </c>
      <c r="D118">
        <v>0</v>
      </c>
    </row>
    <row r="119" spans="1:4">
      <c r="A119" t="s">
        <v>172</v>
      </c>
      <c r="B119">
        <v>118</v>
      </c>
      <c r="C119">
        <v>0</v>
      </c>
      <c r="D119">
        <v>0</v>
      </c>
    </row>
    <row r="120" spans="1:4">
      <c r="A120" t="s">
        <v>172</v>
      </c>
      <c r="B120">
        <v>119</v>
      </c>
      <c r="C120">
        <v>0</v>
      </c>
      <c r="D120">
        <v>0</v>
      </c>
    </row>
    <row r="121" spans="1:4">
      <c r="A121" t="s">
        <v>172</v>
      </c>
      <c r="B121">
        <v>120</v>
      </c>
      <c r="C121">
        <v>0</v>
      </c>
      <c r="D121">
        <v>0</v>
      </c>
    </row>
    <row r="122" spans="1:4">
      <c r="A122" t="s">
        <v>172</v>
      </c>
      <c r="B122">
        <v>121</v>
      </c>
      <c r="C122">
        <v>0</v>
      </c>
      <c r="D122">
        <v>0</v>
      </c>
    </row>
    <row r="123" spans="1:4">
      <c r="A123" t="s">
        <v>172</v>
      </c>
      <c r="B123">
        <v>122</v>
      </c>
      <c r="C123">
        <v>0</v>
      </c>
      <c r="D123">
        <v>0</v>
      </c>
    </row>
    <row r="124" spans="1:4">
      <c r="A124" t="s">
        <v>172</v>
      </c>
      <c r="B124">
        <v>123</v>
      </c>
      <c r="C124">
        <v>0</v>
      </c>
      <c r="D124">
        <v>0</v>
      </c>
    </row>
    <row r="125" spans="1:4">
      <c r="A125" t="s">
        <v>172</v>
      </c>
      <c r="B125">
        <v>124</v>
      </c>
      <c r="C125">
        <v>0</v>
      </c>
      <c r="D125">
        <v>0</v>
      </c>
    </row>
    <row r="126" spans="1:4">
      <c r="A126" t="s">
        <v>173</v>
      </c>
      <c r="B126">
        <v>125</v>
      </c>
      <c r="C126">
        <v>0</v>
      </c>
      <c r="D126">
        <v>0</v>
      </c>
    </row>
    <row r="127" spans="1:4">
      <c r="A127" t="s">
        <v>174</v>
      </c>
      <c r="B127">
        <v>126</v>
      </c>
      <c r="C127">
        <v>0</v>
      </c>
      <c r="D127">
        <v>0</v>
      </c>
    </row>
    <row r="128" spans="1:4">
      <c r="A128" t="s">
        <v>175</v>
      </c>
      <c r="B128">
        <v>127</v>
      </c>
      <c r="C128">
        <v>0</v>
      </c>
      <c r="D128">
        <v>0</v>
      </c>
    </row>
    <row r="129" spans="1:4">
      <c r="A129" t="s">
        <v>160</v>
      </c>
      <c r="B129">
        <v>128</v>
      </c>
      <c r="C129">
        <v>0</v>
      </c>
      <c r="D129">
        <v>0</v>
      </c>
    </row>
    <row r="130" spans="1:4">
      <c r="A130" t="s">
        <v>161</v>
      </c>
      <c r="B130">
        <v>129</v>
      </c>
      <c r="C130">
        <v>0</v>
      </c>
      <c r="D130">
        <v>0</v>
      </c>
    </row>
    <row r="131" spans="1:4">
      <c r="A131" t="s">
        <v>163</v>
      </c>
      <c r="B131">
        <v>130</v>
      </c>
      <c r="C131">
        <v>0</v>
      </c>
      <c r="D131">
        <v>0</v>
      </c>
    </row>
    <row r="132" spans="1:4">
      <c r="A132" t="s">
        <v>176</v>
      </c>
      <c r="B132">
        <v>131</v>
      </c>
    </row>
    <row r="133" spans="1:4">
      <c r="A133" t="s">
        <v>177</v>
      </c>
    </row>
    <row r="134" spans="1:4">
      <c r="A134" t="s">
        <v>178</v>
      </c>
    </row>
    <row r="135" spans="1:4">
      <c r="A135" t="s">
        <v>179</v>
      </c>
    </row>
    <row r="136" spans="1:4">
      <c r="A136" t="s">
        <v>172</v>
      </c>
    </row>
    <row r="137" spans="1:4">
      <c r="A137" t="s">
        <v>172</v>
      </c>
    </row>
    <row r="138" spans="1:4">
      <c r="A138" t="s">
        <v>172</v>
      </c>
    </row>
    <row r="139" spans="1:4">
      <c r="A139" t="s">
        <v>180</v>
      </c>
    </row>
  </sheetData>
  <phoneticPr fontId="8" type="noConversion"/>
  <conditionalFormatting sqref="C2:C131">
    <cfRule type="cellIs" dxfId="0" priority="1" operator="greater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abSelected="1" workbookViewId="0">
      <selection activeCell="A19" sqref="A19"/>
    </sheetView>
  </sheetViews>
  <sheetFormatPr defaultRowHeight="13"/>
  <cols>
    <col min="4" max="4" width="12" customWidth="1"/>
    <col min="5" max="5" width="9.3984375" customWidth="1"/>
    <col min="6" max="6" width="10.09765625" customWidth="1"/>
    <col min="7" max="7" width="11.296875" customWidth="1"/>
    <col min="9" max="9" width="7.19921875" style="5" customWidth="1"/>
    <col min="10" max="11" width="8.796875" style="5" customWidth="1"/>
    <col min="12" max="12" width="4.3984375" style="5" customWidth="1"/>
    <col min="13" max="13" width="4.59765625" style="5" customWidth="1"/>
  </cols>
  <sheetData>
    <row r="1" spans="1:13">
      <c r="A1" t="s">
        <v>332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335</v>
      </c>
      <c r="K1" s="5" t="s">
        <v>191</v>
      </c>
      <c r="L1" s="5" t="s">
        <v>192</v>
      </c>
      <c r="M1" s="5" t="s">
        <v>193</v>
      </c>
    </row>
    <row r="2" spans="1:13">
      <c r="A2" t="s">
        <v>331</v>
      </c>
      <c r="E2" s="36">
        <v>4.7050081231836156</v>
      </c>
      <c r="F2" s="36">
        <v>8.0571512727152239</v>
      </c>
      <c r="G2" s="11">
        <v>298.32338913132639</v>
      </c>
      <c r="H2" s="11">
        <v>103.82034195933764</v>
      </c>
      <c r="I2" s="5">
        <v>1</v>
      </c>
      <c r="J2" s="5">
        <v>5.3134871068158543E-3</v>
      </c>
      <c r="K2" s="5">
        <v>2.3127513101370236</v>
      </c>
      <c r="L2" s="5">
        <v>1</v>
      </c>
      <c r="M2" s="5">
        <v>1</v>
      </c>
    </row>
    <row r="3" spans="1:13">
      <c r="A3" t="s">
        <v>333</v>
      </c>
      <c r="E3" s="36">
        <v>4.9526521408500308</v>
      </c>
      <c r="F3" s="36">
        <v>8.5288536918055051</v>
      </c>
      <c r="G3" s="11">
        <v>302.11723767240295</v>
      </c>
      <c r="H3" s="11">
        <v>115.86107182889067</v>
      </c>
      <c r="I3" s="5">
        <v>1</v>
      </c>
      <c r="J3" s="5">
        <v>5.0478005095082679E-3</v>
      </c>
      <c r="K3" s="5">
        <v>2.2516331054410466</v>
      </c>
      <c r="L3" s="5">
        <v>1</v>
      </c>
      <c r="M3" s="5">
        <v>1</v>
      </c>
    </row>
    <row r="4" spans="1:13">
      <c r="A4" s="57" t="s">
        <v>411</v>
      </c>
      <c r="E4" s="36">
        <v>2.5895617643662647</v>
      </c>
      <c r="F4" s="36">
        <v>4.0277336662942869</v>
      </c>
      <c r="G4" s="11">
        <v>334.96394737572564</v>
      </c>
      <c r="H4" s="11">
        <v>49.390289376272861</v>
      </c>
      <c r="I4" s="5">
        <v>1</v>
      </c>
      <c r="J4" s="5">
        <v>9.6541431619871689E-3</v>
      </c>
      <c r="K4" s="5">
        <v>2.6779633955391353</v>
      </c>
      <c r="L4" s="5">
        <v>1</v>
      </c>
      <c r="M4" s="5">
        <v>1</v>
      </c>
    </row>
    <row r="5" spans="1:13">
      <c r="A5" t="s">
        <v>334</v>
      </c>
      <c r="E5" s="36"/>
      <c r="F5" s="36"/>
      <c r="G5" s="11"/>
      <c r="H5" s="11"/>
    </row>
    <row r="6" spans="1:13">
      <c r="E6" s="36" t="s">
        <v>388</v>
      </c>
      <c r="F6" s="36" t="s">
        <v>388</v>
      </c>
      <c r="G6" s="11" t="s">
        <v>388</v>
      </c>
      <c r="H6" s="11" t="s">
        <v>389</v>
      </c>
      <c r="J6" s="51" t="s">
        <v>390</v>
      </c>
    </row>
    <row r="7" spans="1:13">
      <c r="A7" s="52" t="s">
        <v>382</v>
      </c>
      <c r="E7" s="54" t="s">
        <v>384</v>
      </c>
      <c r="F7" s="54" t="s">
        <v>385</v>
      </c>
      <c r="G7" s="55" t="s">
        <v>386</v>
      </c>
      <c r="H7" s="55" t="s">
        <v>387</v>
      </c>
    </row>
    <row r="8" spans="1:13">
      <c r="A8" s="52" t="s">
        <v>383</v>
      </c>
      <c r="E8" s="36">
        <v>18.884800000000002</v>
      </c>
      <c r="F8" s="36">
        <v>10.9224</v>
      </c>
      <c r="G8" s="36">
        <v>10.031700000000001</v>
      </c>
      <c r="H8" s="36">
        <v>11.73897002423652</v>
      </c>
    </row>
    <row r="9" spans="1:13">
      <c r="A9" s="52" t="s">
        <v>392</v>
      </c>
      <c r="E9" s="36">
        <v>15.841000000000001</v>
      </c>
      <c r="F9" s="36">
        <v>7.9653999999999998</v>
      </c>
      <c r="G9" s="36">
        <v>5.7191000000000001</v>
      </c>
      <c r="H9" s="36">
        <v>9.1080850843063423</v>
      </c>
      <c r="J9" s="56" t="s">
        <v>391</v>
      </c>
    </row>
    <row r="10" spans="1:13">
      <c r="A10" s="52" t="s">
        <v>393</v>
      </c>
      <c r="E10" s="36">
        <v>21.5534</v>
      </c>
      <c r="F10" s="36">
        <v>10.4308</v>
      </c>
      <c r="G10" s="36">
        <v>22.975300000000001</v>
      </c>
      <c r="H10" s="36">
        <v>16.223338551002371</v>
      </c>
      <c r="J10" s="56" t="s">
        <v>391</v>
      </c>
    </row>
    <row r="11" spans="1:13">
      <c r="A11" s="57" t="s">
        <v>401</v>
      </c>
      <c r="C11" s="57" t="s">
        <v>402</v>
      </c>
      <c r="E11" s="36"/>
      <c r="F11" s="58" t="s">
        <v>403</v>
      </c>
      <c r="G11" s="47">
        <f>SQRT(28.5*1.90476/4/(1.9*9.5*1.90476+4*1.7746))</f>
        <v>0.5720009655888314</v>
      </c>
      <c r="H11" s="58" t="s">
        <v>404</v>
      </c>
    </row>
    <row r="12" spans="1:13">
      <c r="E12" s="36"/>
      <c r="F12" s="36"/>
      <c r="G12" s="36"/>
      <c r="H12" s="36"/>
    </row>
    <row r="14" spans="1:13">
      <c r="A14" s="5" t="str">
        <f>'GivenTcPcAcen ESD'!A2</f>
        <v>CritProps</v>
      </c>
      <c r="B14" s="5" t="str">
        <f>'GivenTcPcAcen ESD'!B2</f>
        <v>Name</v>
      </c>
      <c r="C14" s="5" t="str">
        <f>'GivenTcPcAcen ESD'!C2</f>
        <v>Tc(K)</v>
      </c>
      <c r="D14" s="5" t="str">
        <f>'GivenTcPcAcen ESD'!D2</f>
        <v>Pc(Mpa)</v>
      </c>
      <c r="E14" s="5" t="str">
        <f>'GivenTcPcAcen ESD'!E2</f>
        <v>w</v>
      </c>
      <c r="F14" s="5" t="str">
        <f>'GivenTcPcAcen ESD'!F2</f>
        <v>Zc</v>
      </c>
      <c r="G14" s="5" t="str">
        <f>'GivenTcPcAcen ESD'!G2</f>
        <v>Note: you must type the Tc,Pc,w here either from experimental ref or from other worksheets.</v>
      </c>
      <c r="H14" s="36"/>
    </row>
    <row r="15" spans="1:13">
      <c r="A15" s="5">
        <f>'GivenTcPcAcen ESD'!A3</f>
        <v>1316</v>
      </c>
      <c r="B15" s="5" t="str">
        <f>'GivenTcPcAcen ESD'!B3</f>
        <v>C6H12O2</v>
      </c>
      <c r="C15" s="5">
        <f>'GivenTcPcAcen ESD'!C3</f>
        <v>560.79999999999995</v>
      </c>
      <c r="D15" s="5">
        <f>'GivenTcPcAcen ESD'!D3</f>
        <v>3.01</v>
      </c>
      <c r="E15" s="5">
        <f>'GivenTcPcAcen ESD'!E3</f>
        <v>0.434</v>
      </c>
      <c r="F15" s="5">
        <f>'GivenTcPcAcen ESD'!F3</f>
        <v>0.27860000000000001</v>
      </c>
      <c r="G15" s="5"/>
      <c r="H15" s="36"/>
    </row>
    <row r="16" spans="1:13" s="5" customFormat="1">
      <c r="A16" s="5" t="str">
        <f>'GivenTcPcAcen ESD'!B4</f>
        <v>cShape</v>
      </c>
      <c r="B16" s="5" t="str">
        <f>'GivenTcPcAcen ESD'!C4</f>
        <v>qShape</v>
      </c>
      <c r="C16" s="5" t="str">
        <f>'GivenTcPcAcen ESD'!D4</f>
        <v>eok</v>
      </c>
      <c r="D16" s="5" t="str">
        <f>'GivenTcPcAcen ESD'!E4</f>
        <v>bVol</v>
      </c>
      <c r="E16" s="5" t="str">
        <f>'GivenTcPcAcen ESD'!F4</f>
        <v>Nd</v>
      </c>
      <c r="F16" s="5" t="str">
        <f>'GivenTcPcAcen ESD'!G4</f>
        <v>KAD</v>
      </c>
      <c r="G16" s="5" t="str">
        <f>'GivenTcPcAcen ESD'!H4</f>
        <v>eHB/k</v>
      </c>
      <c r="H16" s="5" t="s">
        <v>3039</v>
      </c>
      <c r="I16" s="5" t="s">
        <v>3040</v>
      </c>
    </row>
    <row r="17" spans="1:9" s="5" customFormat="1">
      <c r="A17" s="49">
        <v>1.0382</v>
      </c>
      <c r="B17" s="49">
        <f>1+1.90476*(A17-1)</f>
        <v>1.0727618320000001</v>
      </c>
      <c r="C17" s="39">
        <v>178.08199999999999</v>
      </c>
      <c r="D17" s="39">
        <v>10.863</v>
      </c>
      <c r="E17" s="5">
        <f>'GivenTcPcAcen ESD'!F5</f>
        <v>0</v>
      </c>
      <c r="F17" s="5">
        <f>'GivenTcPcAcen ESD'!G5</f>
        <v>9.4969873254134064E-3</v>
      </c>
      <c r="G17" s="5">
        <f>'GivenTcPcAcen ESD'!H5</f>
        <v>0</v>
      </c>
      <c r="H17" s="5">
        <v>313.14999999999998</v>
      </c>
      <c r="I17" s="5">
        <f>EXP(C17/H17)-1.0617</f>
        <v>0.70423367798766168</v>
      </c>
    </row>
    <row r="18" spans="1:9">
      <c r="E18" s="36"/>
      <c r="F18" s="36"/>
      <c r="G18" s="36"/>
      <c r="H18" s="36"/>
    </row>
    <row r="19" spans="1:9">
      <c r="E19" s="36"/>
      <c r="F19" s="36"/>
      <c r="G19" s="36"/>
      <c r="H19" s="36"/>
    </row>
    <row r="20" spans="1:9">
      <c r="E20" s="36"/>
      <c r="F20" s="36"/>
      <c r="G20" s="36"/>
      <c r="H20" s="36"/>
    </row>
    <row r="21" spans="1:9">
      <c r="A21" t="s">
        <v>3036</v>
      </c>
      <c r="B21" t="s">
        <v>3037</v>
      </c>
      <c r="C21" t="s">
        <v>3038</v>
      </c>
      <c r="D21" t="s">
        <v>3041</v>
      </c>
      <c r="E21" s="36" t="s">
        <v>3042</v>
      </c>
      <c r="F21" s="36" t="s">
        <v>3043</v>
      </c>
      <c r="G21" s="36" t="s">
        <v>3044</v>
      </c>
      <c r="H21" s="36"/>
    </row>
    <row r="22" spans="1:9">
      <c r="A22">
        <v>1E-3</v>
      </c>
      <c r="B22">
        <f>1+4*$A$17*A22/(1-1.9*A22)-9.5*$B$17*$I$17*A22/(1+1.7745*$I$17*A22)</f>
        <v>0.99699265039050866</v>
      </c>
      <c r="C22">
        <f>A22*B22</f>
        <v>9.9699265039050874E-4</v>
      </c>
      <c r="D22" s="9">
        <f>C22*8.314*$H$17/$D$17</f>
        <v>0.23894866775088056</v>
      </c>
      <c r="E22" s="47">
        <f>A22/$D$17</f>
        <v>9.2055601583356357E-5</v>
      </c>
      <c r="F22" s="11">
        <f>E22*1000000</f>
        <v>92.055601583356363</v>
      </c>
      <c r="G22" s="37">
        <f>D22*1000000</f>
        <v>238948.66775088056</v>
      </c>
      <c r="H22" s="11"/>
    </row>
    <row r="23" spans="1:9">
      <c r="A23">
        <v>0.01</v>
      </c>
      <c r="B23">
        <f t="shared" ref="B23:B34" si="0">1+4*$A$17*A23/(1-1.9*A23)-9.5*$B$17*$I$17*A23/(1+1.7745*$I$17*A23)</f>
        <v>0.97144800273309206</v>
      </c>
      <c r="C23">
        <f t="shared" ref="C23:C34" si="1">A23*B23</f>
        <v>9.7144800273309215E-3</v>
      </c>
      <c r="D23" s="9">
        <f t="shared" ref="D23:D34" si="2">C23*8.314*$H$17/$D$17</f>
        <v>2.3282639641466307</v>
      </c>
      <c r="E23" s="47">
        <f t="shared" ref="E23:E34" si="3">A23/$D$17</f>
        <v>9.2055601583356352E-4</v>
      </c>
      <c r="F23" s="11">
        <f t="shared" ref="F23:F34" si="4">E23*1000000</f>
        <v>920.55601583356349</v>
      </c>
      <c r="G23" s="37">
        <f t="shared" ref="G23:G34" si="5">D23*1000000</f>
        <v>2328263.9641466308</v>
      </c>
      <c r="H23" s="11"/>
    </row>
    <row r="24" spans="1:9">
      <c r="A24">
        <v>0.02</v>
      </c>
      <c r="B24">
        <f t="shared" si="0"/>
        <v>0.94629660631338008</v>
      </c>
      <c r="C24">
        <f t="shared" si="1"/>
        <v>1.8925932126267603E-2</v>
      </c>
      <c r="D24" s="9">
        <f t="shared" si="2"/>
        <v>4.535967507627964</v>
      </c>
      <c r="E24" s="47">
        <f t="shared" si="3"/>
        <v>1.841112031667127E-3</v>
      </c>
      <c r="F24" s="11">
        <f t="shared" si="4"/>
        <v>1841.112031667127</v>
      </c>
      <c r="G24" s="37">
        <f t="shared" si="5"/>
        <v>4535967.507627964</v>
      </c>
      <c r="H24" s="11"/>
    </row>
    <row r="25" spans="1:9">
      <c r="A25">
        <v>4.654909243551035E-2</v>
      </c>
      <c r="B25">
        <f t="shared" si="0"/>
        <v>0.89634687108910494</v>
      </c>
      <c r="C25">
        <f t="shared" si="1"/>
        <v>4.1724133356607226E-2</v>
      </c>
      <c r="D25" s="9">
        <f t="shared" si="2"/>
        <v>9.9999995734334526</v>
      </c>
      <c r="E25" s="47">
        <f t="shared" si="3"/>
        <v>4.2851047073101676E-3</v>
      </c>
      <c r="F25" s="11">
        <f t="shared" si="4"/>
        <v>4285.1047073101672</v>
      </c>
      <c r="G25" s="37">
        <f t="shared" si="5"/>
        <v>9999999.5734334532</v>
      </c>
      <c r="H25" s="11"/>
    </row>
    <row r="26" spans="1:9">
      <c r="A26">
        <v>0.1</v>
      </c>
      <c r="B26">
        <f t="shared" si="0"/>
        <v>0.87471555233501774</v>
      </c>
      <c r="C26">
        <f t="shared" si="1"/>
        <v>8.747155523350178E-2</v>
      </c>
      <c r="D26" s="9">
        <f t="shared" si="2"/>
        <v>20.964258443586409</v>
      </c>
      <c r="E26" s="47">
        <f t="shared" si="3"/>
        <v>9.2055601583356361E-3</v>
      </c>
      <c r="F26" s="11">
        <f t="shared" si="4"/>
        <v>9205.5601583356365</v>
      </c>
      <c r="G26" s="37">
        <f t="shared" si="5"/>
        <v>20964258.443586409</v>
      </c>
      <c r="H26" s="11"/>
    </row>
    <row r="27" spans="1:9">
      <c r="A27">
        <v>0.15</v>
      </c>
      <c r="B27">
        <f t="shared" si="0"/>
        <v>0.96460813889883879</v>
      </c>
      <c r="C27">
        <f t="shared" si="1"/>
        <v>0.1446912208348258</v>
      </c>
      <c r="D27" s="9">
        <f t="shared" si="2"/>
        <v>34.678063514498319</v>
      </c>
      <c r="E27" s="47">
        <f t="shared" si="3"/>
        <v>1.3808340237503451E-2</v>
      </c>
      <c r="F27" s="11">
        <f t="shared" si="4"/>
        <v>13808.340237503451</v>
      </c>
      <c r="G27" s="37">
        <f t="shared" si="5"/>
        <v>34678063.514498316</v>
      </c>
      <c r="H27" s="11"/>
    </row>
    <row r="28" spans="1:9">
      <c r="A28">
        <v>0.2</v>
      </c>
      <c r="B28">
        <f t="shared" si="0"/>
        <v>1.1912289041381752</v>
      </c>
      <c r="C28">
        <f t="shared" si="1"/>
        <v>0.23824578082763503</v>
      </c>
      <c r="D28" s="9">
        <f t="shared" si="2"/>
        <v>57.100232287302752</v>
      </c>
      <c r="E28" s="47">
        <f t="shared" si="3"/>
        <v>1.8411120316671272E-2</v>
      </c>
      <c r="F28" s="11">
        <f t="shared" si="4"/>
        <v>18411.120316671273</v>
      </c>
      <c r="G28" s="37">
        <f t="shared" si="5"/>
        <v>57100232.287302755</v>
      </c>
      <c r="H28" s="11"/>
    </row>
    <row r="29" spans="1:9">
      <c r="A29">
        <v>0.25</v>
      </c>
      <c r="B29">
        <f t="shared" si="0"/>
        <v>1.6103859450706632</v>
      </c>
      <c r="C29">
        <f t="shared" si="1"/>
        <v>0.40259648626766581</v>
      </c>
      <c r="D29" s="9">
        <f t="shared" si="2"/>
        <v>96.490073419462249</v>
      </c>
      <c r="E29" s="47">
        <f t="shared" si="3"/>
        <v>2.3013900395839088E-2</v>
      </c>
      <c r="F29" s="11">
        <f t="shared" si="4"/>
        <v>23013.900395839086</v>
      </c>
      <c r="G29" s="37">
        <f t="shared" si="5"/>
        <v>96490073.419462249</v>
      </c>
      <c r="H29" s="11"/>
    </row>
    <row r="30" spans="1:9">
      <c r="A30">
        <v>0.3</v>
      </c>
      <c r="B30">
        <f t="shared" si="0"/>
        <v>2.3312934073506444</v>
      </c>
      <c r="C30">
        <f t="shared" si="1"/>
        <v>0.69938802220519325</v>
      </c>
      <c r="D30" s="9">
        <f t="shared" si="2"/>
        <v>167.62193390432355</v>
      </c>
      <c r="E30" s="47">
        <f t="shared" si="3"/>
        <v>2.7616680475006903E-2</v>
      </c>
      <c r="F30" s="11">
        <f t="shared" si="4"/>
        <v>27616.680475006902</v>
      </c>
      <c r="G30" s="37">
        <f t="shared" si="5"/>
        <v>167621933.90432355</v>
      </c>
      <c r="H30" s="11"/>
    </row>
    <row r="31" spans="1:9">
      <c r="A31">
        <v>0.35</v>
      </c>
      <c r="B31">
        <f t="shared" si="0"/>
        <v>3.5911561849460165</v>
      </c>
      <c r="C31">
        <f t="shared" si="1"/>
        <v>1.2569046647311057</v>
      </c>
      <c r="D31" s="9">
        <f t="shared" si="2"/>
        <v>301.24163403785116</v>
      </c>
      <c r="E31" s="47">
        <f t="shared" si="3"/>
        <v>3.2219460554174718E-2</v>
      </c>
      <c r="F31" s="11">
        <f t="shared" si="4"/>
        <v>32219.460554174719</v>
      </c>
      <c r="G31" s="37">
        <f t="shared" si="5"/>
        <v>301241634.03785115</v>
      </c>
      <c r="H31" s="11"/>
    </row>
    <row r="32" spans="1:9">
      <c r="A32">
        <v>0.4</v>
      </c>
      <c r="B32">
        <f t="shared" si="0"/>
        <v>6.0072911252743468</v>
      </c>
      <c r="C32">
        <f t="shared" si="1"/>
        <v>2.4029164501097391</v>
      </c>
      <c r="D32" s="9">
        <f t="shared" si="2"/>
        <v>575.90563405407374</v>
      </c>
      <c r="E32" s="47">
        <f t="shared" si="3"/>
        <v>3.6822240633342544E-2</v>
      </c>
      <c r="F32" s="11">
        <f t="shared" si="4"/>
        <v>36822.240633342546</v>
      </c>
      <c r="G32" s="37">
        <f t="shared" si="5"/>
        <v>575905634.05407369</v>
      </c>
      <c r="H32" s="11"/>
    </row>
    <row r="33" spans="1:8">
      <c r="A33">
        <v>0.45</v>
      </c>
      <c r="B33">
        <f t="shared" si="0"/>
        <v>11.820819537384645</v>
      </c>
      <c r="C33">
        <f t="shared" si="1"/>
        <v>5.3193687918230905</v>
      </c>
      <c r="D33" s="9">
        <f t="shared" si="2"/>
        <v>1274.8901264055287</v>
      </c>
      <c r="E33" s="47">
        <f t="shared" si="3"/>
        <v>4.1425020712510356E-2</v>
      </c>
      <c r="F33" s="11">
        <f t="shared" si="4"/>
        <v>41425.020712510355</v>
      </c>
      <c r="G33" s="37">
        <f t="shared" si="5"/>
        <v>1274890126.4055288</v>
      </c>
      <c r="H33" s="11"/>
    </row>
    <row r="34" spans="1:8">
      <c r="A34">
        <v>0.49</v>
      </c>
      <c r="B34">
        <f t="shared" si="0"/>
        <v>28.309753305252155</v>
      </c>
      <c r="C34">
        <f t="shared" si="1"/>
        <v>13.871779119573556</v>
      </c>
      <c r="D34" s="9">
        <f t="shared" si="2"/>
        <v>3324.6414992711161</v>
      </c>
      <c r="E34" s="47">
        <f t="shared" si="3"/>
        <v>4.5107244775844609E-2</v>
      </c>
      <c r="F34" s="11">
        <f t="shared" si="4"/>
        <v>45107.244775844607</v>
      </c>
      <c r="G34" s="37">
        <f t="shared" si="5"/>
        <v>3324641499.2711163</v>
      </c>
      <c r="H34" s="11"/>
    </row>
    <row r="35" spans="1:8">
      <c r="G35" s="11"/>
      <c r="H35" s="11"/>
    </row>
    <row r="36" spans="1:8">
      <c r="G36" s="11"/>
      <c r="H36" s="11"/>
    </row>
    <row r="37" spans="1:8">
      <c r="G37" s="11"/>
      <c r="H37" s="11"/>
    </row>
    <row r="38" spans="1:8">
      <c r="G38" s="11"/>
      <c r="H38" s="11"/>
    </row>
    <row r="39" spans="1:8">
      <c r="G39" s="11"/>
      <c r="H39" s="11"/>
    </row>
    <row r="40" spans="1:8">
      <c r="G40" s="11"/>
      <c r="H40" s="11"/>
    </row>
    <row r="41" spans="1:8">
      <c r="G41" s="11"/>
      <c r="H41" s="11"/>
    </row>
    <row r="42" spans="1:8">
      <c r="G42" s="11"/>
      <c r="H42" s="11"/>
    </row>
    <row r="43" spans="1:8">
      <c r="G43" s="11"/>
      <c r="H43" s="11"/>
    </row>
    <row r="44" spans="1:8">
      <c r="G44" s="11"/>
      <c r="H44" s="11"/>
    </row>
    <row r="45" spans="1:8">
      <c r="G45" s="11"/>
      <c r="H45" s="11"/>
    </row>
    <row r="46" spans="1:8">
      <c r="G46" s="11"/>
      <c r="H46" s="11"/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34"/>
  <sheetViews>
    <sheetView zoomScale="80" zoomScaleNormal="80" workbookViewId="0">
      <selection activeCell="D1" sqref="D1"/>
    </sheetView>
  </sheetViews>
  <sheetFormatPr defaultRowHeight="13"/>
  <cols>
    <col min="5" max="5" width="11.09765625" customWidth="1"/>
    <col min="6" max="6" width="12.09765625" bestFit="1" customWidth="1"/>
    <col min="7" max="7" width="13.3984375" bestFit="1" customWidth="1"/>
    <col min="8" max="8" width="9.59765625" bestFit="1" customWidth="1"/>
    <col min="9" max="9" width="12.59765625" customWidth="1"/>
    <col min="10" max="10" width="12.09765625" customWidth="1"/>
    <col min="11" max="11" width="10.59765625" bestFit="1" customWidth="1"/>
    <col min="12" max="12" width="9.796875" customWidth="1"/>
    <col min="13" max="13" width="10.59765625" bestFit="1" customWidth="1"/>
    <col min="14" max="14" width="9.59765625" bestFit="1" customWidth="1"/>
    <col min="15" max="18" width="11.09765625" customWidth="1"/>
    <col min="19" max="19" width="12.3984375" bestFit="1" customWidth="1"/>
    <col min="20" max="20" width="11.796875" customWidth="1"/>
    <col min="21" max="21" width="8" customWidth="1"/>
    <col min="22" max="22" width="10.3984375" bestFit="1" customWidth="1"/>
    <col min="23" max="23" width="9.5" customWidth="1"/>
    <col min="24" max="30" width="6.59765625" customWidth="1"/>
  </cols>
  <sheetData>
    <row r="1" spans="1:33">
      <c r="A1" s="2"/>
      <c r="D1" t="s">
        <v>3133</v>
      </c>
      <c r="E1" t="s">
        <v>3134</v>
      </c>
      <c r="F1" t="s">
        <v>182</v>
      </c>
      <c r="G1" t="s">
        <v>270</v>
      </c>
      <c r="H1" t="s">
        <v>3135</v>
      </c>
      <c r="I1" t="s">
        <v>409</v>
      </c>
      <c r="J1" t="s">
        <v>3136</v>
      </c>
      <c r="K1" t="s">
        <v>3137</v>
      </c>
      <c r="L1" t="s">
        <v>3138</v>
      </c>
      <c r="M1" t="s">
        <v>3139</v>
      </c>
      <c r="N1" t="s">
        <v>3140</v>
      </c>
      <c r="O1" t="s">
        <v>3141</v>
      </c>
      <c r="P1" t="s">
        <v>3142</v>
      </c>
      <c r="Q1" t="s">
        <v>3143</v>
      </c>
      <c r="R1" t="s">
        <v>3144</v>
      </c>
      <c r="S1" t="s">
        <v>2892</v>
      </c>
      <c r="T1" t="s">
        <v>3145</v>
      </c>
      <c r="U1" t="s">
        <v>422</v>
      </c>
      <c r="V1" t="s">
        <v>184</v>
      </c>
    </row>
    <row r="2" spans="1:33">
      <c r="C2" s="64" t="s">
        <v>189</v>
      </c>
      <c r="E2">
        <v>51028</v>
      </c>
      <c r="F2" s="7">
        <f>F4</f>
        <v>1631.0729412597918</v>
      </c>
      <c r="G2" s="3">
        <f>G4</f>
        <v>2.3465977716740548E-2</v>
      </c>
      <c r="H2" s="3">
        <f>I4</f>
        <v>104.244</v>
      </c>
      <c r="I2" s="7">
        <f>G15</f>
        <v>1735.5628262519654</v>
      </c>
      <c r="J2">
        <v>86</v>
      </c>
      <c r="K2">
        <v>86</v>
      </c>
      <c r="L2">
        <v>86</v>
      </c>
      <c r="M2">
        <v>0</v>
      </c>
      <c r="N2" s="3">
        <f>H4</f>
        <v>0.11246674361507501</v>
      </c>
      <c r="O2">
        <v>353</v>
      </c>
      <c r="P2">
        <v>25038599</v>
      </c>
      <c r="Q2" s="6">
        <f>K4*SQRT(4.184)</f>
        <v>23.243670723220585</v>
      </c>
      <c r="R2" s="6">
        <f>J4/L4</f>
        <v>1.347603950428482</v>
      </c>
      <c r="S2" s="4">
        <f>J4</f>
        <v>28057.141199999998</v>
      </c>
      <c r="T2" s="57" t="s">
        <v>3146</v>
      </c>
      <c r="U2" s="64" t="s">
        <v>3147</v>
      </c>
      <c r="V2" s="57" t="s">
        <v>3131</v>
      </c>
    </row>
    <row r="3" spans="1:33" s="5" customFormat="1">
      <c r="B3" s="85" t="s">
        <v>3149</v>
      </c>
      <c r="C3" s="5">
        <v>146</v>
      </c>
      <c r="D3" s="5" t="s">
        <v>5</v>
      </c>
      <c r="E3" s="5" t="s">
        <v>184</v>
      </c>
      <c r="F3" s="5" t="s">
        <v>182</v>
      </c>
      <c r="G3" s="5" t="s">
        <v>270</v>
      </c>
      <c r="H3" s="5" t="s">
        <v>183</v>
      </c>
      <c r="I3" s="5" t="s">
        <v>13</v>
      </c>
      <c r="J3" s="5" t="s">
        <v>6</v>
      </c>
      <c r="K3" t="s">
        <v>370</v>
      </c>
      <c r="L3" s="5" t="s">
        <v>11</v>
      </c>
      <c r="M3" s="5" t="s">
        <v>10</v>
      </c>
      <c r="N3" s="5" t="s">
        <v>151</v>
      </c>
      <c r="O3" s="5" t="s">
        <v>17</v>
      </c>
      <c r="P3" s="5" t="s">
        <v>18</v>
      </c>
      <c r="Q3" s="5" t="s">
        <v>397</v>
      </c>
      <c r="R3" s="5" t="s">
        <v>398</v>
      </c>
      <c r="S3" s="5" t="s">
        <v>184</v>
      </c>
      <c r="T3" s="5" t="s">
        <v>361</v>
      </c>
      <c r="U3" s="5" t="s">
        <v>359</v>
      </c>
      <c r="V3" s="5" t="s">
        <v>353</v>
      </c>
      <c r="W3" s="5" t="s">
        <v>16</v>
      </c>
      <c r="X3" s="5" t="s">
        <v>12</v>
      </c>
      <c r="Y3" s="5" t="s">
        <v>14</v>
      </c>
      <c r="Z3" s="5" t="s">
        <v>336</v>
      </c>
      <c r="AA3" s="5" t="s">
        <v>337</v>
      </c>
      <c r="AB3" s="5" t="s">
        <v>338</v>
      </c>
      <c r="AC3" s="5" t="s">
        <v>339</v>
      </c>
      <c r="AD3" s="5" t="s">
        <v>344</v>
      </c>
      <c r="AE3" s="5" t="s">
        <v>341</v>
      </c>
      <c r="AF3" s="5" t="s">
        <v>342</v>
      </c>
      <c r="AG3" s="5" t="s">
        <v>343</v>
      </c>
    </row>
    <row r="4" spans="1:33">
      <c r="A4">
        <v>1</v>
      </c>
      <c r="C4">
        <f>C$3*B4</f>
        <v>0</v>
      </c>
      <c r="D4" t="s">
        <v>23</v>
      </c>
      <c r="E4" s="57" t="s">
        <v>3132</v>
      </c>
      <c r="F4" s="11">
        <f>X4*(1+1/(0.596+SUMPRODUCT($C4:$C134,Regcf!D4:D134)))</f>
        <v>1631.0729412597918</v>
      </c>
      <c r="G4" s="39">
        <f>J4/10/(0.346+SUMPRODUCT($C4:$C134,Regcf!E4:E134))^2</f>
        <v>2.3465977716740548E-2</v>
      </c>
      <c r="H4" s="39">
        <f>(172+SUMPRODUCT($C4:$C134,Regcf!F4:F134))*G4/8.31434/F4</f>
        <v>0.11246674361507501</v>
      </c>
      <c r="I4" s="39">
        <f>SUMPRODUCT($C4:$C134,Regcf!K4:K134)</f>
        <v>104.244</v>
      </c>
      <c r="J4" s="36">
        <f>SUMPRODUCT($C4:$C134,Regcf!C4:C134)</f>
        <v>28057.141199999998</v>
      </c>
      <c r="K4" s="11">
        <f>T4/SQRT(4.184)</f>
        <v>11.363415230894626</v>
      </c>
      <c r="L4" s="36">
        <f>(12.1+SUMPRODUCT($C4:$C134,Regcf!I4:I134))</f>
        <v>20820.019999999997</v>
      </c>
      <c r="M4" s="11">
        <f>1000/(0.5+38.6/SQRT(SUMPRODUCT($C4:$C134,Regcf!G4:G134))+1000/(256.6+SUMPRODUCT($C4:$C134,Regcf!G4:G134)))</f>
        <v>1735.5628262519654</v>
      </c>
      <c r="N4" s="7">
        <f>1000/(0.5+88/SQRT(SUMPRODUCT($C4:$C134,Regcf!O4:O134))+1000/(111+SUMPRODUCT($C4:$C134,Regcf!O4:O134)))</f>
        <v>336.35251469058488</v>
      </c>
      <c r="O4">
        <f>10.835+SUMPRODUCT($C4:$C134,Regcf!Q4:Q134)</f>
        <v>-90469.452999999994</v>
      </c>
      <c r="P4">
        <f>-14.828+SUMPRODUCT($C4:$C134,Regcf!R4:R134)</f>
        <v>-62980.831999999995</v>
      </c>
      <c r="Q4">
        <v>12345</v>
      </c>
      <c r="R4" t="s">
        <v>368</v>
      </c>
      <c r="S4" t="str">
        <f>E4</f>
        <v>PET28</v>
      </c>
      <c r="T4" s="36">
        <f>SQRT((W4*1000-298*8.31434)/L4)</f>
        <v>23.243670723220585</v>
      </c>
      <c r="U4" s="36">
        <f>J4/L4</f>
        <v>1.347603950428482</v>
      </c>
      <c r="V4" s="9">
        <f>(P8+Q8*T8+R8*T8^2+S8*T8^3)/8.314</f>
        <v>3566.2369549890936</v>
      </c>
      <c r="W4">
        <f>6.829+SUMPRODUCT($C4:$C134,Regcf!P4:P134)</f>
        <v>11250.872999999998</v>
      </c>
      <c r="X4" s="7">
        <f>1000/(0.5+59.15/SQRT(SUMPRODUCT($C4:$C134,Regcf!J4:J134))+1000/(274.22+SUMPRODUCT($C4:$C134,Regcf!J4:J134)))</f>
        <v>1611.6415266629392</v>
      </c>
      <c r="Y4" s="7">
        <f>1+SUMPRODUCT(C4:C134,Regcf!L4:L134)</f>
        <v>519.22407999999996</v>
      </c>
      <c r="Z4" s="5">
        <f>SUMPRODUCT($C4:$C134,Regcf!AA4:AA134)</f>
        <v>1460</v>
      </c>
      <c r="AA4" s="5">
        <f>SUMPRODUCT($C4:$C134,Regcf!AB4:AB134)</f>
        <v>1168</v>
      </c>
      <c r="AB4" s="5">
        <f>SUMPRODUCT($C4:$C134,Regcf!AC4:AC134)</f>
        <v>584</v>
      </c>
      <c r="AC4" s="5">
        <f>SUMPRODUCT($C4:$C134,Regcf!AD4:AD134)</f>
        <v>0</v>
      </c>
      <c r="AD4" s="5">
        <f>SUMPRODUCT($C4:$C134,Regcf!AE4:AE134)</f>
        <v>0</v>
      </c>
      <c r="AE4" s="5">
        <f>SUMPRODUCT($C4:$C134,Regcf!AF4:AF134)</f>
        <v>0</v>
      </c>
      <c r="AF4" s="5">
        <f>SUMPRODUCT($C4:$C134,Regcf!AG4:AG134)</f>
        <v>0</v>
      </c>
      <c r="AG4" s="5">
        <f>SUMPRODUCT($C4:$C134,Regcf!AH4:AH134)</f>
        <v>0</v>
      </c>
    </row>
    <row r="5" spans="1:33">
      <c r="A5">
        <f>A4+1</f>
        <v>2</v>
      </c>
      <c r="C5">
        <f>C$3*B5</f>
        <v>0</v>
      </c>
      <c r="D5" t="s">
        <v>24</v>
      </c>
      <c r="E5" s="57" t="s">
        <v>3148</v>
      </c>
      <c r="N5" s="7"/>
      <c r="O5" s="1"/>
      <c r="P5" s="1"/>
      <c r="Q5" s="1"/>
      <c r="R5" s="1"/>
      <c r="S5" s="1"/>
      <c r="T5" s="7"/>
      <c r="V5" s="7"/>
      <c r="W5">
        <v>6</v>
      </c>
      <c r="X5">
        <v>12</v>
      </c>
      <c r="Y5">
        <v>6</v>
      </c>
    </row>
    <row r="6" spans="1:33">
      <c r="A6">
        <f t="shared" ref="A6:A69" si="0">A5+1</f>
        <v>3</v>
      </c>
      <c r="C6">
        <f>C$3*B6</f>
        <v>0</v>
      </c>
      <c r="D6" t="s">
        <v>25</v>
      </c>
      <c r="F6" s="7"/>
      <c r="G6" s="3"/>
      <c r="H6" s="3"/>
      <c r="I6" s="3"/>
      <c r="J6" s="7"/>
      <c r="K6" s="7"/>
      <c r="L6" s="7"/>
      <c r="M6" s="7"/>
      <c r="V6">
        <v>3</v>
      </c>
      <c r="W6">
        <f>$V$6*W5</f>
        <v>18</v>
      </c>
      <c r="X6">
        <f>$V$6*X5</f>
        <v>36</v>
      </c>
      <c r="Y6">
        <f>$V$6*Y5</f>
        <v>18</v>
      </c>
    </row>
    <row r="7" spans="1:33">
      <c r="A7">
        <f t="shared" si="0"/>
        <v>4</v>
      </c>
      <c r="C7">
        <f t="shared" ref="C7:C70" si="1">C$3*B7</f>
        <v>0</v>
      </c>
      <c r="D7" t="s">
        <v>26</v>
      </c>
      <c r="G7" s="5" t="s">
        <v>185</v>
      </c>
      <c r="H7" s="5" t="s">
        <v>186</v>
      </c>
      <c r="I7" s="5" t="s">
        <v>187</v>
      </c>
      <c r="J7" s="5" t="s">
        <v>188</v>
      </c>
      <c r="K7" s="5" t="s">
        <v>189</v>
      </c>
      <c r="L7" s="5" t="s">
        <v>335</v>
      </c>
      <c r="M7" s="5" t="s">
        <v>191</v>
      </c>
      <c r="N7" s="5" t="s">
        <v>192</v>
      </c>
      <c r="O7" s="5" t="s">
        <v>193</v>
      </c>
      <c r="P7" s="5" t="s">
        <v>354</v>
      </c>
      <c r="Q7" s="5" t="s">
        <v>355</v>
      </c>
      <c r="R7" s="5" t="s">
        <v>356</v>
      </c>
      <c r="S7" s="5" t="s">
        <v>357</v>
      </c>
      <c r="T7" s="84" t="s">
        <v>3039</v>
      </c>
      <c r="W7">
        <f>W6-Z4</f>
        <v>-1442</v>
      </c>
      <c r="X7">
        <f>X6-AA4</f>
        <v>-1132</v>
      </c>
      <c r="Y7">
        <f>Y6-AB4</f>
        <v>-566</v>
      </c>
    </row>
    <row r="8" spans="1:33">
      <c r="A8">
        <f t="shared" si="0"/>
        <v>5</v>
      </c>
      <c r="C8">
        <f t="shared" si="1"/>
        <v>0</v>
      </c>
      <c r="D8" t="s">
        <v>27</v>
      </c>
      <c r="G8" s="39">
        <f>Y4</f>
        <v>519.22407999999996</v>
      </c>
      <c r="H8" s="39">
        <f>1+1.90476*(G8-1)</f>
        <v>988.09249862079992</v>
      </c>
      <c r="I8" s="36">
        <f>G25</f>
        <v>296.55444468389311</v>
      </c>
      <c r="J8" s="11">
        <f>G24</f>
        <v>7858.5609703277587</v>
      </c>
      <c r="K8" s="5">
        <f>G26</f>
        <v>0</v>
      </c>
      <c r="L8" s="5">
        <f>0.025/G8</f>
        <v>4.8148768446948767E-5</v>
      </c>
      <c r="M8" s="49">
        <f>G27/F4</f>
        <v>0</v>
      </c>
      <c r="N8" s="5">
        <f>K8</f>
        <v>0</v>
      </c>
      <c r="O8" s="5">
        <f>K8</f>
        <v>0</v>
      </c>
      <c r="P8" s="5">
        <f>-37.93+SUMPRODUCT($C4:$C134,Regcf!S4:S134)</f>
        <v>3194.5100000000007</v>
      </c>
      <c r="Q8" s="5">
        <f>SUMPRODUCT($C4:$C134,Regcf!T4:T134)+0.21</f>
        <v>102.64359999999999</v>
      </c>
      <c r="R8" s="47">
        <f>SUMPRODUCT($C4:$C134,Regcf!U4:U134)-0.000391</f>
        <v>-4.6959160000000007E-2</v>
      </c>
      <c r="S8" s="5">
        <f>SUMPRODUCT($C4:$C134,Regcf!V4:V134)+0.000000206</f>
        <v>9.9439999999999911E-7</v>
      </c>
      <c r="T8">
        <v>298.14999999999998</v>
      </c>
      <c r="W8">
        <f>W6-W7</f>
        <v>1460</v>
      </c>
      <c r="X8">
        <f>X6-X7</f>
        <v>1168</v>
      </c>
      <c r="Y8">
        <f>Y6-Y7</f>
        <v>584</v>
      </c>
    </row>
    <row r="9" spans="1:33">
      <c r="A9">
        <f t="shared" si="0"/>
        <v>6</v>
      </c>
      <c r="C9">
        <f t="shared" si="1"/>
        <v>0</v>
      </c>
      <c r="D9" t="s">
        <v>28</v>
      </c>
      <c r="F9" s="2" t="s">
        <v>230</v>
      </c>
      <c r="G9" s="10">
        <f>G10/G20</f>
        <v>1.347603950428482</v>
      </c>
      <c r="H9" t="s">
        <v>358</v>
      </c>
      <c r="K9" s="3"/>
      <c r="L9" s="3"/>
      <c r="M9" s="4"/>
      <c r="N9" s="39" t="str">
        <f t="shared" ref="N9:O10" si="2">AB3</f>
        <v>O's</v>
      </c>
      <c r="O9" s="39" t="str">
        <f t="shared" si="2"/>
        <v>N's</v>
      </c>
    </row>
    <row r="10" spans="1:33">
      <c r="A10">
        <f t="shared" si="0"/>
        <v>7</v>
      </c>
      <c r="C10">
        <f t="shared" si="1"/>
        <v>0</v>
      </c>
      <c r="D10" t="s">
        <v>29</v>
      </c>
      <c r="F10" t="s">
        <v>6</v>
      </c>
      <c r="G10" s="33">
        <f>J4</f>
        <v>28057.141199999998</v>
      </c>
      <c r="J10" s="12" t="s">
        <v>238</v>
      </c>
      <c r="K10" s="3"/>
      <c r="L10" s="39" t="str">
        <f>Z3</f>
        <v>C's</v>
      </c>
      <c r="M10" s="39" t="str">
        <f>AA3</f>
        <v>H's</v>
      </c>
      <c r="N10" s="37">
        <f t="shared" si="2"/>
        <v>584</v>
      </c>
      <c r="O10" s="37">
        <f t="shared" si="2"/>
        <v>0</v>
      </c>
    </row>
    <row r="11" spans="1:33">
      <c r="A11">
        <f t="shared" si="0"/>
        <v>8</v>
      </c>
      <c r="C11">
        <f t="shared" si="1"/>
        <v>0</v>
      </c>
      <c r="D11" t="s">
        <v>30</v>
      </c>
      <c r="F11" t="s">
        <v>141</v>
      </c>
      <c r="G11" s="7">
        <f>F4</f>
        <v>1631.0729412597918</v>
      </c>
      <c r="H11" t="s">
        <v>153</v>
      </c>
      <c r="J11" s="5">
        <f>1.9*(9.5*H8-1.7745)+4*G8*1.7745-1.9*1.7745</f>
        <v>21513.779019945439</v>
      </c>
      <c r="K11" t="s">
        <v>239</v>
      </c>
      <c r="L11" s="37">
        <f>Z4</f>
        <v>1460</v>
      </c>
      <c r="M11" s="37">
        <f>AA4</f>
        <v>1168</v>
      </c>
    </row>
    <row r="12" spans="1:33">
      <c r="A12">
        <f t="shared" si="0"/>
        <v>9</v>
      </c>
      <c r="C12">
        <f t="shared" si="1"/>
        <v>0</v>
      </c>
      <c r="D12" t="s">
        <v>31</v>
      </c>
      <c r="F12" t="s">
        <v>149</v>
      </c>
      <c r="G12" s="7">
        <f>G4*10</f>
        <v>0.23465977716740549</v>
      </c>
      <c r="H12" t="s">
        <v>152</v>
      </c>
      <c r="I12" s="2"/>
      <c r="J12" s="12" t="s">
        <v>237</v>
      </c>
      <c r="L12" s="3"/>
      <c r="M12" s="4"/>
    </row>
    <row r="13" spans="1:33">
      <c r="A13">
        <f t="shared" si="0"/>
        <v>10</v>
      </c>
      <c r="B13">
        <v>4</v>
      </c>
      <c r="C13">
        <f t="shared" si="1"/>
        <v>584</v>
      </c>
      <c r="D13" t="s">
        <v>32</v>
      </c>
      <c r="F13" t="s">
        <v>13</v>
      </c>
      <c r="G13" s="6">
        <f>I4</f>
        <v>104.244</v>
      </c>
      <c r="I13" s="2"/>
      <c r="J13" s="5">
        <f>SQRT(G8)</f>
        <v>22.786488979217488</v>
      </c>
      <c r="L13" s="3"/>
      <c r="M13" s="4"/>
    </row>
    <row r="14" spans="1:33">
      <c r="A14">
        <f t="shared" si="0"/>
        <v>11</v>
      </c>
      <c r="B14">
        <v>2</v>
      </c>
      <c r="C14">
        <f t="shared" si="1"/>
        <v>292</v>
      </c>
      <c r="D14" t="s">
        <v>33</v>
      </c>
      <c r="F14" t="s">
        <v>9</v>
      </c>
      <c r="G14" s="7">
        <f>H4/G4*8.31434*F4</f>
        <v>64995.999999999993</v>
      </c>
      <c r="H14" t="s">
        <v>150</v>
      </c>
      <c r="I14" s="2"/>
      <c r="J14" s="12" t="s">
        <v>236</v>
      </c>
      <c r="L14" s="3"/>
      <c r="M14" s="7"/>
    </row>
    <row r="15" spans="1:33">
      <c r="A15">
        <f t="shared" si="0"/>
        <v>12</v>
      </c>
      <c r="C15">
        <f t="shared" si="1"/>
        <v>0</v>
      </c>
      <c r="D15" t="s">
        <v>34</v>
      </c>
      <c r="F15" t="s">
        <v>10</v>
      </c>
      <c r="G15" s="7">
        <f>M4</f>
        <v>1735.5628262519654</v>
      </c>
      <c r="H15" t="s">
        <v>153</v>
      </c>
      <c r="I15" s="50">
        <f>G15-273</f>
        <v>1462.5628262519654</v>
      </c>
      <c r="J15" s="5">
        <f>(1+0.115/J13-0.186/G8+0.217/J13^3-0.173/G8^2)/3</f>
        <v>0.33490210766696626</v>
      </c>
      <c r="K15" t="s">
        <v>240</v>
      </c>
      <c r="M15" s="4"/>
    </row>
    <row r="16" spans="1:33">
      <c r="A16">
        <f t="shared" si="0"/>
        <v>13</v>
      </c>
      <c r="C16">
        <f t="shared" si="1"/>
        <v>0</v>
      </c>
      <c r="D16" t="s">
        <v>35</v>
      </c>
      <c r="F16" t="s">
        <v>143</v>
      </c>
      <c r="G16" s="7">
        <f>X4</f>
        <v>1611.6415266629392</v>
      </c>
      <c r="H16" t="s">
        <v>153</v>
      </c>
      <c r="I16" s="2"/>
      <c r="J16" s="12" t="s">
        <v>242</v>
      </c>
    </row>
    <row r="17" spans="1:21">
      <c r="A17">
        <f t="shared" si="0"/>
        <v>14</v>
      </c>
      <c r="C17">
        <f t="shared" si="1"/>
        <v>0</v>
      </c>
      <c r="D17" t="s">
        <v>36</v>
      </c>
      <c r="F17" t="s">
        <v>151</v>
      </c>
      <c r="G17" s="7">
        <f>N4</f>
        <v>336.35251469058488</v>
      </c>
      <c r="H17" t="s">
        <v>153</v>
      </c>
      <c r="I17" s="2"/>
      <c r="J17">
        <f>83.14*F4/G4*J15^2*(-(1.9*1.7745*J15+3*J11)+SQRT( (1.9*1.7745*J15+3*J11)^2+4*J11*(4*G8-1.9)*(9.5*H8-1.7745)/J15 ))/(2*J11*(4*G8-1.9))</f>
        <v>15777.755820148075</v>
      </c>
      <c r="K17" t="s">
        <v>241</v>
      </c>
    </row>
    <row r="18" spans="1:21">
      <c r="A18">
        <f t="shared" si="0"/>
        <v>15</v>
      </c>
      <c r="C18">
        <f t="shared" si="1"/>
        <v>0</v>
      </c>
      <c r="D18" t="s">
        <v>37</v>
      </c>
      <c r="F18" t="s">
        <v>142</v>
      </c>
      <c r="G18" s="7">
        <f>W4</f>
        <v>11250.872999999998</v>
      </c>
      <c r="H18" t="s">
        <v>154</v>
      </c>
      <c r="J18" s="12" t="s">
        <v>244</v>
      </c>
    </row>
    <row r="19" spans="1:21">
      <c r="A19">
        <f t="shared" si="0"/>
        <v>16</v>
      </c>
      <c r="C19">
        <f t="shared" si="1"/>
        <v>0</v>
      </c>
      <c r="F19" t="s">
        <v>17</v>
      </c>
      <c r="G19" s="7">
        <f>O4</f>
        <v>-90469.452999999994</v>
      </c>
      <c r="H19" t="s">
        <v>154</v>
      </c>
      <c r="J19">
        <f>F4*LN(J15^3/J11*(83.14*F4/J17/G4)^2+1.0617)</f>
        <v>422.81628828035616</v>
      </c>
      <c r="K19" t="s">
        <v>243</v>
      </c>
    </row>
    <row r="20" spans="1:21">
      <c r="A20">
        <f t="shared" si="0"/>
        <v>17</v>
      </c>
      <c r="C20">
        <f t="shared" si="1"/>
        <v>0</v>
      </c>
      <c r="F20" t="s">
        <v>11</v>
      </c>
      <c r="G20" s="40">
        <f>(12.1+SUMPRODUCT($C4:$C134,Regcf!I4:I134))</f>
        <v>20820.019999999997</v>
      </c>
      <c r="H20" t="s">
        <v>150</v>
      </c>
      <c r="J20">
        <f>J4/G20</f>
        <v>1.347603950428482</v>
      </c>
      <c r="M20" s="3"/>
    </row>
    <row r="21" spans="1:21">
      <c r="A21">
        <f t="shared" si="0"/>
        <v>18</v>
      </c>
      <c r="C21">
        <f t="shared" si="1"/>
        <v>0</v>
      </c>
      <c r="D21" t="s">
        <v>41</v>
      </c>
      <c r="F21" t="s">
        <v>18</v>
      </c>
      <c r="G21" s="7">
        <f>P4</f>
        <v>-62980.831999999995</v>
      </c>
      <c r="H21" t="s">
        <v>154</v>
      </c>
      <c r="J21" s="12" t="s">
        <v>194</v>
      </c>
      <c r="M21" s="3"/>
    </row>
    <row r="22" spans="1:21" ht="15.5">
      <c r="A22">
        <f t="shared" si="0"/>
        <v>19</v>
      </c>
      <c r="C22">
        <f t="shared" si="1"/>
        <v>0</v>
      </c>
      <c r="D22" t="s">
        <v>42</v>
      </c>
      <c r="F22" t="s">
        <v>144</v>
      </c>
      <c r="G22" s="40">
        <f>J22</f>
        <v>11.363415341077895</v>
      </c>
      <c r="H22" s="52" t="s">
        <v>381</v>
      </c>
      <c r="J22" s="5">
        <f>SQRT((G18*1000/4.184-298*1.987)/G20)</f>
        <v>11.363415341077895</v>
      </c>
      <c r="M22" s="3"/>
    </row>
    <row r="23" spans="1:21">
      <c r="A23">
        <f t="shared" si="0"/>
        <v>20</v>
      </c>
      <c r="C23">
        <f t="shared" si="1"/>
        <v>0</v>
      </c>
      <c r="D23" t="s">
        <v>43</v>
      </c>
      <c r="F23" t="s">
        <v>14</v>
      </c>
      <c r="G23" s="41">
        <f>J23</f>
        <v>519.22407999999996</v>
      </c>
      <c r="J23" s="11">
        <f>Y4</f>
        <v>519.22407999999996</v>
      </c>
      <c r="K23">
        <f>J23/J4</f>
        <v>1.8505950991186515E-2</v>
      </c>
    </row>
    <row r="24" spans="1:21">
      <c r="A24">
        <f t="shared" si="0"/>
        <v>21</v>
      </c>
      <c r="C24">
        <f t="shared" si="1"/>
        <v>0</v>
      </c>
      <c r="D24" t="s">
        <v>44</v>
      </c>
      <c r="F24" t="s">
        <v>145</v>
      </c>
      <c r="G24" s="7">
        <f>J24*J4</f>
        <v>7858.5609703277587</v>
      </c>
      <c r="H24" t="s">
        <v>150</v>
      </c>
      <c r="I24" t="s">
        <v>234</v>
      </c>
      <c r="J24" s="28">
        <v>0.28009129348957901</v>
      </c>
      <c r="K24">
        <f>J17/J4</f>
        <v>0.56234367242476135</v>
      </c>
    </row>
    <row r="25" spans="1:21">
      <c r="A25">
        <f t="shared" si="0"/>
        <v>22</v>
      </c>
      <c r="C25">
        <f t="shared" si="1"/>
        <v>0</v>
      </c>
      <c r="D25" t="s">
        <v>45</v>
      </c>
      <c r="F25" t="s">
        <v>146</v>
      </c>
      <c r="G25" s="42">
        <v>296.55444468389311</v>
      </c>
      <c r="H25" t="s">
        <v>153</v>
      </c>
      <c r="J25" s="5">
        <v>333</v>
      </c>
    </row>
    <row r="26" spans="1:21">
      <c r="A26">
        <f t="shared" si="0"/>
        <v>23</v>
      </c>
      <c r="B26">
        <v>2</v>
      </c>
      <c r="C26">
        <f t="shared" si="1"/>
        <v>292</v>
      </c>
      <c r="D26" t="s">
        <v>46</v>
      </c>
      <c r="F26" t="s">
        <v>156</v>
      </c>
      <c r="G26" s="7">
        <f>J26</f>
        <v>0</v>
      </c>
      <c r="J26" s="5">
        <f>SUMPRODUCT($C4:$C134,'HBgc''s'!D2:D132)</f>
        <v>0</v>
      </c>
      <c r="M26" t="s">
        <v>360</v>
      </c>
    </row>
    <row r="27" spans="1:21">
      <c r="A27">
        <f t="shared" si="0"/>
        <v>24</v>
      </c>
      <c r="C27">
        <f t="shared" si="1"/>
        <v>0</v>
      </c>
      <c r="D27" t="s">
        <v>47</v>
      </c>
      <c r="F27" t="s">
        <v>157</v>
      </c>
      <c r="G27" s="7">
        <f>J27</f>
        <v>0</v>
      </c>
      <c r="H27" t="s">
        <v>153</v>
      </c>
      <c r="J27" s="5">
        <f>SUMPRODUCT($C4:$C134,'HBgc''s'!C2:C132)/(J26+0.00000000001)*1000/1.987</f>
        <v>0</v>
      </c>
    </row>
    <row r="28" spans="1:21">
      <c r="A28">
        <f t="shared" si="0"/>
        <v>25</v>
      </c>
      <c r="C28">
        <f t="shared" si="1"/>
        <v>0</v>
      </c>
      <c r="D28" t="s">
        <v>48</v>
      </c>
      <c r="F28" t="s">
        <v>261</v>
      </c>
      <c r="G28" s="7">
        <f>1/G20*0.025*G24/G23*(EXP(G27/298)-1)/(1-1.9*G24/G20)</f>
        <v>0</v>
      </c>
    </row>
    <row r="29" spans="1:21">
      <c r="A29">
        <f t="shared" si="0"/>
        <v>26</v>
      </c>
      <c r="C29">
        <f t="shared" si="1"/>
        <v>0</v>
      </c>
      <c r="D29" t="s">
        <v>49</v>
      </c>
      <c r="F29" t="s">
        <v>260</v>
      </c>
      <c r="G29" s="7">
        <f>2*G26*SQRT(G28)/(1+SQRT(1+4*G26*G28))</f>
        <v>0</v>
      </c>
      <c r="K29" t="s">
        <v>264</v>
      </c>
      <c r="L29">
        <f>EXP(G25/298)-1.0617</f>
        <v>1.6434277626992913</v>
      </c>
    </row>
    <row r="30" spans="1:21">
      <c r="A30">
        <f t="shared" si="0"/>
        <v>27</v>
      </c>
      <c r="C30">
        <f t="shared" si="1"/>
        <v>0</v>
      </c>
      <c r="D30" t="s">
        <v>50</v>
      </c>
      <c r="F30" t="s">
        <v>231</v>
      </c>
      <c r="G30" s="9">
        <f>G24/G20</f>
        <v>0.37745213358718005</v>
      </c>
      <c r="I30" s="15"/>
      <c r="L30" s="3">
        <f>9.5*(1+1.90476*(G23-1))*G24/G20*EXP(G25/298)/(1+1.7745*(EXP(G25/298)-1.0617)*G24/G20)</f>
        <v>4562.434044285942</v>
      </c>
      <c r="M30" s="3">
        <f>G22^2*G20/1.987/G25</f>
        <v>4562.4340442240409</v>
      </c>
    </row>
    <row r="31" spans="1:21">
      <c r="A31">
        <f t="shared" si="0"/>
        <v>28</v>
      </c>
      <c r="C31">
        <f t="shared" si="1"/>
        <v>0</v>
      </c>
      <c r="D31" t="s">
        <v>51</v>
      </c>
      <c r="F31" t="s">
        <v>148</v>
      </c>
      <c r="O31" s="4"/>
      <c r="P31" s="9"/>
      <c r="Q31" s="9"/>
      <c r="R31" s="9"/>
      <c r="S31" s="9"/>
      <c r="T31" s="9"/>
      <c r="U31" s="9"/>
    </row>
    <row r="32" spans="1:21">
      <c r="A32">
        <f t="shared" si="0"/>
        <v>29</v>
      </c>
      <c r="C32">
        <f t="shared" si="1"/>
        <v>0</v>
      </c>
      <c r="F32" t="s">
        <v>259</v>
      </c>
      <c r="G32">
        <f>1+4*G23*G24/G20/(1-1.9*G24/G20)-9.5*(1+1.90476*(G23-1))*G24/G20*(EXP(G25/298)-1.0617)/(1+1.7745*G24/G20*(EXP(G25/298)-1.0617))-G29^2/(1-1.9*G24/G20)</f>
        <v>0.84033963494221098</v>
      </c>
      <c r="H32">
        <f>I32</f>
        <v>0.84033965511395814</v>
      </c>
      <c r="I32">
        <f>0.1/G30*G24/8.314/298</f>
        <v>0.84033965511395814</v>
      </c>
      <c r="O32" s="4"/>
      <c r="P32" s="9"/>
      <c r="Q32" s="9"/>
      <c r="R32" s="9"/>
      <c r="S32" s="9"/>
      <c r="T32" s="9"/>
      <c r="U32" s="9"/>
    </row>
    <row r="33" spans="1:21">
      <c r="A33">
        <f t="shared" si="0"/>
        <v>30</v>
      </c>
      <c r="C33">
        <f t="shared" si="1"/>
        <v>0</v>
      </c>
      <c r="D33" t="s">
        <v>53</v>
      </c>
      <c r="F33" t="s">
        <v>147</v>
      </c>
      <c r="G33">
        <f>9.5*(1+1.90476*(G23-1))*G24/G20*EXP(G25/298)/(1+1.7745*(EXP(G25/298)-1.0617)*G24/G20)+G27/G25*G29*SQRT(G28)*EXP(G27/298)/(EXP(G27/298)-1+0.00000000001)*(G26+G29*G29)/(1+2*G29*SQRT(G28))-G22^2*G20/1.987/G25</f>
        <v>6.1901118897367269E-8</v>
      </c>
      <c r="H33" t="s">
        <v>263</v>
      </c>
      <c r="O33" s="4"/>
      <c r="P33" s="9"/>
      <c r="Q33" s="9"/>
      <c r="R33" s="9"/>
      <c r="S33" s="9"/>
      <c r="T33" s="9"/>
      <c r="U33" s="9"/>
    </row>
    <row r="34" spans="1:21">
      <c r="A34">
        <f t="shared" si="0"/>
        <v>31</v>
      </c>
      <c r="C34">
        <f t="shared" si="1"/>
        <v>0</v>
      </c>
      <c r="D34" t="s">
        <v>54</v>
      </c>
      <c r="O34" s="4"/>
      <c r="P34" s="9"/>
      <c r="Q34" s="9"/>
      <c r="R34" s="9"/>
      <c r="S34" s="9"/>
      <c r="T34" s="9"/>
      <c r="U34" s="9"/>
    </row>
    <row r="35" spans="1:21">
      <c r="A35">
        <f t="shared" si="0"/>
        <v>32</v>
      </c>
      <c r="C35">
        <f t="shared" si="1"/>
        <v>0</v>
      </c>
      <c r="D35" t="s">
        <v>55</v>
      </c>
      <c r="F35" t="s">
        <v>0</v>
      </c>
      <c r="G35">
        <f>9.5*(1+1.90476*(G23-1))*G24/G20*EXP(G25/298)/(1+1.7745*(EXP(G25/298)-1.0617)*G24/G20)+G27/G25*G29*SQRT(G28)*EXP(G27/298)/(EXP(G27/298)-1+0.00000000001)*(G26+G29*G29)/(1+2*G29*SQRT(G28))</f>
        <v>4562.434044285942</v>
      </c>
      <c r="O35" s="4"/>
      <c r="P35" s="9"/>
      <c r="Q35" s="9"/>
      <c r="R35" s="9"/>
      <c r="S35" s="9"/>
      <c r="T35" s="9"/>
      <c r="U35" s="9"/>
    </row>
    <row r="36" spans="1:21">
      <c r="A36">
        <f t="shared" si="0"/>
        <v>33</v>
      </c>
      <c r="C36">
        <f t="shared" si="1"/>
        <v>0</v>
      </c>
      <c r="D36" t="s">
        <v>56</v>
      </c>
      <c r="F36" t="s">
        <v>1</v>
      </c>
      <c r="G36">
        <f>G22^2*G20/1.987/G25</f>
        <v>4562.4340442240409</v>
      </c>
      <c r="O36" s="4"/>
      <c r="P36" s="9"/>
      <c r="Q36" s="9"/>
      <c r="R36" s="9"/>
      <c r="S36" s="9"/>
      <c r="T36" s="9"/>
      <c r="U36" s="9"/>
    </row>
    <row r="37" spans="1:21">
      <c r="A37">
        <f t="shared" si="0"/>
        <v>34</v>
      </c>
      <c r="C37">
        <f t="shared" si="1"/>
        <v>0</v>
      </c>
      <c r="D37" t="s">
        <v>57</v>
      </c>
      <c r="F37" t="s">
        <v>2</v>
      </c>
      <c r="G37">
        <f>1+4*G23*G24/G20/(1-1.9*G24/G20)-9.5*(1+1.90476*(G23-1))*G24/G20*(EXP(G25/298)-1.0617)/(1+1.7745*G24/G20*(EXP(G25/298)-1.0617))</f>
        <v>0.84033963494221098</v>
      </c>
      <c r="P37" s="3"/>
      <c r="Q37" s="3"/>
      <c r="R37" s="3"/>
    </row>
    <row r="38" spans="1:21">
      <c r="A38">
        <f t="shared" si="0"/>
        <v>35</v>
      </c>
      <c r="C38">
        <f t="shared" si="1"/>
        <v>0</v>
      </c>
      <c r="D38" t="s">
        <v>58</v>
      </c>
      <c r="F38" t="s">
        <v>3</v>
      </c>
      <c r="G38">
        <f>-1*G29^2/(1-1.9*G24/G20)</f>
        <v>0</v>
      </c>
    </row>
    <row r="39" spans="1:21">
      <c r="A39">
        <f t="shared" si="0"/>
        <v>36</v>
      </c>
      <c r="C39">
        <f t="shared" si="1"/>
        <v>0</v>
      </c>
      <c r="D39" t="s">
        <v>59</v>
      </c>
    </row>
    <row r="40" spans="1:21" ht="15.5">
      <c r="A40">
        <f t="shared" si="0"/>
        <v>37</v>
      </c>
      <c r="C40">
        <f t="shared" si="1"/>
        <v>0</v>
      </c>
      <c r="D40" t="s">
        <v>60</v>
      </c>
      <c r="F40" s="52" t="s">
        <v>375</v>
      </c>
      <c r="G40" s="6">
        <f>SUMPRODUCT($C4:$C134,Regcf!X4:X134)+17.323</f>
        <v>413.53779999999995</v>
      </c>
      <c r="H40" s="52" t="s">
        <v>377</v>
      </c>
      <c r="I40" s="53" t="s">
        <v>376</v>
      </c>
    </row>
    <row r="41" spans="1:21" ht="15.5">
      <c r="A41">
        <f t="shared" si="0"/>
        <v>38</v>
      </c>
      <c r="C41">
        <f t="shared" si="1"/>
        <v>0</v>
      </c>
      <c r="F41" s="52" t="s">
        <v>378</v>
      </c>
      <c r="G41" s="6">
        <f>SUMPRODUCT($C4:$C134,Regcf!Y4:Y134)+7.3548</f>
        <v>943.01039999999989</v>
      </c>
      <c r="H41" s="52" t="s">
        <v>377</v>
      </c>
    </row>
    <row r="42" spans="1:21" ht="15.5">
      <c r="A42">
        <f t="shared" si="0"/>
        <v>39</v>
      </c>
      <c r="C42">
        <f t="shared" si="1"/>
        <v>0</v>
      </c>
      <c r="D42" t="s">
        <v>62</v>
      </c>
      <c r="F42" s="52" t="s">
        <v>379</v>
      </c>
      <c r="G42" s="6">
        <f>SUMPRODUCT($C4:$C134,Regcf!Z4:Z134)+7.9793</f>
        <v>124.6917</v>
      </c>
      <c r="H42" s="52" t="s">
        <v>377</v>
      </c>
    </row>
    <row r="43" spans="1:21" ht="15.5">
      <c r="A43">
        <f t="shared" si="0"/>
        <v>40</v>
      </c>
      <c r="C43">
        <f t="shared" si="1"/>
        <v>0</v>
      </c>
      <c r="D43" t="s">
        <v>63</v>
      </c>
      <c r="F43" s="52" t="s">
        <v>380</v>
      </c>
      <c r="G43" s="6">
        <f>SQRT(SUMSQ(G40:G42)/4.184)</f>
        <v>507.07945742640288</v>
      </c>
      <c r="H43" s="52" t="s">
        <v>381</v>
      </c>
    </row>
    <row r="44" spans="1:21">
      <c r="A44">
        <f t="shared" si="0"/>
        <v>41</v>
      </c>
      <c r="C44">
        <f t="shared" si="1"/>
        <v>0</v>
      </c>
    </row>
    <row r="45" spans="1:21">
      <c r="A45">
        <f t="shared" si="0"/>
        <v>42</v>
      </c>
      <c r="C45">
        <f t="shared" si="1"/>
        <v>0</v>
      </c>
      <c r="D45" t="s">
        <v>65</v>
      </c>
    </row>
    <row r="46" spans="1:21">
      <c r="A46">
        <f t="shared" si="0"/>
        <v>43</v>
      </c>
      <c r="C46">
        <f t="shared" si="1"/>
        <v>0</v>
      </c>
      <c r="D46" t="s">
        <v>66</v>
      </c>
    </row>
    <row r="47" spans="1:21">
      <c r="A47">
        <f t="shared" si="0"/>
        <v>44</v>
      </c>
      <c r="C47">
        <f t="shared" si="1"/>
        <v>0</v>
      </c>
    </row>
    <row r="48" spans="1:21">
      <c r="A48">
        <f t="shared" si="0"/>
        <v>45</v>
      </c>
      <c r="C48">
        <f t="shared" si="1"/>
        <v>0</v>
      </c>
      <c r="D48" t="s">
        <v>68</v>
      </c>
    </row>
    <row r="49" spans="1:4">
      <c r="A49">
        <f t="shared" si="0"/>
        <v>46</v>
      </c>
      <c r="C49">
        <f t="shared" si="1"/>
        <v>0</v>
      </c>
      <c r="D49" t="s">
        <v>69</v>
      </c>
    </row>
    <row r="50" spans="1:4">
      <c r="A50">
        <f t="shared" si="0"/>
        <v>47</v>
      </c>
      <c r="C50">
        <f t="shared" si="1"/>
        <v>0</v>
      </c>
      <c r="D50" t="s">
        <v>70</v>
      </c>
    </row>
    <row r="51" spans="1:4">
      <c r="A51">
        <f t="shared" si="0"/>
        <v>48</v>
      </c>
      <c r="C51">
        <f t="shared" si="1"/>
        <v>0</v>
      </c>
    </row>
    <row r="52" spans="1:4">
      <c r="A52">
        <f t="shared" si="0"/>
        <v>49</v>
      </c>
      <c r="C52">
        <f t="shared" si="1"/>
        <v>0</v>
      </c>
      <c r="D52" t="s">
        <v>72</v>
      </c>
    </row>
    <row r="53" spans="1:4">
      <c r="A53">
        <f t="shared" si="0"/>
        <v>50</v>
      </c>
      <c r="C53">
        <f t="shared" si="1"/>
        <v>0</v>
      </c>
      <c r="D53" t="s">
        <v>73</v>
      </c>
    </row>
    <row r="54" spans="1:4">
      <c r="A54">
        <f t="shared" si="0"/>
        <v>51</v>
      </c>
      <c r="C54">
        <f t="shared" si="1"/>
        <v>0</v>
      </c>
    </row>
    <row r="55" spans="1:4">
      <c r="A55">
        <f t="shared" si="0"/>
        <v>52</v>
      </c>
      <c r="C55">
        <f t="shared" si="1"/>
        <v>0</v>
      </c>
      <c r="D55" t="s">
        <v>75</v>
      </c>
    </row>
    <row r="56" spans="1:4">
      <c r="A56">
        <f t="shared" si="0"/>
        <v>53</v>
      </c>
      <c r="C56">
        <f t="shared" si="1"/>
        <v>0</v>
      </c>
    </row>
    <row r="57" spans="1:4">
      <c r="A57">
        <f t="shared" si="0"/>
        <v>54</v>
      </c>
      <c r="C57">
        <f t="shared" si="1"/>
        <v>0</v>
      </c>
      <c r="D57" t="s">
        <v>77</v>
      </c>
    </row>
    <row r="58" spans="1:4">
      <c r="A58">
        <f t="shared" si="0"/>
        <v>55</v>
      </c>
      <c r="C58">
        <f t="shared" si="1"/>
        <v>0</v>
      </c>
    </row>
    <row r="59" spans="1:4">
      <c r="A59">
        <f t="shared" si="0"/>
        <v>56</v>
      </c>
      <c r="C59">
        <f t="shared" si="1"/>
        <v>0</v>
      </c>
      <c r="D59" t="s">
        <v>79</v>
      </c>
    </row>
    <row r="60" spans="1:4">
      <c r="A60">
        <f t="shared" si="0"/>
        <v>57</v>
      </c>
      <c r="C60">
        <f t="shared" si="1"/>
        <v>0</v>
      </c>
      <c r="D60" t="s">
        <v>80</v>
      </c>
    </row>
    <row r="61" spans="1:4">
      <c r="A61">
        <f t="shared" si="0"/>
        <v>58</v>
      </c>
      <c r="C61">
        <f t="shared" si="1"/>
        <v>0</v>
      </c>
      <c r="D61" t="s">
        <v>81</v>
      </c>
    </row>
    <row r="62" spans="1:4">
      <c r="A62">
        <f t="shared" si="0"/>
        <v>59</v>
      </c>
      <c r="C62">
        <f t="shared" si="1"/>
        <v>0</v>
      </c>
    </row>
    <row r="63" spans="1:4">
      <c r="A63">
        <f t="shared" si="0"/>
        <v>60</v>
      </c>
      <c r="C63">
        <f t="shared" si="1"/>
        <v>0</v>
      </c>
    </row>
    <row r="64" spans="1:4">
      <c r="A64">
        <f t="shared" si="0"/>
        <v>61</v>
      </c>
      <c r="C64">
        <f t="shared" si="1"/>
        <v>0</v>
      </c>
      <c r="D64" t="s">
        <v>84</v>
      </c>
    </row>
    <row r="65" spans="1:4">
      <c r="A65">
        <f t="shared" si="0"/>
        <v>62</v>
      </c>
      <c r="C65">
        <f t="shared" si="1"/>
        <v>0</v>
      </c>
    </row>
    <row r="66" spans="1:4">
      <c r="A66">
        <f t="shared" si="0"/>
        <v>63</v>
      </c>
      <c r="C66">
        <f t="shared" si="1"/>
        <v>0</v>
      </c>
    </row>
    <row r="67" spans="1:4">
      <c r="A67">
        <f t="shared" si="0"/>
        <v>64</v>
      </c>
      <c r="C67">
        <f t="shared" si="1"/>
        <v>0</v>
      </c>
      <c r="D67" t="s">
        <v>87</v>
      </c>
    </row>
    <row r="68" spans="1:4">
      <c r="A68">
        <f t="shared" si="0"/>
        <v>65</v>
      </c>
      <c r="C68">
        <f t="shared" si="1"/>
        <v>0</v>
      </c>
      <c r="D68" t="s">
        <v>88</v>
      </c>
    </row>
    <row r="69" spans="1:4">
      <c r="A69">
        <f t="shared" si="0"/>
        <v>66</v>
      </c>
      <c r="C69">
        <f t="shared" si="1"/>
        <v>0</v>
      </c>
      <c r="D69" t="s">
        <v>89</v>
      </c>
    </row>
    <row r="70" spans="1:4">
      <c r="A70">
        <f t="shared" ref="A70:A133" si="3">A69+1</f>
        <v>67</v>
      </c>
      <c r="C70">
        <f t="shared" si="1"/>
        <v>0</v>
      </c>
      <c r="D70" t="s">
        <v>90</v>
      </c>
    </row>
    <row r="71" spans="1:4">
      <c r="A71">
        <f t="shared" si="3"/>
        <v>68</v>
      </c>
      <c r="C71">
        <f t="shared" ref="C71:C134" si="4">C$3*B71</f>
        <v>0</v>
      </c>
    </row>
    <row r="72" spans="1:4">
      <c r="A72">
        <f t="shared" si="3"/>
        <v>69</v>
      </c>
      <c r="C72">
        <f t="shared" si="4"/>
        <v>0</v>
      </c>
    </row>
    <row r="73" spans="1:4">
      <c r="A73">
        <f t="shared" si="3"/>
        <v>70</v>
      </c>
      <c r="C73">
        <f t="shared" si="4"/>
        <v>0</v>
      </c>
      <c r="D73" t="s">
        <v>93</v>
      </c>
    </row>
    <row r="74" spans="1:4">
      <c r="A74">
        <f t="shared" si="3"/>
        <v>71</v>
      </c>
      <c r="C74">
        <f t="shared" si="4"/>
        <v>0</v>
      </c>
      <c r="D74" t="s">
        <v>94</v>
      </c>
    </row>
    <row r="75" spans="1:4">
      <c r="A75">
        <f t="shared" si="3"/>
        <v>72</v>
      </c>
      <c r="C75">
        <f t="shared" si="4"/>
        <v>0</v>
      </c>
    </row>
    <row r="76" spans="1:4">
      <c r="A76">
        <f t="shared" si="3"/>
        <v>73</v>
      </c>
      <c r="C76">
        <f t="shared" si="4"/>
        <v>0</v>
      </c>
    </row>
    <row r="77" spans="1:4">
      <c r="A77">
        <f t="shared" si="3"/>
        <v>74</v>
      </c>
      <c r="C77">
        <f t="shared" si="4"/>
        <v>0</v>
      </c>
      <c r="D77" t="s">
        <v>97</v>
      </c>
    </row>
    <row r="78" spans="1:4">
      <c r="A78">
        <f t="shared" si="3"/>
        <v>75</v>
      </c>
      <c r="C78">
        <f t="shared" si="4"/>
        <v>0</v>
      </c>
      <c r="D78" t="s">
        <v>98</v>
      </c>
    </row>
    <row r="79" spans="1:4">
      <c r="A79">
        <f t="shared" si="3"/>
        <v>76</v>
      </c>
      <c r="C79">
        <f t="shared" si="4"/>
        <v>0</v>
      </c>
      <c r="D79" t="s">
        <v>99</v>
      </c>
    </row>
    <row r="80" spans="1:4">
      <c r="A80">
        <f t="shared" si="3"/>
        <v>77</v>
      </c>
      <c r="C80">
        <f t="shared" si="4"/>
        <v>0</v>
      </c>
      <c r="D80" t="s">
        <v>100</v>
      </c>
    </row>
    <row r="81" spans="1:4">
      <c r="A81">
        <f t="shared" si="3"/>
        <v>78</v>
      </c>
      <c r="C81">
        <f t="shared" si="4"/>
        <v>0</v>
      </c>
      <c r="D81" t="s">
        <v>101</v>
      </c>
    </row>
    <row r="82" spans="1:4">
      <c r="A82">
        <f t="shared" si="3"/>
        <v>79</v>
      </c>
      <c r="C82">
        <f t="shared" si="4"/>
        <v>0</v>
      </c>
      <c r="D82" t="s">
        <v>102</v>
      </c>
    </row>
    <row r="83" spans="1:4">
      <c r="A83">
        <f t="shared" si="3"/>
        <v>80</v>
      </c>
      <c r="C83">
        <f t="shared" si="4"/>
        <v>0</v>
      </c>
      <c r="D83" t="s">
        <v>103</v>
      </c>
    </row>
    <row r="84" spans="1:4">
      <c r="A84">
        <f t="shared" si="3"/>
        <v>81</v>
      </c>
      <c r="C84">
        <f t="shared" si="4"/>
        <v>0</v>
      </c>
      <c r="D84" t="s">
        <v>104</v>
      </c>
    </row>
    <row r="85" spans="1:4">
      <c r="A85">
        <f t="shared" si="3"/>
        <v>82</v>
      </c>
      <c r="C85">
        <f t="shared" si="4"/>
        <v>0</v>
      </c>
      <c r="D85" t="s">
        <v>105</v>
      </c>
    </row>
    <row r="86" spans="1:4">
      <c r="A86">
        <f t="shared" si="3"/>
        <v>83</v>
      </c>
      <c r="C86">
        <f t="shared" si="4"/>
        <v>0</v>
      </c>
      <c r="D86" t="s">
        <v>106</v>
      </c>
    </row>
    <row r="87" spans="1:4">
      <c r="A87">
        <f t="shared" si="3"/>
        <v>84</v>
      </c>
      <c r="C87">
        <f t="shared" si="4"/>
        <v>0</v>
      </c>
      <c r="D87" t="s">
        <v>107</v>
      </c>
    </row>
    <row r="88" spans="1:4">
      <c r="A88">
        <f t="shared" si="3"/>
        <v>85</v>
      </c>
      <c r="C88">
        <f t="shared" si="4"/>
        <v>0</v>
      </c>
      <c r="D88" t="s">
        <v>108</v>
      </c>
    </row>
    <row r="89" spans="1:4">
      <c r="A89">
        <f t="shared" si="3"/>
        <v>86</v>
      </c>
      <c r="C89">
        <f t="shared" si="4"/>
        <v>0</v>
      </c>
    </row>
    <row r="90" spans="1:4">
      <c r="A90">
        <f t="shared" si="3"/>
        <v>87</v>
      </c>
      <c r="C90">
        <f t="shared" si="4"/>
        <v>0</v>
      </c>
      <c r="D90" t="s">
        <v>110</v>
      </c>
    </row>
    <row r="91" spans="1:4">
      <c r="A91">
        <f t="shared" si="3"/>
        <v>88</v>
      </c>
      <c r="C91">
        <f t="shared" si="4"/>
        <v>0</v>
      </c>
    </row>
    <row r="92" spans="1:4">
      <c r="A92">
        <f t="shared" si="3"/>
        <v>89</v>
      </c>
      <c r="C92">
        <f t="shared" si="4"/>
        <v>0</v>
      </c>
      <c r="D92" t="s">
        <v>112</v>
      </c>
    </row>
    <row r="93" spans="1:4">
      <c r="A93">
        <f t="shared" si="3"/>
        <v>90</v>
      </c>
      <c r="C93">
        <f t="shared" si="4"/>
        <v>0</v>
      </c>
      <c r="D93" t="s">
        <v>113</v>
      </c>
    </row>
    <row r="94" spans="1:4">
      <c r="A94">
        <f t="shared" si="3"/>
        <v>91</v>
      </c>
      <c r="C94">
        <f t="shared" si="4"/>
        <v>0</v>
      </c>
    </row>
    <row r="95" spans="1:4">
      <c r="A95">
        <f t="shared" si="3"/>
        <v>92</v>
      </c>
      <c r="C95">
        <f t="shared" si="4"/>
        <v>0</v>
      </c>
    </row>
    <row r="96" spans="1:4">
      <c r="A96">
        <f t="shared" si="3"/>
        <v>93</v>
      </c>
      <c r="C96">
        <f t="shared" si="4"/>
        <v>0</v>
      </c>
    </row>
    <row r="97" spans="1:4">
      <c r="A97">
        <f t="shared" si="3"/>
        <v>94</v>
      </c>
      <c r="C97">
        <f t="shared" si="4"/>
        <v>0</v>
      </c>
      <c r="D97" t="s">
        <v>117</v>
      </c>
    </row>
    <row r="98" spans="1:4">
      <c r="A98">
        <f t="shared" si="3"/>
        <v>95</v>
      </c>
      <c r="C98">
        <f t="shared" si="4"/>
        <v>0</v>
      </c>
      <c r="D98" t="s">
        <v>118</v>
      </c>
    </row>
    <row r="99" spans="1:4">
      <c r="A99">
        <f t="shared" si="3"/>
        <v>96</v>
      </c>
      <c r="C99">
        <f t="shared" si="4"/>
        <v>0</v>
      </c>
      <c r="D99" t="s">
        <v>119</v>
      </c>
    </row>
    <row r="100" spans="1:4">
      <c r="A100">
        <f t="shared" si="3"/>
        <v>97</v>
      </c>
      <c r="C100">
        <f t="shared" si="4"/>
        <v>0</v>
      </c>
      <c r="D100" t="s">
        <v>120</v>
      </c>
    </row>
    <row r="101" spans="1:4">
      <c r="A101">
        <f t="shared" si="3"/>
        <v>98</v>
      </c>
      <c r="C101">
        <f t="shared" si="4"/>
        <v>0</v>
      </c>
      <c r="D101" t="s">
        <v>121</v>
      </c>
    </row>
    <row r="102" spans="1:4">
      <c r="A102">
        <f t="shared" si="3"/>
        <v>99</v>
      </c>
      <c r="C102">
        <f t="shared" si="4"/>
        <v>0</v>
      </c>
      <c r="D102" t="s">
        <v>122</v>
      </c>
    </row>
    <row r="103" spans="1:4">
      <c r="A103">
        <f t="shared" si="3"/>
        <v>100</v>
      </c>
      <c r="C103">
        <f t="shared" si="4"/>
        <v>0</v>
      </c>
      <c r="D103" t="s">
        <v>123</v>
      </c>
    </row>
    <row r="104" spans="1:4">
      <c r="A104">
        <f t="shared" si="3"/>
        <v>101</v>
      </c>
      <c r="C104">
        <f t="shared" si="4"/>
        <v>0</v>
      </c>
      <c r="D104" t="s">
        <v>124</v>
      </c>
    </row>
    <row r="105" spans="1:4">
      <c r="A105">
        <f t="shared" si="3"/>
        <v>102</v>
      </c>
      <c r="C105">
        <f t="shared" si="4"/>
        <v>0</v>
      </c>
      <c r="D105" t="s">
        <v>125</v>
      </c>
    </row>
    <row r="106" spans="1:4">
      <c r="A106">
        <f t="shared" si="3"/>
        <v>103</v>
      </c>
      <c r="C106">
        <f t="shared" si="4"/>
        <v>0</v>
      </c>
      <c r="D106" t="s">
        <v>126</v>
      </c>
    </row>
    <row r="107" spans="1:4">
      <c r="A107">
        <f t="shared" si="3"/>
        <v>104</v>
      </c>
      <c r="C107">
        <f t="shared" si="4"/>
        <v>0</v>
      </c>
      <c r="D107" t="s">
        <v>127</v>
      </c>
    </row>
    <row r="108" spans="1:4">
      <c r="A108">
        <f t="shared" si="3"/>
        <v>105</v>
      </c>
      <c r="C108">
        <f t="shared" si="4"/>
        <v>0</v>
      </c>
    </row>
    <row r="109" spans="1:4">
      <c r="A109">
        <f t="shared" si="3"/>
        <v>106</v>
      </c>
      <c r="C109">
        <f t="shared" si="4"/>
        <v>0</v>
      </c>
    </row>
    <row r="110" spans="1:4">
      <c r="A110">
        <f t="shared" si="3"/>
        <v>107</v>
      </c>
      <c r="C110">
        <f t="shared" si="4"/>
        <v>0</v>
      </c>
      <c r="D110" t="s">
        <v>130</v>
      </c>
    </row>
    <row r="111" spans="1:4">
      <c r="A111">
        <f t="shared" si="3"/>
        <v>108</v>
      </c>
      <c r="C111">
        <f t="shared" si="4"/>
        <v>0</v>
      </c>
      <c r="D111" t="s">
        <v>131</v>
      </c>
    </row>
    <row r="112" spans="1:4">
      <c r="A112">
        <f t="shared" si="3"/>
        <v>109</v>
      </c>
      <c r="C112">
        <f t="shared" si="4"/>
        <v>0</v>
      </c>
      <c r="D112" t="s">
        <v>132</v>
      </c>
    </row>
    <row r="113" spans="1:8">
      <c r="A113">
        <f t="shared" si="3"/>
        <v>110</v>
      </c>
      <c r="C113">
        <f t="shared" si="4"/>
        <v>0</v>
      </c>
      <c r="D113" t="s">
        <v>134</v>
      </c>
    </row>
    <row r="114" spans="1:8">
      <c r="A114">
        <f t="shared" si="3"/>
        <v>111</v>
      </c>
      <c r="C114">
        <f t="shared" si="4"/>
        <v>0</v>
      </c>
      <c r="D114" t="s">
        <v>136</v>
      </c>
    </row>
    <row r="115" spans="1:8">
      <c r="A115">
        <f t="shared" si="3"/>
        <v>112</v>
      </c>
      <c r="C115">
        <f t="shared" si="4"/>
        <v>0</v>
      </c>
      <c r="D115" t="s">
        <v>138</v>
      </c>
      <c r="H115" t="s">
        <v>362</v>
      </c>
    </row>
    <row r="116" spans="1:8">
      <c r="A116">
        <f t="shared" si="3"/>
        <v>113</v>
      </c>
      <c r="C116">
        <f t="shared" si="4"/>
        <v>0</v>
      </c>
      <c r="D116" t="s">
        <v>140</v>
      </c>
      <c r="H116" t="s">
        <v>363</v>
      </c>
    </row>
    <row r="117" spans="1:8">
      <c r="A117">
        <f t="shared" si="3"/>
        <v>114</v>
      </c>
      <c r="C117">
        <f t="shared" si="4"/>
        <v>0</v>
      </c>
      <c r="D117" t="s">
        <v>330</v>
      </c>
    </row>
    <row r="118" spans="1:8">
      <c r="A118">
        <f t="shared" si="3"/>
        <v>115</v>
      </c>
      <c r="C118">
        <f t="shared" si="4"/>
        <v>0</v>
      </c>
      <c r="D118" s="52" t="s">
        <v>394</v>
      </c>
    </row>
    <row r="119" spans="1:8">
      <c r="A119">
        <f t="shared" si="3"/>
        <v>116</v>
      </c>
      <c r="C119">
        <f t="shared" si="4"/>
        <v>0</v>
      </c>
      <c r="D119" t="s">
        <v>39</v>
      </c>
    </row>
    <row r="120" spans="1:8">
      <c r="A120">
        <f t="shared" si="3"/>
        <v>117</v>
      </c>
      <c r="C120">
        <f t="shared" si="4"/>
        <v>0</v>
      </c>
      <c r="D120" t="s">
        <v>39</v>
      </c>
    </row>
    <row r="121" spans="1:8">
      <c r="A121">
        <f t="shared" si="3"/>
        <v>118</v>
      </c>
      <c r="C121">
        <f t="shared" si="4"/>
        <v>0</v>
      </c>
      <c r="D121" t="s">
        <v>39</v>
      </c>
    </row>
    <row r="122" spans="1:8">
      <c r="A122">
        <f t="shared" si="3"/>
        <v>119</v>
      </c>
      <c r="C122">
        <f t="shared" si="4"/>
        <v>0</v>
      </c>
      <c r="D122" t="s">
        <v>39</v>
      </c>
    </row>
    <row r="123" spans="1:8">
      <c r="A123">
        <f t="shared" si="3"/>
        <v>120</v>
      </c>
      <c r="C123">
        <f t="shared" si="4"/>
        <v>0</v>
      </c>
      <c r="D123" t="s">
        <v>39</v>
      </c>
    </row>
    <row r="124" spans="1:8">
      <c r="A124">
        <f t="shared" si="3"/>
        <v>121</v>
      </c>
      <c r="C124">
        <f t="shared" si="4"/>
        <v>0</v>
      </c>
      <c r="D124" t="s">
        <v>39</v>
      </c>
    </row>
    <row r="125" spans="1:8">
      <c r="A125">
        <f t="shared" si="3"/>
        <v>122</v>
      </c>
      <c r="C125">
        <f t="shared" si="4"/>
        <v>0</v>
      </c>
      <c r="D125" t="s">
        <v>39</v>
      </c>
    </row>
    <row r="126" spans="1:8">
      <c r="A126">
        <f t="shared" si="3"/>
        <v>123</v>
      </c>
      <c r="C126">
        <f t="shared" si="4"/>
        <v>0</v>
      </c>
      <c r="D126" t="s">
        <v>39</v>
      </c>
    </row>
    <row r="127" spans="1:8">
      <c r="A127">
        <f t="shared" si="3"/>
        <v>124</v>
      </c>
      <c r="C127">
        <f t="shared" si="4"/>
        <v>0</v>
      </c>
      <c r="D127" t="s">
        <v>39</v>
      </c>
    </row>
    <row r="128" spans="1:8">
      <c r="A128">
        <f t="shared" si="3"/>
        <v>125</v>
      </c>
      <c r="C128">
        <f t="shared" si="4"/>
        <v>0</v>
      </c>
      <c r="D128" t="s">
        <v>39</v>
      </c>
    </row>
    <row r="129" spans="1:4">
      <c r="A129">
        <f t="shared" si="3"/>
        <v>126</v>
      </c>
      <c r="C129">
        <f t="shared" si="4"/>
        <v>0</v>
      </c>
      <c r="D129" t="s">
        <v>39</v>
      </c>
    </row>
    <row r="130" spans="1:4">
      <c r="A130">
        <f t="shared" si="3"/>
        <v>127</v>
      </c>
      <c r="C130">
        <f t="shared" si="4"/>
        <v>0</v>
      </c>
      <c r="D130" t="s">
        <v>39</v>
      </c>
    </row>
    <row r="131" spans="1:4">
      <c r="A131">
        <f t="shared" si="3"/>
        <v>128</v>
      </c>
      <c r="C131">
        <f t="shared" si="4"/>
        <v>0</v>
      </c>
      <c r="D131" t="s">
        <v>39</v>
      </c>
    </row>
    <row r="132" spans="1:4">
      <c r="A132">
        <f t="shared" si="3"/>
        <v>129</v>
      </c>
      <c r="C132">
        <f t="shared" si="4"/>
        <v>0</v>
      </c>
      <c r="D132" t="s">
        <v>39</v>
      </c>
    </row>
    <row r="133" spans="1:4">
      <c r="A133">
        <f t="shared" si="3"/>
        <v>130</v>
      </c>
      <c r="C133">
        <f t="shared" si="4"/>
        <v>0</v>
      </c>
      <c r="D133" t="s">
        <v>39</v>
      </c>
    </row>
    <row r="134" spans="1:4">
      <c r="A134">
        <f>A133+1</f>
        <v>131</v>
      </c>
      <c r="C134">
        <f t="shared" si="4"/>
        <v>0</v>
      </c>
      <c r="D134" t="s">
        <v>39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G135"/>
  <sheetViews>
    <sheetView topLeftCell="B20" zoomScale="85" workbookViewId="0">
      <selection activeCell="F23" sqref="F23"/>
    </sheetView>
  </sheetViews>
  <sheetFormatPr defaultRowHeight="13"/>
  <cols>
    <col min="5" max="5" width="20.09765625" customWidth="1"/>
    <col min="6" max="6" width="15.3984375" bestFit="1" customWidth="1"/>
    <col min="7" max="7" width="13.3984375" customWidth="1"/>
    <col min="8" max="8" width="12.796875" customWidth="1"/>
    <col min="9" max="9" width="13.59765625" bestFit="1" customWidth="1"/>
    <col min="11" max="11" width="15" bestFit="1" customWidth="1"/>
    <col min="14" max="14" width="14.796875" customWidth="1"/>
    <col min="15" max="15" width="10" bestFit="1" customWidth="1"/>
    <col min="17" max="17" width="9.3984375" bestFit="1" customWidth="1"/>
  </cols>
  <sheetData>
    <row r="3" spans="2:33" s="5" customFormat="1">
      <c r="C3" s="5">
        <v>1</v>
      </c>
      <c r="D3" s="5" t="s">
        <v>5</v>
      </c>
      <c r="E3" s="5" t="s">
        <v>184</v>
      </c>
      <c r="F3" s="5" t="s">
        <v>182</v>
      </c>
      <c r="G3" s="5" t="s">
        <v>8</v>
      </c>
      <c r="H3" s="5" t="s">
        <v>183</v>
      </c>
      <c r="I3" s="5" t="s">
        <v>13</v>
      </c>
      <c r="J3" s="5" t="s">
        <v>6</v>
      </c>
      <c r="K3" s="5" t="s">
        <v>144</v>
      </c>
      <c r="L3" s="5" t="s">
        <v>11</v>
      </c>
      <c r="M3" s="5" t="s">
        <v>10</v>
      </c>
      <c r="N3" s="5" t="s">
        <v>151</v>
      </c>
      <c r="O3" s="5" t="s">
        <v>17</v>
      </c>
      <c r="P3" s="5" t="s">
        <v>18</v>
      </c>
      <c r="Q3" t="s">
        <v>365</v>
      </c>
      <c r="R3" t="s">
        <v>366</v>
      </c>
      <c r="S3" t="s">
        <v>367</v>
      </c>
      <c r="T3"/>
      <c r="U3"/>
      <c r="V3"/>
      <c r="W3"/>
      <c r="X3" s="5" t="s">
        <v>12</v>
      </c>
      <c r="Y3" s="5" t="s">
        <v>14</v>
      </c>
      <c r="Z3" s="5" t="s">
        <v>15</v>
      </c>
      <c r="AA3" s="5" t="s">
        <v>16</v>
      </c>
    </row>
    <row r="4" spans="2:33">
      <c r="B4">
        <v>2</v>
      </c>
      <c r="C4">
        <f>$C$3*B4</f>
        <v>2</v>
      </c>
      <c r="D4" t="s">
        <v>23</v>
      </c>
      <c r="E4" s="57" t="s">
        <v>3129</v>
      </c>
      <c r="F4" s="11">
        <f>X4*(1+1/(0.596+SUMPRODUCT($C4:$C134,Regcf!D4:D134)))</f>
        <v>542.82702116786754</v>
      </c>
      <c r="G4" s="39">
        <f>J4/10/(0.346+SUMPRODUCT($C4:$C134,Regcf!E4:E134))^2</f>
        <v>2.6901205401487287</v>
      </c>
      <c r="H4" s="39">
        <f>(172+SUMPRODUCT($C4:$C134,Regcf!F4:F134))*G4/8.31434/F4</f>
        <v>0.27239473074734277</v>
      </c>
      <c r="I4" s="39">
        <f>SUMPRODUCT($C4:$C134,Regcf!K4:K134)</f>
        <v>0.32799999999999996</v>
      </c>
      <c r="J4" s="36">
        <f>SUMPRODUCT($C4:$C134,Regcf!C4:C134)</f>
        <v>100.2043</v>
      </c>
      <c r="K4" s="11">
        <f>T4/SQRT(4.184)</f>
        <v>8.0260813201096628</v>
      </c>
      <c r="L4" s="36">
        <f>(12.1+SUMPRODUCT($C4:$C134,Regcf!I4:I134))</f>
        <v>132.94999999999999</v>
      </c>
      <c r="M4" s="11">
        <f>1000/(0.5+38.6/SQRT(SUMPRODUCT($C4:$C134,Regcf!G4:G134))+1000/(256.6+SUMPRODUCT($C4:$C134,Regcf!G4:G134)))</f>
        <v>366.77257231382248</v>
      </c>
      <c r="N4" s="7">
        <f>1000/(0.5+88/SQRT(SUMPRODUCT($C4:$C134,Regcf!O4:O134))+1000/(111+SUMPRODUCT($C4:$C134,Regcf!O4:O134)))</f>
        <v>21.537571595929073</v>
      </c>
      <c r="O4">
        <f>10.835+SUMPRODUCT($C4:$C134,Regcf!Q4:Q134)</f>
        <v>-184.874</v>
      </c>
      <c r="P4">
        <f>-14.828+SUMPRODUCT($C4:$C134,Regcf!R4:R134)</f>
        <v>10.267000000000003</v>
      </c>
      <c r="Q4">
        <v>12345</v>
      </c>
      <c r="R4" t="s">
        <v>368</v>
      </c>
      <c r="S4" t="str">
        <f>E4</f>
        <v>nC7</v>
      </c>
      <c r="T4" s="36">
        <f>SQRT((W4*1000-298*8.31434)/L4)</f>
        <v>16.417211517116527</v>
      </c>
      <c r="U4" s="36">
        <f>J4/L4</f>
        <v>0.75369913501316288</v>
      </c>
      <c r="V4" s="9">
        <f>(P7+Q7*U2+R7*U2^2+S7*U2^3)/8.314</f>
        <v>-0.41796968968005788</v>
      </c>
      <c r="W4">
        <f>6.829+SUMPRODUCT($C4:$C134,Regcf!P4:P134)</f>
        <v>38.311</v>
      </c>
      <c r="X4" s="7">
        <f>1000/(0.5+59.15/SQRT(SUMPRODUCT($C4:$C134,Regcf!J4:J134))+1000/(274.22+SUMPRODUCT($C4:$C134,Regcf!J4:J134)))</f>
        <v>267.6992861613457</v>
      </c>
      <c r="Y4" s="7">
        <f>1+SUMPRODUCT(C4:C134,Regcf!L4:L134)</f>
        <v>2.4896599999999998</v>
      </c>
      <c r="Z4" s="5">
        <f>SUMPRODUCT($C4:$C134,Regcf!AA4:AA134)</f>
        <v>7</v>
      </c>
      <c r="AA4" s="5">
        <f>SUMPRODUCT($C4:$C134,Regcf!AB4:AB134)</f>
        <v>16</v>
      </c>
      <c r="AB4" s="5">
        <f>SUMPRODUCT($C4:$C134,Regcf!AC4:AC134)</f>
        <v>0</v>
      </c>
      <c r="AC4" s="5">
        <f>SUMPRODUCT($C4:$C134,Regcf!AD4:AD134)</f>
        <v>0</v>
      </c>
      <c r="AD4" s="5">
        <f>SUMPRODUCT($C4:$C134,Regcf!AE4:AE134)</f>
        <v>0</v>
      </c>
      <c r="AE4" s="5">
        <f>SUMPRODUCT($C4:$C134,Regcf!AF4:AF134)</f>
        <v>0</v>
      </c>
      <c r="AF4" s="5">
        <f>SUMPRODUCT($C4:$C134,Regcf!AG4:AG134)</f>
        <v>0</v>
      </c>
      <c r="AG4" s="5">
        <f>SUMPRODUCT($C4:$C134,Regcf!AH4:AH134)</f>
        <v>0</v>
      </c>
    </row>
    <row r="5" spans="2:33">
      <c r="B5">
        <v>5</v>
      </c>
      <c r="C5">
        <f t="shared" ref="C5:C68" si="0">$C$3*B5</f>
        <v>5</v>
      </c>
      <c r="D5" t="s">
        <v>24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190</v>
      </c>
      <c r="L5" s="5" t="s">
        <v>191</v>
      </c>
      <c r="M5" s="5" t="s">
        <v>192</v>
      </c>
      <c r="N5" s="5" t="s">
        <v>193</v>
      </c>
    </row>
    <row r="6" spans="2:33">
      <c r="B6">
        <v>0</v>
      </c>
      <c r="C6">
        <f t="shared" si="0"/>
        <v>0</v>
      </c>
      <c r="D6" t="s">
        <v>268</v>
      </c>
      <c r="F6" s="9">
        <f>F21</f>
        <v>2.4896599999999998</v>
      </c>
      <c r="G6" s="9">
        <f>1+1.90476*(F6-1)</f>
        <v>3.8374447815999995</v>
      </c>
      <c r="H6" s="3">
        <f>F23</f>
        <v>269.56161915861804</v>
      </c>
      <c r="I6" s="3">
        <f>F22</f>
        <v>42.565107909897613</v>
      </c>
      <c r="J6">
        <f>F24</f>
        <v>0</v>
      </c>
      <c r="K6">
        <f>0.025/F6</f>
        <v>1.0041531775423152E-2</v>
      </c>
      <c r="L6">
        <f>F25/F4</f>
        <v>0</v>
      </c>
      <c r="M6">
        <f>J6</f>
        <v>0</v>
      </c>
      <c r="N6">
        <f>J6</f>
        <v>0</v>
      </c>
      <c r="P6" s="5" t="s">
        <v>354</v>
      </c>
      <c r="Q6" s="5" t="s">
        <v>355</v>
      </c>
      <c r="R6" s="5" t="s">
        <v>356</v>
      </c>
      <c r="S6" s="5" t="s">
        <v>357</v>
      </c>
    </row>
    <row r="7" spans="2:33">
      <c r="C7">
        <f t="shared" si="0"/>
        <v>0</v>
      </c>
      <c r="D7" t="s">
        <v>26</v>
      </c>
      <c r="F7" s="6">
        <f>F4-273</f>
        <v>269.82702116786754</v>
      </c>
      <c r="J7" s="3"/>
      <c r="K7" s="3"/>
      <c r="L7" s="4"/>
      <c r="P7" s="5">
        <f>-37.93+SUMPRODUCT($C4:$C134,Regcf!S4:S134)</f>
        <v>-3.4750000000000014</v>
      </c>
      <c r="Q7" s="5">
        <f>SUMPRODUCT($C4:$C134,Regcf!T4:T134)+0.21</f>
        <v>0.66883999999999999</v>
      </c>
      <c r="R7" s="47">
        <f>SUMPRODUCT($C4:$C134,Regcf!U4:U134)-0.000391</f>
        <v>-3.57E-4</v>
      </c>
      <c r="S7" s="5">
        <f>SUMPRODUCT($C4:$C134,Regcf!V4:V134)+0.000000206</f>
        <v>7.209999999999999E-8</v>
      </c>
    </row>
    <row r="8" spans="2:33">
      <c r="C8">
        <f t="shared" si="0"/>
        <v>0</v>
      </c>
      <c r="D8" t="s">
        <v>27</v>
      </c>
      <c r="E8" t="s">
        <v>6</v>
      </c>
      <c r="F8" s="30">
        <f>J4</f>
        <v>100.2043</v>
      </c>
      <c r="J8" s="3"/>
      <c r="K8" s="3"/>
      <c r="L8" s="4"/>
      <c r="M8" s="3"/>
    </row>
    <row r="9" spans="2:33">
      <c r="C9">
        <f t="shared" si="0"/>
        <v>0</v>
      </c>
      <c r="D9" t="s">
        <v>28</v>
      </c>
      <c r="E9" t="s">
        <v>141</v>
      </c>
      <c r="F9">
        <f>F4</f>
        <v>542.82702116786754</v>
      </c>
      <c r="G9" t="s">
        <v>153</v>
      </c>
      <c r="H9" s="2"/>
      <c r="J9" s="3"/>
      <c r="K9" s="3"/>
      <c r="L9" s="4"/>
      <c r="M9" s="3"/>
    </row>
    <row r="10" spans="2:33">
      <c r="C10">
        <f t="shared" si="0"/>
        <v>0</v>
      </c>
      <c r="D10" t="s">
        <v>29</v>
      </c>
      <c r="E10" t="s">
        <v>149</v>
      </c>
      <c r="F10">
        <f>G4</f>
        <v>2.6901205401487287</v>
      </c>
      <c r="G10" t="s">
        <v>152</v>
      </c>
      <c r="H10" s="2"/>
      <c r="J10" s="3"/>
      <c r="K10" s="3"/>
      <c r="L10" s="4"/>
    </row>
    <row r="11" spans="2:33">
      <c r="C11">
        <f t="shared" si="0"/>
        <v>0</v>
      </c>
      <c r="D11" t="s">
        <v>30</v>
      </c>
      <c r="E11" t="s">
        <v>13</v>
      </c>
      <c r="F11">
        <f>I4</f>
        <v>0.32799999999999996</v>
      </c>
      <c r="H11" s="2"/>
      <c r="I11">
        <f>0.34*L4</f>
        <v>45.202999999999996</v>
      </c>
      <c r="J11" s="3"/>
      <c r="K11" s="3"/>
      <c r="L11" s="4"/>
    </row>
    <row r="12" spans="2:33">
      <c r="C12">
        <f t="shared" si="0"/>
        <v>0</v>
      </c>
      <c r="D12" t="s">
        <v>31</v>
      </c>
      <c r="E12" t="s">
        <v>9</v>
      </c>
      <c r="F12">
        <f>H4</f>
        <v>0.27239473074734277</v>
      </c>
      <c r="G12" t="s">
        <v>150</v>
      </c>
      <c r="H12" s="2"/>
      <c r="J12" s="3"/>
      <c r="K12" s="3"/>
      <c r="L12" s="4"/>
    </row>
    <row r="13" spans="2:33">
      <c r="C13">
        <f t="shared" si="0"/>
        <v>0</v>
      </c>
      <c r="D13" t="s">
        <v>32</v>
      </c>
      <c r="E13" t="s">
        <v>10</v>
      </c>
      <c r="F13">
        <f>M4</f>
        <v>366.77257231382248</v>
      </c>
      <c r="G13" t="s">
        <v>153</v>
      </c>
      <c r="H13" s="2"/>
      <c r="J13" s="3"/>
      <c r="K13" s="3"/>
      <c r="L13" s="4"/>
    </row>
    <row r="14" spans="2:33">
      <c r="C14">
        <f t="shared" si="0"/>
        <v>0</v>
      </c>
      <c r="D14" t="s">
        <v>33</v>
      </c>
      <c r="E14" t="s">
        <v>143</v>
      </c>
      <c r="F14">
        <f>X4</f>
        <v>267.6992861613457</v>
      </c>
      <c r="G14" t="s">
        <v>153</v>
      </c>
      <c r="H14" s="2"/>
    </row>
    <row r="15" spans="2:33">
      <c r="C15">
        <f t="shared" si="0"/>
        <v>0</v>
      </c>
      <c r="D15" t="s">
        <v>34</v>
      </c>
      <c r="E15" t="s">
        <v>151</v>
      </c>
      <c r="F15">
        <f>Z4</f>
        <v>7</v>
      </c>
      <c r="G15" t="s">
        <v>153</v>
      </c>
      <c r="H15" s="2"/>
      <c r="I15">
        <f>20.9323406219482/F8</f>
        <v>0.20889663040356751</v>
      </c>
    </row>
    <row r="16" spans="2:33">
      <c r="C16">
        <f t="shared" si="0"/>
        <v>0</v>
      </c>
      <c r="D16" t="s">
        <v>35</v>
      </c>
      <c r="E16" t="s">
        <v>142</v>
      </c>
      <c r="F16">
        <v>36.06</v>
      </c>
      <c r="G16" t="s">
        <v>154</v>
      </c>
      <c r="K16" t="s">
        <v>316</v>
      </c>
    </row>
    <row r="17" spans="3:16">
      <c r="C17">
        <f t="shared" si="0"/>
        <v>0</v>
      </c>
      <c r="D17" t="s">
        <v>36</v>
      </c>
      <c r="E17" t="s">
        <v>17</v>
      </c>
      <c r="F17">
        <f>O4</f>
        <v>-184.874</v>
      </c>
      <c r="G17" t="s">
        <v>154</v>
      </c>
      <c r="N17" t="s">
        <v>319</v>
      </c>
    </row>
    <row r="18" spans="3:16">
      <c r="C18">
        <f t="shared" si="0"/>
        <v>0</v>
      </c>
      <c r="D18" t="s">
        <v>37</v>
      </c>
      <c r="E18" t="s">
        <v>18</v>
      </c>
      <c r="F18">
        <f>P4</f>
        <v>10.267000000000003</v>
      </c>
      <c r="G18" t="s">
        <v>154</v>
      </c>
      <c r="H18" s="51" t="s">
        <v>399</v>
      </c>
      <c r="K18" t="s">
        <v>313</v>
      </c>
      <c r="N18" t="s">
        <v>320</v>
      </c>
    </row>
    <row r="19" spans="3:16">
      <c r="C19">
        <f t="shared" si="0"/>
        <v>0</v>
      </c>
      <c r="D19" t="s">
        <v>38</v>
      </c>
      <c r="E19" t="s">
        <v>11</v>
      </c>
      <c r="F19" s="7">
        <f>L4</f>
        <v>132.94999999999999</v>
      </c>
      <c r="G19" t="s">
        <v>150</v>
      </c>
      <c r="H19" s="49">
        <f>F8/F19</f>
        <v>0.75369913501316288</v>
      </c>
      <c r="K19" t="s">
        <v>314</v>
      </c>
    </row>
    <row r="20" spans="3:16">
      <c r="C20">
        <f t="shared" si="0"/>
        <v>0</v>
      </c>
      <c r="D20" t="s">
        <v>40</v>
      </c>
      <c r="E20" t="s">
        <v>144</v>
      </c>
      <c r="F20" s="3">
        <f>I20</f>
        <v>7.7699108776410828</v>
      </c>
      <c r="G20" t="s">
        <v>155</v>
      </c>
      <c r="H20" t="s">
        <v>194</v>
      </c>
      <c r="I20">
        <f>SQRT((F16*1000-8.314*298)/F19/4.184)</f>
        <v>7.7699108776410828</v>
      </c>
      <c r="K20" t="s">
        <v>315</v>
      </c>
    </row>
    <row r="21" spans="3:16">
      <c r="C21">
        <f t="shared" si="0"/>
        <v>0</v>
      </c>
      <c r="D21" t="s">
        <v>41</v>
      </c>
      <c r="E21" t="s">
        <v>14</v>
      </c>
      <c r="F21" s="26">
        <f>Y4</f>
        <v>2.4896599999999998</v>
      </c>
      <c r="H21">
        <f>Y4</f>
        <v>2.4896599999999998</v>
      </c>
      <c r="I21" t="s">
        <v>269</v>
      </c>
      <c r="L21" t="s">
        <v>306</v>
      </c>
    </row>
    <row r="22" spans="3:16">
      <c r="C22">
        <f t="shared" si="0"/>
        <v>0</v>
      </c>
      <c r="D22" t="s">
        <v>42</v>
      </c>
      <c r="E22" t="s">
        <v>145</v>
      </c>
      <c r="F22" s="32">
        <v>42.565107909897613</v>
      </c>
      <c r="G22" t="s">
        <v>150</v>
      </c>
      <c r="H22">
        <f>I22*F8</f>
        <v>42.565107909897613</v>
      </c>
      <c r="I22" s="27">
        <f>F22/J4</f>
        <v>0.42478324692550729</v>
      </c>
      <c r="L22" t="s">
        <v>307</v>
      </c>
    </row>
    <row r="23" spans="3:16">
      <c r="C23">
        <f t="shared" si="0"/>
        <v>0</v>
      </c>
      <c r="D23" t="s">
        <v>43</v>
      </c>
      <c r="E23" t="s">
        <v>146</v>
      </c>
      <c r="F23" s="26">
        <v>269.56161915861804</v>
      </c>
      <c r="G23" t="s">
        <v>153</v>
      </c>
      <c r="H23">
        <v>333</v>
      </c>
      <c r="L23" t="s">
        <v>308</v>
      </c>
      <c r="P23" t="s">
        <v>309</v>
      </c>
    </row>
    <row r="24" spans="3:16">
      <c r="C24">
        <f t="shared" si="0"/>
        <v>0</v>
      </c>
      <c r="D24" t="s">
        <v>44</v>
      </c>
      <c r="E24" t="s">
        <v>156</v>
      </c>
      <c r="F24">
        <f>SUMPRODUCT($B4:$B134,'HBgc''s'!D2:D132)</f>
        <v>0</v>
      </c>
      <c r="L24" t="s">
        <v>317</v>
      </c>
    </row>
    <row r="25" spans="3:16">
      <c r="C25">
        <f t="shared" si="0"/>
        <v>0</v>
      </c>
      <c r="D25" t="s">
        <v>45</v>
      </c>
      <c r="E25" t="s">
        <v>157</v>
      </c>
      <c r="F25" s="4">
        <f>H25</f>
        <v>0</v>
      </c>
      <c r="G25" t="s">
        <v>153</v>
      </c>
      <c r="H25">
        <f>SUMPRODUCT($B4:$B134,'HBgc''s'!C2:C132)/(F24+0.00000000001)*1000/1.987</f>
        <v>0</v>
      </c>
      <c r="L25" t="s">
        <v>318</v>
      </c>
    </row>
    <row r="26" spans="3:16">
      <c r="C26">
        <f t="shared" si="0"/>
        <v>0</v>
      </c>
      <c r="D26" t="s">
        <v>46</v>
      </c>
      <c r="E26" t="s">
        <v>253</v>
      </c>
      <c r="F26">
        <f>0.025/F21*F22/F19*(EXP(F25/298)-1)/(1-1.9*F22/F19)</f>
        <v>0</v>
      </c>
      <c r="L26" t="s">
        <v>310</v>
      </c>
    </row>
    <row r="27" spans="3:16">
      <c r="C27">
        <f t="shared" si="0"/>
        <v>0</v>
      </c>
      <c r="D27" t="s">
        <v>47</v>
      </c>
      <c r="E27" t="s">
        <v>252</v>
      </c>
      <c r="F27">
        <f>2*F24*SQRT(F26)/(1+SQRT(1+4*F24*F26))</f>
        <v>0</v>
      </c>
      <c r="L27" t="s">
        <v>304</v>
      </c>
    </row>
    <row r="28" spans="3:16">
      <c r="C28">
        <f t="shared" si="0"/>
        <v>0</v>
      </c>
      <c r="D28" t="s">
        <v>48</v>
      </c>
      <c r="E28" t="s">
        <v>215</v>
      </c>
      <c r="F28" s="29">
        <v>371.58</v>
      </c>
      <c r="G28" t="s">
        <v>153</v>
      </c>
      <c r="L28" t="s">
        <v>305</v>
      </c>
    </row>
    <row r="29" spans="3:16">
      <c r="C29">
        <f t="shared" si="0"/>
        <v>0</v>
      </c>
      <c r="D29" t="s">
        <v>49</v>
      </c>
      <c r="E29" t="s">
        <v>216</v>
      </c>
      <c r="F29" s="31">
        <v>1.01325</v>
      </c>
      <c r="G29" t="s">
        <v>152</v>
      </c>
      <c r="H29">
        <f>10/750</f>
        <v>1.3333333333333334E-2</v>
      </c>
      <c r="I29" t="s">
        <v>219</v>
      </c>
      <c r="L29" t="s">
        <v>311</v>
      </c>
    </row>
    <row r="30" spans="3:16">
      <c r="C30">
        <f t="shared" si="0"/>
        <v>0</v>
      </c>
      <c r="D30" t="s">
        <v>50</v>
      </c>
      <c r="E30" t="s">
        <v>217</v>
      </c>
      <c r="F30" s="27">
        <v>0.27591732233500815</v>
      </c>
      <c r="H30">
        <f>F22/F19</f>
        <v>0.32015876577583763</v>
      </c>
      <c r="I30" t="s">
        <v>258</v>
      </c>
    </row>
    <row r="31" spans="3:16">
      <c r="C31">
        <f t="shared" si="0"/>
        <v>0</v>
      </c>
      <c r="D31" t="s">
        <v>51</v>
      </c>
      <c r="E31" t="s">
        <v>218</v>
      </c>
      <c r="F31" s="1">
        <f>(-1+SQRT(1+4*F29*F22/(83.14*F28)*(I46+I47)))/2/(I46+I47)</f>
        <v>1.4661490787444642E-3</v>
      </c>
      <c r="G31" s="1">
        <f>F30*EXP(F43-F44)</f>
        <v>1.4661490778824404E-3</v>
      </c>
    </row>
    <row r="32" spans="3:16">
      <c r="C32">
        <f t="shared" si="0"/>
        <v>0</v>
      </c>
      <c r="D32" t="s">
        <v>52</v>
      </c>
      <c r="E32" t="s">
        <v>256</v>
      </c>
      <c r="F32">
        <f>0.025/F21*F30*(EXP(F25/F28)-1)/(1-1.9*F30)</f>
        <v>0</v>
      </c>
    </row>
    <row r="33" spans="3:12">
      <c r="C33">
        <f t="shared" si="0"/>
        <v>0</v>
      </c>
      <c r="D33" t="s">
        <v>53</v>
      </c>
      <c r="E33" t="s">
        <v>257</v>
      </c>
      <c r="F33">
        <f>2*F$24*SQRT(F32)/(1+SQRT(1+4*F$24*F32))</f>
        <v>0</v>
      </c>
    </row>
    <row r="34" spans="3:12">
      <c r="C34">
        <f t="shared" si="0"/>
        <v>0</v>
      </c>
      <c r="D34" t="s">
        <v>54</v>
      </c>
      <c r="E34" t="s">
        <v>254</v>
      </c>
      <c r="F34">
        <f>0.025/F21*F31*(EXP(F25/F28)-1)/(1-1.9*F31)</f>
        <v>0</v>
      </c>
      <c r="H34">
        <f>2*LN(1-F27^2)+F27^2</f>
        <v>0</v>
      </c>
    </row>
    <row r="35" spans="3:12">
      <c r="C35">
        <f t="shared" si="0"/>
        <v>0</v>
      </c>
      <c r="D35" t="s">
        <v>55</v>
      </c>
      <c r="E35" t="s">
        <v>255</v>
      </c>
      <c r="F35">
        <f>2*F$24*SQRT(F34)/(1+SQRT(1+4*F$24*F34))</f>
        <v>0</v>
      </c>
    </row>
    <row r="36" spans="3:12">
      <c r="C36">
        <f t="shared" si="0"/>
        <v>0</v>
      </c>
      <c r="D36" t="s">
        <v>56</v>
      </c>
      <c r="E36" t="s">
        <v>247</v>
      </c>
      <c r="F36">
        <f>F29*F19/(83.1434*F28)</f>
        <v>4.3603850651450799E-3</v>
      </c>
      <c r="H36" s="52" t="s">
        <v>400</v>
      </c>
    </row>
    <row r="37" spans="3:12">
      <c r="C37">
        <f t="shared" si="0"/>
        <v>0</v>
      </c>
      <c r="D37" t="s">
        <v>57</v>
      </c>
      <c r="E37" t="s">
        <v>148</v>
      </c>
    </row>
    <row r="38" spans="3:12">
      <c r="C38">
        <f t="shared" si="0"/>
        <v>0</v>
      </c>
      <c r="D38" t="s">
        <v>58</v>
      </c>
      <c r="E38" t="s">
        <v>220</v>
      </c>
      <c r="F38">
        <f>1+4*F21*F22/F19/(1-1.9*F22/F19)-9.5*(1+1.90476*(F21-1))*F22/F19*(EXP(F23/298)-1.0617)/(1+1.7745*F22/F19*(EXP(F23/298)-1.0617))-F27^2/(1-1.9*F22/F19)</f>
        <v>5.3659211537002705E-3</v>
      </c>
      <c r="G38">
        <f>0.1*F19/8.31434/298</f>
        <v>5.3659212829558984E-3</v>
      </c>
      <c r="H38" t="s">
        <v>273</v>
      </c>
    </row>
    <row r="39" spans="3:12">
      <c r="C39">
        <f t="shared" si="0"/>
        <v>0</v>
      </c>
      <c r="D39" t="s">
        <v>59</v>
      </c>
      <c r="E39" t="s">
        <v>147</v>
      </c>
      <c r="F39">
        <f>9.5*(1+1.90476*(F21-1))*F22/F19*EXP(F23/298)/(1+1.7745*(EXP(F23/298)-1.0617)*F22/F19)+F25/F23*F27*SQRT(F26)*EXP(F25/298)/(EXP(F25/298)-1+0.00000000001)*(F24+F27*F27)/(1+2*F27*SQRT(F26))-F20^2*F19/1.987/F23</f>
        <v>1.0312647111914703</v>
      </c>
      <c r="H39">
        <f>F20^2*F19*4.184</f>
        <v>33582.428</v>
      </c>
    </row>
    <row r="40" spans="3:12">
      <c r="C40">
        <f t="shared" si="0"/>
        <v>0</v>
      </c>
      <c r="D40" t="s">
        <v>60</v>
      </c>
      <c r="E40" t="s">
        <v>248</v>
      </c>
      <c r="F40" s="13">
        <f>1+4*F30*F21/(1-1.9*F30)-9.5*(1+1.90476*(F21-1))*F30*(EXP(F23/F28)-1.0617)/(1+1.7745*F30*(EXP(F23/F28)-1.0617))-F33^2/(1-1.9*F30)</f>
        <v>5.0595421290324794E-3</v>
      </c>
      <c r="G40" s="13">
        <f>F29*F22/(F30*83.1434*F28)</f>
        <v>5.0595427969152883E-3</v>
      </c>
      <c r="L40">
        <f>-F33^2/(1-1.9*F30)</f>
        <v>0</v>
      </c>
    </row>
    <row r="41" spans="3:12">
      <c r="C41">
        <f t="shared" si="0"/>
        <v>0</v>
      </c>
      <c r="D41" t="s">
        <v>61</v>
      </c>
      <c r="E41" t="s">
        <v>249</v>
      </c>
      <c r="F41" s="13">
        <f>1+4*F31*F21/(1-1.9*F31)-9.5*(1+1.90476*(F21-1))*F31*(EXP(F23/F28)-1.0617)/(1+1.7745*F31*(EXP(F23/F28)-1.0617))-F35^2/(1-1.9*F31)</f>
        <v>0.9611205459179476</v>
      </c>
      <c r="G41" s="1">
        <f>F29*F22/(F31*8.314*F28*10)</f>
        <v>0.95220370894392614</v>
      </c>
    </row>
    <row r="42" spans="3:12">
      <c r="C42">
        <f t="shared" si="0"/>
        <v>0</v>
      </c>
      <c r="D42" t="s">
        <v>62</v>
      </c>
      <c r="E42" t="s">
        <v>300</v>
      </c>
      <c r="F42" s="14">
        <f>F43-LN(G40)</f>
        <v>-2.8831977013187959E-2</v>
      </c>
      <c r="G42" s="1"/>
      <c r="H42" t="s">
        <v>302</v>
      </c>
      <c r="K42" s="1"/>
    </row>
    <row r="43" spans="3:12">
      <c r="C43">
        <f t="shared" si="0"/>
        <v>0</v>
      </c>
      <c r="D43" t="s">
        <v>63</v>
      </c>
      <c r="E43" t="s">
        <v>245</v>
      </c>
      <c r="F43">
        <f>-4*F21/1.9*LN(1-1.9*F30)-9.5/1.7745*(1+1.90476*(F21-1))*LN(1+1.7745*(EXP(F23/F28)-1.0617)*F30)+F33*SQRT(F32)/(1+F33*SQRT(F32))-2*LN(1+F33*SQRT(F32))+F40-1</f>
        <v>-5.3153111331191827</v>
      </c>
      <c r="H43" t="s">
        <v>271</v>
      </c>
    </row>
    <row r="44" spans="3:12">
      <c r="C44">
        <f t="shared" si="0"/>
        <v>0</v>
      </c>
      <c r="D44" t="s">
        <v>64</v>
      </c>
      <c r="E44" t="s">
        <v>246</v>
      </c>
      <c r="F44" s="1">
        <f>-4*F21/1.9*LN(1-1.9*F31)-9.5/1.7745*(1+1.90476*(F21-1))*LN(1+1.7745*(EXP(F23/F28)-1.0617)*F31)+F35*SQRT(F34)/(1+F35*SQRT(F34))-2*LN(1+F35*SQRT(F34))+F41-1</f>
        <v>-7.7849157563283478E-2</v>
      </c>
      <c r="H44" t="s">
        <v>272</v>
      </c>
    </row>
    <row r="45" spans="3:12">
      <c r="C45">
        <f t="shared" si="0"/>
        <v>0</v>
      </c>
      <c r="D45" t="s">
        <v>65</v>
      </c>
      <c r="E45" t="s">
        <v>301</v>
      </c>
      <c r="F45" s="1">
        <f>G45</f>
        <v>-3.8193717684696323E-2</v>
      </c>
      <c r="G45" s="1">
        <f>F44-LN(F41)</f>
        <v>-3.8193717684696323E-2</v>
      </c>
      <c r="H45" t="s">
        <v>299</v>
      </c>
    </row>
    <row r="46" spans="3:12">
      <c r="C46">
        <f t="shared" si="0"/>
        <v>0</v>
      </c>
      <c r="D46" t="s">
        <v>66</v>
      </c>
      <c r="E46" t="s">
        <v>262</v>
      </c>
      <c r="F46">
        <f>F40*F30*83.1434*F28/F22</f>
        <v>1.0132498662463618</v>
      </c>
      <c r="H46" t="s">
        <v>324</v>
      </c>
      <c r="I46">
        <f>4-9.5*(1+1.90476*(F21-1))*(EXP(F23/F28)-1.0617)</f>
        <v>-32.599884792755532</v>
      </c>
      <c r="J46" t="s">
        <v>303</v>
      </c>
      <c r="K46" s="1">
        <f>1+(I46+I47)*F31</f>
        <v>0.95220370894392581</v>
      </c>
    </row>
    <row r="47" spans="3:12">
      <c r="C47">
        <f t="shared" si="0"/>
        <v>0</v>
      </c>
      <c r="D47" t="s">
        <v>67</v>
      </c>
      <c r="E47" t="s">
        <v>231</v>
      </c>
      <c r="F47">
        <f>F22/F19</f>
        <v>0.32015876577583763</v>
      </c>
      <c r="H47" t="s">
        <v>312</v>
      </c>
      <c r="I47">
        <f>-4*F24^2*0.025*F21*(EXP(F25/F28)-1)</f>
        <v>0</v>
      </c>
    </row>
    <row r="48" spans="3:12">
      <c r="C48">
        <f t="shared" si="0"/>
        <v>0</v>
      </c>
      <c r="D48" t="s">
        <v>68</v>
      </c>
      <c r="E48" t="s">
        <v>265</v>
      </c>
      <c r="F48">
        <f>EXP(F23/298)-1.0617</f>
        <v>1.4091672238906043</v>
      </c>
      <c r="H48" t="s">
        <v>323</v>
      </c>
      <c r="I48" s="1">
        <f>2*(I46+I47)*F31-LN(K46)</f>
        <v>-4.6616295014040743E-2</v>
      </c>
    </row>
    <row r="49" spans="3:11">
      <c r="C49">
        <f t="shared" si="0"/>
        <v>0</v>
      </c>
      <c r="D49" t="s">
        <v>69</v>
      </c>
      <c r="E49" t="s">
        <v>267</v>
      </c>
      <c r="F49">
        <f>9.5*(1+1.90476*(F21-1))*F22/F19*EXP(F23/298)/(1+1.7745*(EXP(F23/298)-1.0617)*F22/F19)+F25/F23*F27*SQRT(F26)*EXP(F25/298)/(EXP(F25/298)-1+0.00000000001)*(F24+F27*F27)/(1+2*F27*SQRT(F26))</f>
        <v>16.016531972964085</v>
      </c>
      <c r="H49" t="s">
        <v>326</v>
      </c>
    </row>
    <row r="50" spans="3:11">
      <c r="C50">
        <f t="shared" si="0"/>
        <v>0</v>
      </c>
      <c r="D50" t="s">
        <v>70</v>
      </c>
      <c r="E50" s="57" t="s">
        <v>2890</v>
      </c>
      <c r="F50" s="1">
        <f>F43-F44-LN(F31/F30)</f>
        <v>-5.879510212025707E-10</v>
      </c>
      <c r="H50" t="s">
        <v>321</v>
      </c>
    </row>
    <row r="51" spans="3:11">
      <c r="C51">
        <f t="shared" si="0"/>
        <v>0</v>
      </c>
      <c r="D51" t="s">
        <v>71</v>
      </c>
      <c r="H51">
        <f>(-1+SQRT(1+4*F29*F22/(83.14*F28)*(I46+I47)))/2/(I46+I47)</f>
        <v>1.4661490787444642E-3</v>
      </c>
      <c r="I51" t="s">
        <v>322</v>
      </c>
      <c r="J51">
        <f>F29/10*F22/(8.314*F28)</f>
        <v>1.3960725906451994E-3</v>
      </c>
    </row>
    <row r="52" spans="3:11">
      <c r="C52">
        <f t="shared" si="0"/>
        <v>0</v>
      </c>
      <c r="D52" t="s">
        <v>72</v>
      </c>
      <c r="H52">
        <f>1+4*F29*F22/(83.14*F28)*(I46+I47)</f>
        <v>0.81795277753057105</v>
      </c>
    </row>
    <row r="53" spans="3:11">
      <c r="C53">
        <f t="shared" si="0"/>
        <v>0</v>
      </c>
      <c r="D53" t="s">
        <v>73</v>
      </c>
      <c r="K53" t="s">
        <v>325</v>
      </c>
    </row>
    <row r="54" spans="3:11">
      <c r="C54">
        <f t="shared" si="0"/>
        <v>0</v>
      </c>
      <c r="D54" t="s">
        <v>74</v>
      </c>
    </row>
    <row r="55" spans="3:11">
      <c r="C55">
        <f t="shared" si="0"/>
        <v>0</v>
      </c>
      <c r="D55" t="s">
        <v>75</v>
      </c>
      <c r="F55" s="1"/>
    </row>
    <row r="56" spans="3:11">
      <c r="C56">
        <f t="shared" si="0"/>
        <v>0</v>
      </c>
      <c r="D56" t="s">
        <v>76</v>
      </c>
    </row>
    <row r="57" spans="3:11">
      <c r="C57">
        <f t="shared" si="0"/>
        <v>0</v>
      </c>
      <c r="D57" t="s">
        <v>77</v>
      </c>
    </row>
    <row r="58" spans="3:11">
      <c r="C58">
        <f t="shared" si="0"/>
        <v>0</v>
      </c>
      <c r="D58" t="s">
        <v>78</v>
      </c>
    </row>
    <row r="59" spans="3:11">
      <c r="C59">
        <f t="shared" si="0"/>
        <v>0</v>
      </c>
      <c r="D59" t="s">
        <v>79</v>
      </c>
    </row>
    <row r="60" spans="3:11">
      <c r="C60">
        <f t="shared" si="0"/>
        <v>0</v>
      </c>
      <c r="D60" t="s">
        <v>80</v>
      </c>
    </row>
    <row r="61" spans="3:11">
      <c r="C61">
        <f t="shared" si="0"/>
        <v>0</v>
      </c>
      <c r="D61" t="s">
        <v>81</v>
      </c>
    </row>
    <row r="62" spans="3:11">
      <c r="C62">
        <f t="shared" si="0"/>
        <v>0</v>
      </c>
      <c r="D62" t="s">
        <v>82</v>
      </c>
    </row>
    <row r="63" spans="3:11">
      <c r="C63">
        <f t="shared" si="0"/>
        <v>0</v>
      </c>
      <c r="D63" t="s">
        <v>83</v>
      </c>
    </row>
    <row r="64" spans="3:11">
      <c r="C64">
        <f t="shared" si="0"/>
        <v>0</v>
      </c>
      <c r="D64" t="s">
        <v>84</v>
      </c>
    </row>
    <row r="65" spans="3:4">
      <c r="C65">
        <f t="shared" si="0"/>
        <v>0</v>
      </c>
      <c r="D65" t="s">
        <v>85</v>
      </c>
    </row>
    <row r="66" spans="3:4">
      <c r="C66">
        <f t="shared" si="0"/>
        <v>0</v>
      </c>
      <c r="D66" t="s">
        <v>86</v>
      </c>
    </row>
    <row r="67" spans="3:4">
      <c r="C67">
        <f t="shared" si="0"/>
        <v>0</v>
      </c>
      <c r="D67" t="s">
        <v>87</v>
      </c>
    </row>
    <row r="68" spans="3:4">
      <c r="C68">
        <f t="shared" si="0"/>
        <v>0</v>
      </c>
      <c r="D68" t="s">
        <v>88</v>
      </c>
    </row>
    <row r="69" spans="3:4">
      <c r="C69">
        <f t="shared" ref="C69:C132" si="1">$C$3*B69</f>
        <v>0</v>
      </c>
      <c r="D69" t="s">
        <v>89</v>
      </c>
    </row>
    <row r="70" spans="3:4">
      <c r="C70">
        <f t="shared" si="1"/>
        <v>0</v>
      </c>
      <c r="D70" t="s">
        <v>90</v>
      </c>
    </row>
    <row r="71" spans="3:4">
      <c r="C71">
        <f t="shared" si="1"/>
        <v>0</v>
      </c>
      <c r="D71" t="s">
        <v>91</v>
      </c>
    </row>
    <row r="72" spans="3:4">
      <c r="C72">
        <f t="shared" si="1"/>
        <v>0</v>
      </c>
      <c r="D72" t="s">
        <v>92</v>
      </c>
    </row>
    <row r="73" spans="3:4">
      <c r="C73">
        <f t="shared" si="1"/>
        <v>0</v>
      </c>
      <c r="D73" t="s">
        <v>93</v>
      </c>
    </row>
    <row r="74" spans="3:4">
      <c r="C74">
        <f t="shared" si="1"/>
        <v>0</v>
      </c>
      <c r="D74" t="s">
        <v>94</v>
      </c>
    </row>
    <row r="75" spans="3:4">
      <c r="C75">
        <f t="shared" si="1"/>
        <v>0</v>
      </c>
      <c r="D75" t="s">
        <v>95</v>
      </c>
    </row>
    <row r="76" spans="3:4">
      <c r="C76">
        <f t="shared" si="1"/>
        <v>0</v>
      </c>
      <c r="D76" t="s">
        <v>96</v>
      </c>
    </row>
    <row r="77" spans="3:4">
      <c r="C77">
        <f t="shared" si="1"/>
        <v>0</v>
      </c>
      <c r="D77" t="s">
        <v>97</v>
      </c>
    </row>
    <row r="78" spans="3:4">
      <c r="C78">
        <f t="shared" si="1"/>
        <v>0</v>
      </c>
      <c r="D78" t="s">
        <v>98</v>
      </c>
    </row>
    <row r="79" spans="3:4">
      <c r="C79">
        <f t="shared" si="1"/>
        <v>0</v>
      </c>
      <c r="D79" t="s">
        <v>99</v>
      </c>
    </row>
    <row r="80" spans="3:4">
      <c r="C80">
        <f t="shared" si="1"/>
        <v>0</v>
      </c>
      <c r="D80" t="s">
        <v>100</v>
      </c>
    </row>
    <row r="81" spans="3:4">
      <c r="C81">
        <f t="shared" si="1"/>
        <v>0</v>
      </c>
      <c r="D81" t="s">
        <v>101</v>
      </c>
    </row>
    <row r="82" spans="3:4">
      <c r="C82">
        <f t="shared" si="1"/>
        <v>0</v>
      </c>
      <c r="D82" t="s">
        <v>102</v>
      </c>
    </row>
    <row r="83" spans="3:4">
      <c r="C83">
        <f t="shared" si="1"/>
        <v>0</v>
      </c>
      <c r="D83" t="s">
        <v>103</v>
      </c>
    </row>
    <row r="84" spans="3:4">
      <c r="C84">
        <f t="shared" si="1"/>
        <v>0</v>
      </c>
      <c r="D84" t="s">
        <v>104</v>
      </c>
    </row>
    <row r="85" spans="3:4">
      <c r="C85">
        <f t="shared" si="1"/>
        <v>0</v>
      </c>
      <c r="D85" t="s">
        <v>105</v>
      </c>
    </row>
    <row r="86" spans="3:4">
      <c r="C86">
        <f t="shared" si="1"/>
        <v>0</v>
      </c>
      <c r="D86" t="s">
        <v>106</v>
      </c>
    </row>
    <row r="87" spans="3:4">
      <c r="C87">
        <f t="shared" si="1"/>
        <v>0</v>
      </c>
      <c r="D87" t="s">
        <v>107</v>
      </c>
    </row>
    <row r="88" spans="3:4">
      <c r="C88">
        <f t="shared" si="1"/>
        <v>0</v>
      </c>
      <c r="D88" t="s">
        <v>108</v>
      </c>
    </row>
    <row r="89" spans="3:4">
      <c r="C89">
        <f t="shared" si="1"/>
        <v>0</v>
      </c>
      <c r="D89" t="s">
        <v>109</v>
      </c>
    </row>
    <row r="90" spans="3:4">
      <c r="C90">
        <f t="shared" si="1"/>
        <v>0</v>
      </c>
      <c r="D90" t="s">
        <v>110</v>
      </c>
    </row>
    <row r="91" spans="3:4">
      <c r="C91">
        <f t="shared" si="1"/>
        <v>0</v>
      </c>
      <c r="D91" t="s">
        <v>111</v>
      </c>
    </row>
    <row r="92" spans="3:4">
      <c r="C92">
        <f t="shared" si="1"/>
        <v>0</v>
      </c>
      <c r="D92" t="s">
        <v>112</v>
      </c>
    </row>
    <row r="93" spans="3:4">
      <c r="C93">
        <f t="shared" si="1"/>
        <v>0</v>
      </c>
      <c r="D93" t="s">
        <v>113</v>
      </c>
    </row>
    <row r="94" spans="3:4">
      <c r="C94">
        <f t="shared" si="1"/>
        <v>0</v>
      </c>
      <c r="D94" t="s">
        <v>114</v>
      </c>
    </row>
    <row r="95" spans="3:4">
      <c r="C95">
        <f t="shared" si="1"/>
        <v>0</v>
      </c>
      <c r="D95" t="s">
        <v>115</v>
      </c>
    </row>
    <row r="96" spans="3:4">
      <c r="C96">
        <f t="shared" si="1"/>
        <v>0</v>
      </c>
      <c r="D96" t="s">
        <v>116</v>
      </c>
    </row>
    <row r="97" spans="3:4">
      <c r="C97">
        <f t="shared" si="1"/>
        <v>0</v>
      </c>
      <c r="D97" t="s">
        <v>117</v>
      </c>
    </row>
    <row r="98" spans="3:4">
      <c r="C98">
        <f t="shared" si="1"/>
        <v>0</v>
      </c>
      <c r="D98" t="s">
        <v>118</v>
      </c>
    </row>
    <row r="99" spans="3:4">
      <c r="C99">
        <f t="shared" si="1"/>
        <v>0</v>
      </c>
      <c r="D99" t="s">
        <v>119</v>
      </c>
    </row>
    <row r="100" spans="3:4">
      <c r="C100">
        <f t="shared" si="1"/>
        <v>0</v>
      </c>
      <c r="D100" t="s">
        <v>120</v>
      </c>
    </row>
    <row r="101" spans="3:4">
      <c r="C101">
        <f t="shared" si="1"/>
        <v>0</v>
      </c>
      <c r="D101" t="s">
        <v>121</v>
      </c>
    </row>
    <row r="102" spans="3:4">
      <c r="C102">
        <f t="shared" si="1"/>
        <v>0</v>
      </c>
      <c r="D102" t="s">
        <v>122</v>
      </c>
    </row>
    <row r="103" spans="3:4">
      <c r="C103">
        <f t="shared" si="1"/>
        <v>0</v>
      </c>
      <c r="D103" t="s">
        <v>123</v>
      </c>
    </row>
    <row r="104" spans="3:4">
      <c r="C104">
        <f t="shared" si="1"/>
        <v>0</v>
      </c>
      <c r="D104" t="s">
        <v>124</v>
      </c>
    </row>
    <row r="105" spans="3:4">
      <c r="C105">
        <f t="shared" si="1"/>
        <v>0</v>
      </c>
      <c r="D105" t="s">
        <v>125</v>
      </c>
    </row>
    <row r="106" spans="3:4">
      <c r="C106">
        <f t="shared" si="1"/>
        <v>0</v>
      </c>
      <c r="D106" t="s">
        <v>126</v>
      </c>
    </row>
    <row r="107" spans="3:4">
      <c r="C107">
        <f t="shared" si="1"/>
        <v>0</v>
      </c>
      <c r="D107" t="s">
        <v>127</v>
      </c>
    </row>
    <row r="108" spans="3:4">
      <c r="C108">
        <f t="shared" si="1"/>
        <v>0</v>
      </c>
      <c r="D108" t="s">
        <v>128</v>
      </c>
    </row>
    <row r="109" spans="3:4">
      <c r="C109">
        <f t="shared" si="1"/>
        <v>0</v>
      </c>
      <c r="D109" t="s">
        <v>129</v>
      </c>
    </row>
    <row r="110" spans="3:4">
      <c r="C110">
        <f t="shared" si="1"/>
        <v>0</v>
      </c>
      <c r="D110" t="s">
        <v>130</v>
      </c>
    </row>
    <row r="111" spans="3:4">
      <c r="C111">
        <f t="shared" si="1"/>
        <v>0</v>
      </c>
      <c r="D111" t="s">
        <v>131</v>
      </c>
    </row>
    <row r="112" spans="3:4">
      <c r="C112">
        <f t="shared" si="1"/>
        <v>0</v>
      </c>
      <c r="D112" t="s">
        <v>132</v>
      </c>
    </row>
    <row r="113" spans="3:4">
      <c r="C113">
        <f t="shared" si="1"/>
        <v>0</v>
      </c>
      <c r="D113" t="s">
        <v>134</v>
      </c>
    </row>
    <row r="114" spans="3:4">
      <c r="C114">
        <f t="shared" si="1"/>
        <v>0</v>
      </c>
      <c r="D114" t="s">
        <v>136</v>
      </c>
    </row>
    <row r="115" spans="3:4">
      <c r="C115">
        <f t="shared" si="1"/>
        <v>0</v>
      </c>
      <c r="D115" t="s">
        <v>138</v>
      </c>
    </row>
    <row r="116" spans="3:4">
      <c r="C116">
        <f t="shared" si="1"/>
        <v>0</v>
      </c>
      <c r="D116" t="s">
        <v>140</v>
      </c>
    </row>
    <row r="117" spans="3:4">
      <c r="C117">
        <f t="shared" si="1"/>
        <v>0</v>
      </c>
      <c r="D117" t="s">
        <v>330</v>
      </c>
    </row>
    <row r="118" spans="3:4">
      <c r="C118">
        <f t="shared" si="1"/>
        <v>0</v>
      </c>
      <c r="D118" t="s">
        <v>39</v>
      </c>
    </row>
    <row r="119" spans="3:4">
      <c r="C119">
        <f t="shared" si="1"/>
        <v>0</v>
      </c>
      <c r="D119" t="s">
        <v>39</v>
      </c>
    </row>
    <row r="120" spans="3:4">
      <c r="C120">
        <f t="shared" si="1"/>
        <v>0</v>
      </c>
      <c r="D120" t="s">
        <v>39</v>
      </c>
    </row>
    <row r="121" spans="3:4">
      <c r="C121">
        <f t="shared" si="1"/>
        <v>0</v>
      </c>
      <c r="D121" t="s">
        <v>39</v>
      </c>
    </row>
    <row r="122" spans="3:4">
      <c r="C122">
        <f t="shared" si="1"/>
        <v>0</v>
      </c>
      <c r="D122" t="s">
        <v>39</v>
      </c>
    </row>
    <row r="123" spans="3:4">
      <c r="C123">
        <f t="shared" si="1"/>
        <v>0</v>
      </c>
      <c r="D123" t="s">
        <v>39</v>
      </c>
    </row>
    <row r="124" spans="3:4">
      <c r="C124">
        <f t="shared" si="1"/>
        <v>0</v>
      </c>
      <c r="D124" t="s">
        <v>39</v>
      </c>
    </row>
    <row r="125" spans="3:4">
      <c r="C125">
        <f t="shared" si="1"/>
        <v>0</v>
      </c>
      <c r="D125" t="s">
        <v>39</v>
      </c>
    </row>
    <row r="126" spans="3:4">
      <c r="C126">
        <f t="shared" si="1"/>
        <v>0</v>
      </c>
      <c r="D126" t="s">
        <v>39</v>
      </c>
    </row>
    <row r="127" spans="3:4">
      <c r="C127">
        <f t="shared" si="1"/>
        <v>0</v>
      </c>
      <c r="D127" t="s">
        <v>39</v>
      </c>
    </row>
    <row r="128" spans="3:4">
      <c r="C128">
        <f t="shared" si="1"/>
        <v>0</v>
      </c>
      <c r="D128" t="s">
        <v>39</v>
      </c>
    </row>
    <row r="129" spans="3:4">
      <c r="C129">
        <f t="shared" si="1"/>
        <v>0</v>
      </c>
      <c r="D129" t="s">
        <v>39</v>
      </c>
    </row>
    <row r="130" spans="3:4">
      <c r="C130">
        <f t="shared" si="1"/>
        <v>0</v>
      </c>
      <c r="D130" t="s">
        <v>39</v>
      </c>
    </row>
    <row r="131" spans="3:4">
      <c r="C131">
        <f t="shared" si="1"/>
        <v>0</v>
      </c>
      <c r="D131" t="s">
        <v>39</v>
      </c>
    </row>
    <row r="132" spans="3:4">
      <c r="C132">
        <f t="shared" si="1"/>
        <v>0</v>
      </c>
      <c r="D132" t="s">
        <v>39</v>
      </c>
    </row>
    <row r="133" spans="3:4">
      <c r="C133">
        <f>$C$3*B133</f>
        <v>0</v>
      </c>
      <c r="D133" t="s">
        <v>39</v>
      </c>
    </row>
    <row r="134" spans="3:4">
      <c r="C134">
        <f>$C$3*B134</f>
        <v>0</v>
      </c>
      <c r="D134" t="s">
        <v>39</v>
      </c>
    </row>
    <row r="135" spans="3:4">
      <c r="C135">
        <f>$C$3*B135</f>
        <v>0</v>
      </c>
      <c r="D135">
        <f>132-26-18</f>
        <v>88</v>
      </c>
    </row>
  </sheetData>
  <phoneticPr fontId="8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zoomScale="75" workbookViewId="0">
      <selection activeCell="B5" sqref="B5:E5"/>
    </sheetView>
  </sheetViews>
  <sheetFormatPr defaultColWidth="12" defaultRowHeight="15.5"/>
  <cols>
    <col min="1" max="1" width="12" style="8"/>
    <col min="2" max="2" width="18.796875" style="8" customWidth="1"/>
    <col min="3" max="4" width="12.796875" style="8" bestFit="1" customWidth="1"/>
    <col min="5" max="10" width="12" style="8"/>
    <col min="11" max="11" width="14.8984375" style="8" bestFit="1" customWidth="1"/>
    <col min="12" max="12" width="16.796875" style="8" bestFit="1" customWidth="1"/>
    <col min="13" max="13" width="14.8984375" style="8" bestFit="1" customWidth="1"/>
    <col min="14" max="16384" width="12" style="8"/>
  </cols>
  <sheetData>
    <row r="1" spans="1:16">
      <c r="B1" s="8" t="s">
        <v>221</v>
      </c>
    </row>
    <row r="2" spans="1:16">
      <c r="A2" s="8" t="s">
        <v>395</v>
      </c>
      <c r="B2" s="8" t="s">
        <v>184</v>
      </c>
      <c r="C2" s="16" t="s">
        <v>222</v>
      </c>
      <c r="D2" s="16" t="s">
        <v>223</v>
      </c>
      <c r="E2" s="16" t="s">
        <v>13</v>
      </c>
      <c r="F2" s="16" t="s">
        <v>183</v>
      </c>
      <c r="G2" s="19" t="s">
        <v>274</v>
      </c>
      <c r="O2" s="16"/>
      <c r="P2" s="16"/>
    </row>
    <row r="3" spans="1:16">
      <c r="A3" s="67">
        <v>1316</v>
      </c>
      <c r="B3" s="8" t="str">
        <f>VLOOKUP(A3,ParmsCrit!$A$2:$Q$1360,16,FALSE)</f>
        <v>C6H12O2</v>
      </c>
      <c r="C3" s="16">
        <f>VLOOKUP($A3,ParmsCrit!$A$2:$Q$1360,2,FALSE)</f>
        <v>560.79999999999995</v>
      </c>
      <c r="D3" s="16">
        <f>VLOOKUP($A3,ParmsCrit!$A$2:$Q$1360,3,FALSE)</f>
        <v>3.01</v>
      </c>
      <c r="E3" s="16">
        <f>VLOOKUP($A3,ParmsCrit!$A$2:$Q$1360,5,FALSE)</f>
        <v>0.434</v>
      </c>
      <c r="F3" s="16">
        <f>VLOOKUP($A3,ParmsCrit!$A$2:$Q$1360,4,FALSE)</f>
        <v>0.27860000000000001</v>
      </c>
      <c r="O3" s="16"/>
      <c r="P3" s="17"/>
    </row>
    <row r="4" spans="1:16">
      <c r="B4" s="16" t="s">
        <v>224</v>
      </c>
      <c r="C4" s="16" t="s">
        <v>225</v>
      </c>
      <c r="D4" s="16" t="s">
        <v>226</v>
      </c>
      <c r="E4" s="16" t="s">
        <v>227</v>
      </c>
      <c r="F4" s="16" t="s">
        <v>189</v>
      </c>
      <c r="G4" s="16" t="s">
        <v>190</v>
      </c>
      <c r="H4" s="16" t="s">
        <v>228</v>
      </c>
      <c r="I4" s="16" t="s">
        <v>192</v>
      </c>
      <c r="J4" s="16" t="s">
        <v>193</v>
      </c>
      <c r="K4" s="16" t="s">
        <v>3045</v>
      </c>
      <c r="L4" s="16" t="s">
        <v>3046</v>
      </c>
      <c r="M4" s="16" t="s">
        <v>3047</v>
      </c>
      <c r="N4" s="8" t="s">
        <v>3048</v>
      </c>
      <c r="O4" s="16"/>
      <c r="P4" s="16"/>
    </row>
    <row r="5" spans="1:16">
      <c r="B5" s="17">
        <f>1+3.53*E3+0.533*E3*E3</f>
        <v>2.6324137480000003</v>
      </c>
      <c r="C5" s="17">
        <f>1+1.90476*(B5-1)</f>
        <v>4.1093564106404807</v>
      </c>
      <c r="D5" s="18">
        <f>Tc*LN(Zc^3/a*(8.314*Tc/Pc/E5)^2+1.0617)</f>
        <v>274.22888808828907</v>
      </c>
      <c r="E5" s="18">
        <f>8.314*Tc/Pc*Zc*Zc*(-b+SQRT(b^2+4*a*(4*B5-1.9)*(9.5*qShape-k_1)/Zc))/(2*a*(4*B5-1.9))</f>
        <v>43.421338961182087</v>
      </c>
      <c r="F5" s="16">
        <v>0</v>
      </c>
      <c r="G5" s="25">
        <f>0.025/B5</f>
        <v>9.4969873254134064E-3</v>
      </c>
      <c r="H5" s="16">
        <v>0</v>
      </c>
      <c r="I5" s="16">
        <f>F5</f>
        <v>0</v>
      </c>
      <c r="J5" s="16">
        <f>I5</f>
        <v>0</v>
      </c>
      <c r="K5" s="76">
        <f>Zc^3/a*(8.314*Tc/Pc/E5)^2</f>
        <v>0.56897799709778063</v>
      </c>
      <c r="L5" s="76">
        <f>Zc*Zc*(-b+SQRT(b^2+4*a*(4*B5-1.9)*(9.5*qShape-k_1)/Zc))/(2*a*(4*B5-1.9))</f>
        <v>2.8031844922979821E-2</v>
      </c>
      <c r="M5" s="76">
        <f>L5/Zc</f>
        <v>8.195933394617877E-2</v>
      </c>
      <c r="N5" s="8">
        <f>L5/M5</f>
        <v>0.34202138515898423</v>
      </c>
      <c r="O5" s="16"/>
      <c r="P5" s="16"/>
    </row>
    <row r="6" spans="1:16">
      <c r="A6" s="8" t="s">
        <v>396</v>
      </c>
      <c r="B6" s="16" t="s">
        <v>224</v>
      </c>
      <c r="C6" s="16" t="s">
        <v>225</v>
      </c>
      <c r="D6" s="16" t="s">
        <v>226</v>
      </c>
      <c r="E6" s="16" t="s">
        <v>227</v>
      </c>
      <c r="F6" s="16"/>
      <c r="G6" s="25"/>
      <c r="H6" s="16"/>
      <c r="I6" s="16"/>
      <c r="J6" s="16"/>
      <c r="O6" s="16"/>
      <c r="P6" s="16"/>
    </row>
    <row r="7" spans="1:16">
      <c r="B7" s="17">
        <f>B5</f>
        <v>2.6324137480000003</v>
      </c>
      <c r="C7" s="17">
        <f>C5</f>
        <v>4.1093564106404807</v>
      </c>
      <c r="D7" s="17">
        <f>D5</f>
        <v>274.22888808828907</v>
      </c>
      <c r="E7" s="17">
        <f>E5</f>
        <v>43.421338961182087</v>
      </c>
      <c r="F7" s="16"/>
      <c r="H7" s="16"/>
      <c r="I7" s="16"/>
    </row>
    <row r="8" spans="1:16">
      <c r="B8" s="8" t="s">
        <v>275</v>
      </c>
    </row>
    <row r="9" spans="1:16">
      <c r="B9" s="16" t="s">
        <v>276</v>
      </c>
      <c r="C9" s="16" t="s">
        <v>236</v>
      </c>
      <c r="D9" s="16" t="s">
        <v>3130</v>
      </c>
      <c r="E9" s="16" t="s">
        <v>277</v>
      </c>
      <c r="F9" s="16" t="s">
        <v>229</v>
      </c>
    </row>
    <row r="10" spans="1:16">
      <c r="B10" s="16">
        <f>1.9*(9.5*qShape-k_1)+4*B5*k_1</f>
        <v>89.487205995364675</v>
      </c>
      <c r="C10" s="83">
        <f>(1+0.115/SQRT(B5)-0.186/B5+0.217/B5/SQRT(B5)-0.173/B5/B5)/3</f>
        <v>0.34202138515898423</v>
      </c>
      <c r="D10" s="83">
        <f>(1+0.1388/SQRT(C5)-0.171/C5-0.01874/C5/SQRT(C5)+0.02361/C5/C5)/3</f>
        <v>0.34200217023027396</v>
      </c>
      <c r="E10" s="16">
        <f>(1.9*k_1*Zc+3*a)</f>
        <v>269.61476018722681</v>
      </c>
      <c r="F10" s="16">
        <v>1.7745</v>
      </c>
      <c r="G10" s="20"/>
    </row>
    <row r="11" spans="1:16" s="21" customFormat="1"/>
    <row r="12" spans="1:16">
      <c r="B12" s="8" t="s">
        <v>278</v>
      </c>
    </row>
    <row r="13" spans="1:16">
      <c r="B13" s="8" t="s">
        <v>279</v>
      </c>
    </row>
    <row r="14" spans="1:16">
      <c r="B14" s="8" t="s">
        <v>280</v>
      </c>
    </row>
    <row r="15" spans="1:16">
      <c r="B15" s="16" t="s">
        <v>6</v>
      </c>
      <c r="C15" s="16" t="s">
        <v>281</v>
      </c>
      <c r="D15" s="16" t="s">
        <v>282</v>
      </c>
      <c r="E15" s="16" t="s">
        <v>283</v>
      </c>
      <c r="F15" s="16" t="s">
        <v>284</v>
      </c>
      <c r="G15" s="16" t="s">
        <v>285</v>
      </c>
      <c r="H15" s="16" t="s">
        <v>286</v>
      </c>
      <c r="I15" s="16" t="s">
        <v>287</v>
      </c>
      <c r="J15" s="16" t="s">
        <v>288</v>
      </c>
      <c r="K15" s="22" t="s">
        <v>289</v>
      </c>
      <c r="L15" s="16" t="s">
        <v>290</v>
      </c>
      <c r="M15" s="16" t="s">
        <v>291</v>
      </c>
    </row>
    <row r="16" spans="1:16">
      <c r="B16" s="16">
        <v>310.60000000000002</v>
      </c>
      <c r="C16" s="16">
        <f>B16/399.1</f>
        <v>0.77825106489601603</v>
      </c>
      <c r="D16" s="8">
        <f>-E16/Tc+LN(Pc*1000000)</f>
        <v>22.62161563672506</v>
      </c>
      <c r="E16" s="16">
        <f xml:space="preserve"> -(7*(1+E3)/3)*2.3025*Tc</f>
        <v>-4320.4957320000003</v>
      </c>
      <c r="F16" s="16">
        <v>0</v>
      </c>
      <c r="G16" s="16">
        <v>0</v>
      </c>
      <c r="H16" s="16">
        <v>1</v>
      </c>
      <c r="I16" s="16">
        <f>0.6*Tc</f>
        <v>336.47999999999996</v>
      </c>
      <c r="J16" s="16">
        <f>0.8*Tc</f>
        <v>448.64</v>
      </c>
      <c r="L16" s="16">
        <f>0.7*Tc</f>
        <v>392.55999999999995</v>
      </c>
      <c r="M16" s="16">
        <f>EXP(D16+E16/L16)/1000000</f>
        <v>0.11082034291126852</v>
      </c>
    </row>
    <row r="17" spans="2:13">
      <c r="B17" s="8" t="s">
        <v>292</v>
      </c>
    </row>
    <row r="18" spans="2:13">
      <c r="B18" s="8" t="s">
        <v>293</v>
      </c>
    </row>
    <row r="19" spans="2:13">
      <c r="B19" s="8" t="s">
        <v>294</v>
      </c>
    </row>
    <row r="20" spans="2:13">
      <c r="B20" s="16" t="s">
        <v>224</v>
      </c>
      <c r="C20" s="16" t="s">
        <v>225</v>
      </c>
      <c r="D20" s="16" t="s">
        <v>226</v>
      </c>
      <c r="E20" s="16" t="s">
        <v>227</v>
      </c>
      <c r="F20" s="16" t="s">
        <v>189</v>
      </c>
      <c r="G20" s="16" t="s">
        <v>190</v>
      </c>
      <c r="H20" s="16" t="s">
        <v>228</v>
      </c>
      <c r="I20" s="16" t="s">
        <v>192</v>
      </c>
      <c r="J20" s="16" t="s">
        <v>193</v>
      </c>
    </row>
    <row r="21" spans="2:13">
      <c r="B21" s="16">
        <v>4.9507000000000003</v>
      </c>
      <c r="C21" s="16">
        <v>8.5251000000000001</v>
      </c>
      <c r="D21" s="16">
        <v>310.81</v>
      </c>
      <c r="E21" s="16">
        <v>139.38</v>
      </c>
      <c r="F21" s="16">
        <v>0</v>
      </c>
      <c r="G21" s="16">
        <v>5.0499999999999998E-3</v>
      </c>
      <c r="H21" s="24">
        <v>0</v>
      </c>
      <c r="I21" s="16">
        <v>0</v>
      </c>
      <c r="J21" s="16">
        <v>0</v>
      </c>
    </row>
    <row r="22" spans="2:13" s="21" customFormat="1"/>
    <row r="23" spans="2:13">
      <c r="B23" s="8" t="s">
        <v>295</v>
      </c>
    </row>
    <row r="24" spans="2:13">
      <c r="B24" s="8" t="s">
        <v>296</v>
      </c>
    </row>
    <row r="25" spans="2:13">
      <c r="B25" s="8" t="s">
        <v>184</v>
      </c>
      <c r="C25" s="16" t="s">
        <v>222</v>
      </c>
      <c r="D25" s="16" t="s">
        <v>223</v>
      </c>
      <c r="E25" s="16" t="s">
        <v>13</v>
      </c>
      <c r="F25" s="16" t="s">
        <v>183</v>
      </c>
    </row>
    <row r="26" spans="2:13">
      <c r="B26" s="8" t="s">
        <v>297</v>
      </c>
      <c r="C26" s="16">
        <v>516.4</v>
      </c>
      <c r="D26" s="16">
        <v>6.3840000000000003</v>
      </c>
      <c r="E26" s="16">
        <v>0.63700000000000001</v>
      </c>
      <c r="F26" s="16">
        <v>0.248</v>
      </c>
    </row>
    <row r="27" spans="2:13">
      <c r="B27" s="16" t="s">
        <v>6</v>
      </c>
      <c r="C27" s="16" t="s">
        <v>281</v>
      </c>
      <c r="D27" s="16" t="s">
        <v>282</v>
      </c>
      <c r="E27" s="16" t="s">
        <v>283</v>
      </c>
      <c r="F27" s="16" t="s">
        <v>284</v>
      </c>
      <c r="G27" s="16" t="s">
        <v>285</v>
      </c>
      <c r="H27" s="16" t="s">
        <v>286</v>
      </c>
      <c r="I27" s="16" t="s">
        <v>287</v>
      </c>
      <c r="J27" s="16" t="s">
        <v>288</v>
      </c>
      <c r="K27" s="22" t="s">
        <v>289</v>
      </c>
      <c r="L27" s="16" t="s">
        <v>290</v>
      </c>
      <c r="M27" s="16" t="s">
        <v>291</v>
      </c>
    </row>
    <row r="28" spans="2:13">
      <c r="B28" s="16">
        <v>46</v>
      </c>
      <c r="C28" s="16">
        <v>0.78600000000000003</v>
      </c>
      <c r="D28" s="8">
        <f>-E28/C26+LN(D26*1000000)</f>
        <v>24.46408791811178</v>
      </c>
      <c r="E28" s="16">
        <f xml:space="preserve"> -(7*(1+E26)/3)*2.3025*C26</f>
        <v>-4541.6256830000002</v>
      </c>
      <c r="F28" s="16">
        <v>0</v>
      </c>
      <c r="G28" s="16">
        <v>0</v>
      </c>
      <c r="H28" s="16">
        <v>1</v>
      </c>
      <c r="I28" s="16">
        <f>0.6*C26</f>
        <v>309.83999999999997</v>
      </c>
      <c r="J28" s="16">
        <f>0.8*C26</f>
        <v>413.12</v>
      </c>
      <c r="L28" s="16">
        <f>0.7*C26</f>
        <v>361.47999999999996</v>
      </c>
      <c r="M28" s="16">
        <f>EXP(D28+E28/L28)/1000000</f>
        <v>0.14728325524869945</v>
      </c>
    </row>
    <row r="29" spans="2:13">
      <c r="B29" s="8" t="s">
        <v>298</v>
      </c>
    </row>
    <row r="30" spans="2:13">
      <c r="B30" s="16" t="s">
        <v>224</v>
      </c>
      <c r="C30" s="16" t="s">
        <v>225</v>
      </c>
      <c r="D30" s="16" t="s">
        <v>226</v>
      </c>
      <c r="E30" s="16" t="s">
        <v>227</v>
      </c>
      <c r="F30" s="16" t="s">
        <v>189</v>
      </c>
      <c r="G30" s="16" t="s">
        <v>190</v>
      </c>
      <c r="H30" s="16" t="s">
        <v>228</v>
      </c>
      <c r="I30" s="16" t="s">
        <v>192</v>
      </c>
      <c r="J30" s="16" t="s">
        <v>193</v>
      </c>
    </row>
    <row r="31" spans="2:13">
      <c r="B31" s="16">
        <v>2.4788999999999999</v>
      </c>
      <c r="C31" s="16">
        <v>3.8170000000000002</v>
      </c>
      <c r="D31" s="16">
        <v>251.02</v>
      </c>
      <c r="E31" s="16">
        <v>19.89</v>
      </c>
      <c r="F31" s="16">
        <v>1</v>
      </c>
      <c r="G31" s="23">
        <v>1.009E-2</v>
      </c>
      <c r="H31" s="24">
        <v>3.9</v>
      </c>
      <c r="I31" s="16">
        <v>1</v>
      </c>
      <c r="J31" s="16">
        <v>1</v>
      </c>
    </row>
  </sheetData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A953-0143-4CB5-B3DD-EA77F75AC6F1}">
  <dimension ref="A1:Z51"/>
  <sheetViews>
    <sheetView zoomScale="80" zoomScaleNormal="80" workbookViewId="0">
      <selection activeCell="B6" sqref="B6:C6"/>
    </sheetView>
  </sheetViews>
  <sheetFormatPr defaultRowHeight="14.5"/>
  <cols>
    <col min="1" max="1" width="10.796875" style="77" bestFit="1" customWidth="1"/>
    <col min="2" max="2" width="20.19921875" style="77" customWidth="1"/>
    <col min="3" max="3" width="10.8984375" style="77" bestFit="1" customWidth="1"/>
    <col min="4" max="7" width="8.796875" style="77"/>
    <col min="8" max="8" width="13.296875" style="77" bestFit="1" customWidth="1"/>
    <col min="9" max="13" width="8.796875" style="77"/>
    <col min="14" max="14" width="10" style="77" customWidth="1"/>
    <col min="15" max="17" width="8.796875" style="77"/>
    <col min="18" max="18" width="12.296875" style="77" customWidth="1"/>
    <col min="19" max="16384" width="8.796875" style="77"/>
  </cols>
  <sheetData>
    <row r="1" spans="1:26" ht="15.5">
      <c r="A1" s="8" t="s">
        <v>3051</v>
      </c>
      <c r="B1" s="8" t="s">
        <v>422</v>
      </c>
      <c r="C1" s="8"/>
      <c r="D1" s="16" t="s">
        <v>222</v>
      </c>
      <c r="E1" s="16" t="s">
        <v>223</v>
      </c>
      <c r="F1" s="16" t="s">
        <v>13</v>
      </c>
      <c r="G1" s="16"/>
      <c r="H1" s="16"/>
      <c r="I1" s="16" t="s">
        <v>183</v>
      </c>
      <c r="J1" s="16"/>
      <c r="N1" s="25"/>
      <c r="O1" s="16"/>
      <c r="P1" s="77" t="s">
        <v>3061</v>
      </c>
      <c r="R1" s="77">
        <f>1-1.9/4</f>
        <v>0.52500000000000002</v>
      </c>
      <c r="S1" s="77">
        <f>1/R1</f>
        <v>1.9047619047619047</v>
      </c>
    </row>
    <row r="2" spans="1:26" ht="15.5">
      <c r="A2" s="67">
        <v>2081</v>
      </c>
      <c r="B2" s="8" t="str">
        <f>VLOOKUP(A2,ParmsCrit!$A$2:$Q$1360,16,FALSE)</f>
        <v>C30H62</v>
      </c>
      <c r="C2" s="8"/>
      <c r="D2" s="16">
        <f>VLOOKUP($A2,ParmsCrit!$A$2:$Q$1360,2,FALSE)</f>
        <v>844</v>
      </c>
      <c r="E2" s="16">
        <f>VLOOKUP($A2,ParmsCrit!$A$2:$Q$1360,3,FALSE)</f>
        <v>0.8</v>
      </c>
      <c r="F2" s="16">
        <f>VLOOKUP($A2,ParmsCrit!$A$2:$Q$1360,5,FALSE)</f>
        <v>1.3069999999999999</v>
      </c>
      <c r="G2" s="16"/>
      <c r="H2" s="16"/>
      <c r="I2" s="16">
        <f>VLOOKUP($A2,ParmsCrit!$A$2:$Q$1360,4,FALSE)</f>
        <v>0.17</v>
      </c>
      <c r="J2" s="16"/>
      <c r="P2" s="77">
        <f>COUNTIF(P6:P51,"negZ")</f>
        <v>13</v>
      </c>
    </row>
    <row r="3" spans="1:26" s="8" customFormat="1" ht="15.5">
      <c r="A3" s="16" t="s">
        <v>3054</v>
      </c>
      <c r="B3" s="16" t="s">
        <v>3040</v>
      </c>
      <c r="C3" s="16"/>
      <c r="D3" s="16" t="s">
        <v>224</v>
      </c>
      <c r="E3" s="16" t="s">
        <v>225</v>
      </c>
      <c r="F3" s="16" t="s">
        <v>226</v>
      </c>
      <c r="G3" s="16"/>
      <c r="H3" s="16"/>
      <c r="I3" s="16" t="s">
        <v>227</v>
      </c>
      <c r="J3" s="16" t="s">
        <v>3057</v>
      </c>
      <c r="K3" s="16" t="s">
        <v>189</v>
      </c>
      <c r="L3" s="16"/>
      <c r="M3" s="16"/>
      <c r="N3" s="16" t="s">
        <v>3058</v>
      </c>
      <c r="O3" s="16" t="s">
        <v>228</v>
      </c>
      <c r="P3" s="16" t="s">
        <v>192</v>
      </c>
      <c r="Q3" s="16" t="s">
        <v>193</v>
      </c>
      <c r="R3" s="16" t="s">
        <v>3056</v>
      </c>
      <c r="S3" s="16" t="s">
        <v>3045</v>
      </c>
      <c r="T3" s="16" t="s">
        <v>3046</v>
      </c>
      <c r="U3" s="16" t="s">
        <v>3047</v>
      </c>
      <c r="V3" s="16" t="s">
        <v>3048</v>
      </c>
      <c r="W3" s="16" t="s">
        <v>276</v>
      </c>
      <c r="X3" s="16" t="s">
        <v>236</v>
      </c>
      <c r="Y3" s="16" t="s">
        <v>277</v>
      </c>
      <c r="Z3" s="16" t="s">
        <v>229</v>
      </c>
    </row>
    <row r="4" spans="1:26" s="8" customFormat="1" ht="15.5">
      <c r="A4" s="16">
        <v>0.25</v>
      </c>
      <c r="B4" s="16">
        <f>EXP(F4/(A4*D2))-1.0617</f>
        <v>3.2921460076866138</v>
      </c>
      <c r="C4" s="16"/>
      <c r="D4" s="17">
        <f>IFERROR(VLOOKUP($A2,ParmsEsd!$A$10:$K$157,2,FALSE),1+3.53*F2+0.533*F2*F2)</f>
        <v>6.5242067169999993</v>
      </c>
      <c r="E4" s="17">
        <f>1+1.90476*(D4-1)</f>
        <v>11.522287986272918</v>
      </c>
      <c r="F4" s="17">
        <f>IFERROR(  VLOOKUP($A2,ParmsEsd!$A$10:$K$157,4,FALSE),D2*LN( X4^3/W4*(8.314*D2/E2/I4)^2+1.0617 )  )</f>
        <v>310.39357437142877</v>
      </c>
      <c r="G4" s="17"/>
      <c r="H4" s="17"/>
      <c r="I4" s="17">
        <f>IFERROR(  VLOOKUP($A2,ParmsEsd!$A$10:$K$157,5,FALSE),8.314*D2/E2*X4*X4*(-Y4+SQRT(Y4^2+4*W4*(4*D4-1.9)*(9.5*E4-Z4)/X4))/(2*W4*(4*D4-1.9))  )</f>
        <v>173.01906492590072</v>
      </c>
      <c r="J4" s="17">
        <f>I4/602.22</f>
        <v>0.28730209047507677</v>
      </c>
      <c r="K4" s="17">
        <f>IFERROR(  VLOOKUP($A2,ParmsEsd!$A$10:$K$157,6,FALSE),VLOOKUP($A2,ParmsCrit!$A$2:$Q$1360,7,FALSE)  )</f>
        <v>0</v>
      </c>
      <c r="L4" s="17"/>
      <c r="M4" s="17"/>
      <c r="N4" s="76">
        <f>IFERROR(  VLOOKUP($A2,ParmsEsd!$A$10:$K$157,7,FALSE),0.001  )</f>
        <v>1E-3</v>
      </c>
      <c r="O4" s="16">
        <f>IFERROR(  1000/1.987*VLOOKUP($A2,ParmsEsd!$A$10:$K$157,8,FALSE),0  )</f>
        <v>0</v>
      </c>
      <c r="P4" s="16">
        <f>K4</f>
        <v>0</v>
      </c>
      <c r="Q4" s="16">
        <f>P4</f>
        <v>0</v>
      </c>
      <c r="R4" s="16">
        <f>N4/J4*( EXP(O4/(A4*D2))-1 )</f>
        <v>0</v>
      </c>
      <c r="S4" s="76">
        <f>X4^3/W4*(8.314*D2/E2/I4)^2</f>
        <v>0.38280239443435465</v>
      </c>
      <c r="T4" s="76">
        <f>X4*X4*(-Y4+SQRT(Y4^2+4*W4*(4*D4-1.9)*(9.5*E4-Z4)/X4))/(2*W4*(4*D4-1.9))</f>
        <v>1.9725657165484672E-2</v>
      </c>
      <c r="U4" s="76">
        <f>T4/X4</f>
        <v>5.8998864472969793E-2</v>
      </c>
      <c r="V4" s="16">
        <f>T4/U4</f>
        <v>0.33433960707026728</v>
      </c>
      <c r="W4" s="16">
        <f>1.9*(9.5*E4-Z4)+4*D4*Z4</f>
        <v>250.91456742949214</v>
      </c>
      <c r="X4" s="16">
        <f>(1+0.115/SQRT(D4)-0.186/D4+0.217/D4/SQRT(D4)-0.173/D4)/3</f>
        <v>0.33433960707026728</v>
      </c>
      <c r="Y4" s="16">
        <f>(1.9*Z4*X4+3*W4)</f>
        <v>753.87094499069428</v>
      </c>
      <c r="Z4" s="16">
        <v>1.7745</v>
      </c>
    </row>
    <row r="5" spans="1:26">
      <c r="A5" s="77" t="s">
        <v>3036</v>
      </c>
      <c r="B5" s="78" t="s">
        <v>3052</v>
      </c>
      <c r="C5" s="80" t="s">
        <v>3128</v>
      </c>
      <c r="D5" s="78" t="s">
        <v>3050</v>
      </c>
      <c r="E5" s="78" t="s">
        <v>3053</v>
      </c>
      <c r="F5" s="78" t="s">
        <v>3049</v>
      </c>
      <c r="G5" s="80" t="s">
        <v>3119</v>
      </c>
      <c r="H5" s="80" t="s">
        <v>3120</v>
      </c>
      <c r="I5" s="77" t="s">
        <v>3060</v>
      </c>
      <c r="J5" s="78" t="s">
        <v>3059</v>
      </c>
      <c r="K5" s="78" t="s">
        <v>3055</v>
      </c>
      <c r="L5" s="80" t="s">
        <v>3121</v>
      </c>
      <c r="M5" s="80" t="s">
        <v>3124</v>
      </c>
      <c r="N5" s="80" t="s">
        <v>3123</v>
      </c>
      <c r="O5" s="80" t="s">
        <v>3122</v>
      </c>
      <c r="P5" s="78" t="s">
        <v>3062</v>
      </c>
      <c r="Q5" s="80" t="s">
        <v>3125</v>
      </c>
      <c r="R5" s="81" t="s">
        <v>40</v>
      </c>
      <c r="S5" s="81" t="s">
        <v>3126</v>
      </c>
      <c r="T5" s="81" t="s">
        <v>3127</v>
      </c>
    </row>
    <row r="6" spans="1:26">
      <c r="A6" s="77">
        <v>0</v>
      </c>
      <c r="B6" s="79">
        <f>(1-A6/2)/(1-A6)^3</f>
        <v>1</v>
      </c>
      <c r="C6" s="79">
        <f>(5-2*A6)/(2-A6)/(1-A6)</f>
        <v>2.5</v>
      </c>
      <c r="D6" s="79">
        <f>4*$E$4*B6*A6</f>
        <v>0</v>
      </c>
      <c r="E6" s="79">
        <f xml:space="preserve"> -($E$4-1)*(C6)*A6</f>
        <v>0</v>
      </c>
      <c r="F6" s="79">
        <f t="shared" ref="F6:F28" si="0" xml:space="preserve"> -9.5*$E$4*$B$4*A6/(1+$Z$4*$B$4*A6)</f>
        <v>0</v>
      </c>
      <c r="G6" s="79">
        <f xml:space="preserve"> -9.5*E$4*A6*F$4/(A$4*D$2)</f>
        <v>0</v>
      </c>
      <c r="H6" s="79">
        <f>-9.5*E$4*F$4^2*(0.5-1.7745*A6)*A6/(A$4*D$2)^2</f>
        <v>0</v>
      </c>
      <c r="I6" s="78">
        <f>(A6*$R$4*B6)</f>
        <v>0</v>
      </c>
      <c r="J6" s="78">
        <f t="shared" ref="J6:J51" si="1">2*$K$4*SQRT(I6)/SQRT(1+4*$K$4*I6)</f>
        <v>0</v>
      </c>
      <c r="K6" s="78">
        <f xml:space="preserve"> -B6*J6^2</f>
        <v>0</v>
      </c>
      <c r="L6" s="79">
        <f>1+D6+E6+K6+F6</f>
        <v>1</v>
      </c>
      <c r="M6" s="79">
        <f>A6*L6</f>
        <v>0</v>
      </c>
      <c r="N6" s="79">
        <f>1+D6+E6+K6+G6+H6</f>
        <v>1</v>
      </c>
      <c r="O6" s="78">
        <f>N6*A6</f>
        <v>0</v>
      </c>
      <c r="P6" s="78"/>
      <c r="Q6" s="78">
        <v>0</v>
      </c>
      <c r="R6" s="77">
        <v>0</v>
      </c>
      <c r="S6" s="77">
        <v>0</v>
      </c>
      <c r="T6" s="77">
        <v>0</v>
      </c>
    </row>
    <row r="7" spans="1:26">
      <c r="A7" s="77">
        <v>0.01</v>
      </c>
      <c r="B7" s="79">
        <f>1/(1-1.9*A7)</f>
        <v>1.019367991845056</v>
      </c>
      <c r="C7" s="82">
        <f>1.9/(1-1.9*A7)</f>
        <v>1.9367991845056065</v>
      </c>
      <c r="D7" s="79">
        <f t="shared" ref="D7:D28" si="2">4*$E$4*B7*A7</f>
        <v>0.4698180626410976</v>
      </c>
      <c r="E7" s="79">
        <f xml:space="preserve"> -($E$4-1)*(C7)*A7</f>
        <v>-0.20379558790946528</v>
      </c>
      <c r="F7" s="79">
        <f t="shared" si="0"/>
        <v>-3.4047383141017216</v>
      </c>
      <c r="G7" s="79">
        <f t="shared" ref="G7:G51" si="3" xml:space="preserve"> -9.5*E$4*A7*F$4/(A$4*D$2)</f>
        <v>-1.6102473674627544</v>
      </c>
      <c r="H7" s="79">
        <f t="shared" ref="H7:H51" si="4">-9.5*E$4*F$4^2*(0.5-1.7745*A7)*A7/(A$4*D$2)^2</f>
        <v>-1.1423510986611145</v>
      </c>
      <c r="I7" s="78">
        <f t="shared" ref="I7:I51" si="5">(A7*$R$4*B7)</f>
        <v>0</v>
      </c>
      <c r="J7" s="78">
        <f t="shared" si="1"/>
        <v>0</v>
      </c>
      <c r="K7" s="78">
        <f t="shared" ref="K7:K51" si="6" xml:space="preserve"> -B7*J7^2</f>
        <v>0</v>
      </c>
      <c r="L7" s="79">
        <f t="shared" ref="L7:L51" si="7">1+D7+E7+K7+F7</f>
        <v>-2.1387158393700894</v>
      </c>
      <c r="M7" s="79">
        <f t="shared" ref="M7:M51" si="8">A7*L7</f>
        <v>-2.1387158393700895E-2</v>
      </c>
      <c r="N7" s="79">
        <f t="shared" ref="N7:N51" si="9">1+D7+E7+K7+G7+H7</f>
        <v>-1.4865759913922365</v>
      </c>
      <c r="O7" s="78">
        <f t="shared" ref="O7:O51" si="10">N7*A7</f>
        <v>-1.4865759913922366E-2</v>
      </c>
      <c r="P7" s="78"/>
      <c r="Q7" s="78">
        <v>-1.3566147764280077E-2</v>
      </c>
      <c r="R7" s="77">
        <v>-9.9500882341420089E-3</v>
      </c>
      <c r="S7" s="77">
        <v>-2.0421810872024479E-2</v>
      </c>
      <c r="T7" s="77">
        <v>-2.0095677375783438E-4</v>
      </c>
    </row>
    <row r="8" spans="1:26">
      <c r="A8" s="77">
        <v>0.02</v>
      </c>
      <c r="B8" s="79">
        <f t="shared" ref="B8:B51" si="11">1/(1-1.9*A8)</f>
        <v>1.0395010395010396</v>
      </c>
      <c r="C8" s="82">
        <f t="shared" ref="C8:C51" si="12">1.9/(1-1.9*A8)</f>
        <v>1.9750519750519751</v>
      </c>
      <c r="D8" s="79">
        <f t="shared" si="2"/>
        <v>0.95819442713288316</v>
      </c>
      <c r="E8" s="79">
        <f t="shared" ref="E8:E51" si="13" xml:space="preserve"> -($E$4-1)*(C8)*A8</f>
        <v>-0.41564131338707994</v>
      </c>
      <c r="F8" s="79">
        <f t="shared" si="0"/>
        <v>-6.4532892372902912</v>
      </c>
      <c r="G8" s="79">
        <f t="shared" si="3"/>
        <v>-3.2204947349255089</v>
      </c>
      <c r="H8" s="79">
        <f t="shared" si="4"/>
        <v>-2.2006345557394917</v>
      </c>
      <c r="I8" s="78">
        <f t="shared" si="5"/>
        <v>0</v>
      </c>
      <c r="J8" s="78">
        <f t="shared" si="1"/>
        <v>0</v>
      </c>
      <c r="K8" s="78">
        <f t="shared" si="6"/>
        <v>0</v>
      </c>
      <c r="L8" s="79">
        <f t="shared" si="7"/>
        <v>-4.9107361235444884</v>
      </c>
      <c r="M8" s="79">
        <f t="shared" si="8"/>
        <v>-9.8214722470889776E-2</v>
      </c>
      <c r="N8" s="79">
        <f t="shared" si="9"/>
        <v>-3.8785761769191973</v>
      </c>
      <c r="O8" s="78">
        <f t="shared" si="10"/>
        <v>-7.7571523538383952E-2</v>
      </c>
      <c r="P8" s="78"/>
      <c r="Q8" s="78">
        <v>-4.6028756014311278E-2</v>
      </c>
      <c r="R8" s="77">
        <v>-3.3406078277335924E-2</v>
      </c>
      <c r="S8" s="77">
        <v>-9.4277067923012159E-2</v>
      </c>
      <c r="T8" s="77">
        <v>-1.9765061232931626E-2</v>
      </c>
    </row>
    <row r="9" spans="1:26">
      <c r="A9" s="77">
        <v>0.05</v>
      </c>
      <c r="B9" s="79">
        <f t="shared" si="11"/>
        <v>1.1049723756906078</v>
      </c>
      <c r="C9" s="82">
        <f t="shared" si="12"/>
        <v>2.0994475138121547</v>
      </c>
      <c r="D9" s="79">
        <f t="shared" si="2"/>
        <v>2.5463619859166671</v>
      </c>
      <c r="E9" s="79">
        <f t="shared" si="13"/>
        <v>-1.1045495676198092</v>
      </c>
      <c r="F9" s="79">
        <f t="shared" si="0"/>
        <v>-13.944943451886013</v>
      </c>
      <c r="G9" s="79">
        <f t="shared" si="3"/>
        <v>-8.0512368373137733</v>
      </c>
      <c r="H9" s="79">
        <f t="shared" si="4"/>
        <v>-4.8710790774781998</v>
      </c>
      <c r="I9" s="78">
        <f t="shared" si="5"/>
        <v>0</v>
      </c>
      <c r="J9" s="78">
        <f t="shared" si="1"/>
        <v>0</v>
      </c>
      <c r="K9" s="78">
        <f t="shared" si="6"/>
        <v>0</v>
      </c>
      <c r="L9" s="79">
        <f t="shared" si="7"/>
        <v>-11.503131033589156</v>
      </c>
      <c r="M9" s="79">
        <f t="shared" si="8"/>
        <v>-0.57515655167945778</v>
      </c>
      <c r="N9" s="79">
        <f t="shared" si="9"/>
        <v>-10.480503496495114</v>
      </c>
      <c r="O9" s="78">
        <f t="shared" si="10"/>
        <v>-0.52402517482475575</v>
      </c>
      <c r="P9" s="78"/>
      <c r="Q9" s="78">
        <v>-0.16350240734260094</v>
      </c>
      <c r="R9" s="77">
        <v>-0.13997039663674296</v>
      </c>
      <c r="S9" s="77">
        <v>-0.54899616718319921</v>
      </c>
      <c r="T9" s="77">
        <v>-0.17900110424477017</v>
      </c>
    </row>
    <row r="10" spans="1:26">
      <c r="A10" s="77">
        <v>0.1</v>
      </c>
      <c r="B10" s="79">
        <f t="shared" si="11"/>
        <v>1.2345679012345678</v>
      </c>
      <c r="C10" s="82">
        <f t="shared" si="12"/>
        <v>2.3456790123456788</v>
      </c>
      <c r="D10" s="79">
        <f t="shared" si="2"/>
        <v>5.6900187586532924</v>
      </c>
      <c r="E10" s="79">
        <f t="shared" si="13"/>
        <v>-2.4681910091257464</v>
      </c>
      <c r="F10" s="79">
        <f t="shared" si="0"/>
        <v>-22.747506230825447</v>
      </c>
      <c r="G10" s="79">
        <f t="shared" si="3"/>
        <v>-16.102473674627547</v>
      </c>
      <c r="H10" s="79">
        <f t="shared" si="4"/>
        <v>-7.6404671153879686</v>
      </c>
      <c r="I10" s="78">
        <f t="shared" si="5"/>
        <v>0</v>
      </c>
      <c r="J10" s="78">
        <f t="shared" si="1"/>
        <v>0</v>
      </c>
      <c r="K10" s="78">
        <f t="shared" si="6"/>
        <v>0</v>
      </c>
      <c r="L10" s="79">
        <f t="shared" si="7"/>
        <v>-18.525678481297902</v>
      </c>
      <c r="M10" s="79">
        <f t="shared" si="8"/>
        <v>-1.8525678481297903</v>
      </c>
      <c r="N10" s="79">
        <f t="shared" si="9"/>
        <v>-19.521113040487968</v>
      </c>
      <c r="O10" s="78">
        <f t="shared" si="10"/>
        <v>-1.952111304048797</v>
      </c>
      <c r="P10" s="78"/>
      <c r="Q10" s="78">
        <v>-0.35357560714342134</v>
      </c>
      <c r="R10" s="77">
        <v>-0.35453948364147436</v>
      </c>
      <c r="S10" s="77">
        <v>-1.7356535371712021</v>
      </c>
      <c r="T10" s="77">
        <v>-0.68493424626266775</v>
      </c>
    </row>
    <row r="11" spans="1:26">
      <c r="A11" s="77">
        <v>0.2</v>
      </c>
      <c r="B11" s="79">
        <f t="shared" si="11"/>
        <v>1.6129032258064517</v>
      </c>
      <c r="C11" s="82">
        <f t="shared" si="12"/>
        <v>3.064516129032258</v>
      </c>
      <c r="D11" s="79">
        <f t="shared" si="2"/>
        <v>14.867468369384412</v>
      </c>
      <c r="E11" s="79">
        <f t="shared" si="13"/>
        <v>-6.4491442496511429</v>
      </c>
      <c r="F11" s="79">
        <f t="shared" si="0"/>
        <v>-33.238046987172204</v>
      </c>
      <c r="G11" s="79">
        <f t="shared" si="3"/>
        <v>-32.204947349255093</v>
      </c>
      <c r="H11" s="79">
        <f t="shared" si="4"/>
        <v>-6.8741700725022126</v>
      </c>
      <c r="I11" s="78">
        <f t="shared" si="5"/>
        <v>0</v>
      </c>
      <c r="J11" s="78">
        <f t="shared" si="1"/>
        <v>0</v>
      </c>
      <c r="K11" s="78">
        <f t="shared" si="6"/>
        <v>0</v>
      </c>
      <c r="L11" s="79">
        <f t="shared" si="7"/>
        <v>-23.819722867438934</v>
      </c>
      <c r="M11" s="79">
        <f t="shared" si="8"/>
        <v>-4.7639445734877865</v>
      </c>
      <c r="N11" s="79">
        <f t="shared" si="9"/>
        <v>-29.660793302024036</v>
      </c>
      <c r="O11" s="78">
        <f t="shared" si="10"/>
        <v>-5.9321586604048075</v>
      </c>
      <c r="P11" s="78"/>
      <c r="Q11" s="78">
        <v>-0.60494436803008544</v>
      </c>
      <c r="R11" s="77">
        <v>-0.75625592172963918</v>
      </c>
      <c r="S11" s="77">
        <v>-4.1529730129945213</v>
      </c>
      <c r="T11" s="77">
        <v>-1.8710050943442167</v>
      </c>
    </row>
    <row r="12" spans="1:26">
      <c r="A12" s="77">
        <v>0.22</v>
      </c>
      <c r="B12" s="79">
        <f t="shared" si="11"/>
        <v>1.7182130584192439</v>
      </c>
      <c r="C12" s="82">
        <f t="shared" si="12"/>
        <v>3.2646048109965631</v>
      </c>
      <c r="D12" s="79">
        <f t="shared" si="2"/>
        <v>17.422016199175545</v>
      </c>
      <c r="E12" s="79">
        <f t="shared" si="13"/>
        <v>-7.5572446361891394</v>
      </c>
      <c r="F12" s="79">
        <f t="shared" si="0"/>
        <v>-34.692525513905849</v>
      </c>
      <c r="G12" s="79">
        <f t="shared" si="3"/>
        <v>-35.425442084180595</v>
      </c>
      <c r="H12" s="79">
        <f t="shared" si="4"/>
        <v>-5.7120989649322125</v>
      </c>
      <c r="I12" s="78">
        <f t="shared" si="5"/>
        <v>0</v>
      </c>
      <c r="J12" s="78">
        <f t="shared" si="1"/>
        <v>0</v>
      </c>
      <c r="K12" s="78">
        <f t="shared" si="6"/>
        <v>0</v>
      </c>
      <c r="L12" s="79">
        <f t="shared" si="7"/>
        <v>-23.827753950919444</v>
      </c>
      <c r="M12" s="79">
        <f t="shared" si="8"/>
        <v>-5.2421058692022777</v>
      </c>
      <c r="N12" s="79">
        <f t="shared" si="9"/>
        <v>-30.272769486126403</v>
      </c>
      <c r="O12" s="78">
        <f t="shared" si="10"/>
        <v>-6.6600092869478091</v>
      </c>
      <c r="P12" s="78"/>
      <c r="Q12" s="78">
        <v>-0.62094237472764746</v>
      </c>
      <c r="R12" s="77">
        <v>-0.81977955987116558</v>
      </c>
      <c r="S12" s="77">
        <v>-4.454561428167831</v>
      </c>
      <c r="T12" s="77">
        <v>-2.0212108174992753</v>
      </c>
    </row>
    <row r="13" spans="1:26">
      <c r="A13" s="77">
        <v>0.24</v>
      </c>
      <c r="B13" s="79">
        <f t="shared" si="11"/>
        <v>1.838235294117647</v>
      </c>
      <c r="C13" s="82">
        <f t="shared" si="12"/>
        <v>3.492647058823529</v>
      </c>
      <c r="D13" s="79">
        <f t="shared" si="2"/>
        <v>20.333449387540441</v>
      </c>
      <c r="E13" s="79">
        <f t="shared" si="13"/>
        <v>-8.8201531649640632</v>
      </c>
      <c r="F13" s="79">
        <f t="shared" si="0"/>
        <v>-36.005509820157023</v>
      </c>
      <c r="G13" s="79">
        <f t="shared" si="3"/>
        <v>-38.645936819106105</v>
      </c>
      <c r="H13" s="79">
        <f t="shared" si="4"/>
        <v>-4.2137572910312668</v>
      </c>
      <c r="I13" s="78">
        <f t="shared" si="5"/>
        <v>0</v>
      </c>
      <c r="J13" s="78">
        <f t="shared" si="1"/>
        <v>0</v>
      </c>
      <c r="K13" s="78">
        <f t="shared" si="6"/>
        <v>0</v>
      </c>
      <c r="L13" s="79">
        <f t="shared" si="7"/>
        <v>-23.492213597580644</v>
      </c>
      <c r="M13" s="79">
        <f t="shared" si="8"/>
        <v>-5.6381312634193543</v>
      </c>
      <c r="N13" s="79">
        <f t="shared" si="9"/>
        <v>-30.346397887560993</v>
      </c>
      <c r="O13" s="78">
        <f t="shared" si="10"/>
        <v>-7.2831354930146377</v>
      </c>
      <c r="P13" s="78"/>
      <c r="Q13" s="78">
        <v>-0.61976297172134831</v>
      </c>
      <c r="R13" s="77">
        <v>-0.87416471381150807</v>
      </c>
      <c r="S13" s="77">
        <v>-4.6354191141392294</v>
      </c>
      <c r="T13" s="77">
        <v>-2.1086181984721573</v>
      </c>
    </row>
    <row r="14" spans="1:26">
      <c r="A14" s="77">
        <v>0.26</v>
      </c>
      <c r="B14" s="79">
        <f t="shared" si="11"/>
        <v>1.9762845849802371</v>
      </c>
      <c r="C14" s="82">
        <f t="shared" si="12"/>
        <v>3.7549407114624502</v>
      </c>
      <c r="D14" s="79">
        <f t="shared" si="2"/>
        <v>23.682172936213114</v>
      </c>
      <c r="E14" s="79">
        <f t="shared" si="13"/>
        <v>-10.27274755972099</v>
      </c>
      <c r="F14" s="79">
        <f t="shared" si="0"/>
        <v>-37.1966894003303</v>
      </c>
      <c r="G14" s="79">
        <f t="shared" si="3"/>
        <v>-41.866431554031614</v>
      </c>
      <c r="H14" s="79">
        <f t="shared" si="4"/>
        <v>-2.3791450507993694</v>
      </c>
      <c r="I14" s="78">
        <f t="shared" si="5"/>
        <v>0</v>
      </c>
      <c r="J14" s="78">
        <f t="shared" si="1"/>
        <v>0</v>
      </c>
      <c r="K14" s="78">
        <f t="shared" si="6"/>
        <v>0</v>
      </c>
      <c r="L14" s="79">
        <f t="shared" si="7"/>
        <v>-22.787264023838176</v>
      </c>
      <c r="M14" s="79">
        <f t="shared" si="8"/>
        <v>-5.924688646197926</v>
      </c>
      <c r="N14" s="79">
        <f t="shared" si="9"/>
        <v>-29.83615122833886</v>
      </c>
      <c r="O14" s="78">
        <f t="shared" si="10"/>
        <v>-7.7573993193681039</v>
      </c>
      <c r="P14" s="78"/>
      <c r="Q14" s="78">
        <v>-0.59750440734308663</v>
      </c>
      <c r="R14" s="77">
        <v>-0.91746228893387438</v>
      </c>
      <c r="S14" s="77">
        <v>-4.6595186835796572</v>
      </c>
      <c r="T14" s="77">
        <v>-2.1172849504652347</v>
      </c>
    </row>
    <row r="15" spans="1:26">
      <c r="A15" s="77">
        <v>0.28000000000000003</v>
      </c>
      <c r="B15" s="79">
        <f t="shared" si="11"/>
        <v>2.1367521367521367</v>
      </c>
      <c r="C15" s="82">
        <f t="shared" si="12"/>
        <v>4.0598290598290596</v>
      </c>
      <c r="D15" s="79">
        <f t="shared" si="2"/>
        <v>27.57470629193519</v>
      </c>
      <c r="E15" s="79">
        <f t="shared" si="13"/>
        <v>-11.961233351917079</v>
      </c>
      <c r="F15" s="79">
        <f t="shared" si="0"/>
        <v>-38.282262524224642</v>
      </c>
      <c r="G15" s="79">
        <f t="shared" si="3"/>
        <v>-45.086926288957123</v>
      </c>
      <c r="H15" s="79">
        <f t="shared" si="4"/>
        <v>-0.20826224423652309</v>
      </c>
      <c r="I15" s="78">
        <f t="shared" si="5"/>
        <v>0</v>
      </c>
      <c r="J15" s="78">
        <f t="shared" si="1"/>
        <v>0</v>
      </c>
      <c r="K15" s="78">
        <f t="shared" si="6"/>
        <v>0</v>
      </c>
      <c r="L15" s="79">
        <f t="shared" si="7"/>
        <v>-21.668789584206529</v>
      </c>
      <c r="M15" s="79">
        <f t="shared" si="8"/>
        <v>-6.0672610835778285</v>
      </c>
      <c r="N15" s="79">
        <f t="shared" si="9"/>
        <v>-28.681715593175532</v>
      </c>
      <c r="O15" s="78">
        <f t="shared" si="10"/>
        <v>-8.0308803660891499</v>
      </c>
      <c r="P15" s="78"/>
      <c r="Q15" s="78">
        <v>-0.5490070318692456</v>
      </c>
      <c r="R15" s="77">
        <v>-0.94737040321653876</v>
      </c>
      <c r="S15" s="77">
        <v>-4.4808238179551427</v>
      </c>
      <c r="T15" s="77">
        <v>-2.0300066321824963</v>
      </c>
    </row>
    <row r="16" spans="1:26">
      <c r="A16" s="77">
        <v>0.3</v>
      </c>
      <c r="B16" s="79">
        <f t="shared" si="11"/>
        <v>2.3255813953488369</v>
      </c>
      <c r="C16" s="82">
        <f t="shared" si="12"/>
        <v>4.4186046511627897</v>
      </c>
      <c r="D16" s="79">
        <f t="shared" si="2"/>
        <v>32.155222287273254</v>
      </c>
      <c r="E16" s="79">
        <f t="shared" si="13"/>
        <v>-13.948149191105959</v>
      </c>
      <c r="F16" s="79">
        <f t="shared" si="0"/>
        <v>-39.275677195542279</v>
      </c>
      <c r="G16" s="79">
        <f t="shared" si="3"/>
        <v>-48.307421023882625</v>
      </c>
      <c r="H16" s="79">
        <f t="shared" si="4"/>
        <v>2.2988911286572691</v>
      </c>
      <c r="I16" s="78">
        <f t="shared" si="5"/>
        <v>0</v>
      </c>
      <c r="J16" s="78">
        <f t="shared" si="1"/>
        <v>0</v>
      </c>
      <c r="K16" s="78">
        <f t="shared" si="6"/>
        <v>0</v>
      </c>
      <c r="L16" s="79">
        <f t="shared" si="7"/>
        <v>-20.068604099374983</v>
      </c>
      <c r="M16" s="79">
        <f t="shared" si="8"/>
        <v>-6.0205812298124952</v>
      </c>
      <c r="N16" s="79">
        <f t="shared" si="9"/>
        <v>-26.801456799058059</v>
      </c>
      <c r="O16" s="78">
        <f t="shared" si="10"/>
        <v>-8.0404370397174176</v>
      </c>
      <c r="P16" s="78"/>
      <c r="Q16" s="78">
        <v>-0.46729424595169</v>
      </c>
      <c r="R16" s="77">
        <v>-0.96114305186258964</v>
      </c>
      <c r="S16" s="77">
        <v>-4.0384758184448062</v>
      </c>
      <c r="T16" s="77">
        <v>-1.8277589516558301</v>
      </c>
    </row>
    <row r="17" spans="1:20">
      <c r="A17" s="77">
        <v>0.32</v>
      </c>
      <c r="B17" s="79">
        <f t="shared" si="11"/>
        <v>2.5510204081632653</v>
      </c>
      <c r="C17" s="82">
        <f t="shared" si="12"/>
        <v>4.8469387755102034</v>
      </c>
      <c r="D17" s="79">
        <f t="shared" si="2"/>
        <v>37.623797506197285</v>
      </c>
      <c r="E17" s="79">
        <f t="shared" si="13"/>
        <v>-16.320283407280442</v>
      </c>
      <c r="F17" s="79">
        <f t="shared" si="0"/>
        <v>-40.188191085925865</v>
      </c>
      <c r="G17" s="79">
        <f t="shared" si="3"/>
        <v>-51.527915758808142</v>
      </c>
      <c r="H17" s="79">
        <f t="shared" si="4"/>
        <v>5.1423150678820138</v>
      </c>
      <c r="I17" s="78">
        <f t="shared" si="5"/>
        <v>0</v>
      </c>
      <c r="J17" s="78">
        <f t="shared" si="1"/>
        <v>0</v>
      </c>
      <c r="K17" s="78">
        <f t="shared" si="6"/>
        <v>0</v>
      </c>
      <c r="L17" s="79">
        <f t="shared" si="7"/>
        <v>-17.884676987009023</v>
      </c>
      <c r="M17" s="79">
        <f t="shared" si="8"/>
        <v>-5.7230966358428876</v>
      </c>
      <c r="N17" s="79">
        <f t="shared" si="9"/>
        <v>-24.082086592009286</v>
      </c>
      <c r="O17" s="78">
        <f t="shared" si="10"/>
        <v>-7.7062677094429715</v>
      </c>
      <c r="P17" s="78"/>
      <c r="Q17" s="78">
        <v>-0.3426895616580603</v>
      </c>
      <c r="R17" s="77">
        <v>-0.95547893467358425</v>
      </c>
      <c r="S17" s="77">
        <v>-3.2492852562130099</v>
      </c>
      <c r="T17" s="77">
        <v>-1.488815695766206</v>
      </c>
    </row>
    <row r="18" spans="1:20">
      <c r="A18" s="77">
        <v>0.34</v>
      </c>
      <c r="B18" s="79">
        <f t="shared" si="11"/>
        <v>2.8248587570621471</v>
      </c>
      <c r="C18" s="82">
        <f t="shared" si="12"/>
        <v>5.3672316384180787</v>
      </c>
      <c r="D18" s="79">
        <f t="shared" si="2"/>
        <v>44.266417122404434</v>
      </c>
      <c r="E18" s="79">
        <f t="shared" si="13"/>
        <v>-19.201689376079958</v>
      </c>
      <c r="F18" s="79">
        <f t="shared" si="0"/>
        <v>-41.029300023115887</v>
      </c>
      <c r="G18" s="79">
        <f t="shared" si="3"/>
        <v>-54.748410493733651</v>
      </c>
      <c r="H18" s="79">
        <f t="shared" si="4"/>
        <v>8.3220095734377075</v>
      </c>
      <c r="I18" s="78">
        <f t="shared" si="5"/>
        <v>0</v>
      </c>
      <c r="J18" s="78">
        <f t="shared" si="1"/>
        <v>0</v>
      </c>
      <c r="K18" s="78">
        <f t="shared" si="6"/>
        <v>0</v>
      </c>
      <c r="L18" s="79">
        <f t="shared" si="7"/>
        <v>-14.964572276791412</v>
      </c>
      <c r="M18" s="79">
        <f t="shared" si="8"/>
        <v>-5.0879545741090801</v>
      </c>
      <c r="N18" s="79">
        <f t="shared" si="9"/>
        <v>-20.361673173971468</v>
      </c>
      <c r="O18" s="78">
        <f t="shared" si="10"/>
        <v>-6.9229688791502992</v>
      </c>
      <c r="P18" s="78"/>
      <c r="Q18" s="78">
        <v>-0.16136584469184229</v>
      </c>
      <c r="R18" s="77">
        <v>-0.92638321593795048</v>
      </c>
      <c r="S18" s="77">
        <v>-1.9954719693298864</v>
      </c>
      <c r="T18" s="77">
        <v>-0.98729854657510185</v>
      </c>
    </row>
    <row r="19" spans="1:20">
      <c r="A19" s="77">
        <v>0.36</v>
      </c>
      <c r="B19" s="79">
        <f t="shared" si="11"/>
        <v>3.164556962025316</v>
      </c>
      <c r="C19" s="82">
        <f t="shared" si="12"/>
        <v>6.0126582278480996</v>
      </c>
      <c r="D19" s="79">
        <f t="shared" si="2"/>
        <v>52.506628798205689</v>
      </c>
      <c r="E19" s="79">
        <f t="shared" si="13"/>
        <v>-22.776091717122384</v>
      </c>
      <c r="F19" s="79">
        <f t="shared" si="0"/>
        <v>-41.807069677857093</v>
      </c>
      <c r="G19" s="79">
        <f t="shared" si="3"/>
        <v>-57.968905228659168</v>
      </c>
      <c r="H19" s="79">
        <f t="shared" si="4"/>
        <v>11.837974645324342</v>
      </c>
      <c r="I19" s="78">
        <f t="shared" si="5"/>
        <v>0</v>
      </c>
      <c r="J19" s="78">
        <f t="shared" si="1"/>
        <v>0</v>
      </c>
      <c r="K19" s="78">
        <f t="shared" si="6"/>
        <v>0</v>
      </c>
      <c r="L19" s="79">
        <f t="shared" si="7"/>
        <v>-11.076532596773788</v>
      </c>
      <c r="M19" s="79">
        <f t="shared" si="8"/>
        <v>-3.9875517348385636</v>
      </c>
      <c r="N19" s="79">
        <f t="shared" si="9"/>
        <v>-15.40039350225152</v>
      </c>
      <c r="O19" s="78">
        <f t="shared" si="10"/>
        <v>-5.5441416608105465</v>
      </c>
      <c r="P19" s="78"/>
      <c r="Q19" s="78">
        <v>9.7151594250947895E-2</v>
      </c>
      <c r="R19" s="77">
        <v>-0.86899313741835693</v>
      </c>
      <c r="S19" s="77">
        <v>-0.10362872623453626</v>
      </c>
      <c r="T19" s="77">
        <v>-0.29068056260392622</v>
      </c>
    </row>
    <row r="20" spans="1:20">
      <c r="A20" s="77">
        <v>0.38</v>
      </c>
      <c r="B20" s="79">
        <f t="shared" si="11"/>
        <v>3.5971223021582732</v>
      </c>
      <c r="C20" s="82">
        <f t="shared" si="12"/>
        <v>6.8345323741007187</v>
      </c>
      <c r="D20" s="79">
        <f t="shared" si="2"/>
        <v>62.999560212715231</v>
      </c>
      <c r="E20" s="79">
        <f t="shared" si="13"/>
        <v>-27.327668798881461</v>
      </c>
      <c r="F20" s="79">
        <f t="shared" si="0"/>
        <v>-42.528395037263678</v>
      </c>
      <c r="G20" s="79">
        <f t="shared" si="3"/>
        <v>-61.18939996358467</v>
      </c>
      <c r="H20" s="79">
        <f t="shared" si="4"/>
        <v>15.690210283541933</v>
      </c>
      <c r="I20" s="78">
        <f t="shared" si="5"/>
        <v>0</v>
      </c>
      <c r="J20" s="78">
        <f t="shared" si="1"/>
        <v>0</v>
      </c>
      <c r="K20" s="78">
        <f t="shared" si="6"/>
        <v>0</v>
      </c>
      <c r="L20" s="79">
        <f t="shared" si="7"/>
        <v>-5.8565036234299086</v>
      </c>
      <c r="M20" s="79">
        <f t="shared" si="8"/>
        <v>-2.2254713769033652</v>
      </c>
      <c r="N20" s="79">
        <f t="shared" si="9"/>
        <v>-8.8272982662089667</v>
      </c>
      <c r="O20" s="78">
        <f t="shared" si="10"/>
        <v>-3.3543733411594072</v>
      </c>
      <c r="P20" s="78"/>
      <c r="Q20" s="78">
        <v>0.46452929394024262</v>
      </c>
      <c r="R20" s="77">
        <v>-0.7773556151752723</v>
      </c>
      <c r="S20" s="77">
        <v>2.6935090068952987</v>
      </c>
      <c r="T20" s="77">
        <v>0.64475784444877582</v>
      </c>
    </row>
    <row r="21" spans="1:20">
      <c r="A21" s="77">
        <v>0.4</v>
      </c>
      <c r="B21" s="79">
        <f t="shared" si="11"/>
        <v>4.166666666666667</v>
      </c>
      <c r="C21" s="82">
        <f t="shared" si="12"/>
        <v>7.916666666666667</v>
      </c>
      <c r="D21" s="79">
        <f t="shared" si="2"/>
        <v>76.815253241819462</v>
      </c>
      <c r="E21" s="79">
        <f t="shared" si="13"/>
        <v>-33.320578623197576</v>
      </c>
      <c r="F21" s="79">
        <f t="shared" si="0"/>
        <v>-43.19920536475923</v>
      </c>
      <c r="G21" s="79">
        <f t="shared" si="3"/>
        <v>-64.409894698510186</v>
      </c>
      <c r="H21" s="79">
        <f t="shared" si="4"/>
        <v>19.878716488090475</v>
      </c>
      <c r="I21" s="78">
        <f t="shared" si="5"/>
        <v>0</v>
      </c>
      <c r="J21" s="78">
        <f t="shared" si="1"/>
        <v>0</v>
      </c>
      <c r="K21" s="78">
        <f t="shared" si="6"/>
        <v>0</v>
      </c>
      <c r="L21" s="79">
        <f t="shared" si="7"/>
        <v>1.295469253862656</v>
      </c>
      <c r="M21" s="79">
        <f t="shared" si="8"/>
        <v>0.51818770154506244</v>
      </c>
      <c r="N21" s="79">
        <f t="shared" si="9"/>
        <v>-3.6503591797824697E-2</v>
      </c>
      <c r="O21" s="78">
        <f t="shared" si="10"/>
        <v>-1.460143671912988E-2</v>
      </c>
      <c r="P21" s="78"/>
      <c r="Q21" s="78">
        <v>0.99248668059441814</v>
      </c>
      <c r="R21" s="77">
        <v>-0.64414093680316764</v>
      </c>
      <c r="S21" s="77">
        <v>6.8315604933088112</v>
      </c>
      <c r="T21" s="77">
        <v>1.8827897551087318</v>
      </c>
    </row>
    <row r="22" spans="1:20">
      <c r="A22" s="77">
        <v>0.42</v>
      </c>
      <c r="B22" s="79">
        <f t="shared" si="11"/>
        <v>4.9504950495049487</v>
      </c>
      <c r="C22" s="82">
        <f t="shared" si="12"/>
        <v>9.4059405940594019</v>
      </c>
      <c r="D22" s="79">
        <f t="shared" si="2"/>
        <v>95.828929786824233</v>
      </c>
      <c r="E22" s="79">
        <f t="shared" si="13"/>
        <v>-41.568246599236552</v>
      </c>
      <c r="F22" s="79">
        <f t="shared" si="0"/>
        <v>-43.824627556231356</v>
      </c>
      <c r="G22" s="79">
        <f t="shared" si="3"/>
        <v>-67.630389433435681</v>
      </c>
      <c r="H22" s="79">
        <f t="shared" si="4"/>
        <v>24.403493258969963</v>
      </c>
      <c r="I22" s="78">
        <f t="shared" si="5"/>
        <v>0</v>
      </c>
      <c r="J22" s="78">
        <f t="shared" si="1"/>
        <v>0</v>
      </c>
      <c r="K22" s="78">
        <f t="shared" si="6"/>
        <v>0</v>
      </c>
      <c r="L22" s="79">
        <f t="shared" si="7"/>
        <v>11.436055631356325</v>
      </c>
      <c r="M22" s="79">
        <f t="shared" si="8"/>
        <v>4.8031433651696567</v>
      </c>
      <c r="N22" s="79">
        <f t="shared" si="9"/>
        <v>12.033787013121962</v>
      </c>
      <c r="O22" s="78">
        <f t="shared" si="10"/>
        <v>5.0541905455112239</v>
      </c>
      <c r="P22" s="78"/>
      <c r="Q22" s="78">
        <v>1.7716584028741849</v>
      </c>
      <c r="R22" s="77">
        <v>-0.46027096426584224</v>
      </c>
      <c r="S22" s="77">
        <v>13.073036635965133</v>
      </c>
      <c r="T22" s="77">
        <v>3.5261039377824583</v>
      </c>
    </row>
    <row r="23" spans="1:20">
      <c r="A23" s="77">
        <v>0.44</v>
      </c>
      <c r="B23" s="79">
        <f t="shared" si="11"/>
        <v>6.0975609756097544</v>
      </c>
      <c r="C23" s="82">
        <f t="shared" si="12"/>
        <v>11.585365853658534</v>
      </c>
      <c r="D23" s="79">
        <f t="shared" si="2"/>
        <v>123.65382229170932</v>
      </c>
      <c r="E23" s="79">
        <f t="shared" si="13"/>
        <v>-53.63800461295218</v>
      </c>
      <c r="F23" s="79">
        <f t="shared" si="0"/>
        <v>-44.409117422425517</v>
      </c>
      <c r="G23" s="79">
        <f t="shared" si="3"/>
        <v>-70.850884168361191</v>
      </c>
      <c r="H23" s="79">
        <f t="shared" si="4"/>
        <v>29.264540596180407</v>
      </c>
      <c r="I23" s="78">
        <f t="shared" si="5"/>
        <v>0</v>
      </c>
      <c r="J23" s="78">
        <f t="shared" si="1"/>
        <v>0</v>
      </c>
      <c r="K23" s="78">
        <f t="shared" si="6"/>
        <v>0</v>
      </c>
      <c r="L23" s="79">
        <f t="shared" si="7"/>
        <v>26.606700256331628</v>
      </c>
      <c r="M23" s="79">
        <f t="shared" si="8"/>
        <v>11.706948112785916</v>
      </c>
      <c r="N23" s="79">
        <f t="shared" si="9"/>
        <v>29.429474106576361</v>
      </c>
      <c r="O23" s="78">
        <f t="shared" si="10"/>
        <v>12.948968606893599</v>
      </c>
      <c r="P23" s="78"/>
      <c r="Q23" s="78">
        <v>2.9766796825482933</v>
      </c>
      <c r="R23" s="77">
        <v>-0.21443210576397156</v>
      </c>
      <c r="S23" s="77">
        <v>22.886237495274898</v>
      </c>
      <c r="T23" s="77">
        <v>5.7613900969118328</v>
      </c>
    </row>
    <row r="24" spans="1:20">
      <c r="A24" s="77">
        <v>0.46</v>
      </c>
      <c r="B24" s="79">
        <f t="shared" si="11"/>
        <v>7.9365079365079367</v>
      </c>
      <c r="C24" s="82">
        <f t="shared" si="12"/>
        <v>15.079365079365079</v>
      </c>
      <c r="D24" s="79">
        <f t="shared" si="2"/>
        <v>168.26198329160451</v>
      </c>
      <c r="E24" s="79">
        <f t="shared" si="13"/>
        <v>-72.987934127004209</v>
      </c>
      <c r="F24" s="79">
        <f t="shared" si="0"/>
        <v>-44.95656601179148</v>
      </c>
      <c r="G24" s="79">
        <f t="shared" si="3"/>
        <v>-74.071378903286714</v>
      </c>
      <c r="H24" s="79">
        <f t="shared" si="4"/>
        <v>34.461858499721792</v>
      </c>
      <c r="I24" s="78">
        <f t="shared" si="5"/>
        <v>0</v>
      </c>
      <c r="J24" s="78">
        <f t="shared" si="1"/>
        <v>0</v>
      </c>
      <c r="K24" s="78">
        <f t="shared" si="6"/>
        <v>0</v>
      </c>
      <c r="L24" s="79">
        <f t="shared" si="7"/>
        <v>51.317483152808819</v>
      </c>
      <c r="M24" s="79">
        <f t="shared" si="8"/>
        <v>23.606042250292059</v>
      </c>
      <c r="N24" s="79">
        <f t="shared" si="9"/>
        <v>56.664528761035378</v>
      </c>
      <c r="O24" s="78">
        <f t="shared" si="10"/>
        <v>26.065683230076274</v>
      </c>
      <c r="P24" s="78"/>
      <c r="Q24" s="78">
        <v>4.9928544692030394</v>
      </c>
      <c r="R24" s="77">
        <v>0.10756837288329214</v>
      </c>
      <c r="S24" s="77">
        <v>39.509728949544559</v>
      </c>
      <c r="T24" s="77">
        <v>8.9860069511226328</v>
      </c>
    </row>
    <row r="25" spans="1:20">
      <c r="A25" s="77">
        <v>0.48</v>
      </c>
      <c r="B25" s="79">
        <f t="shared" si="11"/>
        <v>11.363636363636354</v>
      </c>
      <c r="C25" s="82">
        <f t="shared" si="12"/>
        <v>21.590909090909072</v>
      </c>
      <c r="D25" s="79">
        <f t="shared" si="2"/>
        <v>251.39537424595437</v>
      </c>
      <c r="E25" s="79">
        <f t="shared" si="13"/>
        <v>-109.04916640319196</v>
      </c>
      <c r="F25" s="79">
        <f t="shared" si="0"/>
        <v>-45.470386339969728</v>
      </c>
      <c r="G25" s="79">
        <f t="shared" si="3"/>
        <v>-77.291873638212209</v>
      </c>
      <c r="H25" s="79">
        <f t="shared" si="4"/>
        <v>39.995446969594113</v>
      </c>
      <c r="I25" s="78">
        <f t="shared" si="5"/>
        <v>0</v>
      </c>
      <c r="J25" s="78">
        <f t="shared" si="1"/>
        <v>0</v>
      </c>
      <c r="K25" s="78">
        <f t="shared" si="6"/>
        <v>0</v>
      </c>
      <c r="L25" s="79">
        <f t="shared" si="7"/>
        <v>97.875821502792661</v>
      </c>
      <c r="M25" s="79">
        <f t="shared" si="8"/>
        <v>46.980394321340476</v>
      </c>
      <c r="N25" s="79">
        <f t="shared" si="9"/>
        <v>106.0497811741443</v>
      </c>
      <c r="O25" s="78">
        <f t="shared" si="10"/>
        <v>50.903894963589259</v>
      </c>
      <c r="P25" s="78"/>
      <c r="Q25" s="78">
        <v>8.8710090515584241</v>
      </c>
      <c r="R25" s="77">
        <v>0.52366109158953944</v>
      </c>
      <c r="S25" s="77">
        <v>71.774731103539906</v>
      </c>
      <c r="T25" s="77">
        <v>14.262835786576138</v>
      </c>
    </row>
    <row r="26" spans="1:20">
      <c r="A26" s="77">
        <v>0.5</v>
      </c>
      <c r="B26" s="79">
        <f t="shared" si="11"/>
        <v>19.999999999999982</v>
      </c>
      <c r="C26" s="82">
        <f t="shared" si="12"/>
        <v>37.999999999999964</v>
      </c>
      <c r="D26" s="79">
        <f t="shared" si="2"/>
        <v>460.89151945091629</v>
      </c>
      <c r="E26" s="79">
        <f t="shared" si="13"/>
        <v>-199.92347173918526</v>
      </c>
      <c r="F26" s="79">
        <f t="shared" si="0"/>
        <v>-45.953584612874195</v>
      </c>
      <c r="G26" s="79">
        <f t="shared" si="3"/>
        <v>-80.512368373137718</v>
      </c>
      <c r="H26" s="79">
        <f t="shared" si="4"/>
        <v>45.8653060057974</v>
      </c>
      <c r="I26" s="78">
        <f t="shared" si="5"/>
        <v>0</v>
      </c>
      <c r="J26" s="78">
        <f t="shared" si="1"/>
        <v>0</v>
      </c>
      <c r="K26" s="78">
        <f t="shared" si="6"/>
        <v>0</v>
      </c>
      <c r="L26" s="79">
        <f t="shared" si="7"/>
        <v>216.01446309885688</v>
      </c>
      <c r="M26" s="79">
        <f t="shared" si="8"/>
        <v>108.00723154942844</v>
      </c>
      <c r="N26" s="79">
        <f t="shared" si="9"/>
        <v>227.32098534439075</v>
      </c>
      <c r="O26" s="78">
        <f t="shared" si="10"/>
        <v>113.66049267219537</v>
      </c>
      <c r="P26" s="78" t="str">
        <f>IF(N26&lt;0,"negZ","")</f>
        <v/>
      </c>
      <c r="Q26" s="78">
        <v>18.856477858536117</v>
      </c>
      <c r="R26" s="77">
        <v>1.056671654617733</v>
      </c>
      <c r="S26" s="77">
        <v>155.35752748765651</v>
      </c>
      <c r="T26" s="77">
        <v>25.849266213604164</v>
      </c>
    </row>
    <row r="27" spans="1:20">
      <c r="A27" s="77">
        <v>0.52</v>
      </c>
      <c r="B27" s="79">
        <f t="shared" si="11"/>
        <v>83.333333333333258</v>
      </c>
      <c r="C27" s="82">
        <f t="shared" si="12"/>
        <v>158.33333333333317</v>
      </c>
      <c r="D27" s="79">
        <f t="shared" si="2"/>
        <v>1997.1965842873039</v>
      </c>
      <c r="E27" s="79">
        <f t="shared" si="13"/>
        <v>-866.33504420313602</v>
      </c>
      <c r="F27" s="79">
        <f t="shared" si="0"/>
        <v>-46.408819084241557</v>
      </c>
      <c r="G27" s="79">
        <f t="shared" si="3"/>
        <v>-83.732863108063228</v>
      </c>
      <c r="H27" s="79">
        <f t="shared" si="4"/>
        <v>52.071435608331647</v>
      </c>
      <c r="I27" s="78">
        <f t="shared" si="5"/>
        <v>0</v>
      </c>
      <c r="J27" s="78">
        <f t="shared" si="1"/>
        <v>0</v>
      </c>
      <c r="K27" s="78">
        <f t="shared" si="6"/>
        <v>0</v>
      </c>
      <c r="L27" s="79">
        <f t="shared" si="7"/>
        <v>1085.4527209999264</v>
      </c>
      <c r="M27" s="79">
        <f t="shared" si="8"/>
        <v>564.43541491996177</v>
      </c>
      <c r="N27" s="79">
        <f t="shared" si="9"/>
        <v>1100.2001125844365</v>
      </c>
      <c r="O27" s="78">
        <f t="shared" si="10"/>
        <v>572.10405854390706</v>
      </c>
      <c r="P27" s="78" t="str">
        <f t="shared" ref="P27:P51" si="14">IF(N27&lt;0,"negZ","")</f>
        <v/>
      </c>
      <c r="Q27" s="78">
        <v>92.968818626407611</v>
      </c>
      <c r="R27" s="77">
        <v>1.7358964529691534</v>
      </c>
      <c r="S27" s="77">
        <v>777.82741528157624</v>
      </c>
      <c r="T27" s="77">
        <v>101.77691129940847</v>
      </c>
    </row>
    <row r="28" spans="1:20">
      <c r="A28" s="77">
        <v>0.54</v>
      </c>
      <c r="B28" s="79">
        <f t="shared" si="11"/>
        <v>-38.461538461538424</v>
      </c>
      <c r="C28" s="82">
        <f t="shared" si="12"/>
        <v>-73.076923076923009</v>
      </c>
      <c r="D28" s="79">
        <f t="shared" si="2"/>
        <v>-957.23623270574933</v>
      </c>
      <c r="E28" s="79">
        <f t="shared" si="13"/>
        <v>415.22567207369246</v>
      </c>
      <c r="F28" s="79">
        <f t="shared" si="0"/>
        <v>-46.838448981886444</v>
      </c>
      <c r="G28" s="79">
        <f t="shared" si="3"/>
        <v>-86.953357842988751</v>
      </c>
      <c r="H28" s="79">
        <f t="shared" si="4"/>
        <v>58.613835777196826</v>
      </c>
      <c r="I28" s="78">
        <f t="shared" si="5"/>
        <v>0</v>
      </c>
      <c r="J28" s="78">
        <f t="shared" si="1"/>
        <v>0</v>
      </c>
      <c r="K28" s="78">
        <f t="shared" si="6"/>
        <v>0</v>
      </c>
      <c r="L28" s="79">
        <f t="shared" si="7"/>
        <v>-587.84900961394339</v>
      </c>
      <c r="M28" s="79">
        <f t="shared" si="8"/>
        <v>-317.43846519152947</v>
      </c>
      <c r="N28" s="79">
        <f t="shared" si="9"/>
        <v>-569.35008269784885</v>
      </c>
      <c r="O28" s="78">
        <f t="shared" si="10"/>
        <v>-307.4490446568384</v>
      </c>
      <c r="P28" s="78" t="str">
        <f t="shared" si="14"/>
        <v>negZ</v>
      </c>
      <c r="Q28" s="78">
        <v>-49.963666682114372</v>
      </c>
      <c r="R28" s="77">
        <v>2.599273420569538</v>
      </c>
      <c r="S28" s="77">
        <v>-423.64882131143185</v>
      </c>
      <c r="T28" s="77">
        <v>-39.113871539835181</v>
      </c>
    </row>
    <row r="29" spans="1:20">
      <c r="A29" s="77">
        <v>0.56000000000000005</v>
      </c>
      <c r="B29" s="79">
        <f t="shared" si="11"/>
        <v>-15.624999999999986</v>
      </c>
      <c r="C29" s="82">
        <f t="shared" si="12"/>
        <v>-29.687499999999972</v>
      </c>
      <c r="D29" s="79">
        <f t="shared" ref="D29:D51" si="15">4*$E$4*B29*A29</f>
        <v>-403.2800795195518</v>
      </c>
      <c r="E29" s="79">
        <f t="shared" si="13"/>
        <v>174.93303777178713</v>
      </c>
      <c r="F29" s="79">
        <f t="shared" ref="F29:F51" si="16" xml:space="preserve"> -9.5*$E$4*$B$4*A29/(1+$Z$4*$B$4*A29)</f>
        <v>-47.244575404228954</v>
      </c>
      <c r="G29" s="79">
        <f t="shared" si="3"/>
        <v>-90.173852577914246</v>
      </c>
      <c r="H29" s="79">
        <f t="shared" si="4"/>
        <v>65.492506512392964</v>
      </c>
      <c r="I29" s="78">
        <f t="shared" si="5"/>
        <v>0</v>
      </c>
      <c r="J29" s="78">
        <f t="shared" si="1"/>
        <v>0</v>
      </c>
      <c r="K29" s="78">
        <f t="shared" si="6"/>
        <v>0</v>
      </c>
      <c r="L29" s="79">
        <f t="shared" si="7"/>
        <v>-274.59161715199366</v>
      </c>
      <c r="M29" s="79">
        <f t="shared" si="8"/>
        <v>-153.77130560511645</v>
      </c>
      <c r="N29" s="79">
        <f t="shared" si="9"/>
        <v>-252.02838781328595</v>
      </c>
      <c r="O29" s="78">
        <f t="shared" si="10"/>
        <v>-141.13589717544014</v>
      </c>
      <c r="P29" s="78" t="str">
        <f t="shared" si="14"/>
        <v>negZ</v>
      </c>
      <c r="Q29" s="77">
        <v>-23.329891642546613</v>
      </c>
      <c r="R29" s="77">
        <v>3.6964096605055179</v>
      </c>
      <c r="S29" s="77">
        <v>-200.17459562458001</v>
      </c>
      <c r="T29" s="77">
        <v>-10.199940324993582</v>
      </c>
    </row>
    <row r="30" spans="1:20">
      <c r="A30" s="77">
        <v>0.57999999999999996</v>
      </c>
      <c r="B30" s="79">
        <f t="shared" si="11"/>
        <v>-9.8039215686274641</v>
      </c>
      <c r="C30" s="82">
        <f t="shared" si="12"/>
        <v>-18.62745098039218</v>
      </c>
      <c r="D30" s="79">
        <f t="shared" si="15"/>
        <v>-262.07556988385494</v>
      </c>
      <c r="E30" s="79">
        <f t="shared" si="13"/>
        <v>113.68197412620361</v>
      </c>
      <c r="F30" s="79">
        <f t="shared" si="16"/>
        <v>-47.629075683628827</v>
      </c>
      <c r="G30" s="79">
        <f t="shared" si="3"/>
        <v>-93.394347312839756</v>
      </c>
      <c r="H30" s="79">
        <f t="shared" si="4"/>
        <v>72.707447813920027</v>
      </c>
      <c r="I30" s="78">
        <f t="shared" si="5"/>
        <v>0</v>
      </c>
      <c r="J30" s="78">
        <f t="shared" si="1"/>
        <v>0</v>
      </c>
      <c r="K30" s="78">
        <f t="shared" si="6"/>
        <v>0</v>
      </c>
      <c r="L30" s="79">
        <f t="shared" si="7"/>
        <v>-195.02267144128015</v>
      </c>
      <c r="M30" s="79">
        <f t="shared" si="8"/>
        <v>-113.11314943594247</v>
      </c>
      <c r="N30" s="79">
        <f t="shared" si="9"/>
        <v>-168.08049525657106</v>
      </c>
      <c r="O30" s="78">
        <f t="shared" si="10"/>
        <v>-97.486687248811208</v>
      </c>
      <c r="P30" s="78" t="str">
        <f t="shared" si="14"/>
        <v>negZ</v>
      </c>
      <c r="Q30" s="77">
        <v>-16.64509385122825</v>
      </c>
      <c r="R30" s="77">
        <v>5.0928613600031731</v>
      </c>
      <c r="S30" s="77">
        <v>-144.34577601166788</v>
      </c>
      <c r="T30" s="77">
        <v>-0.9844770136027351</v>
      </c>
    </row>
    <row r="31" spans="1:20">
      <c r="A31" s="77">
        <v>0.6</v>
      </c>
      <c r="B31" s="79">
        <f t="shared" si="11"/>
        <v>-7.1428571428571477</v>
      </c>
      <c r="C31" s="82">
        <f t="shared" si="12"/>
        <v>-13.57142857142858</v>
      </c>
      <c r="D31" s="79">
        <f t="shared" si="15"/>
        <v>-197.52493690753587</v>
      </c>
      <c r="E31" s="79">
        <f t="shared" si="13"/>
        <v>85.681487888222378</v>
      </c>
      <c r="F31" s="79">
        <f t="shared" si="16"/>
        <v>-47.993632402566902</v>
      </c>
      <c r="G31" s="79">
        <f t="shared" si="3"/>
        <v>-96.614842047765251</v>
      </c>
      <c r="H31" s="79">
        <f t="shared" si="4"/>
        <v>80.258659681778056</v>
      </c>
      <c r="I31" s="78">
        <f t="shared" si="5"/>
        <v>0</v>
      </c>
      <c r="J31" s="78">
        <f t="shared" si="1"/>
        <v>0</v>
      </c>
      <c r="K31" s="78">
        <f t="shared" si="6"/>
        <v>0</v>
      </c>
      <c r="L31" s="79">
        <f t="shared" si="7"/>
        <v>-158.83708142188038</v>
      </c>
      <c r="M31" s="79">
        <f t="shared" si="8"/>
        <v>-95.302248853128233</v>
      </c>
      <c r="N31" s="79">
        <f t="shared" si="9"/>
        <v>-127.19963138530068</v>
      </c>
      <c r="O31" s="78">
        <f t="shared" si="10"/>
        <v>-76.3197788311804</v>
      </c>
      <c r="P31" s="78" t="str">
        <f t="shared" si="14"/>
        <v>negZ</v>
      </c>
      <c r="Q31" s="77">
        <v>-13.665109568993349</v>
      </c>
      <c r="R31" s="77">
        <v>6.8762732939335054</v>
      </c>
      <c r="S31" s="77">
        <v>-119.65382962135986</v>
      </c>
      <c r="T31" s="77">
        <v>4.7887378427547729</v>
      </c>
    </row>
    <row r="32" spans="1:20">
      <c r="A32" s="77">
        <v>0.62</v>
      </c>
      <c r="B32" s="79">
        <f t="shared" si="11"/>
        <v>-5.6179775280898898</v>
      </c>
      <c r="C32" s="82">
        <f t="shared" si="12"/>
        <v>-10.674157303370789</v>
      </c>
      <c r="D32" s="79">
        <f t="shared" si="15"/>
        <v>-160.53524834807217</v>
      </c>
      <c r="E32" s="79">
        <f t="shared" si="13"/>
        <v>69.636265437244376</v>
      </c>
      <c r="F32" s="79">
        <f t="shared" si="16"/>
        <v>-48.339758008861168</v>
      </c>
      <c r="G32" s="79">
        <f t="shared" si="3"/>
        <v>-99.835336782690774</v>
      </c>
      <c r="H32" s="79">
        <f t="shared" si="4"/>
        <v>88.146142115967038</v>
      </c>
      <c r="I32" s="78">
        <f t="shared" si="5"/>
        <v>0</v>
      </c>
      <c r="J32" s="78">
        <f t="shared" si="1"/>
        <v>0</v>
      </c>
      <c r="K32" s="78">
        <f t="shared" si="6"/>
        <v>0</v>
      </c>
      <c r="L32" s="79">
        <f t="shared" si="7"/>
        <v>-138.23874091968895</v>
      </c>
      <c r="M32" s="79">
        <f t="shared" si="8"/>
        <v>-85.708019370207154</v>
      </c>
      <c r="N32" s="79">
        <f t="shared" si="9"/>
        <v>-101.58817757755152</v>
      </c>
      <c r="O32" s="78">
        <f t="shared" si="10"/>
        <v>-62.984670098081942</v>
      </c>
      <c r="P32" s="78" t="str">
        <f t="shared" si="14"/>
        <v>negZ</v>
      </c>
      <c r="Q32" s="77">
        <v>-12.017195435515765</v>
      </c>
      <c r="R32" s="77">
        <v>9.165328244300035</v>
      </c>
      <c r="S32" s="77">
        <v>-106.15909100914524</v>
      </c>
      <c r="T32" s="77">
        <v>9.5045033729937227</v>
      </c>
    </row>
    <row r="33" spans="1:20">
      <c r="A33" s="77">
        <v>0.64</v>
      </c>
      <c r="B33" s="79">
        <f t="shared" si="11"/>
        <v>-4.6296296296296306</v>
      </c>
      <c r="C33" s="82">
        <f t="shared" si="12"/>
        <v>-8.7962962962962976</v>
      </c>
      <c r="D33" s="79">
        <f t="shared" si="15"/>
        <v>-136.56045020767905</v>
      </c>
      <c r="E33" s="79">
        <f t="shared" si="13"/>
        <v>59.236584219017914</v>
      </c>
      <c r="F33" s="79">
        <f t="shared" si="16"/>
        <v>-48.668815789474436</v>
      </c>
      <c r="G33" s="79">
        <f t="shared" si="3"/>
        <v>-103.05583151761628</v>
      </c>
      <c r="H33" s="79">
        <f t="shared" si="4"/>
        <v>96.369895116486973</v>
      </c>
      <c r="I33" s="78">
        <f t="shared" si="5"/>
        <v>0</v>
      </c>
      <c r="J33" s="78">
        <f t="shared" si="1"/>
        <v>0</v>
      </c>
      <c r="K33" s="78">
        <f t="shared" si="6"/>
        <v>0</v>
      </c>
      <c r="L33" s="79">
        <f t="shared" si="7"/>
        <v>-124.99268177813558</v>
      </c>
      <c r="M33" s="79">
        <f t="shared" si="8"/>
        <v>-79.995316338006774</v>
      </c>
      <c r="N33" s="79">
        <f t="shared" si="9"/>
        <v>-83.009802389790437</v>
      </c>
      <c r="O33" s="78">
        <f t="shared" si="10"/>
        <v>-53.126273529465884</v>
      </c>
      <c r="P33" s="78" t="str">
        <f t="shared" si="14"/>
        <v>negZ</v>
      </c>
      <c r="Q33" s="77">
        <v>-10.998316142155634</v>
      </c>
      <c r="R33" s="77">
        <v>12.123024219655681</v>
      </c>
      <c r="S33" s="77">
        <v>-97.953354501245883</v>
      </c>
      <c r="T33" s="77">
        <v>13.877910704607366</v>
      </c>
    </row>
    <row r="34" spans="1:20">
      <c r="A34" s="77">
        <v>0.66</v>
      </c>
      <c r="B34" s="79">
        <f t="shared" si="11"/>
        <v>-3.9370078740157481</v>
      </c>
      <c r="C34" s="82">
        <f t="shared" si="12"/>
        <v>-7.4803149606299204</v>
      </c>
      <c r="D34" s="79">
        <f t="shared" si="15"/>
        <v>-119.75921371559254</v>
      </c>
      <c r="E34" s="79">
        <f t="shared" si="13"/>
        <v>51.948618640890707</v>
      </c>
      <c r="F34" s="79">
        <f t="shared" si="16"/>
        <v>-48.982037816257737</v>
      </c>
      <c r="G34" s="79">
        <f t="shared" si="3"/>
        <v>-106.27632625254178</v>
      </c>
      <c r="H34" s="79">
        <f t="shared" si="4"/>
        <v>104.92991868333785</v>
      </c>
      <c r="I34" s="78">
        <f t="shared" si="5"/>
        <v>0</v>
      </c>
      <c r="J34" s="78">
        <f t="shared" si="1"/>
        <v>0</v>
      </c>
      <c r="K34" s="78">
        <f t="shared" si="6"/>
        <v>0</v>
      </c>
      <c r="L34" s="79">
        <f t="shared" si="7"/>
        <v>-115.79263289095957</v>
      </c>
      <c r="M34" s="79">
        <f t="shared" si="8"/>
        <v>-76.423137708033323</v>
      </c>
      <c r="N34" s="79">
        <f t="shared" si="9"/>
        <v>-68.157002643905756</v>
      </c>
      <c r="O34" s="78">
        <f t="shared" si="10"/>
        <v>-44.983621744977803</v>
      </c>
      <c r="P34" s="78" t="str">
        <f t="shared" si="14"/>
        <v>negZ</v>
      </c>
      <c r="Q34" s="77">
        <v>-10.326150250210443</v>
      </c>
      <c r="R34" s="77">
        <v>15.976759105099354</v>
      </c>
      <c r="S34" s="77">
        <v>-92.663916377869668</v>
      </c>
      <c r="T34" s="77">
        <v>18.203337137959128</v>
      </c>
    </row>
    <row r="35" spans="1:20">
      <c r="A35" s="77">
        <v>0.68</v>
      </c>
      <c r="B35" s="79">
        <f t="shared" si="11"/>
        <v>-3.4246575342465748</v>
      </c>
      <c r="C35" s="82">
        <f t="shared" si="12"/>
        <v>-6.5068493150684921</v>
      </c>
      <c r="D35" s="79">
        <f t="shared" si="15"/>
        <v>-107.33090178993949</v>
      </c>
      <c r="E35" s="79">
        <f t="shared" si="13"/>
        <v>46.557520815974691</v>
      </c>
      <c r="F35" s="79">
        <f t="shared" si="16"/>
        <v>-49.280540361679535</v>
      </c>
      <c r="G35" s="79">
        <f t="shared" si="3"/>
        <v>-109.4968209874673</v>
      </c>
      <c r="H35" s="79">
        <f t="shared" si="4"/>
        <v>113.82621281651969</v>
      </c>
      <c r="I35" s="78">
        <f t="shared" si="5"/>
        <v>0</v>
      </c>
      <c r="J35" s="78">
        <f t="shared" si="1"/>
        <v>0</v>
      </c>
      <c r="K35" s="78">
        <f t="shared" si="6"/>
        <v>0</v>
      </c>
      <c r="L35" s="79">
        <f t="shared" si="7"/>
        <v>-109.05392133564433</v>
      </c>
      <c r="M35" s="79">
        <f t="shared" si="8"/>
        <v>-74.156666508238146</v>
      </c>
      <c r="N35" s="79">
        <f t="shared" si="9"/>
        <v>-55.443989144912408</v>
      </c>
      <c r="O35" s="78">
        <f t="shared" si="10"/>
        <v>-37.70191261854044</v>
      </c>
      <c r="P35" s="78" t="str">
        <f t="shared" si="14"/>
        <v>negZ</v>
      </c>
      <c r="Q35" s="77">
        <v>-9.8653380369571408</v>
      </c>
      <c r="R35" s="77">
        <v>21.049375613932941</v>
      </c>
      <c r="S35" s="77">
        <v>-89.153089002646837</v>
      </c>
      <c r="T35" s="77">
        <v>22.628198294072519</v>
      </c>
    </row>
    <row r="36" spans="1:20">
      <c r="A36" s="77">
        <v>0.7</v>
      </c>
      <c r="B36" s="79">
        <f t="shared" si="11"/>
        <v>-3.0303030303030316</v>
      </c>
      <c r="C36" s="82">
        <f t="shared" si="12"/>
        <v>-5.7575757575757596</v>
      </c>
      <c r="D36" s="79">
        <f t="shared" si="15"/>
        <v>-97.764867762315703</v>
      </c>
      <c r="E36" s="79">
        <f t="shared" si="13"/>
        <v>42.408009156796922</v>
      </c>
      <c r="F36" s="79">
        <f t="shared" si="16"/>
        <v>-49.565337191119859</v>
      </c>
      <c r="G36" s="79">
        <f t="shared" si="3"/>
        <v>-112.71731572239281</v>
      </c>
      <c r="H36" s="79">
        <f t="shared" si="4"/>
        <v>123.05877751603242</v>
      </c>
      <c r="I36" s="78">
        <f t="shared" si="5"/>
        <v>0</v>
      </c>
      <c r="J36" s="78">
        <f t="shared" si="1"/>
        <v>0</v>
      </c>
      <c r="K36" s="78">
        <f t="shared" si="6"/>
        <v>0</v>
      </c>
      <c r="L36" s="79">
        <f t="shared" si="7"/>
        <v>-103.92219579663865</v>
      </c>
      <c r="M36" s="79">
        <f t="shared" si="8"/>
        <v>-72.745537057647041</v>
      </c>
      <c r="N36" s="79">
        <f t="shared" si="9"/>
        <v>-44.015396811879157</v>
      </c>
      <c r="O36" s="78">
        <f t="shared" si="10"/>
        <v>-30.810777768315408</v>
      </c>
      <c r="P36" s="78" t="str">
        <f t="shared" si="14"/>
        <v>negZ</v>
      </c>
      <c r="Q36" s="77">
        <v>-9.5428671902948334</v>
      </c>
      <c r="R36" s="77">
        <v>27.808316884936762</v>
      </c>
      <c r="S36" s="77">
        <v>-86.807140093848119</v>
      </c>
      <c r="T36" s="77">
        <v>27.237562414857138</v>
      </c>
    </row>
    <row r="37" spans="1:20">
      <c r="A37" s="77">
        <v>0.72</v>
      </c>
      <c r="B37" s="79">
        <f t="shared" si="11"/>
        <v>-2.7173913043478271</v>
      </c>
      <c r="C37" s="82">
        <f t="shared" si="12"/>
        <v>-5.163043478260871</v>
      </c>
      <c r="D37" s="79">
        <f t="shared" si="15"/>
        <v>-90.174427718657654</v>
      </c>
      <c r="E37" s="79">
        <f t="shared" si="13"/>
        <v>39.115461862014556</v>
      </c>
      <c r="F37" s="79">
        <f t="shared" si="16"/>
        <v>-49.837351065311609</v>
      </c>
      <c r="G37" s="79">
        <f t="shared" si="3"/>
        <v>-115.93781045731834</v>
      </c>
      <c r="H37" s="79">
        <f t="shared" si="4"/>
        <v>132.62761278187614</v>
      </c>
      <c r="I37" s="78">
        <f t="shared" si="5"/>
        <v>0</v>
      </c>
      <c r="J37" s="78">
        <f t="shared" si="1"/>
        <v>0</v>
      </c>
      <c r="K37" s="78">
        <f t="shared" si="6"/>
        <v>0</v>
      </c>
      <c r="L37" s="79">
        <f t="shared" si="7"/>
        <v>-99.896316921954707</v>
      </c>
      <c r="M37" s="79">
        <f t="shared" si="8"/>
        <v>-71.925348183807387</v>
      </c>
      <c r="N37" s="79">
        <f t="shared" si="9"/>
        <v>-33.369163532085309</v>
      </c>
      <c r="O37" s="78">
        <f t="shared" si="10"/>
        <v>-24.025797743101421</v>
      </c>
      <c r="P37" s="78" t="str">
        <f t="shared" si="14"/>
        <v>negZ</v>
      </c>
      <c r="Q37" s="77">
        <v>-9.3158825815402331</v>
      </c>
      <c r="R37" s="77">
        <v>36.945590945068354</v>
      </c>
      <c r="S37" s="77">
        <v>-85.265779387273412</v>
      </c>
      <c r="T37" s="77">
        <v>32.086340586020874</v>
      </c>
    </row>
    <row r="38" spans="1:20">
      <c r="A38" s="77">
        <v>0.74</v>
      </c>
      <c r="B38" s="79">
        <f t="shared" si="11"/>
        <v>-2.4630541871921188</v>
      </c>
      <c r="C38" s="82">
        <f t="shared" si="12"/>
        <v>-4.6798029556650258</v>
      </c>
      <c r="D38" s="79">
        <f t="shared" si="15"/>
        <v>-84.004858225043947</v>
      </c>
      <c r="E38" s="79">
        <f t="shared" si="13"/>
        <v>36.439253469703758</v>
      </c>
      <c r="F38" s="79">
        <f t="shared" si="16"/>
        <v>-50.097423727935386</v>
      </c>
      <c r="G38" s="79">
        <f t="shared" si="3"/>
        <v>-119.15830519224383</v>
      </c>
      <c r="H38" s="79">
        <f t="shared" si="4"/>
        <v>142.53271861405079</v>
      </c>
      <c r="I38" s="78">
        <f t="shared" si="5"/>
        <v>0</v>
      </c>
      <c r="J38" s="78">
        <f t="shared" si="1"/>
        <v>0</v>
      </c>
      <c r="K38" s="78">
        <f t="shared" si="6"/>
        <v>0</v>
      </c>
      <c r="L38" s="79">
        <f t="shared" si="7"/>
        <v>-96.663028483275582</v>
      </c>
      <c r="M38" s="79">
        <f t="shared" si="8"/>
        <v>-71.530641077623926</v>
      </c>
      <c r="N38" s="79">
        <f t="shared" si="9"/>
        <v>-23.191191333533226</v>
      </c>
      <c r="O38" s="78">
        <f t="shared" si="10"/>
        <v>-17.161481586814588</v>
      </c>
      <c r="P38" s="78" t="str">
        <f t="shared" si="14"/>
        <v>negZ</v>
      </c>
      <c r="Q38" s="77">
        <v>-9.157573306945574</v>
      </c>
      <c r="R38" s="77">
        <v>49.5118941639764</v>
      </c>
      <c r="S38" s="77">
        <v>-84.303558346477985</v>
      </c>
      <c r="T38" s="77">
        <v>37.213399691942428</v>
      </c>
    </row>
    <row r="39" spans="1:20">
      <c r="A39" s="77">
        <v>0.76</v>
      </c>
      <c r="B39" s="79">
        <f t="shared" si="11"/>
        <v>-2.2522522522522523</v>
      </c>
      <c r="C39" s="82">
        <f t="shared" si="12"/>
        <v>-4.2792792792792795</v>
      </c>
      <c r="D39" s="79">
        <f t="shared" si="15"/>
        <v>-78.891341167274035</v>
      </c>
      <c r="E39" s="79">
        <f t="shared" si="13"/>
        <v>34.221134802202918</v>
      </c>
      <c r="F39" s="79">
        <f t="shared" si="16"/>
        <v>-50.346324606121009</v>
      </c>
      <c r="G39" s="79">
        <f t="shared" si="3"/>
        <v>-122.37879992716934</v>
      </c>
      <c r="H39" s="79">
        <f t="shared" si="4"/>
        <v>152.77409501255647</v>
      </c>
      <c r="I39" s="78">
        <f t="shared" si="5"/>
        <v>0</v>
      </c>
      <c r="J39" s="78">
        <f t="shared" si="1"/>
        <v>0</v>
      </c>
      <c r="K39" s="78">
        <f t="shared" si="6"/>
        <v>0</v>
      </c>
      <c r="L39" s="79">
        <f t="shared" si="7"/>
        <v>-94.016530971192125</v>
      </c>
      <c r="M39" s="79">
        <f t="shared" si="8"/>
        <v>-71.45256353810602</v>
      </c>
      <c r="N39" s="79">
        <f t="shared" si="9"/>
        <v>-13.274911279683977</v>
      </c>
      <c r="O39" s="78">
        <f t="shared" si="10"/>
        <v>-10.088932572559823</v>
      </c>
      <c r="P39" s="78" t="str">
        <f t="shared" si="14"/>
        <v>negZ</v>
      </c>
      <c r="Q39" s="77">
        <v>-9.0503069228187965</v>
      </c>
      <c r="R39" s="77">
        <v>67.14956290346899</v>
      </c>
      <c r="S39" s="77">
        <v>-83.772172066899074</v>
      </c>
      <c r="T39" s="77">
        <v>42.64842817750155</v>
      </c>
    </row>
    <row r="40" spans="1:20">
      <c r="A40" s="77">
        <v>0.78</v>
      </c>
      <c r="B40" s="79">
        <f t="shared" si="11"/>
        <v>-2.0746887966804981</v>
      </c>
      <c r="C40" s="82">
        <f t="shared" si="12"/>
        <v>-3.9419087136929458</v>
      </c>
      <c r="D40" s="79">
        <f t="shared" si="15"/>
        <v>-74.584104807409773</v>
      </c>
      <c r="E40" s="79">
        <f t="shared" si="13"/>
        <v>32.352760986839137</v>
      </c>
      <c r="F40" s="79">
        <f t="shared" si="16"/>
        <v>-50.58475841329814</v>
      </c>
      <c r="G40" s="79">
        <f t="shared" si="3"/>
        <v>-125.59929466209486</v>
      </c>
      <c r="H40" s="79">
        <f t="shared" si="4"/>
        <v>163.35174197739303</v>
      </c>
      <c r="I40" s="78">
        <f t="shared" si="5"/>
        <v>0</v>
      </c>
      <c r="J40" s="78">
        <f t="shared" si="1"/>
        <v>0</v>
      </c>
      <c r="K40" s="78">
        <f t="shared" si="6"/>
        <v>0</v>
      </c>
      <c r="L40" s="79">
        <f t="shared" si="7"/>
        <v>-91.816102233868776</v>
      </c>
      <c r="M40" s="79">
        <f t="shared" si="8"/>
        <v>-71.61655974241765</v>
      </c>
      <c r="N40" s="79">
        <f t="shared" si="9"/>
        <v>-3.4788965052724734</v>
      </c>
      <c r="O40" s="78">
        <f t="shared" si="10"/>
        <v>-2.7135392741125295</v>
      </c>
      <c r="P40" s="78" t="str">
        <f t="shared" si="14"/>
        <v>negZ</v>
      </c>
      <c r="Q40" s="77">
        <v>-8.9820113858707522</v>
      </c>
      <c r="R40" s="77">
        <v>92.513765539599177</v>
      </c>
      <c r="S40" s="77">
        <v>-83.570053538607681</v>
      </c>
      <c r="T40" s="77">
        <v>48.415554105142782</v>
      </c>
    </row>
    <row r="41" spans="1:20">
      <c r="A41" s="77">
        <v>0.8</v>
      </c>
      <c r="B41" s="79">
        <f t="shared" si="11"/>
        <v>-1.9230769230769229</v>
      </c>
      <c r="C41" s="82">
        <f t="shared" si="12"/>
        <v>-3.6538461538461537</v>
      </c>
      <c r="D41" s="79">
        <f t="shared" si="15"/>
        <v>-70.906387607833338</v>
      </c>
      <c r="E41" s="79">
        <f t="shared" si="13"/>
        <v>30.757457190643915</v>
      </c>
      <c r="F41" s="79">
        <f t="shared" si="16"/>
        <v>-50.813371812627643</v>
      </c>
      <c r="G41" s="79">
        <f t="shared" si="3"/>
        <v>-128.81978939702037</v>
      </c>
      <c r="H41" s="79">
        <f t="shared" si="4"/>
        <v>174.26565950856053</v>
      </c>
      <c r="I41" s="78">
        <f t="shared" si="5"/>
        <v>0</v>
      </c>
      <c r="J41" s="78">
        <f t="shared" si="1"/>
        <v>0</v>
      </c>
      <c r="K41" s="78">
        <f t="shared" si="6"/>
        <v>0</v>
      </c>
      <c r="L41" s="79">
        <f t="shared" si="7"/>
        <v>-89.962302229817055</v>
      </c>
      <c r="M41" s="79">
        <f t="shared" si="8"/>
        <v>-71.969841783853653</v>
      </c>
      <c r="N41" s="79">
        <f t="shared" si="9"/>
        <v>6.2969396943507263</v>
      </c>
      <c r="O41" s="78">
        <f t="shared" si="10"/>
        <v>5.0375517554805818</v>
      </c>
      <c r="P41" s="78" t="str">
        <f t="shared" si="14"/>
        <v/>
      </c>
      <c r="Q41" s="77">
        <v>-8.9441433728104869</v>
      </c>
      <c r="R41" s="77">
        <v>130.07054144058708</v>
      </c>
      <c r="S41" s="77">
        <v>-83.625299245571341</v>
      </c>
      <c r="T41" s="77">
        <v>54.535376833073101</v>
      </c>
    </row>
    <row r="42" spans="1:20">
      <c r="A42" s="77">
        <v>0.82</v>
      </c>
      <c r="B42" s="79">
        <f t="shared" si="11"/>
        <v>-1.7921146953405023</v>
      </c>
      <c r="C42" s="82">
        <f t="shared" si="12"/>
        <v>-3.4050179211469542</v>
      </c>
      <c r="D42" s="79">
        <f t="shared" si="15"/>
        <v>-67.729578127195666</v>
      </c>
      <c r="E42" s="79">
        <f t="shared" si="13"/>
        <v>29.379434915077436</v>
      </c>
      <c r="F42" s="79">
        <f t="shared" si="16"/>
        <v>-51.032759273703348</v>
      </c>
      <c r="G42" s="79">
        <f t="shared" si="3"/>
        <v>-132.04028413194584</v>
      </c>
      <c r="H42" s="79">
        <f t="shared" si="4"/>
        <v>185.515847606059</v>
      </c>
      <c r="I42" s="78">
        <f t="shared" si="5"/>
        <v>0</v>
      </c>
      <c r="J42" s="78">
        <f t="shared" si="1"/>
        <v>0</v>
      </c>
      <c r="K42" s="78">
        <f t="shared" si="6"/>
        <v>0</v>
      </c>
      <c r="L42" s="79">
        <f t="shared" si="7"/>
        <v>-88.382902485821575</v>
      </c>
      <c r="M42" s="79">
        <f t="shared" si="8"/>
        <v>-72.473980038373682</v>
      </c>
      <c r="N42" s="79">
        <f t="shared" si="9"/>
        <v>16.125420261994947</v>
      </c>
      <c r="O42" s="78">
        <f t="shared" si="10"/>
        <v>13.222844614835855</v>
      </c>
      <c r="P42" s="78" t="str">
        <f t="shared" si="14"/>
        <v/>
      </c>
      <c r="Q42" s="77">
        <v>-8.9304867483388346</v>
      </c>
      <c r="R42" s="77">
        <v>187.69476122991537</v>
      </c>
      <c r="S42" s="77">
        <v>-83.885571073809032</v>
      </c>
      <c r="T42" s="77">
        <v>61.026168545378489</v>
      </c>
    </row>
    <row r="43" spans="1:20">
      <c r="A43" s="77">
        <v>0.84</v>
      </c>
      <c r="B43" s="79">
        <f t="shared" si="11"/>
        <v>-1.6778523489932891</v>
      </c>
      <c r="C43" s="82">
        <f t="shared" si="12"/>
        <v>-3.1879194630872489</v>
      </c>
      <c r="D43" s="79">
        <f t="shared" si="15"/>
        <v>-64.957865157511762</v>
      </c>
      <c r="E43" s="79">
        <f t="shared" si="13"/>
        <v>28.177133600824799</v>
      </c>
      <c r="F43" s="79">
        <f t="shared" si="16"/>
        <v>-51.243468234217843</v>
      </c>
      <c r="G43" s="79">
        <f t="shared" si="3"/>
        <v>-135.26077886687136</v>
      </c>
      <c r="H43" s="79">
        <f t="shared" si="4"/>
        <v>197.10230626988843</v>
      </c>
      <c r="I43" s="78">
        <f t="shared" si="5"/>
        <v>0</v>
      </c>
      <c r="J43" s="78">
        <f t="shared" si="1"/>
        <v>0</v>
      </c>
      <c r="K43" s="78">
        <f t="shared" si="6"/>
        <v>0</v>
      </c>
      <c r="L43" s="79">
        <f t="shared" si="7"/>
        <v>-87.024199790904802</v>
      </c>
      <c r="M43" s="79">
        <f t="shared" si="8"/>
        <v>-73.100327824360036</v>
      </c>
      <c r="N43" s="79">
        <f t="shared" si="9"/>
        <v>26.060795846330109</v>
      </c>
      <c r="O43" s="78">
        <f t="shared" si="10"/>
        <v>21.89106851091729</v>
      </c>
      <c r="P43" s="78" t="str">
        <f t="shared" si="14"/>
        <v/>
      </c>
      <c r="Q43" s="77">
        <v>-8.9364106791568343</v>
      </c>
      <c r="R43" s="77">
        <v>280.08910013853938</v>
      </c>
      <c r="S43" s="77">
        <v>-84.311860983425049</v>
      </c>
      <c r="T43" s="77">
        <v>67.904616136391567</v>
      </c>
    </row>
    <row r="44" spans="1:20">
      <c r="A44" s="77">
        <v>0.86</v>
      </c>
      <c r="B44" s="79">
        <f t="shared" si="11"/>
        <v>-1.577287066246057</v>
      </c>
      <c r="C44" s="82">
        <f t="shared" si="12"/>
        <v>-2.9968454258675084</v>
      </c>
      <c r="D44" s="79">
        <f t="shared" si="15"/>
        <v>-62.518408001228458</v>
      </c>
      <c r="E44" s="79">
        <f t="shared" si="13"/>
        <v>27.118956734337459</v>
      </c>
      <c r="F44" s="79">
        <f t="shared" si="16"/>
        <v>-51.44600366095537</v>
      </c>
      <c r="G44" s="79">
        <f t="shared" si="3"/>
        <v>-138.48127360179686</v>
      </c>
      <c r="H44" s="79">
        <f t="shared" si="4"/>
        <v>209.0250355000488</v>
      </c>
      <c r="I44" s="78">
        <f t="shared" si="5"/>
        <v>0</v>
      </c>
      <c r="J44" s="78">
        <f t="shared" si="1"/>
        <v>0</v>
      </c>
      <c r="K44" s="78">
        <f t="shared" si="6"/>
        <v>0</v>
      </c>
      <c r="L44" s="79">
        <f t="shared" si="7"/>
        <v>-85.845454927846362</v>
      </c>
      <c r="M44" s="79">
        <f t="shared" si="8"/>
        <v>-73.827091237947869</v>
      </c>
      <c r="N44" s="79">
        <f t="shared" si="9"/>
        <v>36.144310631360952</v>
      </c>
      <c r="O44" s="78">
        <f t="shared" si="10"/>
        <v>31.084107142970417</v>
      </c>
      <c r="P44" s="78" t="str">
        <f t="shared" si="14"/>
        <v/>
      </c>
      <c r="Q44" s="77">
        <v>-8.9583945457299397</v>
      </c>
      <c r="R44" s="77">
        <v>436.71731158392436</v>
      </c>
      <c r="S44" s="77">
        <v>-84.874497823409556</v>
      </c>
      <c r="T44" s="77">
        <v>75.186296297525942</v>
      </c>
    </row>
    <row r="45" spans="1:20">
      <c r="A45" s="77">
        <v>0.88</v>
      </c>
      <c r="B45" s="79">
        <f t="shared" si="11"/>
        <v>-1.4880952380952384</v>
      </c>
      <c r="C45" s="82">
        <f t="shared" si="12"/>
        <v>-2.8273809523809526</v>
      </c>
      <c r="D45" s="79">
        <f t="shared" si="15"/>
        <v>-60.354841832858149</v>
      </c>
      <c r="E45" s="79">
        <f t="shared" si="13"/>
        <v>26.180454632512379</v>
      </c>
      <c r="F45" s="79">
        <f t="shared" si="16"/>
        <v>-51.64083209011207</v>
      </c>
      <c r="G45" s="79">
        <f t="shared" si="3"/>
        <v>-141.70176833672238</v>
      </c>
      <c r="H45" s="79">
        <f t="shared" si="4"/>
        <v>221.28403529654014</v>
      </c>
      <c r="I45" s="78">
        <f t="shared" si="5"/>
        <v>0</v>
      </c>
      <c r="J45" s="78">
        <f t="shared" si="1"/>
        <v>0</v>
      </c>
      <c r="K45" s="78">
        <f t="shared" si="6"/>
        <v>0</v>
      </c>
      <c r="L45" s="79">
        <f t="shared" si="7"/>
        <v>-84.815219290457833</v>
      </c>
      <c r="M45" s="79">
        <f t="shared" si="8"/>
        <v>-74.637392975602893</v>
      </c>
      <c r="N45" s="79">
        <f t="shared" si="9"/>
        <v>46.407879759471996</v>
      </c>
      <c r="O45" s="78">
        <f t="shared" si="10"/>
        <v>40.838934188335358</v>
      </c>
      <c r="P45" s="78" t="str">
        <f t="shared" si="14"/>
        <v/>
      </c>
      <c r="Q45" s="77">
        <v>-8.993714044416306</v>
      </c>
      <c r="R45" s="77">
        <v>722.18482413435777</v>
      </c>
      <c r="S45" s="77">
        <v>-85.550508801365964</v>
      </c>
      <c r="T45" s="77">
        <v>82.885989413935079</v>
      </c>
    </row>
    <row r="46" spans="1:20">
      <c r="A46" s="77">
        <v>0.9</v>
      </c>
      <c r="B46" s="79">
        <f t="shared" si="11"/>
        <v>-1.4084507042253522</v>
      </c>
      <c r="C46" s="82">
        <f t="shared" si="12"/>
        <v>-2.676056338028169</v>
      </c>
      <c r="D46" s="79">
        <f t="shared" si="15"/>
        <v>-58.422868662792268</v>
      </c>
      <c r="E46" s="79">
        <f t="shared" si="13"/>
        <v>25.342411910600973</v>
      </c>
      <c r="F46" s="79">
        <f t="shared" si="16"/>
        <v>-51.828385214993837</v>
      </c>
      <c r="G46" s="79">
        <f t="shared" si="3"/>
        <v>-144.9222630716479</v>
      </c>
      <c r="H46" s="79">
        <f t="shared" si="4"/>
        <v>233.87930565936236</v>
      </c>
      <c r="I46" s="78">
        <f t="shared" si="5"/>
        <v>0</v>
      </c>
      <c r="J46" s="78">
        <f t="shared" si="1"/>
        <v>0</v>
      </c>
      <c r="K46" s="78">
        <f t="shared" si="6"/>
        <v>0</v>
      </c>
      <c r="L46" s="79">
        <f t="shared" si="7"/>
        <v>-83.90884196718514</v>
      </c>
      <c r="M46" s="79">
        <f t="shared" si="8"/>
        <v>-75.517957770466623</v>
      </c>
      <c r="N46" s="79">
        <f t="shared" si="9"/>
        <v>56.876585835523173</v>
      </c>
      <c r="O46" s="78">
        <f t="shared" si="10"/>
        <v>51.18892725197086</v>
      </c>
      <c r="P46" s="78" t="str">
        <f t="shared" si="14"/>
        <v/>
      </c>
      <c r="Q46" s="77">
        <v>-9.0402280903714729</v>
      </c>
      <c r="R46" s="77">
        <v>1295.98849518773</v>
      </c>
      <c r="S46" s="77">
        <v>-86.321828111301784</v>
      </c>
      <c r="T46" s="77">
        <v>91.017892660553642</v>
      </c>
    </row>
    <row r="47" spans="1:20">
      <c r="A47" s="77">
        <v>0.92</v>
      </c>
      <c r="B47" s="79">
        <f t="shared" si="11"/>
        <v>-1.3368983957219251</v>
      </c>
      <c r="C47" s="82">
        <f t="shared" si="12"/>
        <v>-2.5401069518716577</v>
      </c>
      <c r="D47" s="79">
        <f t="shared" si="15"/>
        <v>-56.687192231930936</v>
      </c>
      <c r="E47" s="79">
        <f t="shared" si="13"/>
        <v>24.58951791444527</v>
      </c>
      <c r="F47" s="79">
        <f t="shared" si="16"/>
        <v>-52.009063079164406</v>
      </c>
      <c r="G47" s="79">
        <f t="shared" si="3"/>
        <v>-148.14275780657343</v>
      </c>
      <c r="H47" s="79">
        <f t="shared" si="4"/>
        <v>246.8108465885156</v>
      </c>
      <c r="I47" s="78">
        <f t="shared" si="5"/>
        <v>0</v>
      </c>
      <c r="J47" s="78">
        <f t="shared" si="1"/>
        <v>0</v>
      </c>
      <c r="K47" s="78">
        <f t="shared" si="6"/>
        <v>0</v>
      </c>
      <c r="L47" s="79">
        <f t="shared" si="7"/>
        <v>-83.106737396650075</v>
      </c>
      <c r="M47" s="79">
        <f t="shared" si="8"/>
        <v>-76.458198404918079</v>
      </c>
      <c r="N47" s="79">
        <f t="shared" si="9"/>
        <v>67.570414464456519</v>
      </c>
      <c r="O47" s="78">
        <f t="shared" si="10"/>
        <v>62.164781307300004</v>
      </c>
      <c r="P47" s="78" t="str">
        <f t="shared" si="14"/>
        <v/>
      </c>
      <c r="Q47" s="77">
        <v>-9.096230674996832</v>
      </c>
      <c r="R47" s="77">
        <v>2622.114900614919</v>
      </c>
      <c r="S47" s="77">
        <v>-87.174051475002642</v>
      </c>
      <c r="T47" s="77">
        <v>99.595768143730623</v>
      </c>
    </row>
    <row r="48" spans="1:20">
      <c r="A48" s="77">
        <v>0.94</v>
      </c>
      <c r="B48" s="79">
        <f t="shared" si="11"/>
        <v>-1.2722646310432573</v>
      </c>
      <c r="C48" s="82">
        <f t="shared" si="12"/>
        <v>-2.4173027989821887</v>
      </c>
      <c r="D48" s="79">
        <f t="shared" si="15"/>
        <v>-55.119342020847554</v>
      </c>
      <c r="E48" s="79">
        <f t="shared" si="13"/>
        <v>23.909422828859331</v>
      </c>
      <c r="F48" s="79">
        <f t="shared" si="16"/>
        <v>-52.1832369247537</v>
      </c>
      <c r="G48" s="79">
        <f t="shared" si="3"/>
        <v>-151.36325254149889</v>
      </c>
      <c r="H48" s="79">
        <f t="shared" si="4"/>
        <v>260.0786580839997</v>
      </c>
      <c r="I48" s="78">
        <f t="shared" si="5"/>
        <v>0</v>
      </c>
      <c r="J48" s="78">
        <f t="shared" si="1"/>
        <v>0</v>
      </c>
      <c r="K48" s="78">
        <f t="shared" si="6"/>
        <v>0</v>
      </c>
      <c r="L48" s="79">
        <f t="shared" si="7"/>
        <v>-82.39315611674192</v>
      </c>
      <c r="M48" s="79">
        <f t="shared" si="8"/>
        <v>-77.4495667497374</v>
      </c>
      <c r="N48" s="79">
        <f t="shared" si="9"/>
        <v>78.50548635051257</v>
      </c>
      <c r="O48" s="78">
        <f t="shared" si="10"/>
        <v>73.795157169481811</v>
      </c>
      <c r="P48" s="78" t="str">
        <f t="shared" si="14"/>
        <v/>
      </c>
      <c r="Q48" s="77">
        <v>-9.160345695885681</v>
      </c>
      <c r="R48" s="77">
        <v>6423.9185219192541</v>
      </c>
      <c r="S48" s="77">
        <v>-88.095551861955826</v>
      </c>
      <c r="T48" s="77">
        <v>108.63304807048027</v>
      </c>
    </row>
    <row r="49" spans="1:20">
      <c r="A49" s="77">
        <v>0.96</v>
      </c>
      <c r="B49" s="79">
        <f t="shared" si="11"/>
        <v>-1.2135922330097089</v>
      </c>
      <c r="C49" s="82">
        <f t="shared" si="12"/>
        <v>-2.3058252427184471</v>
      </c>
      <c r="D49" s="79">
        <f t="shared" si="15"/>
        <v>-53.69609935350487</v>
      </c>
      <c r="E49" s="79">
        <f t="shared" si="13"/>
        <v>23.292054959905101</v>
      </c>
      <c r="F49" s="79">
        <f t="shared" si="16"/>
        <v>-52.351251738605711</v>
      </c>
      <c r="G49" s="79">
        <f t="shared" si="3"/>
        <v>-154.58374727642442</v>
      </c>
      <c r="H49" s="79">
        <f t="shared" si="4"/>
        <v>273.68274014581488</v>
      </c>
      <c r="I49" s="78">
        <f t="shared" si="5"/>
        <v>0</v>
      </c>
      <c r="J49" s="78">
        <f t="shared" si="1"/>
        <v>0</v>
      </c>
      <c r="K49" s="78">
        <f t="shared" si="6"/>
        <v>0</v>
      </c>
      <c r="L49" s="79">
        <f t="shared" si="7"/>
        <v>-81.755296132205473</v>
      </c>
      <c r="M49" s="79">
        <f t="shared" si="8"/>
        <v>-78.485084286917257</v>
      </c>
      <c r="N49" s="79">
        <f t="shared" si="9"/>
        <v>89.694948475790682</v>
      </c>
      <c r="O49" s="78">
        <f t="shared" si="10"/>
        <v>86.10715053675905</v>
      </c>
      <c r="P49" s="78" t="str">
        <f t="shared" si="14"/>
        <v/>
      </c>
      <c r="Q49" s="77">
        <v>-9.2314508870979122</v>
      </c>
      <c r="R49" s="77">
        <v>22361.938950292883</v>
      </c>
      <c r="S49" s="77">
        <v>-89.076839805526731</v>
      </c>
      <c r="T49" s="77">
        <v>118.14291081750369</v>
      </c>
    </row>
    <row r="50" spans="1:20">
      <c r="A50" s="77">
        <v>0.98</v>
      </c>
      <c r="B50" s="79">
        <f t="shared" si="11"/>
        <v>-1.1600928074245942</v>
      </c>
      <c r="C50" s="82">
        <f t="shared" si="12"/>
        <v>-2.2041763341067289</v>
      </c>
      <c r="D50" s="79">
        <f t="shared" si="15"/>
        <v>-52.398339798364091</v>
      </c>
      <c r="E50" s="79">
        <f t="shared" si="13"/>
        <v>22.729118596798347</v>
      </c>
      <c r="F50" s="79">
        <f t="shared" si="16"/>
        <v>-52.513428533012885</v>
      </c>
      <c r="G50" s="79">
        <f t="shared" si="3"/>
        <v>-157.80424201134994</v>
      </c>
      <c r="H50" s="79">
        <f t="shared" si="4"/>
        <v>287.62309277396093</v>
      </c>
      <c r="I50" s="78">
        <f t="shared" si="5"/>
        <v>0</v>
      </c>
      <c r="J50" s="78">
        <f t="shared" si="1"/>
        <v>0</v>
      </c>
      <c r="K50" s="78">
        <f t="shared" si="6"/>
        <v>0</v>
      </c>
      <c r="L50" s="79">
        <f t="shared" si="7"/>
        <v>-81.182649734578632</v>
      </c>
      <c r="M50" s="79">
        <f t="shared" si="8"/>
        <v>-79.558996739887064</v>
      </c>
      <c r="N50" s="79">
        <f t="shared" si="9"/>
        <v>101.14962956104526</v>
      </c>
      <c r="O50" s="78">
        <f t="shared" si="10"/>
        <v>99.126636969824347</v>
      </c>
      <c r="P50" s="78" t="str">
        <f t="shared" si="14"/>
        <v/>
      </c>
      <c r="Q50" s="77">
        <v>-9.3086218698640231</v>
      </c>
      <c r="R50" s="77">
        <v>184172.20666446816</v>
      </c>
      <c r="S50" s="77">
        <v>-90.110092846400818</v>
      </c>
      <c r="T50" s="77">
        <v>128.13833687986545</v>
      </c>
    </row>
    <row r="51" spans="1:20">
      <c r="A51" s="77">
        <v>0.99</v>
      </c>
      <c r="B51" s="79">
        <f t="shared" si="11"/>
        <v>-1.1350737797956867</v>
      </c>
      <c r="C51" s="82">
        <f t="shared" si="12"/>
        <v>-2.1566401816118046</v>
      </c>
      <c r="D51" s="79">
        <f t="shared" si="15"/>
        <v>-51.791442026833998</v>
      </c>
      <c r="E51" s="79">
        <f t="shared" si="13"/>
        <v>22.465861182950462</v>
      </c>
      <c r="F51" s="79">
        <f t="shared" si="16"/>
        <v>-52.592421941828782</v>
      </c>
      <c r="G51" s="79">
        <f t="shared" si="3"/>
        <v>-159.41448937881268</v>
      </c>
      <c r="H51" s="79">
        <f t="shared" si="4"/>
        <v>294.71937055040803</v>
      </c>
      <c r="I51" s="78">
        <f t="shared" si="5"/>
        <v>0</v>
      </c>
      <c r="J51" s="78">
        <f t="shared" si="1"/>
        <v>0</v>
      </c>
      <c r="K51" s="78">
        <f t="shared" si="6"/>
        <v>0</v>
      </c>
      <c r="L51" s="79">
        <f t="shared" si="7"/>
        <v>-80.918002785712318</v>
      </c>
      <c r="M51" s="79">
        <f t="shared" si="8"/>
        <v>-80.108822757855194</v>
      </c>
      <c r="N51" s="79">
        <f t="shared" si="9"/>
        <v>106.97930032771183</v>
      </c>
      <c r="O51" s="78">
        <f t="shared" si="10"/>
        <v>105.90950732443471</v>
      </c>
      <c r="P51" s="78" t="str">
        <f t="shared" si="14"/>
        <v/>
      </c>
      <c r="Q51" s="77">
        <v>-9.3492367720675951</v>
      </c>
      <c r="R51" s="77">
        <v>1493989.2931799162</v>
      </c>
      <c r="S51" s="77">
        <v>-90.644129238912498</v>
      </c>
      <c r="T51" s="77">
        <v>133.32214895303022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5BD-897B-4181-B03D-F10C54FB77DE}">
  <dimension ref="A1:L157"/>
  <sheetViews>
    <sheetView workbookViewId="0">
      <selection activeCell="L25" sqref="L25"/>
    </sheetView>
  </sheetViews>
  <sheetFormatPr defaultRowHeight="13"/>
  <sheetData>
    <row r="1" spans="1:12">
      <c r="D1">
        <f>MAX(D10:D157)</f>
        <v>385.1</v>
      </c>
    </row>
    <row r="2" spans="1:12">
      <c r="A2">
        <v>155</v>
      </c>
      <c r="B2" t="s">
        <v>185</v>
      </c>
      <c r="C2" t="s">
        <v>186</v>
      </c>
      <c r="D2" t="s">
        <v>187</v>
      </c>
      <c r="E2" t="s">
        <v>3115</v>
      </c>
      <c r="F2" t="s">
        <v>189</v>
      </c>
      <c r="G2" t="s">
        <v>3116</v>
      </c>
      <c r="H2" t="s">
        <v>3117</v>
      </c>
      <c r="I2" t="s">
        <v>192</v>
      </c>
      <c r="J2" t="s">
        <v>193</v>
      </c>
      <c r="K2" s="57" t="s">
        <v>3118</v>
      </c>
      <c r="L2" s="57" t="s">
        <v>184</v>
      </c>
    </row>
    <row r="3" spans="1:12">
      <c r="A3">
        <v>1201</v>
      </c>
      <c r="B3">
        <v>1.778</v>
      </c>
      <c r="C3">
        <v>2.4809999999999999</v>
      </c>
      <c r="D3">
        <v>400.4</v>
      </c>
      <c r="E3">
        <v>24.74</v>
      </c>
      <c r="F3">
        <v>2</v>
      </c>
      <c r="G3">
        <v>5.0000000000000001E-4</v>
      </c>
      <c r="H3">
        <v>4</v>
      </c>
      <c r="I3">
        <v>1</v>
      </c>
      <c r="J3">
        <v>1</v>
      </c>
      <c r="K3">
        <v>107211</v>
      </c>
      <c r="L3" t="s">
        <v>1987</v>
      </c>
    </row>
    <row r="4" spans="1:12">
      <c r="A4">
        <v>1997</v>
      </c>
      <c r="B4">
        <v>1.07</v>
      </c>
      <c r="C4">
        <v>1.1339999999999999</v>
      </c>
      <c r="D4">
        <v>402.55</v>
      </c>
      <c r="E4">
        <v>9.3849999999999998</v>
      </c>
      <c r="F4">
        <v>1</v>
      </c>
      <c r="G4">
        <v>1.56E-3</v>
      </c>
      <c r="H4">
        <v>5.14</v>
      </c>
      <c r="I4">
        <v>1</v>
      </c>
      <c r="J4">
        <v>1</v>
      </c>
      <c r="K4">
        <v>7789200</v>
      </c>
      <c r="L4" t="s">
        <v>3102</v>
      </c>
    </row>
    <row r="5" spans="1:12">
      <c r="A5">
        <v>1151</v>
      </c>
      <c r="B5">
        <v>1.47</v>
      </c>
      <c r="C5">
        <v>1.895</v>
      </c>
      <c r="D5">
        <v>419.64</v>
      </c>
      <c r="E5">
        <v>43.091999999999999</v>
      </c>
      <c r="F5">
        <v>1</v>
      </c>
      <c r="G5">
        <v>6.9999999999999999E-4</v>
      </c>
      <c r="H5">
        <v>5</v>
      </c>
      <c r="I5">
        <v>1</v>
      </c>
      <c r="J5">
        <v>1</v>
      </c>
      <c r="K5">
        <v>108930</v>
      </c>
      <c r="L5" t="s">
        <v>1634</v>
      </c>
    </row>
    <row r="6" spans="1:12">
      <c r="A6">
        <v>1231</v>
      </c>
      <c r="B6">
        <v>2.3490000000000002</v>
      </c>
      <c r="C6">
        <v>3.57</v>
      </c>
      <c r="D6">
        <v>424.19</v>
      </c>
      <c r="E6">
        <v>28.367999999999999</v>
      </c>
      <c r="F6">
        <v>2</v>
      </c>
      <c r="G6">
        <v>5.0000000000000001E-4</v>
      </c>
      <c r="H6">
        <v>4</v>
      </c>
      <c r="I6">
        <v>1</v>
      </c>
      <c r="J6">
        <v>1</v>
      </c>
      <c r="K6">
        <v>56815</v>
      </c>
      <c r="L6" t="s">
        <v>3082</v>
      </c>
    </row>
    <row r="7" spans="1:12">
      <c r="A7">
        <v>1921</v>
      </c>
      <c r="B7">
        <v>1.0049999999999999</v>
      </c>
      <c r="C7">
        <v>1.01</v>
      </c>
      <c r="D7">
        <v>427.25</v>
      </c>
      <c r="E7">
        <v>9.4109999999999996</v>
      </c>
      <c r="F7">
        <v>1</v>
      </c>
      <c r="G7">
        <v>1.56E-3</v>
      </c>
      <c r="H7">
        <v>5.14</v>
      </c>
      <c r="I7">
        <v>1</v>
      </c>
      <c r="J7">
        <v>1</v>
      </c>
      <c r="K7">
        <v>7732185</v>
      </c>
      <c r="L7" t="s">
        <v>1608</v>
      </c>
    </row>
    <row r="8" spans="1:12">
      <c r="A8">
        <v>1475</v>
      </c>
      <c r="B8">
        <v>2.5409999999999999</v>
      </c>
      <c r="C8">
        <v>3.9340000000000002</v>
      </c>
      <c r="D8">
        <v>436.67</v>
      </c>
      <c r="E8">
        <v>96.016999999999996</v>
      </c>
      <c r="F8">
        <v>1</v>
      </c>
      <c r="G8">
        <v>6.9999999999999999E-4</v>
      </c>
      <c r="H8">
        <v>5</v>
      </c>
      <c r="I8">
        <v>1</v>
      </c>
      <c r="J8">
        <v>1</v>
      </c>
      <c r="K8">
        <v>80433</v>
      </c>
      <c r="L8" t="s">
        <v>3083</v>
      </c>
    </row>
    <row r="9" spans="1:12">
      <c r="A9">
        <v>970</v>
      </c>
      <c r="B9">
        <v>0.80500000000000005</v>
      </c>
      <c r="C9">
        <v>0.628</v>
      </c>
      <c r="D9">
        <v>514.16</v>
      </c>
      <c r="E9">
        <v>13.507999999999999</v>
      </c>
      <c r="F9">
        <v>0</v>
      </c>
      <c r="G9">
        <v>0</v>
      </c>
      <c r="H9">
        <v>0</v>
      </c>
      <c r="I9">
        <v>0</v>
      </c>
      <c r="J9">
        <v>0</v>
      </c>
      <c r="K9">
        <v>7440019</v>
      </c>
      <c r="L9" t="s">
        <v>3070</v>
      </c>
    </row>
    <row r="10" spans="1:12">
      <c r="A10">
        <v>1771</v>
      </c>
      <c r="B10">
        <v>2.2873000000000001</v>
      </c>
      <c r="C10">
        <v>3.452</v>
      </c>
      <c r="D10">
        <v>235.40600000000001</v>
      </c>
      <c r="E10">
        <v>20.811</v>
      </c>
      <c r="F10">
        <v>1</v>
      </c>
      <c r="G10">
        <v>5.0000000000000001E-4</v>
      </c>
      <c r="H10">
        <v>2.2000000000000002</v>
      </c>
      <c r="I10">
        <v>1</v>
      </c>
      <c r="J10">
        <v>1</v>
      </c>
      <c r="K10">
        <v>74908</v>
      </c>
      <c r="L10" t="s">
        <v>3063</v>
      </c>
    </row>
    <row r="11" spans="1:12">
      <c r="A11">
        <v>1772</v>
      </c>
      <c r="B11">
        <v>2.1392000000000002</v>
      </c>
      <c r="C11">
        <v>3.1699000000000002</v>
      </c>
      <c r="D11">
        <v>291.35199999999998</v>
      </c>
      <c r="E11">
        <v>28.036000000000001</v>
      </c>
      <c r="F11">
        <v>1</v>
      </c>
      <c r="G11">
        <v>6.9999999999999999E-4</v>
      </c>
      <c r="H11">
        <v>2.2000000000000002</v>
      </c>
      <c r="I11">
        <v>1</v>
      </c>
      <c r="J11">
        <v>1</v>
      </c>
      <c r="K11">
        <v>75058</v>
      </c>
      <c r="L11" t="s">
        <v>1002</v>
      </c>
    </row>
    <row r="12" spans="1:12">
      <c r="A12">
        <v>1773</v>
      </c>
      <c r="B12">
        <v>2.2231000000000001</v>
      </c>
      <c r="C12">
        <v>3.3296000000000001</v>
      </c>
      <c r="D12">
        <v>295.11200000000002</v>
      </c>
      <c r="E12">
        <v>32.363</v>
      </c>
      <c r="F12">
        <v>1</v>
      </c>
      <c r="G12">
        <v>5.0000000000000001E-4</v>
      </c>
      <c r="H12">
        <v>2.2000000000000002</v>
      </c>
      <c r="I12">
        <v>1</v>
      </c>
      <c r="J12">
        <v>1</v>
      </c>
      <c r="K12">
        <v>107120</v>
      </c>
      <c r="L12" t="s">
        <v>1106</v>
      </c>
    </row>
    <row r="13" spans="1:12">
      <c r="A13">
        <v>1774</v>
      </c>
      <c r="B13">
        <v>2.0516999999999999</v>
      </c>
      <c r="C13">
        <v>3.0032999999999999</v>
      </c>
      <c r="D13">
        <v>295.346</v>
      </c>
      <c r="E13">
        <v>29.105</v>
      </c>
      <c r="F13">
        <v>1</v>
      </c>
      <c r="G13">
        <v>5.0000000000000001E-4</v>
      </c>
      <c r="H13">
        <v>2.2000000000000002</v>
      </c>
      <c r="I13">
        <v>1</v>
      </c>
      <c r="J13">
        <v>1</v>
      </c>
      <c r="K13">
        <v>107131</v>
      </c>
      <c r="L13" t="s">
        <v>965</v>
      </c>
    </row>
    <row r="14" spans="1:12">
      <c r="A14">
        <v>1782</v>
      </c>
      <c r="B14">
        <v>2.2795000000000001</v>
      </c>
      <c r="C14">
        <v>3.4371999999999998</v>
      </c>
      <c r="D14">
        <v>304.35000000000002</v>
      </c>
      <c r="E14">
        <v>36.762</v>
      </c>
      <c r="F14">
        <v>1</v>
      </c>
      <c r="G14">
        <v>5.0000000000000001E-4</v>
      </c>
      <c r="H14">
        <v>2.2000000000000002</v>
      </c>
      <c r="I14">
        <v>1</v>
      </c>
      <c r="J14">
        <v>1</v>
      </c>
      <c r="K14">
        <v>109740</v>
      </c>
      <c r="L14" t="s">
        <v>3064</v>
      </c>
    </row>
    <row r="15" spans="1:12">
      <c r="A15">
        <v>1783</v>
      </c>
      <c r="B15">
        <v>2.4765999999999999</v>
      </c>
      <c r="C15">
        <v>3.8125</v>
      </c>
      <c r="D15">
        <v>305.565</v>
      </c>
      <c r="E15">
        <v>40.542999999999999</v>
      </c>
      <c r="F15">
        <v>1</v>
      </c>
      <c r="G15">
        <v>5.0000000000000001E-4</v>
      </c>
      <c r="H15">
        <v>2.2000000000000002</v>
      </c>
      <c r="I15">
        <v>1</v>
      </c>
      <c r="J15">
        <v>1</v>
      </c>
      <c r="K15">
        <v>110598</v>
      </c>
      <c r="L15" t="s">
        <v>1398</v>
      </c>
    </row>
    <row r="16" spans="1:12">
      <c r="A16">
        <v>1790</v>
      </c>
      <c r="B16">
        <v>2.2427000000000001</v>
      </c>
      <c r="C16">
        <v>3.3671000000000002</v>
      </c>
      <c r="D16">
        <v>368.50299999999999</v>
      </c>
      <c r="E16">
        <v>40.701000000000001</v>
      </c>
      <c r="F16">
        <v>1</v>
      </c>
      <c r="G16">
        <v>5.0000000000000001E-4</v>
      </c>
      <c r="H16">
        <v>2.2000000000000002</v>
      </c>
      <c r="I16">
        <v>1</v>
      </c>
      <c r="J16">
        <v>1</v>
      </c>
      <c r="K16">
        <v>100470</v>
      </c>
      <c r="L16" t="s">
        <v>1917</v>
      </c>
    </row>
    <row r="17" spans="1:12">
      <c r="A17">
        <v>1251</v>
      </c>
      <c r="B17">
        <v>2.1515</v>
      </c>
      <c r="C17">
        <v>3.1934</v>
      </c>
      <c r="D17">
        <v>315.58999999999997</v>
      </c>
      <c r="E17">
        <v>24.920999999999999</v>
      </c>
      <c r="F17">
        <v>1</v>
      </c>
      <c r="G17">
        <v>2.0000000000000002E-5</v>
      </c>
      <c r="H17">
        <v>2.2000000000000002</v>
      </c>
      <c r="I17">
        <v>1</v>
      </c>
      <c r="J17">
        <v>1</v>
      </c>
      <c r="K17">
        <v>64186</v>
      </c>
      <c r="L17" t="s">
        <v>3065</v>
      </c>
    </row>
    <row r="18" spans="1:12">
      <c r="A18">
        <v>1252</v>
      </c>
      <c r="B18">
        <v>2.7624</v>
      </c>
      <c r="C18">
        <v>4.3570000000000002</v>
      </c>
      <c r="D18">
        <v>283.54000000000002</v>
      </c>
      <c r="E18">
        <v>23.472999999999999</v>
      </c>
      <c r="F18">
        <v>1</v>
      </c>
      <c r="G18">
        <v>2.0000000000000002E-5</v>
      </c>
      <c r="H18">
        <v>2.2000000000000002</v>
      </c>
      <c r="I18">
        <v>1</v>
      </c>
      <c r="J18">
        <v>1</v>
      </c>
      <c r="K18">
        <v>64197</v>
      </c>
      <c r="L18" t="s">
        <v>3066</v>
      </c>
    </row>
    <row r="19" spans="1:12">
      <c r="A19">
        <v>1253</v>
      </c>
      <c r="B19">
        <v>3.2351999999999999</v>
      </c>
      <c r="C19">
        <v>5.2575000000000003</v>
      </c>
      <c r="D19">
        <v>270.81</v>
      </c>
      <c r="E19">
        <v>28.082000000000001</v>
      </c>
      <c r="F19">
        <v>1</v>
      </c>
      <c r="G19">
        <v>2.0000000000000002E-5</v>
      </c>
      <c r="H19">
        <v>2.2000000000000002</v>
      </c>
      <c r="I19">
        <v>1</v>
      </c>
      <c r="J19">
        <v>1</v>
      </c>
      <c r="K19">
        <v>79094</v>
      </c>
      <c r="L19" t="s">
        <v>3067</v>
      </c>
    </row>
    <row r="20" spans="1:12">
      <c r="A20">
        <v>1260</v>
      </c>
      <c r="B20">
        <v>3.3831000000000002</v>
      </c>
      <c r="C20">
        <v>5.5392000000000001</v>
      </c>
      <c r="D20">
        <v>268.41000000000003</v>
      </c>
      <c r="E20">
        <v>35.149000000000001</v>
      </c>
      <c r="F20">
        <v>1</v>
      </c>
      <c r="G20">
        <v>2.0000000000000002E-5</v>
      </c>
      <c r="H20">
        <v>2.2000000000000002</v>
      </c>
      <c r="I20">
        <v>1</v>
      </c>
      <c r="J20">
        <v>1</v>
      </c>
      <c r="K20">
        <v>79312</v>
      </c>
      <c r="L20" t="s">
        <v>1364</v>
      </c>
    </row>
    <row r="21" spans="1:12">
      <c r="A21">
        <v>1256</v>
      </c>
      <c r="B21">
        <v>3.6478999999999999</v>
      </c>
      <c r="C21">
        <v>6.0437000000000003</v>
      </c>
      <c r="D21">
        <v>266.24</v>
      </c>
      <c r="E21">
        <v>31.776</v>
      </c>
      <c r="F21">
        <v>1</v>
      </c>
      <c r="G21">
        <v>2.0000000000000002E-5</v>
      </c>
      <c r="H21">
        <v>2.2000000000000002</v>
      </c>
      <c r="I21">
        <v>1</v>
      </c>
      <c r="J21">
        <v>1</v>
      </c>
      <c r="K21">
        <v>107926</v>
      </c>
      <c r="L21" t="s">
        <v>1423</v>
      </c>
    </row>
    <row r="22" spans="1:12">
      <c r="A22">
        <v>1261</v>
      </c>
      <c r="B22">
        <v>3.6781999999999999</v>
      </c>
      <c r="C22">
        <v>6.1013999999999999</v>
      </c>
      <c r="D22">
        <v>271.29000000000002</v>
      </c>
      <c r="E22">
        <v>35.639000000000003</v>
      </c>
      <c r="F22">
        <v>1</v>
      </c>
      <c r="G22">
        <v>2.0000000000000002E-5</v>
      </c>
      <c r="H22">
        <v>2.2000000000000002</v>
      </c>
      <c r="I22">
        <v>1</v>
      </c>
      <c r="J22">
        <v>1</v>
      </c>
      <c r="K22">
        <v>503742</v>
      </c>
      <c r="L22" t="s">
        <v>1511</v>
      </c>
    </row>
    <row r="23" spans="1:12">
      <c r="A23">
        <v>1258</v>
      </c>
      <c r="B23">
        <v>3.7877000000000001</v>
      </c>
      <c r="C23">
        <v>6.31</v>
      </c>
      <c r="D23">
        <v>273.01</v>
      </c>
      <c r="E23">
        <v>36.415999999999997</v>
      </c>
      <c r="F23">
        <v>1</v>
      </c>
      <c r="G23">
        <v>2.0000000000000002E-5</v>
      </c>
      <c r="H23">
        <v>2.2000000000000002</v>
      </c>
      <c r="I23">
        <v>1</v>
      </c>
      <c r="J23">
        <v>1</v>
      </c>
      <c r="K23">
        <v>109524</v>
      </c>
      <c r="L23" t="s">
        <v>1562</v>
      </c>
    </row>
    <row r="24" spans="1:12">
      <c r="A24">
        <v>1262</v>
      </c>
      <c r="B24">
        <v>3.9049</v>
      </c>
      <c r="C24">
        <v>6.5331999999999999</v>
      </c>
      <c r="D24">
        <v>279.27999999999997</v>
      </c>
      <c r="E24">
        <v>40.838000000000001</v>
      </c>
      <c r="F24">
        <v>1</v>
      </c>
      <c r="G24">
        <v>2.0000000000000002E-5</v>
      </c>
      <c r="H24">
        <v>2.2000000000000002</v>
      </c>
      <c r="I24">
        <v>1</v>
      </c>
      <c r="J24">
        <v>1</v>
      </c>
      <c r="K24">
        <v>142621</v>
      </c>
      <c r="L24" t="s">
        <v>1709</v>
      </c>
    </row>
    <row r="25" spans="1:12">
      <c r="A25">
        <v>2261</v>
      </c>
      <c r="B25">
        <v>4.0260999999999996</v>
      </c>
      <c r="C25">
        <v>6.7640000000000002</v>
      </c>
      <c r="D25">
        <v>283.8</v>
      </c>
      <c r="E25">
        <v>45.055999999999997</v>
      </c>
      <c r="F25">
        <v>1</v>
      </c>
      <c r="G25">
        <v>2.0000000000000002E-5</v>
      </c>
      <c r="H25">
        <v>2.2000000000000002</v>
      </c>
      <c r="I25">
        <v>1</v>
      </c>
      <c r="J25">
        <v>1</v>
      </c>
      <c r="K25">
        <v>111148</v>
      </c>
      <c r="L25" t="s">
        <v>1779</v>
      </c>
    </row>
    <row r="26" spans="1:12">
      <c r="A26">
        <v>2260</v>
      </c>
      <c r="B26">
        <v>4.2131999999999996</v>
      </c>
      <c r="C26">
        <v>7.1204000000000001</v>
      </c>
      <c r="D26">
        <v>278.8</v>
      </c>
      <c r="E26">
        <v>48.366999999999997</v>
      </c>
      <c r="F26">
        <v>1</v>
      </c>
      <c r="G26">
        <v>2.0000000000000002E-5</v>
      </c>
      <c r="H26">
        <v>2.2000000000000002</v>
      </c>
      <c r="I26">
        <v>1</v>
      </c>
      <c r="J26">
        <v>1</v>
      </c>
      <c r="K26">
        <v>149575</v>
      </c>
      <c r="L26" t="s">
        <v>2862</v>
      </c>
    </row>
    <row r="27" spans="1:12">
      <c r="A27">
        <v>1265</v>
      </c>
      <c r="B27">
        <v>4.0871000000000004</v>
      </c>
      <c r="C27">
        <v>6.8802000000000003</v>
      </c>
      <c r="D27">
        <v>289.58</v>
      </c>
      <c r="E27">
        <v>50.301000000000002</v>
      </c>
      <c r="F27">
        <v>1</v>
      </c>
      <c r="G27">
        <v>2.0000000000000002E-5</v>
      </c>
      <c r="H27">
        <v>2.2000000000000002</v>
      </c>
      <c r="I27">
        <v>1</v>
      </c>
      <c r="J27">
        <v>1</v>
      </c>
      <c r="K27">
        <v>124072</v>
      </c>
      <c r="L27" t="s">
        <v>1872</v>
      </c>
    </row>
    <row r="28" spans="1:12">
      <c r="A28">
        <v>1259</v>
      </c>
      <c r="B28">
        <v>4.1112000000000002</v>
      </c>
      <c r="C28">
        <v>6.9260999999999999</v>
      </c>
      <c r="D28">
        <v>295.89999999999998</v>
      </c>
      <c r="E28">
        <v>56.801000000000002</v>
      </c>
      <c r="F28">
        <v>1</v>
      </c>
      <c r="G28">
        <v>2.0000000000000002E-5</v>
      </c>
      <c r="H28">
        <v>2.2000000000000002</v>
      </c>
      <c r="I28">
        <v>1</v>
      </c>
      <c r="J28">
        <v>1</v>
      </c>
      <c r="K28">
        <v>112050</v>
      </c>
      <c r="L28" t="s">
        <v>1954</v>
      </c>
    </row>
    <row r="29" spans="1:12">
      <c r="A29">
        <v>1254</v>
      </c>
      <c r="B29">
        <v>4.2701000000000002</v>
      </c>
      <c r="C29">
        <v>7.2287999999999997</v>
      </c>
      <c r="D29">
        <v>297.22000000000003</v>
      </c>
      <c r="E29">
        <v>62.767000000000003</v>
      </c>
      <c r="F29">
        <v>1</v>
      </c>
      <c r="G29">
        <v>2.0000000000000002E-5</v>
      </c>
      <c r="H29">
        <v>2.2000000000000002</v>
      </c>
      <c r="I29">
        <v>1</v>
      </c>
      <c r="J29">
        <v>1</v>
      </c>
      <c r="K29">
        <v>334485</v>
      </c>
      <c r="L29" t="s">
        <v>2491</v>
      </c>
    </row>
    <row r="30" spans="1:12">
      <c r="A30">
        <v>1269</v>
      </c>
      <c r="B30">
        <v>4.6599000000000004</v>
      </c>
      <c r="C30">
        <v>7.9713000000000003</v>
      </c>
      <c r="D30">
        <v>298.3</v>
      </c>
      <c r="E30">
        <v>73.917000000000002</v>
      </c>
      <c r="F30">
        <v>1</v>
      </c>
      <c r="G30">
        <v>2.0000000000000002E-5</v>
      </c>
      <c r="H30">
        <v>2.2000000000000002</v>
      </c>
      <c r="I30">
        <v>1</v>
      </c>
      <c r="J30">
        <v>1</v>
      </c>
      <c r="K30">
        <v>143077</v>
      </c>
      <c r="L30" t="s">
        <v>2081</v>
      </c>
    </row>
    <row r="31" spans="1:12">
      <c r="A31">
        <v>1276</v>
      </c>
      <c r="B31">
        <v>5.3303000000000003</v>
      </c>
      <c r="C31">
        <v>9.2482000000000006</v>
      </c>
      <c r="D31">
        <v>311.08999999999997</v>
      </c>
      <c r="E31">
        <v>110.25</v>
      </c>
      <c r="F31">
        <v>1</v>
      </c>
      <c r="G31">
        <v>2.0000000000000002E-5</v>
      </c>
      <c r="H31">
        <v>2.2000000000000002</v>
      </c>
      <c r="I31">
        <v>1</v>
      </c>
      <c r="J31">
        <v>1</v>
      </c>
      <c r="K31">
        <v>57114</v>
      </c>
      <c r="L31" t="s">
        <v>3068</v>
      </c>
    </row>
    <row r="32" spans="1:12">
      <c r="A32">
        <v>1876</v>
      </c>
      <c r="B32">
        <v>2.1749999999999998</v>
      </c>
      <c r="C32">
        <v>3.2389999999999999</v>
      </c>
      <c r="D32">
        <v>346.8</v>
      </c>
      <c r="E32">
        <v>36.076000000000001</v>
      </c>
      <c r="F32">
        <v>0</v>
      </c>
      <c r="G32">
        <v>0</v>
      </c>
      <c r="H32">
        <v>0</v>
      </c>
      <c r="I32">
        <v>1</v>
      </c>
      <c r="J32">
        <v>0</v>
      </c>
      <c r="K32">
        <v>68122</v>
      </c>
      <c r="L32" t="s">
        <v>2937</v>
      </c>
    </row>
    <row r="33" spans="1:12">
      <c r="A33">
        <v>919</v>
      </c>
      <c r="B33">
        <v>0.77300000000000002</v>
      </c>
      <c r="C33">
        <v>0.56799999999999995</v>
      </c>
      <c r="D33">
        <v>65.459999999999994</v>
      </c>
      <c r="E33">
        <v>3.5649999999999999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7440019</v>
      </c>
      <c r="L33" t="s">
        <v>3069</v>
      </c>
    </row>
    <row r="34" spans="1:12">
      <c r="A34">
        <v>912</v>
      </c>
      <c r="B34">
        <v>2.359</v>
      </c>
      <c r="C34">
        <v>3.5880000000000001</v>
      </c>
      <c r="D34">
        <v>88.77</v>
      </c>
      <c r="E34">
        <v>7</v>
      </c>
      <c r="F34">
        <v>1</v>
      </c>
      <c r="G34">
        <v>2.3000000000000001E-4</v>
      </c>
      <c r="H34">
        <v>1.24</v>
      </c>
      <c r="I34">
        <v>1</v>
      </c>
      <c r="J34">
        <v>1</v>
      </c>
      <c r="K34">
        <v>10102439</v>
      </c>
      <c r="L34" t="s">
        <v>3071</v>
      </c>
    </row>
    <row r="35" spans="1:12">
      <c r="A35">
        <v>1001</v>
      </c>
      <c r="B35">
        <v>1.4870000000000001</v>
      </c>
      <c r="C35">
        <v>1.927</v>
      </c>
      <c r="D35">
        <v>278.33</v>
      </c>
      <c r="E35">
        <v>17.209</v>
      </c>
      <c r="F35">
        <v>1</v>
      </c>
      <c r="G35">
        <v>6.9999999999999999E-4</v>
      </c>
      <c r="H35">
        <v>1.5</v>
      </c>
      <c r="I35">
        <v>1</v>
      </c>
      <c r="J35">
        <v>1</v>
      </c>
      <c r="K35">
        <v>50000</v>
      </c>
      <c r="L35" t="s">
        <v>604</v>
      </c>
    </row>
    <row r="36" spans="1:12">
      <c r="A36">
        <v>1002</v>
      </c>
      <c r="B36">
        <v>1.986</v>
      </c>
      <c r="C36">
        <v>2.8780000000000001</v>
      </c>
      <c r="D36">
        <v>256.27</v>
      </c>
      <c r="E36">
        <v>21.064</v>
      </c>
      <c r="F36">
        <v>1</v>
      </c>
      <c r="G36">
        <v>6.9999999999999999E-4</v>
      </c>
      <c r="H36">
        <v>1.5</v>
      </c>
      <c r="I36">
        <v>1</v>
      </c>
      <c r="J36">
        <v>1</v>
      </c>
      <c r="K36">
        <v>75070</v>
      </c>
      <c r="L36" t="s">
        <v>2487</v>
      </c>
    </row>
    <row r="37" spans="1:12">
      <c r="A37">
        <v>1003</v>
      </c>
      <c r="B37">
        <v>1.9790000000000001</v>
      </c>
      <c r="C37">
        <v>2.8650000000000002</v>
      </c>
      <c r="D37">
        <v>281.07</v>
      </c>
      <c r="E37">
        <v>25.295000000000002</v>
      </c>
      <c r="F37">
        <v>1</v>
      </c>
      <c r="G37">
        <v>6.9999999999999999E-4</v>
      </c>
      <c r="H37">
        <v>1.5</v>
      </c>
      <c r="I37">
        <v>1</v>
      </c>
      <c r="J37">
        <v>1</v>
      </c>
      <c r="K37">
        <v>123386</v>
      </c>
      <c r="L37" t="s">
        <v>3072</v>
      </c>
    </row>
    <row r="38" spans="1:12">
      <c r="A38">
        <v>1005</v>
      </c>
      <c r="B38">
        <v>2.0009999999999999</v>
      </c>
      <c r="C38">
        <v>2.9060000000000001</v>
      </c>
      <c r="D38">
        <v>298.45</v>
      </c>
      <c r="E38">
        <v>30.686</v>
      </c>
      <c r="F38">
        <v>1</v>
      </c>
      <c r="G38">
        <v>6.9999999999999999E-4</v>
      </c>
      <c r="H38">
        <v>1.5</v>
      </c>
      <c r="I38">
        <v>1</v>
      </c>
      <c r="J38">
        <v>1</v>
      </c>
      <c r="K38">
        <v>123728</v>
      </c>
      <c r="L38" t="s">
        <v>3073</v>
      </c>
    </row>
    <row r="39" spans="1:12">
      <c r="A39">
        <v>1041</v>
      </c>
      <c r="B39">
        <v>2.1379999999999999</v>
      </c>
      <c r="C39">
        <v>3.1680000000000001</v>
      </c>
      <c r="D39">
        <v>373.59</v>
      </c>
      <c r="E39">
        <v>36.945999999999998</v>
      </c>
      <c r="F39">
        <v>1</v>
      </c>
      <c r="G39">
        <v>6.9999999999999999E-4</v>
      </c>
      <c r="H39">
        <v>1.5</v>
      </c>
      <c r="I39">
        <v>1</v>
      </c>
      <c r="J39">
        <v>1</v>
      </c>
      <c r="K39">
        <v>100527</v>
      </c>
      <c r="L39" t="s">
        <v>1875</v>
      </c>
    </row>
    <row r="40" spans="1:12">
      <c r="A40">
        <v>1101</v>
      </c>
      <c r="B40">
        <v>1.2689999999999999</v>
      </c>
      <c r="C40">
        <v>1.5129999999999999</v>
      </c>
      <c r="D40">
        <v>312.32</v>
      </c>
      <c r="E40">
        <v>19.962</v>
      </c>
      <c r="F40">
        <v>1</v>
      </c>
      <c r="G40">
        <v>6.9999999999999999E-4</v>
      </c>
      <c r="H40">
        <v>5</v>
      </c>
      <c r="I40">
        <v>1</v>
      </c>
      <c r="J40">
        <v>1</v>
      </c>
      <c r="K40">
        <v>67561</v>
      </c>
      <c r="L40" t="s">
        <v>3074</v>
      </c>
    </row>
    <row r="41" spans="1:12">
      <c r="A41">
        <v>1102</v>
      </c>
      <c r="B41">
        <v>1.587</v>
      </c>
      <c r="C41">
        <v>2.117</v>
      </c>
      <c r="D41">
        <v>281.32</v>
      </c>
      <c r="E41">
        <v>24.742999999999999</v>
      </c>
      <c r="F41">
        <v>1</v>
      </c>
      <c r="G41">
        <v>6.9999999999999999E-4</v>
      </c>
      <c r="H41">
        <v>5</v>
      </c>
      <c r="I41">
        <v>1</v>
      </c>
      <c r="J41">
        <v>1</v>
      </c>
      <c r="K41">
        <v>64175</v>
      </c>
      <c r="L41" t="s">
        <v>3075</v>
      </c>
    </row>
    <row r="42" spans="1:12">
      <c r="A42">
        <v>1103</v>
      </c>
      <c r="B42">
        <v>1.6779999999999999</v>
      </c>
      <c r="C42">
        <v>2.2909999999999999</v>
      </c>
      <c r="D42">
        <v>295.94</v>
      </c>
      <c r="E42">
        <v>30.004999999999999</v>
      </c>
      <c r="F42">
        <v>1</v>
      </c>
      <c r="G42">
        <v>6.9999999999999999E-4</v>
      </c>
      <c r="H42">
        <v>5</v>
      </c>
      <c r="I42">
        <v>1</v>
      </c>
      <c r="J42">
        <v>1</v>
      </c>
      <c r="K42">
        <v>71238</v>
      </c>
      <c r="L42" t="s">
        <v>3076</v>
      </c>
    </row>
    <row r="43" spans="1:12">
      <c r="A43">
        <v>1104</v>
      </c>
      <c r="B43">
        <v>2.327</v>
      </c>
      <c r="C43">
        <v>3.528</v>
      </c>
      <c r="D43">
        <v>255.65</v>
      </c>
      <c r="E43">
        <v>26.591999999999999</v>
      </c>
      <c r="F43">
        <v>1</v>
      </c>
      <c r="G43">
        <v>1.2E-4</v>
      </c>
      <c r="H43">
        <v>5</v>
      </c>
      <c r="I43">
        <v>1</v>
      </c>
      <c r="J43">
        <v>1</v>
      </c>
      <c r="K43">
        <v>67630</v>
      </c>
      <c r="L43" t="s">
        <v>3077</v>
      </c>
    </row>
    <row r="44" spans="1:12">
      <c r="A44">
        <v>1105</v>
      </c>
      <c r="B44">
        <v>1.7709999999999999</v>
      </c>
      <c r="C44">
        <v>2.4689999999999999</v>
      </c>
      <c r="D44">
        <v>310.56</v>
      </c>
      <c r="E44">
        <v>35.762</v>
      </c>
      <c r="F44">
        <v>1</v>
      </c>
      <c r="G44">
        <v>6.9999999999999999E-4</v>
      </c>
      <c r="H44">
        <v>5</v>
      </c>
      <c r="I44">
        <v>1</v>
      </c>
      <c r="J44">
        <v>1</v>
      </c>
      <c r="K44">
        <v>71363</v>
      </c>
      <c r="L44" t="s">
        <v>1113</v>
      </c>
    </row>
    <row r="45" spans="1:12">
      <c r="A45">
        <v>1106</v>
      </c>
      <c r="B45">
        <v>1.665</v>
      </c>
      <c r="C45">
        <v>2.2669999999999999</v>
      </c>
      <c r="D45">
        <v>310.3</v>
      </c>
      <c r="E45">
        <v>36.56</v>
      </c>
      <c r="F45">
        <v>1</v>
      </c>
      <c r="G45">
        <v>6.9999999999999999E-4</v>
      </c>
      <c r="H45">
        <v>5</v>
      </c>
      <c r="I45">
        <v>1</v>
      </c>
      <c r="J45">
        <v>1</v>
      </c>
      <c r="K45">
        <v>78831</v>
      </c>
      <c r="L45" t="s">
        <v>1017</v>
      </c>
    </row>
    <row r="46" spans="1:12">
      <c r="A46">
        <v>1107</v>
      </c>
      <c r="B46">
        <v>2.3199999999999998</v>
      </c>
      <c r="C46">
        <v>3.5139999999999998</v>
      </c>
      <c r="D46">
        <v>272.33</v>
      </c>
      <c r="E46">
        <v>31.602</v>
      </c>
      <c r="F46">
        <v>1</v>
      </c>
      <c r="G46">
        <v>1.2E-4</v>
      </c>
      <c r="H46">
        <v>5</v>
      </c>
      <c r="I46">
        <v>1</v>
      </c>
      <c r="J46">
        <v>1</v>
      </c>
      <c r="K46">
        <v>78922</v>
      </c>
      <c r="L46" t="s">
        <v>932</v>
      </c>
    </row>
    <row r="47" spans="1:12">
      <c r="A47">
        <v>1108</v>
      </c>
      <c r="B47">
        <v>2.2160000000000002</v>
      </c>
      <c r="C47">
        <v>3.3149999999999999</v>
      </c>
      <c r="D47">
        <v>261.44</v>
      </c>
      <c r="E47">
        <v>32.103999999999999</v>
      </c>
      <c r="F47">
        <v>1</v>
      </c>
      <c r="G47">
        <v>1.2E-4</v>
      </c>
      <c r="H47">
        <v>5</v>
      </c>
      <c r="I47">
        <v>1</v>
      </c>
      <c r="J47">
        <v>1</v>
      </c>
      <c r="K47">
        <v>75650</v>
      </c>
      <c r="L47" t="s">
        <v>806</v>
      </c>
    </row>
    <row r="48" spans="1:12">
      <c r="A48">
        <v>1109</v>
      </c>
      <c r="B48">
        <v>1.925</v>
      </c>
      <c r="C48">
        <v>2.762</v>
      </c>
      <c r="D48">
        <v>316.29000000000002</v>
      </c>
      <c r="E48">
        <v>40.731999999999999</v>
      </c>
      <c r="F48">
        <v>1</v>
      </c>
      <c r="G48">
        <v>6.9999999999999999E-4</v>
      </c>
      <c r="H48">
        <v>5</v>
      </c>
      <c r="I48">
        <v>1</v>
      </c>
      <c r="J48">
        <v>1</v>
      </c>
      <c r="K48">
        <v>71410</v>
      </c>
      <c r="L48" t="s">
        <v>1271</v>
      </c>
    </row>
    <row r="49" spans="1:12">
      <c r="A49">
        <v>1110</v>
      </c>
      <c r="B49">
        <v>2.4529999999999998</v>
      </c>
      <c r="C49">
        <v>3.7679999999999998</v>
      </c>
      <c r="D49">
        <v>279.5</v>
      </c>
      <c r="E49">
        <v>36.610999999999997</v>
      </c>
      <c r="F49">
        <v>1</v>
      </c>
      <c r="G49">
        <v>1.2E-4</v>
      </c>
      <c r="H49">
        <v>5</v>
      </c>
      <c r="I49">
        <v>1</v>
      </c>
      <c r="J49">
        <v>1</v>
      </c>
      <c r="K49">
        <v>6032297</v>
      </c>
      <c r="L49" t="s">
        <v>1099</v>
      </c>
    </row>
    <row r="50" spans="1:12">
      <c r="A50">
        <v>1111</v>
      </c>
      <c r="B50">
        <v>2.0539999999999998</v>
      </c>
      <c r="C50">
        <v>3.0070000000000001</v>
      </c>
      <c r="D50">
        <v>294.2</v>
      </c>
      <c r="E50">
        <v>37.299999999999997</v>
      </c>
      <c r="F50">
        <v>1</v>
      </c>
      <c r="G50">
        <v>1.2E-4</v>
      </c>
      <c r="H50">
        <v>5</v>
      </c>
      <c r="I50">
        <v>1</v>
      </c>
      <c r="J50">
        <v>1</v>
      </c>
      <c r="K50">
        <v>75854</v>
      </c>
      <c r="L50" t="s">
        <v>981</v>
      </c>
    </row>
    <row r="51" spans="1:12">
      <c r="A51">
        <v>1112</v>
      </c>
      <c r="B51">
        <v>1.8879999999999999</v>
      </c>
      <c r="C51">
        <v>2.6909999999999998</v>
      </c>
      <c r="D51">
        <v>310.7</v>
      </c>
      <c r="E51">
        <v>39.840000000000003</v>
      </c>
      <c r="F51">
        <v>1</v>
      </c>
      <c r="G51">
        <v>6.9999999999999999E-4</v>
      </c>
      <c r="H51">
        <v>5</v>
      </c>
      <c r="I51">
        <v>1</v>
      </c>
      <c r="J51">
        <v>1</v>
      </c>
      <c r="K51">
        <v>137326</v>
      </c>
      <c r="L51" t="s">
        <v>1201</v>
      </c>
    </row>
    <row r="52" spans="1:12">
      <c r="A52">
        <v>1114</v>
      </c>
      <c r="B52">
        <v>2.0529999999999999</v>
      </c>
      <c r="C52">
        <v>3.0059999999999998</v>
      </c>
      <c r="D52">
        <v>322.45999999999998</v>
      </c>
      <c r="E52">
        <v>46.45</v>
      </c>
      <c r="F52">
        <v>1</v>
      </c>
      <c r="G52">
        <v>6.9999999999999999E-4</v>
      </c>
      <c r="H52">
        <v>5</v>
      </c>
      <c r="I52">
        <v>1</v>
      </c>
      <c r="J52">
        <v>1</v>
      </c>
      <c r="K52">
        <v>111273</v>
      </c>
      <c r="L52" t="s">
        <v>1401</v>
      </c>
    </row>
    <row r="53" spans="1:12">
      <c r="A53">
        <v>1115</v>
      </c>
      <c r="B53">
        <v>2.621</v>
      </c>
      <c r="C53">
        <v>4.0869999999999997</v>
      </c>
      <c r="D53">
        <v>284.27999999999997</v>
      </c>
      <c r="E53">
        <v>41.662999999999997</v>
      </c>
      <c r="F53">
        <v>1</v>
      </c>
      <c r="G53">
        <v>1.2E-4</v>
      </c>
      <c r="H53">
        <v>5</v>
      </c>
      <c r="I53">
        <v>1</v>
      </c>
      <c r="J53">
        <v>1</v>
      </c>
      <c r="K53">
        <v>626937</v>
      </c>
      <c r="L53" t="s">
        <v>1250</v>
      </c>
    </row>
    <row r="54" spans="1:12">
      <c r="A54">
        <v>1116</v>
      </c>
      <c r="B54">
        <v>2.3820000000000001</v>
      </c>
      <c r="C54">
        <v>3.6320000000000001</v>
      </c>
      <c r="D54">
        <v>294.89</v>
      </c>
      <c r="E54">
        <v>42.045999999999999</v>
      </c>
      <c r="F54">
        <v>1</v>
      </c>
      <c r="G54">
        <v>1.2E-4</v>
      </c>
      <c r="H54">
        <v>5</v>
      </c>
      <c r="I54">
        <v>1</v>
      </c>
      <c r="J54">
        <v>1</v>
      </c>
      <c r="K54">
        <v>623370</v>
      </c>
      <c r="L54" t="s">
        <v>3078</v>
      </c>
    </row>
    <row r="55" spans="1:12">
      <c r="A55">
        <v>1117</v>
      </c>
      <c r="B55">
        <v>1.8260000000000001</v>
      </c>
      <c r="C55">
        <v>2.5739999999999998</v>
      </c>
      <c r="D55">
        <v>338.35</v>
      </c>
      <c r="E55">
        <v>47.475000000000001</v>
      </c>
      <c r="F55">
        <v>1</v>
      </c>
      <c r="G55">
        <v>6.9999999999999999E-4</v>
      </c>
      <c r="H55">
        <v>5</v>
      </c>
      <c r="I55">
        <v>1</v>
      </c>
      <c r="J55">
        <v>1</v>
      </c>
      <c r="K55">
        <v>105306</v>
      </c>
      <c r="L55" t="s">
        <v>1362</v>
      </c>
    </row>
    <row r="56" spans="1:12">
      <c r="A56">
        <v>1120</v>
      </c>
      <c r="B56">
        <v>2.2829999999999999</v>
      </c>
      <c r="C56">
        <v>3.444</v>
      </c>
      <c r="D56">
        <v>288</v>
      </c>
      <c r="E56">
        <v>37.151000000000003</v>
      </c>
      <c r="F56">
        <v>1</v>
      </c>
      <c r="G56">
        <v>1.2E-4</v>
      </c>
      <c r="H56">
        <v>5</v>
      </c>
      <c r="I56">
        <v>1</v>
      </c>
      <c r="J56">
        <v>1</v>
      </c>
      <c r="K56">
        <v>584021</v>
      </c>
      <c r="L56" t="s">
        <v>1083</v>
      </c>
    </row>
    <row r="57" spans="1:12">
      <c r="A57">
        <v>1121</v>
      </c>
      <c r="B57">
        <v>2.2690000000000001</v>
      </c>
      <c r="C57">
        <v>3.4180000000000001</v>
      </c>
      <c r="D57">
        <v>326.24</v>
      </c>
      <c r="E57">
        <v>58.29</v>
      </c>
      <c r="F57">
        <v>1</v>
      </c>
      <c r="G57">
        <v>6.9999999999999999E-4</v>
      </c>
      <c r="H57">
        <v>5</v>
      </c>
      <c r="I57">
        <v>1</v>
      </c>
      <c r="J57">
        <v>1</v>
      </c>
      <c r="K57">
        <v>104767</v>
      </c>
      <c r="L57" t="s">
        <v>1569</v>
      </c>
    </row>
    <row r="58" spans="1:12">
      <c r="A58">
        <v>1123</v>
      </c>
      <c r="B58">
        <v>1.91</v>
      </c>
      <c r="C58">
        <v>2.7320000000000002</v>
      </c>
      <c r="D58">
        <v>310.11</v>
      </c>
      <c r="E58">
        <v>39.9</v>
      </c>
      <c r="F58">
        <v>1</v>
      </c>
      <c r="G58">
        <v>6.9999999999999999E-4</v>
      </c>
      <c r="H58">
        <v>5</v>
      </c>
      <c r="I58">
        <v>1</v>
      </c>
      <c r="J58">
        <v>1</v>
      </c>
      <c r="K58">
        <v>123513</v>
      </c>
      <c r="L58" t="s">
        <v>1212</v>
      </c>
    </row>
    <row r="59" spans="1:12">
      <c r="A59">
        <v>1124</v>
      </c>
      <c r="B59">
        <v>2.194</v>
      </c>
      <c r="C59">
        <v>3.2749999999999999</v>
      </c>
      <c r="D59">
        <v>291.42</v>
      </c>
      <c r="E59">
        <v>35.869999999999997</v>
      </c>
      <c r="F59">
        <v>1</v>
      </c>
      <c r="G59">
        <v>1.2E-4</v>
      </c>
      <c r="H59">
        <v>5</v>
      </c>
      <c r="I59">
        <v>1</v>
      </c>
      <c r="J59">
        <v>1</v>
      </c>
      <c r="K59">
        <v>598754</v>
      </c>
      <c r="L59" t="s">
        <v>1069</v>
      </c>
    </row>
    <row r="60" spans="1:12">
      <c r="A60">
        <v>1125</v>
      </c>
      <c r="B60">
        <v>2.2290000000000001</v>
      </c>
      <c r="C60">
        <v>3.3420000000000001</v>
      </c>
      <c r="D60">
        <v>323.33999999999997</v>
      </c>
      <c r="E60">
        <v>51.933</v>
      </c>
      <c r="F60">
        <v>1</v>
      </c>
      <c r="G60">
        <v>6.9999999999999999E-4</v>
      </c>
      <c r="H60">
        <v>5</v>
      </c>
      <c r="I60">
        <v>1</v>
      </c>
      <c r="J60">
        <v>1</v>
      </c>
      <c r="K60">
        <v>111706</v>
      </c>
      <c r="L60" t="s">
        <v>1525</v>
      </c>
    </row>
    <row r="61" spans="1:12">
      <c r="A61">
        <v>1126</v>
      </c>
      <c r="B61">
        <v>2.8069999999999999</v>
      </c>
      <c r="C61">
        <v>4.4420000000000002</v>
      </c>
      <c r="D61">
        <v>287.83</v>
      </c>
      <c r="E61">
        <v>46.658000000000001</v>
      </c>
      <c r="F61">
        <v>1</v>
      </c>
      <c r="G61">
        <v>1.2E-4</v>
      </c>
      <c r="H61">
        <v>5</v>
      </c>
      <c r="I61">
        <v>1</v>
      </c>
      <c r="J61">
        <v>1</v>
      </c>
      <c r="K61">
        <v>543497</v>
      </c>
      <c r="L61" t="s">
        <v>1386</v>
      </c>
    </row>
    <row r="62" spans="1:12">
      <c r="A62">
        <v>1130</v>
      </c>
      <c r="B62">
        <v>2.629</v>
      </c>
      <c r="C62">
        <v>4.1020000000000003</v>
      </c>
      <c r="D62">
        <v>278.27999999999997</v>
      </c>
      <c r="E62">
        <v>39.042000000000002</v>
      </c>
      <c r="F62">
        <v>1</v>
      </c>
      <c r="G62">
        <v>1.2E-4</v>
      </c>
      <c r="H62">
        <v>5</v>
      </c>
      <c r="I62">
        <v>1</v>
      </c>
      <c r="J62">
        <v>1</v>
      </c>
      <c r="K62">
        <v>108112</v>
      </c>
      <c r="L62" t="s">
        <v>1197</v>
      </c>
    </row>
    <row r="63" spans="1:12">
      <c r="A63">
        <v>1132</v>
      </c>
      <c r="B63">
        <v>2.4020000000000001</v>
      </c>
      <c r="C63">
        <v>3.6709999999999998</v>
      </c>
      <c r="D63">
        <v>324.39999999999998</v>
      </c>
      <c r="E63">
        <v>57.69</v>
      </c>
      <c r="F63">
        <v>1</v>
      </c>
      <c r="G63">
        <v>6.9999999999999999E-4</v>
      </c>
      <c r="H63">
        <v>5</v>
      </c>
      <c r="I63">
        <v>1</v>
      </c>
      <c r="J63">
        <v>1</v>
      </c>
      <c r="K63">
        <v>111875</v>
      </c>
      <c r="L63" t="s">
        <v>1644</v>
      </c>
    </row>
    <row r="64" spans="1:12">
      <c r="A64">
        <v>1133</v>
      </c>
      <c r="B64">
        <v>2.9809999999999999</v>
      </c>
      <c r="C64">
        <v>4.7729999999999997</v>
      </c>
      <c r="D64">
        <v>291.44</v>
      </c>
      <c r="E64">
        <v>51.627000000000002</v>
      </c>
      <c r="F64">
        <v>1</v>
      </c>
      <c r="G64">
        <v>1.2E-4</v>
      </c>
      <c r="H64">
        <v>5</v>
      </c>
      <c r="I64">
        <v>1</v>
      </c>
      <c r="J64">
        <v>1</v>
      </c>
      <c r="K64">
        <v>123966</v>
      </c>
      <c r="L64" t="s">
        <v>1512</v>
      </c>
    </row>
    <row r="65" spans="1:12">
      <c r="A65">
        <v>1134</v>
      </c>
      <c r="B65">
        <v>2.58</v>
      </c>
      <c r="C65">
        <v>4.01</v>
      </c>
      <c r="D65">
        <v>324.89999999999998</v>
      </c>
      <c r="E65">
        <v>63.6</v>
      </c>
      <c r="F65">
        <v>1</v>
      </c>
      <c r="G65">
        <v>6.9999999999999999E-4</v>
      </c>
      <c r="H65">
        <v>5</v>
      </c>
      <c r="I65">
        <v>1</v>
      </c>
      <c r="J65">
        <v>1</v>
      </c>
      <c r="K65">
        <v>143088</v>
      </c>
      <c r="L65" t="s">
        <v>1753</v>
      </c>
    </row>
    <row r="66" spans="1:12">
      <c r="A66">
        <v>1135</v>
      </c>
      <c r="B66">
        <v>3.1339999999999999</v>
      </c>
      <c r="C66">
        <v>5.0540000000000003</v>
      </c>
      <c r="D66">
        <v>295.24</v>
      </c>
      <c r="E66">
        <v>56.6</v>
      </c>
      <c r="F66">
        <v>1</v>
      </c>
      <c r="G66">
        <v>1.2E-4</v>
      </c>
      <c r="H66">
        <v>5</v>
      </c>
      <c r="I66">
        <v>1</v>
      </c>
      <c r="J66">
        <v>1</v>
      </c>
      <c r="K66">
        <v>628999</v>
      </c>
      <c r="L66" t="s">
        <v>1623</v>
      </c>
    </row>
    <row r="67" spans="1:12">
      <c r="A67">
        <v>1136</v>
      </c>
      <c r="B67">
        <v>2.774</v>
      </c>
      <c r="C67">
        <v>4.3789999999999996</v>
      </c>
      <c r="D67">
        <v>324.5</v>
      </c>
      <c r="E67">
        <v>69.55</v>
      </c>
      <c r="F67">
        <v>1</v>
      </c>
      <c r="G67">
        <v>6.9999999999999999E-4</v>
      </c>
      <c r="H67">
        <v>5</v>
      </c>
      <c r="I67">
        <v>1</v>
      </c>
      <c r="J67">
        <v>1</v>
      </c>
      <c r="K67">
        <v>112301</v>
      </c>
      <c r="L67" t="s">
        <v>1832</v>
      </c>
    </row>
    <row r="68" spans="1:12">
      <c r="A68">
        <v>1137</v>
      </c>
      <c r="B68">
        <v>2.9260000000000002</v>
      </c>
      <c r="C68">
        <v>4.6689999999999996</v>
      </c>
      <c r="D68">
        <v>325.83999999999997</v>
      </c>
      <c r="E68">
        <v>75.959999999999994</v>
      </c>
      <c r="F68">
        <v>1</v>
      </c>
      <c r="G68">
        <v>6.9999999999999999E-4</v>
      </c>
      <c r="H68">
        <v>5</v>
      </c>
      <c r="I68">
        <v>1</v>
      </c>
      <c r="J68">
        <v>1</v>
      </c>
      <c r="K68">
        <v>112425</v>
      </c>
      <c r="L68" t="s">
        <v>1924</v>
      </c>
    </row>
    <row r="69" spans="1:12">
      <c r="A69">
        <v>1140</v>
      </c>
      <c r="B69">
        <v>3.13</v>
      </c>
      <c r="C69">
        <v>5.0570000000000004</v>
      </c>
      <c r="D69">
        <v>324.97000000000003</v>
      </c>
      <c r="E69">
        <v>82.1</v>
      </c>
      <c r="F69">
        <v>1</v>
      </c>
      <c r="G69">
        <v>6.9999999999999999E-4</v>
      </c>
      <c r="H69">
        <v>5</v>
      </c>
      <c r="I69">
        <v>1</v>
      </c>
      <c r="J69">
        <v>1</v>
      </c>
      <c r="K69">
        <v>112538</v>
      </c>
      <c r="L69" t="s">
        <v>1981</v>
      </c>
    </row>
    <row r="70" spans="1:12">
      <c r="A70">
        <v>1141</v>
      </c>
      <c r="B70">
        <v>3.3260000000000001</v>
      </c>
      <c r="C70">
        <v>5.43</v>
      </c>
      <c r="D70">
        <v>324.48</v>
      </c>
      <c r="E70">
        <v>88.343999999999994</v>
      </c>
      <c r="F70">
        <v>1</v>
      </c>
      <c r="G70">
        <v>6.9999999999999999E-4</v>
      </c>
      <c r="H70">
        <v>5</v>
      </c>
      <c r="I70">
        <v>1</v>
      </c>
      <c r="J70">
        <v>1</v>
      </c>
      <c r="K70">
        <v>112709</v>
      </c>
      <c r="L70" t="s">
        <v>2047</v>
      </c>
    </row>
    <row r="71" spans="1:12">
      <c r="A71">
        <v>1142</v>
      </c>
      <c r="B71">
        <v>3.4980000000000002</v>
      </c>
      <c r="C71">
        <v>5.758</v>
      </c>
      <c r="D71">
        <v>324.7</v>
      </c>
      <c r="E71">
        <v>95.04</v>
      </c>
      <c r="F71">
        <v>1</v>
      </c>
      <c r="G71">
        <v>6.9999999999999999E-4</v>
      </c>
      <c r="H71">
        <v>5</v>
      </c>
      <c r="I71">
        <v>1</v>
      </c>
      <c r="J71">
        <v>1</v>
      </c>
      <c r="K71">
        <v>112721</v>
      </c>
      <c r="L71" t="s">
        <v>2506</v>
      </c>
    </row>
    <row r="72" spans="1:12">
      <c r="A72">
        <v>1143</v>
      </c>
      <c r="B72">
        <v>3.6880000000000002</v>
      </c>
      <c r="C72">
        <v>6.1189999999999998</v>
      </c>
      <c r="D72">
        <v>324.60000000000002</v>
      </c>
      <c r="E72">
        <v>101.46</v>
      </c>
      <c r="F72">
        <v>1</v>
      </c>
      <c r="G72">
        <v>6.9999999999999999E-4</v>
      </c>
      <c r="H72">
        <v>5</v>
      </c>
      <c r="I72">
        <v>1</v>
      </c>
      <c r="J72">
        <v>1</v>
      </c>
      <c r="K72">
        <v>629765</v>
      </c>
      <c r="L72" t="s">
        <v>2130</v>
      </c>
    </row>
    <row r="73" spans="1:12">
      <c r="A73">
        <v>1144</v>
      </c>
      <c r="B73">
        <v>3.847</v>
      </c>
      <c r="C73">
        <v>6.4219999999999997</v>
      </c>
      <c r="D73">
        <v>325.23</v>
      </c>
      <c r="E73">
        <v>108.35</v>
      </c>
      <c r="F73">
        <v>1</v>
      </c>
      <c r="G73">
        <v>6.9999999999999999E-4</v>
      </c>
      <c r="H73">
        <v>5</v>
      </c>
      <c r="I73">
        <v>1</v>
      </c>
      <c r="J73">
        <v>1</v>
      </c>
      <c r="K73">
        <v>36653824</v>
      </c>
      <c r="L73" t="s">
        <v>2185</v>
      </c>
    </row>
    <row r="74" spans="1:12">
      <c r="A74">
        <v>1145</v>
      </c>
      <c r="B74">
        <v>4.0259999999999998</v>
      </c>
      <c r="C74">
        <v>6.7640000000000002</v>
      </c>
      <c r="D74">
        <v>325.25</v>
      </c>
      <c r="E74">
        <v>115.14</v>
      </c>
      <c r="F74">
        <v>1</v>
      </c>
      <c r="G74">
        <v>6.9999999999999999E-4</v>
      </c>
      <c r="H74">
        <v>5</v>
      </c>
      <c r="I74">
        <v>1</v>
      </c>
      <c r="J74">
        <v>1</v>
      </c>
      <c r="K74">
        <v>1454859</v>
      </c>
      <c r="L74" t="s">
        <v>2230</v>
      </c>
    </row>
    <row r="75" spans="1:12">
      <c r="A75">
        <v>1146</v>
      </c>
      <c r="B75">
        <v>4.1420000000000003</v>
      </c>
      <c r="C75">
        <v>6.984</v>
      </c>
      <c r="D75">
        <v>326.79000000000002</v>
      </c>
      <c r="E75">
        <v>122.7</v>
      </c>
      <c r="F75">
        <v>1</v>
      </c>
      <c r="G75">
        <v>6.9999999999999999E-4</v>
      </c>
      <c r="H75">
        <v>5</v>
      </c>
      <c r="I75">
        <v>1</v>
      </c>
      <c r="J75">
        <v>1</v>
      </c>
      <c r="K75">
        <v>112925</v>
      </c>
      <c r="L75" t="s">
        <v>2264</v>
      </c>
    </row>
    <row r="76" spans="1:12">
      <c r="A76">
        <v>1148</v>
      </c>
      <c r="B76">
        <v>4.3949999999999996</v>
      </c>
      <c r="C76">
        <v>7.4669999999999996</v>
      </c>
      <c r="D76">
        <v>328.8</v>
      </c>
      <c r="E76">
        <v>137.78</v>
      </c>
      <c r="F76">
        <v>1</v>
      </c>
      <c r="G76">
        <v>6.9999999999999999E-4</v>
      </c>
      <c r="H76">
        <v>5</v>
      </c>
      <c r="I76">
        <v>1</v>
      </c>
      <c r="J76">
        <v>1</v>
      </c>
      <c r="K76">
        <v>629969</v>
      </c>
      <c r="L76" t="s">
        <v>2307</v>
      </c>
    </row>
    <row r="77" spans="1:12">
      <c r="A77">
        <v>1149</v>
      </c>
      <c r="B77">
        <v>4.282</v>
      </c>
      <c r="C77">
        <v>7.2510000000000003</v>
      </c>
      <c r="D77">
        <v>327.58999999999997</v>
      </c>
      <c r="E77">
        <v>130.16999999999999</v>
      </c>
      <c r="F77">
        <v>1</v>
      </c>
      <c r="G77">
        <v>6.9999999999999999E-4</v>
      </c>
      <c r="H77">
        <v>5</v>
      </c>
      <c r="I77">
        <v>1</v>
      </c>
      <c r="J77">
        <v>1</v>
      </c>
      <c r="K77">
        <v>1454848</v>
      </c>
      <c r="L77" t="s">
        <v>2287</v>
      </c>
    </row>
    <row r="78" spans="1:12">
      <c r="A78">
        <v>1167</v>
      </c>
      <c r="B78">
        <v>1.5229999999999999</v>
      </c>
      <c r="C78">
        <v>1.9950000000000001</v>
      </c>
      <c r="D78">
        <v>318.39999999999998</v>
      </c>
      <c r="E78">
        <v>28.81</v>
      </c>
      <c r="F78">
        <v>1</v>
      </c>
      <c r="G78">
        <v>6.9999999999999999E-4</v>
      </c>
      <c r="H78">
        <v>5</v>
      </c>
      <c r="I78">
        <v>1</v>
      </c>
      <c r="J78">
        <v>1</v>
      </c>
      <c r="K78">
        <v>107186</v>
      </c>
      <c r="L78" t="s">
        <v>3079</v>
      </c>
    </row>
    <row r="79" spans="1:12">
      <c r="A79">
        <v>1170</v>
      </c>
      <c r="B79">
        <v>2.7120000000000002</v>
      </c>
      <c r="C79">
        <v>4.2610000000000001</v>
      </c>
      <c r="D79">
        <v>346.04</v>
      </c>
      <c r="E79">
        <v>34.42</v>
      </c>
      <c r="F79">
        <v>1</v>
      </c>
      <c r="G79">
        <v>5.0000000000000001E-4</v>
      </c>
      <c r="H79">
        <v>4</v>
      </c>
      <c r="I79">
        <v>1</v>
      </c>
      <c r="J79">
        <v>1</v>
      </c>
      <c r="K79">
        <v>526750</v>
      </c>
      <c r="L79" t="s">
        <v>2005</v>
      </c>
    </row>
    <row r="80" spans="1:12">
      <c r="A80">
        <v>1172</v>
      </c>
      <c r="B80">
        <v>2.7</v>
      </c>
      <c r="C80">
        <v>4.2380000000000004</v>
      </c>
      <c r="D80">
        <v>339.4</v>
      </c>
      <c r="E80">
        <v>37.567</v>
      </c>
      <c r="F80">
        <v>1</v>
      </c>
      <c r="G80">
        <v>5.0000000000000001E-4</v>
      </c>
      <c r="H80">
        <v>4</v>
      </c>
      <c r="I80">
        <v>1</v>
      </c>
      <c r="J80">
        <v>1</v>
      </c>
      <c r="K80">
        <v>105679</v>
      </c>
      <c r="L80" t="s">
        <v>1943</v>
      </c>
    </row>
    <row r="81" spans="1:12">
      <c r="A81">
        <v>1174</v>
      </c>
      <c r="B81">
        <v>2.8809999999999998</v>
      </c>
      <c r="C81">
        <v>4.5830000000000002</v>
      </c>
      <c r="D81">
        <v>330.09</v>
      </c>
      <c r="E81">
        <v>33.058999999999997</v>
      </c>
      <c r="F81">
        <v>1</v>
      </c>
      <c r="G81">
        <v>5.0000000000000001E-4</v>
      </c>
      <c r="H81">
        <v>4</v>
      </c>
      <c r="I81">
        <v>1</v>
      </c>
      <c r="J81">
        <v>1</v>
      </c>
      <c r="K81">
        <v>95874</v>
      </c>
      <c r="L81" t="s">
        <v>1940</v>
      </c>
    </row>
    <row r="82" spans="1:12">
      <c r="A82">
        <v>1176</v>
      </c>
      <c r="B82">
        <v>2.4609999999999999</v>
      </c>
      <c r="C82">
        <v>3.7839999999999998</v>
      </c>
      <c r="D82">
        <v>349.77</v>
      </c>
      <c r="E82">
        <v>39.17</v>
      </c>
      <c r="F82">
        <v>1</v>
      </c>
      <c r="G82">
        <v>5.0000000000000001E-4</v>
      </c>
      <c r="H82">
        <v>4</v>
      </c>
      <c r="I82">
        <v>1</v>
      </c>
      <c r="J82">
        <v>1</v>
      </c>
      <c r="K82">
        <v>576261</v>
      </c>
      <c r="L82" t="s">
        <v>1906</v>
      </c>
    </row>
    <row r="83" spans="1:12">
      <c r="A83">
        <v>1177</v>
      </c>
      <c r="B83">
        <v>2.9670000000000001</v>
      </c>
      <c r="C83">
        <v>4.7460000000000004</v>
      </c>
      <c r="D83">
        <v>337.24</v>
      </c>
      <c r="E83">
        <v>33.1</v>
      </c>
      <c r="F83">
        <v>1</v>
      </c>
      <c r="G83">
        <v>5.0000000000000001E-4</v>
      </c>
      <c r="H83">
        <v>4</v>
      </c>
      <c r="I83">
        <v>1</v>
      </c>
      <c r="J83">
        <v>1</v>
      </c>
      <c r="K83">
        <v>95658</v>
      </c>
      <c r="L83" t="s">
        <v>2033</v>
      </c>
    </row>
    <row r="84" spans="1:12">
      <c r="A84">
        <v>1178</v>
      </c>
      <c r="B84">
        <v>2.6339999999999999</v>
      </c>
      <c r="C84">
        <v>4.1130000000000004</v>
      </c>
      <c r="D84">
        <v>347.39</v>
      </c>
      <c r="E84">
        <v>46.68</v>
      </c>
      <c r="F84">
        <v>1</v>
      </c>
      <c r="G84">
        <v>5.0000000000000001E-4</v>
      </c>
      <c r="H84">
        <v>4</v>
      </c>
      <c r="I84">
        <v>1</v>
      </c>
      <c r="J84">
        <v>1</v>
      </c>
      <c r="K84">
        <v>108689</v>
      </c>
      <c r="L84" t="s">
        <v>1966</v>
      </c>
    </row>
    <row r="85" spans="1:12">
      <c r="A85">
        <v>1180</v>
      </c>
      <c r="B85">
        <v>2.13</v>
      </c>
      <c r="C85">
        <v>3.1520000000000001</v>
      </c>
      <c r="D85">
        <v>385.1</v>
      </c>
      <c r="E85">
        <v>41.145000000000003</v>
      </c>
      <c r="F85">
        <v>1</v>
      </c>
      <c r="G85">
        <v>5.0000000000000001E-4</v>
      </c>
      <c r="H85">
        <v>4</v>
      </c>
      <c r="I85">
        <v>1</v>
      </c>
      <c r="J85">
        <v>1</v>
      </c>
      <c r="K85">
        <v>100516</v>
      </c>
      <c r="L85" t="s">
        <v>3080</v>
      </c>
    </row>
    <row r="86" spans="1:12">
      <c r="A86">
        <v>1181</v>
      </c>
      <c r="B86">
        <v>2.3250000000000002</v>
      </c>
      <c r="C86">
        <v>3.524</v>
      </c>
      <c r="D86">
        <v>353.97</v>
      </c>
      <c r="E86">
        <v>27.811</v>
      </c>
      <c r="F86">
        <v>1</v>
      </c>
      <c r="G86">
        <v>5.0000000000000001E-4</v>
      </c>
      <c r="H86">
        <v>4</v>
      </c>
      <c r="I86">
        <v>1</v>
      </c>
      <c r="J86">
        <v>1</v>
      </c>
      <c r="K86">
        <v>108952</v>
      </c>
      <c r="L86" t="s">
        <v>1870</v>
      </c>
    </row>
    <row r="87" spans="1:12">
      <c r="A87">
        <v>1182</v>
      </c>
      <c r="B87">
        <v>2.34</v>
      </c>
      <c r="C87">
        <v>3.552</v>
      </c>
      <c r="D87">
        <v>355.54</v>
      </c>
      <c r="E87">
        <v>34.018999999999998</v>
      </c>
      <c r="F87">
        <v>1</v>
      </c>
      <c r="G87">
        <v>5.0000000000000001E-4</v>
      </c>
      <c r="H87">
        <v>4</v>
      </c>
      <c r="I87">
        <v>1</v>
      </c>
      <c r="J87">
        <v>1</v>
      </c>
      <c r="K87">
        <v>95487</v>
      </c>
      <c r="L87" t="s">
        <v>1890</v>
      </c>
    </row>
    <row r="88" spans="1:12">
      <c r="A88">
        <v>1183</v>
      </c>
      <c r="B88">
        <v>2.4289999999999998</v>
      </c>
      <c r="C88">
        <v>3.7210000000000001</v>
      </c>
      <c r="D88">
        <v>354.18</v>
      </c>
      <c r="E88">
        <v>37.347999999999999</v>
      </c>
      <c r="F88">
        <v>1</v>
      </c>
      <c r="G88">
        <v>5.0000000000000001E-4</v>
      </c>
      <c r="H88">
        <v>4</v>
      </c>
      <c r="I88">
        <v>1</v>
      </c>
      <c r="J88">
        <v>1</v>
      </c>
      <c r="K88">
        <v>108394</v>
      </c>
      <c r="L88" t="s">
        <v>1935</v>
      </c>
    </row>
    <row r="89" spans="1:12">
      <c r="A89">
        <v>1184</v>
      </c>
      <c r="B89">
        <v>2.637</v>
      </c>
      <c r="C89">
        <v>4.117</v>
      </c>
      <c r="D89">
        <v>340.79</v>
      </c>
      <c r="E89">
        <v>32.258000000000003</v>
      </c>
      <c r="F89">
        <v>1</v>
      </c>
      <c r="G89">
        <v>5.0000000000000001E-4</v>
      </c>
      <c r="H89">
        <v>4</v>
      </c>
      <c r="I89">
        <v>1</v>
      </c>
      <c r="J89">
        <v>1</v>
      </c>
      <c r="K89">
        <v>106445</v>
      </c>
      <c r="L89" t="s">
        <v>1926</v>
      </c>
    </row>
    <row r="90" spans="1:12">
      <c r="A90">
        <v>1185</v>
      </c>
      <c r="B90">
        <v>2.548</v>
      </c>
      <c r="C90">
        <v>3.948</v>
      </c>
      <c r="D90">
        <v>345.51</v>
      </c>
      <c r="E90">
        <v>38.960999999999999</v>
      </c>
      <c r="F90">
        <v>1</v>
      </c>
      <c r="G90">
        <v>5.0000000000000001E-4</v>
      </c>
      <c r="H90">
        <v>4</v>
      </c>
      <c r="I90">
        <v>1</v>
      </c>
      <c r="J90">
        <v>1</v>
      </c>
      <c r="K90">
        <v>90006</v>
      </c>
      <c r="L90" t="s">
        <v>3081</v>
      </c>
    </row>
    <row r="91" spans="1:12">
      <c r="A91">
        <v>1187</v>
      </c>
      <c r="B91">
        <v>2.726</v>
      </c>
      <c r="C91">
        <v>4.2880000000000003</v>
      </c>
      <c r="D91">
        <v>342.46</v>
      </c>
      <c r="E91">
        <v>38.863999999999997</v>
      </c>
      <c r="F91">
        <v>1</v>
      </c>
      <c r="G91">
        <v>5.0000000000000001E-4</v>
      </c>
      <c r="H91">
        <v>4</v>
      </c>
      <c r="I91">
        <v>1</v>
      </c>
      <c r="J91">
        <v>1</v>
      </c>
      <c r="K91">
        <v>123079</v>
      </c>
      <c r="L91" t="s">
        <v>1970</v>
      </c>
    </row>
    <row r="92" spans="1:12">
      <c r="A92">
        <v>1198</v>
      </c>
      <c r="B92">
        <v>4.7839999999999998</v>
      </c>
      <c r="C92">
        <v>8.2080000000000002</v>
      </c>
      <c r="D92">
        <v>337.73</v>
      </c>
      <c r="E92">
        <v>55.11</v>
      </c>
      <c r="F92">
        <v>2</v>
      </c>
      <c r="G92">
        <v>5.0000000000000001E-4</v>
      </c>
      <c r="H92">
        <v>4</v>
      </c>
      <c r="I92">
        <v>1</v>
      </c>
      <c r="J92">
        <v>1</v>
      </c>
      <c r="K92">
        <v>80057</v>
      </c>
      <c r="L92" t="s">
        <v>2537</v>
      </c>
    </row>
    <row r="93" spans="1:12">
      <c r="A93">
        <v>1202</v>
      </c>
      <c r="B93">
        <v>2.6619999999999999</v>
      </c>
      <c r="C93">
        <v>4.1660000000000004</v>
      </c>
      <c r="D93">
        <v>352.25</v>
      </c>
      <c r="E93">
        <v>38.950000000000003</v>
      </c>
      <c r="F93">
        <v>2</v>
      </c>
      <c r="G93">
        <v>5.0000000000000001E-4</v>
      </c>
      <c r="H93">
        <v>4</v>
      </c>
      <c r="I93">
        <v>1</v>
      </c>
      <c r="J93">
        <v>1</v>
      </c>
      <c r="K93">
        <v>111466</v>
      </c>
      <c r="L93" t="s">
        <v>2090</v>
      </c>
    </row>
    <row r="94" spans="1:12">
      <c r="A94">
        <v>1212</v>
      </c>
      <c r="B94">
        <v>2.359</v>
      </c>
      <c r="C94">
        <v>3.5880000000000001</v>
      </c>
      <c r="D94">
        <v>351.46</v>
      </c>
      <c r="E94">
        <v>27.995000000000001</v>
      </c>
      <c r="F94">
        <v>2</v>
      </c>
      <c r="G94">
        <v>5.0000000000000001E-4</v>
      </c>
      <c r="H94">
        <v>4</v>
      </c>
      <c r="I94">
        <v>1</v>
      </c>
      <c r="J94">
        <v>1</v>
      </c>
      <c r="K94">
        <v>504632</v>
      </c>
      <c r="L94" t="s">
        <v>2011</v>
      </c>
    </row>
    <row r="95" spans="1:12">
      <c r="A95">
        <v>1221</v>
      </c>
      <c r="B95">
        <v>2.738</v>
      </c>
      <c r="C95">
        <v>4.3099999999999996</v>
      </c>
      <c r="D95">
        <v>313.94</v>
      </c>
      <c r="E95">
        <v>40.44</v>
      </c>
      <c r="F95">
        <v>2</v>
      </c>
      <c r="G95">
        <v>5.0000000000000001E-4</v>
      </c>
      <c r="H95">
        <v>4</v>
      </c>
      <c r="I95">
        <v>1</v>
      </c>
      <c r="J95">
        <v>1</v>
      </c>
      <c r="K95">
        <v>107880</v>
      </c>
      <c r="L95" t="s">
        <v>1777</v>
      </c>
    </row>
    <row r="96" spans="1:12">
      <c r="A96">
        <v>1400</v>
      </c>
      <c r="B96">
        <v>2.0350000000000001</v>
      </c>
      <c r="C96">
        <v>2.972</v>
      </c>
      <c r="D96">
        <v>296.72000000000003</v>
      </c>
      <c r="E96">
        <v>35.665999999999997</v>
      </c>
      <c r="F96">
        <v>1</v>
      </c>
      <c r="G96">
        <v>1.6299999999999999E-3</v>
      </c>
      <c r="H96">
        <v>4</v>
      </c>
      <c r="I96">
        <v>1</v>
      </c>
      <c r="J96">
        <v>0</v>
      </c>
      <c r="K96">
        <v>96479</v>
      </c>
      <c r="L96" t="s">
        <v>2815</v>
      </c>
    </row>
    <row r="97" spans="1:12">
      <c r="A97">
        <v>1301</v>
      </c>
      <c r="B97">
        <v>1.865</v>
      </c>
      <c r="C97">
        <v>2.6480000000000001</v>
      </c>
      <c r="D97">
        <v>280.58</v>
      </c>
      <c r="E97">
        <v>20.876999999999999</v>
      </c>
      <c r="F97">
        <v>1</v>
      </c>
      <c r="G97">
        <v>6.9999999999999999E-4</v>
      </c>
      <c r="H97">
        <v>1.5</v>
      </c>
      <c r="I97">
        <v>1</v>
      </c>
      <c r="J97">
        <v>1</v>
      </c>
      <c r="K97">
        <v>107313</v>
      </c>
      <c r="L97" t="s">
        <v>2814</v>
      </c>
    </row>
    <row r="98" spans="1:12">
      <c r="A98">
        <v>1302</v>
      </c>
      <c r="B98">
        <v>1.9970000000000001</v>
      </c>
      <c r="C98">
        <v>2.8980000000000001</v>
      </c>
      <c r="D98">
        <v>282.5</v>
      </c>
      <c r="E98">
        <v>27.068000000000001</v>
      </c>
      <c r="F98">
        <v>1</v>
      </c>
      <c r="G98">
        <v>6.9999999999999999E-4</v>
      </c>
      <c r="H98">
        <v>1.5</v>
      </c>
      <c r="I98">
        <v>1</v>
      </c>
      <c r="J98">
        <v>1</v>
      </c>
      <c r="K98">
        <v>109944</v>
      </c>
      <c r="L98" t="s">
        <v>3084</v>
      </c>
    </row>
    <row r="99" spans="1:12">
      <c r="A99">
        <v>1303</v>
      </c>
      <c r="B99">
        <v>2.1040000000000001</v>
      </c>
      <c r="C99">
        <v>3.1019999999999999</v>
      </c>
      <c r="D99">
        <v>291.20999999999998</v>
      </c>
      <c r="E99">
        <v>33.28</v>
      </c>
      <c r="F99">
        <v>1</v>
      </c>
      <c r="G99">
        <v>6.9999999999999999E-4</v>
      </c>
      <c r="H99">
        <v>1.5</v>
      </c>
      <c r="I99">
        <v>1</v>
      </c>
      <c r="J99">
        <v>1</v>
      </c>
      <c r="K99">
        <v>110747</v>
      </c>
      <c r="L99" t="s">
        <v>3085</v>
      </c>
    </row>
    <row r="100" spans="1:12">
      <c r="A100">
        <v>1304</v>
      </c>
      <c r="B100">
        <v>2.4192</v>
      </c>
      <c r="C100">
        <v>3.7031999999999998</v>
      </c>
      <c r="D100">
        <v>282.98</v>
      </c>
      <c r="E100">
        <v>38.107999999999997</v>
      </c>
      <c r="F100">
        <v>1</v>
      </c>
      <c r="G100">
        <v>6.9999999999999999E-4</v>
      </c>
      <c r="H100">
        <v>1.5</v>
      </c>
      <c r="I100">
        <v>1</v>
      </c>
      <c r="J100">
        <v>1</v>
      </c>
      <c r="K100">
        <v>592847</v>
      </c>
      <c r="L100" t="s">
        <v>3086</v>
      </c>
    </row>
    <row r="101" spans="1:12">
      <c r="A101">
        <v>1305</v>
      </c>
      <c r="B101">
        <v>2.4220000000000002</v>
      </c>
      <c r="C101">
        <v>3.7080000000000002</v>
      </c>
      <c r="D101">
        <v>278.89</v>
      </c>
      <c r="E101">
        <v>33.999000000000002</v>
      </c>
      <c r="F101">
        <v>1</v>
      </c>
      <c r="G101">
        <v>6.9999999999999999E-4</v>
      </c>
      <c r="H101">
        <v>1.5</v>
      </c>
      <c r="I101">
        <v>1</v>
      </c>
      <c r="J101">
        <v>1</v>
      </c>
      <c r="K101">
        <v>542552</v>
      </c>
      <c r="L101" t="s">
        <v>3087</v>
      </c>
    </row>
    <row r="102" spans="1:12">
      <c r="A102">
        <v>1306</v>
      </c>
      <c r="B102">
        <v>2.9420000000000002</v>
      </c>
      <c r="C102">
        <v>4.6989999999999998</v>
      </c>
      <c r="D102">
        <v>268.64</v>
      </c>
      <c r="E102">
        <v>41.554000000000002</v>
      </c>
      <c r="F102">
        <v>1</v>
      </c>
      <c r="G102">
        <v>6.9999999999999999E-4</v>
      </c>
      <c r="H102">
        <v>1.5</v>
      </c>
      <c r="I102">
        <v>1</v>
      </c>
      <c r="J102">
        <v>1</v>
      </c>
      <c r="K102">
        <v>638493</v>
      </c>
      <c r="L102" t="s">
        <v>3088</v>
      </c>
    </row>
    <row r="103" spans="1:12">
      <c r="A103">
        <v>1401</v>
      </c>
      <c r="B103">
        <v>1.728</v>
      </c>
      <c r="C103">
        <v>2.387</v>
      </c>
      <c r="D103">
        <v>242.91</v>
      </c>
      <c r="E103">
        <v>19.645</v>
      </c>
      <c r="F103">
        <v>1</v>
      </c>
      <c r="G103">
        <v>4.6999999999999999E-4</v>
      </c>
      <c r="H103">
        <v>4</v>
      </c>
      <c r="I103">
        <v>1</v>
      </c>
      <c r="J103">
        <v>0</v>
      </c>
      <c r="K103">
        <v>115106</v>
      </c>
      <c r="L103" t="s">
        <v>3089</v>
      </c>
    </row>
    <row r="104" spans="1:12">
      <c r="A104">
        <v>1402</v>
      </c>
      <c r="B104">
        <v>2.0350000000000001</v>
      </c>
      <c r="C104">
        <v>2.972</v>
      </c>
      <c r="D104">
        <v>257.97000000000003</v>
      </c>
      <c r="E104">
        <v>31.9</v>
      </c>
      <c r="F104">
        <v>1</v>
      </c>
      <c r="G104">
        <v>1.1999999999999999E-3</v>
      </c>
      <c r="H104">
        <v>4</v>
      </c>
      <c r="I104">
        <v>1</v>
      </c>
      <c r="J104">
        <v>0</v>
      </c>
      <c r="K104">
        <v>60297</v>
      </c>
      <c r="L104" t="s">
        <v>3090</v>
      </c>
    </row>
    <row r="105" spans="1:12">
      <c r="A105">
        <v>1405</v>
      </c>
      <c r="B105">
        <v>1.99</v>
      </c>
      <c r="C105">
        <v>2.8849999999999998</v>
      </c>
      <c r="D105">
        <v>277.77</v>
      </c>
      <c r="E105">
        <v>36.841999999999999</v>
      </c>
      <c r="F105">
        <v>1</v>
      </c>
      <c r="G105">
        <v>1.3799999999999999E-3</v>
      </c>
      <c r="H105">
        <v>4</v>
      </c>
      <c r="I105">
        <v>1</v>
      </c>
      <c r="J105">
        <v>0</v>
      </c>
      <c r="K105">
        <v>1634044</v>
      </c>
      <c r="L105" t="s">
        <v>3091</v>
      </c>
    </row>
    <row r="106" spans="1:12">
      <c r="A106">
        <v>1407</v>
      </c>
      <c r="B106">
        <v>1.8939999999999999</v>
      </c>
      <c r="C106">
        <v>2.7029999999999998</v>
      </c>
      <c r="D106">
        <v>251.75</v>
      </c>
      <c r="E106">
        <v>25.155999999999999</v>
      </c>
      <c r="F106">
        <v>1</v>
      </c>
      <c r="G106">
        <v>9.3999999999999997E-4</v>
      </c>
      <c r="H106">
        <v>4</v>
      </c>
      <c r="I106">
        <v>1</v>
      </c>
      <c r="J106">
        <v>0</v>
      </c>
      <c r="K106">
        <v>540670</v>
      </c>
      <c r="L106" t="s">
        <v>3092</v>
      </c>
    </row>
    <row r="107" spans="1:12">
      <c r="A107">
        <v>1479</v>
      </c>
      <c r="B107">
        <v>1.792</v>
      </c>
      <c r="C107">
        <v>2.5089999999999999</v>
      </c>
      <c r="D107">
        <v>320.8</v>
      </c>
      <c r="E107">
        <v>26.722000000000001</v>
      </c>
      <c r="F107">
        <v>1</v>
      </c>
      <c r="G107">
        <v>1E-3</v>
      </c>
      <c r="H107">
        <v>4</v>
      </c>
      <c r="I107">
        <v>1</v>
      </c>
      <c r="J107">
        <v>0</v>
      </c>
      <c r="K107">
        <v>109999</v>
      </c>
      <c r="L107" t="s">
        <v>967</v>
      </c>
    </row>
    <row r="108" spans="1:12">
      <c r="A108">
        <v>1521</v>
      </c>
      <c r="B108">
        <v>1.7949999999999999</v>
      </c>
      <c r="C108">
        <v>2.5139999999999998</v>
      </c>
      <c r="D108">
        <v>318.31</v>
      </c>
      <c r="E108">
        <v>25.643000000000001</v>
      </c>
      <c r="F108">
        <v>1</v>
      </c>
      <c r="G108">
        <v>6.0999999999999997E-4</v>
      </c>
      <c r="H108">
        <v>3.41</v>
      </c>
      <c r="I108">
        <v>0</v>
      </c>
      <c r="J108">
        <v>1</v>
      </c>
      <c r="K108">
        <v>67663</v>
      </c>
      <c r="L108" t="s">
        <v>943</v>
      </c>
    </row>
    <row r="109" spans="1:12">
      <c r="A109">
        <v>1701</v>
      </c>
      <c r="B109">
        <v>1.5960000000000001</v>
      </c>
      <c r="C109">
        <v>2.1349999999999998</v>
      </c>
      <c r="D109">
        <v>264.98</v>
      </c>
      <c r="E109">
        <v>15.862</v>
      </c>
      <c r="F109">
        <v>1</v>
      </c>
      <c r="G109">
        <v>8.0000000000000004E-4</v>
      </c>
      <c r="H109">
        <v>2.2000000000000002</v>
      </c>
      <c r="I109">
        <v>1</v>
      </c>
      <c r="J109">
        <v>1</v>
      </c>
      <c r="K109">
        <v>74895</v>
      </c>
      <c r="L109" t="s">
        <v>617</v>
      </c>
    </row>
    <row r="110" spans="1:12">
      <c r="A110">
        <v>1702</v>
      </c>
      <c r="B110">
        <v>1.758</v>
      </c>
      <c r="C110">
        <v>2.444</v>
      </c>
      <c r="D110">
        <v>256.41000000000003</v>
      </c>
      <c r="E110">
        <v>21.791</v>
      </c>
      <c r="F110">
        <v>1</v>
      </c>
      <c r="G110">
        <v>8.0000000000000004E-4</v>
      </c>
      <c r="H110">
        <v>2.2000000000000002</v>
      </c>
      <c r="I110">
        <v>1</v>
      </c>
      <c r="J110">
        <v>1</v>
      </c>
      <c r="K110">
        <v>124403</v>
      </c>
      <c r="L110" t="s">
        <v>637</v>
      </c>
    </row>
    <row r="111" spans="1:12">
      <c r="A111">
        <v>1704</v>
      </c>
      <c r="B111">
        <v>1.7430000000000001</v>
      </c>
      <c r="C111">
        <v>2.415</v>
      </c>
      <c r="D111">
        <v>269.52999999999997</v>
      </c>
      <c r="E111">
        <v>21.584</v>
      </c>
      <c r="F111">
        <v>1</v>
      </c>
      <c r="G111">
        <v>8.0000000000000004E-4</v>
      </c>
      <c r="H111">
        <v>2.2000000000000002</v>
      </c>
      <c r="I111">
        <v>1</v>
      </c>
      <c r="J111">
        <v>1</v>
      </c>
      <c r="K111">
        <v>75047</v>
      </c>
      <c r="L111" t="s">
        <v>665</v>
      </c>
    </row>
    <row r="112" spans="1:12">
      <c r="A112">
        <v>1707</v>
      </c>
      <c r="B112">
        <v>2.5939999999999999</v>
      </c>
      <c r="C112">
        <v>4.0369999999999999</v>
      </c>
      <c r="D112">
        <v>269.17</v>
      </c>
      <c r="E112">
        <v>41.231999999999999</v>
      </c>
      <c r="F112">
        <v>1</v>
      </c>
      <c r="G112">
        <v>8.0000000000000004E-4</v>
      </c>
      <c r="H112">
        <v>2.2000000000000002</v>
      </c>
      <c r="I112">
        <v>1</v>
      </c>
      <c r="J112">
        <v>1</v>
      </c>
      <c r="K112">
        <v>142847</v>
      </c>
      <c r="L112" t="s">
        <v>1028</v>
      </c>
    </row>
    <row r="113" spans="1:12">
      <c r="A113">
        <v>1710</v>
      </c>
      <c r="B113">
        <v>1.9570000000000001</v>
      </c>
      <c r="C113">
        <v>2.8220000000000001</v>
      </c>
      <c r="D113">
        <v>277.48</v>
      </c>
      <c r="E113">
        <v>34.200000000000003</v>
      </c>
      <c r="F113">
        <v>1</v>
      </c>
      <c r="G113">
        <v>8.0000000000000004E-4</v>
      </c>
      <c r="H113">
        <v>2.2000000000000002</v>
      </c>
      <c r="I113">
        <v>1</v>
      </c>
      <c r="J113">
        <v>1</v>
      </c>
      <c r="K113">
        <v>109897</v>
      </c>
      <c r="L113" t="s">
        <v>762</v>
      </c>
    </row>
    <row r="114" spans="1:12">
      <c r="A114">
        <v>1711</v>
      </c>
      <c r="B114">
        <v>1.8340000000000001</v>
      </c>
      <c r="C114">
        <v>2.5880000000000001</v>
      </c>
      <c r="D114">
        <v>287.19</v>
      </c>
      <c r="E114">
        <v>27.295000000000002</v>
      </c>
      <c r="F114">
        <v>1</v>
      </c>
      <c r="G114">
        <v>8.0000000000000004E-4</v>
      </c>
      <c r="H114">
        <v>2.2000000000000002</v>
      </c>
      <c r="I114">
        <v>1</v>
      </c>
      <c r="J114">
        <v>1</v>
      </c>
      <c r="K114">
        <v>107108</v>
      </c>
      <c r="L114" t="s">
        <v>763</v>
      </c>
    </row>
    <row r="115" spans="1:12">
      <c r="A115">
        <v>1712</v>
      </c>
      <c r="B115">
        <v>2.0790000000000002</v>
      </c>
      <c r="C115">
        <v>3.0539999999999998</v>
      </c>
      <c r="D115">
        <v>288.11</v>
      </c>
      <c r="E115">
        <v>31.83</v>
      </c>
      <c r="F115">
        <v>1</v>
      </c>
      <c r="G115">
        <v>8.0000000000000004E-4</v>
      </c>
      <c r="H115">
        <v>2.2000000000000002</v>
      </c>
      <c r="I115">
        <v>1</v>
      </c>
      <c r="J115">
        <v>1</v>
      </c>
      <c r="K115">
        <v>109739</v>
      </c>
      <c r="L115" t="s">
        <v>916</v>
      </c>
    </row>
    <row r="116" spans="1:12">
      <c r="A116">
        <v>1714</v>
      </c>
      <c r="B116">
        <v>2.1850000000000001</v>
      </c>
      <c r="C116">
        <v>3.2570000000000001</v>
      </c>
      <c r="D116">
        <v>271.06</v>
      </c>
      <c r="E116">
        <v>30.277000000000001</v>
      </c>
      <c r="F116">
        <v>1</v>
      </c>
      <c r="G116">
        <v>8.0000000000000004E-4</v>
      </c>
      <c r="H116">
        <v>2.2000000000000002</v>
      </c>
      <c r="I116">
        <v>1</v>
      </c>
      <c r="J116">
        <v>1</v>
      </c>
      <c r="K116">
        <v>78819</v>
      </c>
      <c r="L116" t="s">
        <v>846</v>
      </c>
    </row>
    <row r="117" spans="1:12">
      <c r="A117">
        <v>1717</v>
      </c>
      <c r="B117">
        <v>1.9890000000000001</v>
      </c>
      <c r="C117">
        <v>2.8839999999999999</v>
      </c>
      <c r="D117">
        <v>359.6</v>
      </c>
      <c r="E117">
        <v>11.393000000000001</v>
      </c>
      <c r="F117">
        <v>1</v>
      </c>
      <c r="G117">
        <v>8.0000000000000004E-4</v>
      </c>
      <c r="H117">
        <v>2.2000000000000002</v>
      </c>
      <c r="I117">
        <v>1</v>
      </c>
      <c r="J117">
        <v>1</v>
      </c>
      <c r="K117">
        <v>302012</v>
      </c>
      <c r="L117" t="s">
        <v>2601</v>
      </c>
    </row>
    <row r="118" spans="1:12">
      <c r="A118">
        <v>1719</v>
      </c>
      <c r="B118">
        <v>1.7829999999999999</v>
      </c>
      <c r="C118">
        <v>2.4910000000000001</v>
      </c>
      <c r="D118">
        <v>276.64999999999998</v>
      </c>
      <c r="E118">
        <v>27.295999999999999</v>
      </c>
      <c r="F118">
        <v>1</v>
      </c>
      <c r="G118">
        <v>8.0000000000000004E-4</v>
      </c>
      <c r="H118">
        <v>2.2000000000000002</v>
      </c>
      <c r="I118">
        <v>1</v>
      </c>
      <c r="J118">
        <v>1</v>
      </c>
      <c r="K118">
        <v>75310</v>
      </c>
      <c r="L118" t="s">
        <v>3093</v>
      </c>
    </row>
    <row r="119" spans="1:12">
      <c r="A119">
        <v>1721</v>
      </c>
      <c r="B119">
        <v>2</v>
      </c>
      <c r="C119">
        <v>2.9039999999999999</v>
      </c>
      <c r="D119">
        <v>354.08</v>
      </c>
      <c r="E119">
        <v>24.821999999999999</v>
      </c>
      <c r="F119">
        <v>1</v>
      </c>
      <c r="G119">
        <v>8.0000000000000004E-4</v>
      </c>
      <c r="H119">
        <v>2.2000000000000002</v>
      </c>
      <c r="I119">
        <v>1</v>
      </c>
      <c r="J119">
        <v>1</v>
      </c>
      <c r="K119">
        <v>109977</v>
      </c>
      <c r="L119" t="s">
        <v>1563</v>
      </c>
    </row>
    <row r="120" spans="1:12">
      <c r="A120">
        <v>1723</v>
      </c>
      <c r="B120">
        <v>2.1720000000000002</v>
      </c>
      <c r="C120">
        <v>3.2330000000000001</v>
      </c>
      <c r="D120">
        <v>353.55</v>
      </c>
      <c r="E120">
        <v>24.120999999999999</v>
      </c>
      <c r="F120">
        <v>1</v>
      </c>
      <c r="G120">
        <v>6.9999999999999999E-4</v>
      </c>
      <c r="H120">
        <v>4</v>
      </c>
      <c r="I120">
        <v>1</v>
      </c>
      <c r="J120">
        <v>1</v>
      </c>
      <c r="K120">
        <v>141435</v>
      </c>
      <c r="L120" t="s">
        <v>2603</v>
      </c>
    </row>
    <row r="121" spans="1:12">
      <c r="A121">
        <v>1724</v>
      </c>
      <c r="B121">
        <v>4.5890000000000004</v>
      </c>
      <c r="C121">
        <v>7.835</v>
      </c>
      <c r="D121">
        <v>294.99</v>
      </c>
      <c r="E121">
        <v>33.606000000000002</v>
      </c>
      <c r="F121">
        <v>1</v>
      </c>
      <c r="G121">
        <v>6.9999999999999999E-4</v>
      </c>
      <c r="H121">
        <v>4</v>
      </c>
      <c r="I121">
        <v>1</v>
      </c>
      <c r="J121">
        <v>1</v>
      </c>
      <c r="K121">
        <v>111422</v>
      </c>
      <c r="L121" t="s">
        <v>2063</v>
      </c>
    </row>
    <row r="122" spans="1:12">
      <c r="A122">
        <v>1725</v>
      </c>
      <c r="B122">
        <v>4.9829999999999997</v>
      </c>
      <c r="C122">
        <v>8.5869999999999997</v>
      </c>
      <c r="D122">
        <v>299.16000000000003</v>
      </c>
      <c r="E122">
        <v>42.93</v>
      </c>
      <c r="F122">
        <v>3</v>
      </c>
      <c r="G122">
        <v>6.9999999999999999E-4</v>
      </c>
      <c r="H122">
        <v>4</v>
      </c>
      <c r="I122">
        <v>1</v>
      </c>
      <c r="J122">
        <v>1</v>
      </c>
      <c r="K122">
        <v>102716</v>
      </c>
      <c r="L122" t="s">
        <v>2605</v>
      </c>
    </row>
    <row r="123" spans="1:12">
      <c r="A123">
        <v>1727</v>
      </c>
      <c r="B123">
        <v>2.012</v>
      </c>
      <c r="C123">
        <v>2.927</v>
      </c>
      <c r="D123">
        <v>269.07</v>
      </c>
      <c r="E123">
        <v>31.542000000000002</v>
      </c>
      <c r="F123">
        <v>1</v>
      </c>
      <c r="G123">
        <v>8.0000000000000004E-4</v>
      </c>
      <c r="H123">
        <v>2.2000000000000002</v>
      </c>
      <c r="I123">
        <v>1</v>
      </c>
      <c r="J123">
        <v>0</v>
      </c>
      <c r="K123">
        <v>75649</v>
      </c>
      <c r="L123" t="s">
        <v>732</v>
      </c>
    </row>
    <row r="124" spans="1:12">
      <c r="A124">
        <v>1729</v>
      </c>
      <c r="B124">
        <v>2.2599999999999998</v>
      </c>
      <c r="C124">
        <v>3.4</v>
      </c>
      <c r="D124">
        <v>320.52999999999997</v>
      </c>
      <c r="E124">
        <v>35.844000000000001</v>
      </c>
      <c r="F124">
        <v>1</v>
      </c>
      <c r="G124">
        <v>8.0000000000000004E-4</v>
      </c>
      <c r="H124">
        <v>2.2000000000000002</v>
      </c>
      <c r="I124">
        <v>1</v>
      </c>
      <c r="J124">
        <v>1</v>
      </c>
      <c r="K124">
        <v>108918</v>
      </c>
      <c r="L124" t="s">
        <v>1416</v>
      </c>
    </row>
    <row r="125" spans="1:12">
      <c r="A125">
        <v>1741</v>
      </c>
      <c r="B125">
        <v>2.3140000000000001</v>
      </c>
      <c r="C125">
        <v>3.504</v>
      </c>
      <c r="D125">
        <v>297.2</v>
      </c>
      <c r="E125">
        <v>23.777999999999999</v>
      </c>
      <c r="F125">
        <v>2</v>
      </c>
      <c r="G125">
        <v>8.0000000000000004E-4</v>
      </c>
      <c r="H125">
        <v>2.2000000000000002</v>
      </c>
      <c r="I125">
        <v>1</v>
      </c>
      <c r="J125">
        <v>1</v>
      </c>
      <c r="K125">
        <v>107153</v>
      </c>
      <c r="L125" t="s">
        <v>1293</v>
      </c>
    </row>
    <row r="126" spans="1:12">
      <c r="A126">
        <v>1744</v>
      </c>
      <c r="B126">
        <v>2.9649999999999999</v>
      </c>
      <c r="C126">
        <v>4.742</v>
      </c>
      <c r="D126">
        <v>279.74</v>
      </c>
      <c r="E126">
        <v>52.795999999999999</v>
      </c>
      <c r="F126">
        <v>1</v>
      </c>
      <c r="G126">
        <v>8.0000000000000004E-4</v>
      </c>
      <c r="H126">
        <v>2.2000000000000002</v>
      </c>
      <c r="I126">
        <v>1</v>
      </c>
      <c r="J126">
        <v>1</v>
      </c>
      <c r="K126">
        <v>111922</v>
      </c>
      <c r="L126" t="s">
        <v>1349</v>
      </c>
    </row>
    <row r="127" spans="1:12">
      <c r="A127">
        <v>1766</v>
      </c>
      <c r="B127">
        <v>1.849</v>
      </c>
      <c r="C127">
        <v>2.6160000000000001</v>
      </c>
      <c r="D127">
        <v>328.08</v>
      </c>
      <c r="E127">
        <v>26.224</v>
      </c>
      <c r="F127">
        <v>1</v>
      </c>
      <c r="G127">
        <v>8.0000000000000004E-4</v>
      </c>
      <c r="H127">
        <v>2.2000000000000002</v>
      </c>
      <c r="I127">
        <v>1</v>
      </c>
      <c r="J127">
        <v>1</v>
      </c>
      <c r="K127">
        <v>123751</v>
      </c>
      <c r="L127" t="s">
        <v>1157</v>
      </c>
    </row>
    <row r="128" spans="1:12">
      <c r="A128">
        <v>1792</v>
      </c>
      <c r="B128">
        <v>2.3460000000000001</v>
      </c>
      <c r="C128">
        <v>3.5640000000000001</v>
      </c>
      <c r="D128">
        <v>358.16</v>
      </c>
      <c r="E128">
        <v>31.859000000000002</v>
      </c>
      <c r="F128">
        <v>1</v>
      </c>
      <c r="G128">
        <v>8.0000000000000004E-4</v>
      </c>
      <c r="H128">
        <v>2.2000000000000002</v>
      </c>
      <c r="I128">
        <v>1</v>
      </c>
      <c r="J128">
        <v>1</v>
      </c>
      <c r="K128">
        <v>62533</v>
      </c>
      <c r="L128" t="s">
        <v>1902</v>
      </c>
    </row>
    <row r="129" spans="1:12">
      <c r="A129">
        <v>1801</v>
      </c>
      <c r="B129">
        <v>1.478</v>
      </c>
      <c r="C129">
        <v>1.91</v>
      </c>
      <c r="D129">
        <v>313.29000000000002</v>
      </c>
      <c r="E129">
        <v>17.529</v>
      </c>
      <c r="F129">
        <v>1</v>
      </c>
      <c r="G129">
        <v>8.0000000000000004E-4</v>
      </c>
      <c r="H129">
        <v>1.5</v>
      </c>
      <c r="I129">
        <v>1</v>
      </c>
      <c r="J129">
        <v>1</v>
      </c>
      <c r="K129">
        <v>74931</v>
      </c>
      <c r="L129" t="s">
        <v>2846</v>
      </c>
    </row>
    <row r="130" spans="1:12">
      <c r="A130">
        <v>1802</v>
      </c>
      <c r="B130">
        <v>1.6240000000000001</v>
      </c>
      <c r="C130">
        <v>2.1890000000000001</v>
      </c>
      <c r="D130">
        <v>313.02999999999997</v>
      </c>
      <c r="E130">
        <v>24.024000000000001</v>
      </c>
      <c r="F130">
        <v>1</v>
      </c>
      <c r="G130">
        <v>8.0000000000000004E-4</v>
      </c>
      <c r="H130">
        <v>1.5</v>
      </c>
      <c r="I130">
        <v>1</v>
      </c>
      <c r="J130">
        <v>1</v>
      </c>
      <c r="K130">
        <v>75081</v>
      </c>
      <c r="L130" t="s">
        <v>3094</v>
      </c>
    </row>
    <row r="131" spans="1:12">
      <c r="A131">
        <v>1889</v>
      </c>
      <c r="B131">
        <v>2.274</v>
      </c>
      <c r="C131">
        <v>3.427</v>
      </c>
      <c r="D131">
        <v>346.79</v>
      </c>
      <c r="E131">
        <v>29.1</v>
      </c>
      <c r="F131">
        <v>2</v>
      </c>
      <c r="G131">
        <v>6.9999999999999999E-4</v>
      </c>
      <c r="H131">
        <v>1.5</v>
      </c>
      <c r="I131">
        <v>1</v>
      </c>
      <c r="J131">
        <v>1</v>
      </c>
      <c r="K131">
        <v>98011</v>
      </c>
      <c r="L131" t="s">
        <v>85</v>
      </c>
    </row>
    <row r="132" spans="1:12">
      <c r="A132">
        <v>1901</v>
      </c>
      <c r="B132">
        <v>1.2829999999999999</v>
      </c>
      <c r="C132">
        <v>1.5389999999999999</v>
      </c>
      <c r="D132">
        <v>313.25</v>
      </c>
      <c r="E132">
        <v>51.564</v>
      </c>
      <c r="F132">
        <v>1</v>
      </c>
      <c r="G132">
        <v>8.0000000000000004E-4</v>
      </c>
      <c r="H132">
        <v>5.5</v>
      </c>
      <c r="I132">
        <v>1</v>
      </c>
      <c r="J132">
        <v>1</v>
      </c>
      <c r="K132">
        <v>7664939</v>
      </c>
      <c r="L132" t="s">
        <v>3095</v>
      </c>
    </row>
    <row r="133" spans="1:12">
      <c r="A133">
        <v>1904</v>
      </c>
      <c r="B133">
        <v>1.0940000000000001</v>
      </c>
      <c r="C133">
        <v>1.179</v>
      </c>
      <c r="D133">
        <v>270.97000000000003</v>
      </c>
      <c r="E133">
        <v>11.198</v>
      </c>
      <c r="F133">
        <v>1</v>
      </c>
      <c r="G133">
        <v>8.0000000000000004E-4</v>
      </c>
      <c r="H133">
        <v>1.5</v>
      </c>
      <c r="I133">
        <v>1</v>
      </c>
      <c r="J133">
        <v>1</v>
      </c>
      <c r="K133">
        <v>7647010</v>
      </c>
      <c r="L133" t="s">
        <v>3096</v>
      </c>
    </row>
    <row r="134" spans="1:12">
      <c r="A134">
        <v>1905</v>
      </c>
      <c r="B134">
        <v>1.2829999999999999</v>
      </c>
      <c r="C134">
        <v>1.5389999999999999</v>
      </c>
      <c r="D134">
        <v>313.25</v>
      </c>
      <c r="E134">
        <v>21.564</v>
      </c>
      <c r="F134">
        <v>1</v>
      </c>
      <c r="G134">
        <v>8.0000000000000004E-4</v>
      </c>
      <c r="H134">
        <v>3.5</v>
      </c>
      <c r="I134">
        <v>1</v>
      </c>
      <c r="J134">
        <v>1</v>
      </c>
      <c r="K134">
        <v>7664393</v>
      </c>
      <c r="L134" t="s">
        <v>3097</v>
      </c>
    </row>
    <row r="135" spans="1:12">
      <c r="A135">
        <v>1906</v>
      </c>
      <c r="B135">
        <v>1.0880000000000001</v>
      </c>
      <c r="C135">
        <v>1.1679999999999999</v>
      </c>
      <c r="D135">
        <v>312.5</v>
      </c>
      <c r="E135">
        <v>11.757</v>
      </c>
      <c r="F135">
        <v>1</v>
      </c>
      <c r="G135">
        <v>8.0000000000000004E-4</v>
      </c>
      <c r="H135">
        <v>1.3</v>
      </c>
      <c r="I135">
        <v>1</v>
      </c>
      <c r="J135">
        <v>1</v>
      </c>
      <c r="K135">
        <v>10035106</v>
      </c>
      <c r="L135" t="s">
        <v>3098</v>
      </c>
    </row>
    <row r="136" spans="1:12">
      <c r="A136">
        <v>1907</v>
      </c>
      <c r="B136">
        <v>1.0589999999999999</v>
      </c>
      <c r="C136">
        <v>1.113</v>
      </c>
      <c r="D136">
        <v>380.8</v>
      </c>
      <c r="E136">
        <v>13.785</v>
      </c>
      <c r="F136">
        <v>1</v>
      </c>
      <c r="G136">
        <v>8.0000000000000004E-4</v>
      </c>
      <c r="H136">
        <v>1.2</v>
      </c>
      <c r="I136">
        <v>1</v>
      </c>
      <c r="J136">
        <v>1</v>
      </c>
      <c r="K136">
        <v>10034852</v>
      </c>
      <c r="L136" t="s">
        <v>3099</v>
      </c>
    </row>
    <row r="137" spans="1:12">
      <c r="A137">
        <v>1911</v>
      </c>
      <c r="B137">
        <v>1.117</v>
      </c>
      <c r="C137">
        <v>1.2230000000000001</v>
      </c>
      <c r="D137">
        <v>312.31</v>
      </c>
      <c r="E137">
        <v>11.022</v>
      </c>
      <c r="F137">
        <v>1</v>
      </c>
      <c r="G137">
        <v>8.0000000000000004E-4</v>
      </c>
      <c r="H137">
        <v>2.5</v>
      </c>
      <c r="I137">
        <v>1</v>
      </c>
      <c r="J137">
        <v>1</v>
      </c>
      <c r="K137">
        <v>7664417</v>
      </c>
      <c r="L137" t="s">
        <v>588</v>
      </c>
    </row>
    <row r="138" spans="1:12">
      <c r="A138">
        <v>1922</v>
      </c>
      <c r="B138">
        <v>1.042</v>
      </c>
      <c r="C138">
        <v>1.079</v>
      </c>
      <c r="D138">
        <v>333.84</v>
      </c>
      <c r="E138">
        <v>11.678000000000001</v>
      </c>
      <c r="F138">
        <v>1</v>
      </c>
      <c r="G138">
        <v>8.0000000000000004E-4</v>
      </c>
      <c r="H138">
        <v>1.5</v>
      </c>
      <c r="I138">
        <v>1</v>
      </c>
      <c r="J138">
        <v>1</v>
      </c>
      <c r="K138">
        <v>7783064</v>
      </c>
      <c r="L138" t="s">
        <v>3100</v>
      </c>
    </row>
    <row r="139" spans="1:12">
      <c r="A139">
        <v>1969</v>
      </c>
      <c r="B139">
        <v>4.1429999999999998</v>
      </c>
      <c r="C139">
        <v>6.9859999999999998</v>
      </c>
      <c r="D139">
        <v>255.85</v>
      </c>
      <c r="E139">
        <v>148.268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141639</v>
      </c>
      <c r="L139" t="s">
        <v>3101</v>
      </c>
    </row>
    <row r="140" spans="1:12">
      <c r="A140">
        <v>2112</v>
      </c>
      <c r="B140">
        <v>2.74</v>
      </c>
      <c r="C140">
        <v>4.3150000000000004</v>
      </c>
      <c r="D140">
        <v>341.74</v>
      </c>
      <c r="E140">
        <v>38.801000000000002</v>
      </c>
      <c r="F140">
        <v>1</v>
      </c>
      <c r="G140">
        <v>5.0000000000000001E-4</v>
      </c>
      <c r="H140">
        <v>4</v>
      </c>
      <c r="I140">
        <v>1</v>
      </c>
      <c r="J140">
        <v>1</v>
      </c>
      <c r="K140">
        <v>620177</v>
      </c>
      <c r="L140" t="s">
        <v>3103</v>
      </c>
    </row>
    <row r="141" spans="1:12">
      <c r="A141">
        <v>2708</v>
      </c>
      <c r="B141">
        <v>3.14</v>
      </c>
      <c r="C141">
        <v>5.077</v>
      </c>
      <c r="D141">
        <v>285.06</v>
      </c>
      <c r="E141">
        <v>53.715000000000003</v>
      </c>
      <c r="F141">
        <v>1</v>
      </c>
      <c r="G141">
        <v>8.0000000000000004E-4</v>
      </c>
      <c r="H141">
        <v>2.2000000000000002</v>
      </c>
      <c r="I141">
        <v>1</v>
      </c>
      <c r="J141">
        <v>1</v>
      </c>
      <c r="K141">
        <v>111864</v>
      </c>
      <c r="L141" t="s">
        <v>1501</v>
      </c>
    </row>
    <row r="142" spans="1:12">
      <c r="A142">
        <v>2752</v>
      </c>
      <c r="B142">
        <v>2.46</v>
      </c>
      <c r="C142">
        <v>3.782</v>
      </c>
      <c r="D142">
        <v>319.39999999999998</v>
      </c>
      <c r="E142">
        <v>27.603999999999999</v>
      </c>
      <c r="F142">
        <v>1</v>
      </c>
      <c r="G142">
        <v>8.0000000000000004E-4</v>
      </c>
      <c r="H142">
        <v>2.2000000000000002</v>
      </c>
      <c r="I142">
        <v>1</v>
      </c>
      <c r="J142">
        <v>1</v>
      </c>
      <c r="K142">
        <v>110850</v>
      </c>
      <c r="L142" t="s">
        <v>1550</v>
      </c>
    </row>
    <row r="143" spans="1:12">
      <c r="A143">
        <v>2851</v>
      </c>
      <c r="B143">
        <v>2.5249999999999999</v>
      </c>
      <c r="C143">
        <v>3.9049999999999998</v>
      </c>
      <c r="D143">
        <v>382.95</v>
      </c>
      <c r="E143">
        <v>23.356999999999999</v>
      </c>
      <c r="F143">
        <v>1</v>
      </c>
      <c r="G143">
        <v>6.9999999999999999E-4</v>
      </c>
      <c r="H143">
        <v>1.5</v>
      </c>
      <c r="I143">
        <v>1</v>
      </c>
      <c r="J143">
        <v>1</v>
      </c>
      <c r="K143">
        <v>75127</v>
      </c>
      <c r="L143" t="s">
        <v>2199</v>
      </c>
    </row>
    <row r="144" spans="1:12">
      <c r="A144">
        <v>2857</v>
      </c>
      <c r="B144">
        <v>3.2210000000000001</v>
      </c>
      <c r="C144">
        <v>5.2309999999999999</v>
      </c>
      <c r="D144">
        <v>321.58999999999997</v>
      </c>
      <c r="E144">
        <v>39.335000000000001</v>
      </c>
      <c r="F144">
        <v>2</v>
      </c>
      <c r="G144">
        <v>6.9999999999999999E-4</v>
      </c>
      <c r="H144">
        <v>4</v>
      </c>
      <c r="I144">
        <v>1</v>
      </c>
      <c r="J144">
        <v>1</v>
      </c>
      <c r="K144">
        <v>103902</v>
      </c>
      <c r="L144" t="s">
        <v>3104</v>
      </c>
    </row>
    <row r="145" spans="1:12">
      <c r="A145">
        <v>2860</v>
      </c>
      <c r="B145">
        <v>1.429</v>
      </c>
      <c r="C145">
        <v>1.8169999999999999</v>
      </c>
      <c r="D145">
        <v>380.11</v>
      </c>
      <c r="E145">
        <v>33.200000000000003</v>
      </c>
      <c r="F145">
        <v>1</v>
      </c>
      <c r="G145">
        <v>6.9999999999999999E-4</v>
      </c>
      <c r="H145">
        <v>5</v>
      </c>
      <c r="I145">
        <v>1</v>
      </c>
      <c r="J145">
        <v>1</v>
      </c>
      <c r="K145">
        <v>109864</v>
      </c>
      <c r="L145" t="s">
        <v>3105</v>
      </c>
    </row>
    <row r="146" spans="1:12">
      <c r="A146">
        <v>2862</v>
      </c>
      <c r="B146">
        <v>2.0299999999999998</v>
      </c>
      <c r="C146">
        <v>2.9630000000000001</v>
      </c>
      <c r="D146">
        <v>338.89</v>
      </c>
      <c r="E146">
        <v>50.52</v>
      </c>
      <c r="F146">
        <v>1</v>
      </c>
      <c r="G146">
        <v>6.9999999999999999E-4</v>
      </c>
      <c r="H146">
        <v>5</v>
      </c>
      <c r="I146">
        <v>1</v>
      </c>
      <c r="J146">
        <v>1</v>
      </c>
      <c r="K146">
        <v>111762</v>
      </c>
      <c r="L146" t="s">
        <v>1533</v>
      </c>
    </row>
    <row r="147" spans="1:12">
      <c r="A147">
        <v>2990</v>
      </c>
      <c r="B147">
        <v>3.2210000000000001</v>
      </c>
      <c r="C147">
        <v>5.2309999999999999</v>
      </c>
      <c r="D147">
        <v>250.1</v>
      </c>
      <c r="E147">
        <v>93.49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107517</v>
      </c>
      <c r="L147" t="s">
        <v>3106</v>
      </c>
    </row>
    <row r="148" spans="1:12">
      <c r="A148">
        <v>2991</v>
      </c>
      <c r="B148">
        <v>4.6239999999999997</v>
      </c>
      <c r="C148">
        <v>7.9039999999999999</v>
      </c>
      <c r="D148">
        <v>279.70999999999998</v>
      </c>
      <c r="E148">
        <v>235.73500000000001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556694</v>
      </c>
      <c r="L148" t="s">
        <v>3107</v>
      </c>
    </row>
    <row r="149" spans="1:12">
      <c r="A149">
        <v>2995</v>
      </c>
      <c r="B149">
        <v>4.4809999999999999</v>
      </c>
      <c r="C149">
        <v>7.6310000000000002</v>
      </c>
      <c r="D149">
        <v>273</v>
      </c>
      <c r="E149">
        <v>206.446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541015</v>
      </c>
      <c r="L149" t="s">
        <v>3108</v>
      </c>
    </row>
    <row r="150" spans="1:12">
      <c r="A150">
        <v>3854</v>
      </c>
      <c r="B150">
        <v>1.9850000000000001</v>
      </c>
      <c r="C150">
        <v>2.8759999999999999</v>
      </c>
      <c r="D150">
        <v>315.35000000000002</v>
      </c>
      <c r="E150">
        <v>36.747999999999998</v>
      </c>
      <c r="F150">
        <v>1</v>
      </c>
      <c r="G150">
        <v>6.9999999999999999E-4</v>
      </c>
      <c r="H150">
        <v>4</v>
      </c>
      <c r="I150">
        <v>1</v>
      </c>
      <c r="J150">
        <v>1</v>
      </c>
      <c r="K150">
        <v>107982</v>
      </c>
      <c r="L150" t="s">
        <v>3109</v>
      </c>
    </row>
    <row r="151" spans="1:12">
      <c r="A151">
        <v>3951</v>
      </c>
      <c r="B151">
        <v>1.018</v>
      </c>
      <c r="C151">
        <v>1.034</v>
      </c>
      <c r="D151">
        <v>381.83</v>
      </c>
      <c r="E151">
        <v>12.6</v>
      </c>
      <c r="F151">
        <v>1</v>
      </c>
      <c r="G151">
        <v>8.0000000000000004E-4</v>
      </c>
      <c r="H151">
        <v>1.5</v>
      </c>
      <c r="I151">
        <v>1</v>
      </c>
      <c r="J151">
        <v>1</v>
      </c>
      <c r="K151">
        <v>7783075</v>
      </c>
      <c r="L151" t="s">
        <v>3110</v>
      </c>
    </row>
    <row r="152" spans="1:12">
      <c r="A152">
        <v>4993</v>
      </c>
      <c r="B152">
        <v>4.3470000000000004</v>
      </c>
      <c r="C152">
        <v>7.375</v>
      </c>
      <c r="D152">
        <v>263.29000000000002</v>
      </c>
      <c r="E152">
        <v>177.16900000000001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107528</v>
      </c>
      <c r="L152" t="s">
        <v>3111</v>
      </c>
    </row>
    <row r="153" spans="1:12">
      <c r="A153">
        <v>4994</v>
      </c>
      <c r="B153">
        <v>3.6150000000000002</v>
      </c>
      <c r="C153">
        <v>5.9809999999999999</v>
      </c>
      <c r="D153">
        <v>256.81</v>
      </c>
      <c r="E153">
        <v>121.55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141628</v>
      </c>
      <c r="L153" t="s">
        <v>3112</v>
      </c>
    </row>
    <row r="154" spans="1:12">
      <c r="A154">
        <v>5883</v>
      </c>
      <c r="B154">
        <v>3.18</v>
      </c>
      <c r="C154">
        <v>5.1520000000000001</v>
      </c>
      <c r="D154">
        <v>274.51</v>
      </c>
      <c r="E154">
        <v>35.747999999999998</v>
      </c>
      <c r="F154">
        <v>1</v>
      </c>
      <c r="G154">
        <v>1.2E-4</v>
      </c>
      <c r="H154">
        <v>4</v>
      </c>
      <c r="I154">
        <v>1</v>
      </c>
      <c r="J154">
        <v>1</v>
      </c>
      <c r="K154">
        <v>97643</v>
      </c>
      <c r="L154" t="s">
        <v>3113</v>
      </c>
    </row>
    <row r="155" spans="1:12">
      <c r="A155">
        <v>6862</v>
      </c>
      <c r="B155">
        <v>2.661</v>
      </c>
      <c r="C155">
        <v>4.1639999999999997</v>
      </c>
      <c r="D155">
        <v>300.07</v>
      </c>
      <c r="E155">
        <v>28.759</v>
      </c>
      <c r="F155">
        <v>1</v>
      </c>
      <c r="G155">
        <v>6.9999999999999999E-4</v>
      </c>
      <c r="H155">
        <v>4</v>
      </c>
      <c r="I155">
        <v>1</v>
      </c>
      <c r="J155">
        <v>1</v>
      </c>
      <c r="K155">
        <v>109831</v>
      </c>
      <c r="L155" t="s">
        <v>1513</v>
      </c>
    </row>
    <row r="156" spans="1:12">
      <c r="A156">
        <v>925</v>
      </c>
      <c r="B156">
        <v>0.77100000000000002</v>
      </c>
      <c r="C156">
        <v>0.56299999999999994</v>
      </c>
      <c r="D156">
        <v>56.95</v>
      </c>
      <c r="E156">
        <v>4.8890000000000002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7782390</v>
      </c>
      <c r="L156" t="s">
        <v>3114</v>
      </c>
    </row>
    <row r="157" spans="1:12">
      <c r="A157">
        <v>902</v>
      </c>
      <c r="B157">
        <v>0.77100000000000002</v>
      </c>
      <c r="C157">
        <v>0.56299999999999994</v>
      </c>
      <c r="D157">
        <v>49.27</v>
      </c>
      <c r="E157">
        <v>5.3579999999999997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1333740</v>
      </c>
      <c r="L157" t="s">
        <v>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6137-62B9-4B54-BDD6-A1D4C159A400}">
  <dimension ref="A1:Q1386"/>
  <sheetViews>
    <sheetView workbookViewId="0">
      <selection activeCell="A15" sqref="A15:XFD15"/>
    </sheetView>
  </sheetViews>
  <sheetFormatPr defaultRowHeight="13"/>
  <sheetData>
    <row r="1" spans="1:17">
      <c r="A1">
        <v>1385</v>
      </c>
      <c r="B1" t="s">
        <v>182</v>
      </c>
      <c r="C1" t="s">
        <v>413</v>
      </c>
      <c r="D1" t="s">
        <v>183</v>
      </c>
      <c r="E1" t="s">
        <v>414</v>
      </c>
      <c r="F1" t="s">
        <v>6</v>
      </c>
      <c r="G1" s="57" t="s">
        <v>189</v>
      </c>
      <c r="H1" t="s">
        <v>364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184</v>
      </c>
    </row>
    <row r="2" spans="1:17">
      <c r="A2">
        <v>1</v>
      </c>
      <c r="B2">
        <v>190.56</v>
      </c>
      <c r="C2">
        <v>4.5990000000000002</v>
      </c>
      <c r="D2">
        <v>0.2863</v>
      </c>
      <c r="E2">
        <v>1.15E-2</v>
      </c>
      <c r="F2">
        <v>16.04</v>
      </c>
      <c r="G2">
        <v>0</v>
      </c>
      <c r="H2">
        <v>5.68</v>
      </c>
      <c r="I2">
        <v>37.97</v>
      </c>
      <c r="J2">
        <v>111.66</v>
      </c>
      <c r="K2">
        <v>90.67</v>
      </c>
      <c r="L2">
        <v>-74.52</v>
      </c>
      <c r="M2">
        <v>-50.49</v>
      </c>
      <c r="N2">
        <v>74828</v>
      </c>
      <c r="O2" t="s">
        <v>447</v>
      </c>
      <c r="P2" t="s">
        <v>448</v>
      </c>
      <c r="Q2" t="s">
        <v>449</v>
      </c>
    </row>
    <row r="3" spans="1:17">
      <c r="A3">
        <v>2</v>
      </c>
      <c r="B3">
        <v>305.32</v>
      </c>
      <c r="C3">
        <v>4.8719999999999999</v>
      </c>
      <c r="D3">
        <v>0.27960000000000002</v>
      </c>
      <c r="E3">
        <v>9.9500000000000005E-2</v>
      </c>
      <c r="F3">
        <v>30.07</v>
      </c>
      <c r="G3">
        <v>0</v>
      </c>
      <c r="H3">
        <v>6.05</v>
      </c>
      <c r="I3">
        <v>55.23</v>
      </c>
      <c r="J3">
        <v>184.55</v>
      </c>
      <c r="K3">
        <v>90.35</v>
      </c>
      <c r="L3">
        <v>-83.82</v>
      </c>
      <c r="M3">
        <v>-31.92</v>
      </c>
      <c r="N3">
        <v>74840</v>
      </c>
      <c r="O3" t="s">
        <v>484</v>
      </c>
      <c r="P3" t="s">
        <v>485</v>
      </c>
      <c r="Q3" t="s">
        <v>486</v>
      </c>
    </row>
    <row r="4" spans="1:17">
      <c r="A4">
        <v>3</v>
      </c>
      <c r="B4">
        <v>369.83</v>
      </c>
      <c r="C4">
        <v>4.2480000000000002</v>
      </c>
      <c r="D4">
        <v>0.27639999999999998</v>
      </c>
      <c r="E4">
        <v>0.15229999999999999</v>
      </c>
      <c r="F4">
        <v>44.1</v>
      </c>
      <c r="G4">
        <v>0</v>
      </c>
      <c r="H4">
        <v>6.4</v>
      </c>
      <c r="I4">
        <v>75.7</v>
      </c>
      <c r="J4">
        <v>231.11</v>
      </c>
      <c r="K4">
        <v>85.52</v>
      </c>
      <c r="L4">
        <v>-103.8</v>
      </c>
      <c r="M4">
        <v>-24.39</v>
      </c>
      <c r="N4">
        <v>74986</v>
      </c>
      <c r="O4" t="s">
        <v>534</v>
      </c>
      <c r="P4" t="s">
        <v>535</v>
      </c>
      <c r="Q4" t="s">
        <v>536</v>
      </c>
    </row>
    <row r="5" spans="1:17">
      <c r="A5">
        <v>4</v>
      </c>
      <c r="B5">
        <v>407.8</v>
      </c>
      <c r="C5">
        <v>3.64</v>
      </c>
      <c r="D5">
        <v>0.28239999999999998</v>
      </c>
      <c r="E5">
        <v>0.1835</v>
      </c>
      <c r="F5">
        <v>58.12</v>
      </c>
      <c r="G5">
        <v>0</v>
      </c>
      <c r="H5">
        <v>6.14</v>
      </c>
      <c r="I5">
        <v>105.24</v>
      </c>
      <c r="J5">
        <v>261.43</v>
      </c>
      <c r="K5">
        <v>113.54</v>
      </c>
      <c r="L5">
        <v>-134.18</v>
      </c>
      <c r="M5">
        <v>-21.44</v>
      </c>
      <c r="N5">
        <v>75285</v>
      </c>
      <c r="O5" t="s">
        <v>491</v>
      </c>
      <c r="P5" t="s">
        <v>589</v>
      </c>
      <c r="Q5" t="s">
        <v>590</v>
      </c>
    </row>
    <row r="6" spans="1:17">
      <c r="A6">
        <v>5</v>
      </c>
      <c r="B6">
        <v>425.12</v>
      </c>
      <c r="C6">
        <v>3.7959999999999998</v>
      </c>
      <c r="D6">
        <v>0.27389999999999998</v>
      </c>
      <c r="E6">
        <v>0.20019999999999999</v>
      </c>
      <c r="F6">
        <v>58.12</v>
      </c>
      <c r="G6">
        <v>0</v>
      </c>
      <c r="H6">
        <v>6.61</v>
      </c>
      <c r="I6">
        <v>96.48</v>
      </c>
      <c r="J6">
        <v>272.64999999999998</v>
      </c>
      <c r="K6">
        <v>134.86000000000001</v>
      </c>
      <c r="L6">
        <v>-125.79</v>
      </c>
      <c r="M6">
        <v>-16.7</v>
      </c>
      <c r="N6">
        <v>106978</v>
      </c>
      <c r="O6" t="s">
        <v>484</v>
      </c>
      <c r="P6" t="s">
        <v>589</v>
      </c>
      <c r="Q6" t="s">
        <v>611</v>
      </c>
    </row>
    <row r="7" spans="1:17">
      <c r="A7">
        <v>7</v>
      </c>
      <c r="B7">
        <v>469.7</v>
      </c>
      <c r="C7">
        <v>3.37</v>
      </c>
      <c r="D7">
        <v>0.27060000000000001</v>
      </c>
      <c r="E7">
        <v>0.2515</v>
      </c>
      <c r="F7">
        <v>72.150000000000006</v>
      </c>
      <c r="G7">
        <v>0</v>
      </c>
      <c r="H7">
        <v>7.03</v>
      </c>
      <c r="I7">
        <v>116.05</v>
      </c>
      <c r="J7">
        <v>309.22000000000003</v>
      </c>
      <c r="K7">
        <v>143.41999999999999</v>
      </c>
      <c r="L7">
        <v>-146.4</v>
      </c>
      <c r="M7">
        <v>-8.81</v>
      </c>
      <c r="N7">
        <v>109660</v>
      </c>
      <c r="O7" t="s">
        <v>689</v>
      </c>
      <c r="P7" t="s">
        <v>630</v>
      </c>
      <c r="Q7" t="s">
        <v>690</v>
      </c>
    </row>
    <row r="8" spans="1:17">
      <c r="A8">
        <v>8</v>
      </c>
      <c r="B8">
        <v>460.4</v>
      </c>
      <c r="C8">
        <v>3.38</v>
      </c>
      <c r="D8">
        <v>0.27010000000000001</v>
      </c>
      <c r="E8">
        <v>0.22789999999999999</v>
      </c>
      <c r="F8">
        <v>72.150000000000006</v>
      </c>
      <c r="G8">
        <v>0</v>
      </c>
      <c r="H8">
        <v>6.78</v>
      </c>
      <c r="I8">
        <v>117.1</v>
      </c>
      <c r="J8">
        <v>300.99</v>
      </c>
      <c r="K8">
        <v>113.25</v>
      </c>
      <c r="L8">
        <v>-153.55000000000001</v>
      </c>
      <c r="M8">
        <v>-13.3</v>
      </c>
      <c r="N8">
        <v>78784</v>
      </c>
      <c r="O8" t="s">
        <v>491</v>
      </c>
      <c r="P8" t="s">
        <v>630</v>
      </c>
      <c r="Q8" t="s">
        <v>675</v>
      </c>
    </row>
    <row r="9" spans="1:17">
      <c r="A9">
        <v>9</v>
      </c>
      <c r="B9">
        <v>433.8</v>
      </c>
      <c r="C9">
        <v>3.1960000000000002</v>
      </c>
      <c r="D9">
        <v>0.26929999999999998</v>
      </c>
      <c r="E9">
        <v>0.19570000000000001</v>
      </c>
      <c r="F9">
        <v>72.150000000000006</v>
      </c>
      <c r="G9">
        <v>0</v>
      </c>
      <c r="H9">
        <v>6.38</v>
      </c>
      <c r="I9">
        <v>119.55</v>
      </c>
      <c r="J9">
        <v>282.64999999999998</v>
      </c>
      <c r="K9">
        <v>256.60000000000002</v>
      </c>
      <c r="L9">
        <v>-168.07</v>
      </c>
      <c r="M9">
        <v>-16.82</v>
      </c>
      <c r="N9">
        <v>463821</v>
      </c>
      <c r="O9" t="s">
        <v>491</v>
      </c>
      <c r="P9" t="s">
        <v>630</v>
      </c>
      <c r="Q9" t="s">
        <v>631</v>
      </c>
    </row>
    <row r="10" spans="1:17">
      <c r="A10">
        <v>11</v>
      </c>
      <c r="B10">
        <v>507.6</v>
      </c>
      <c r="C10">
        <v>3.0249999999999999</v>
      </c>
      <c r="D10">
        <v>0.26419999999999999</v>
      </c>
      <c r="E10">
        <v>0.30130000000000001</v>
      </c>
      <c r="F10">
        <v>86.18</v>
      </c>
      <c r="G10">
        <v>0</v>
      </c>
      <c r="H10">
        <v>7.27</v>
      </c>
      <c r="I10">
        <v>131.36000000000001</v>
      </c>
      <c r="J10">
        <v>341.88</v>
      </c>
      <c r="K10">
        <v>177.83</v>
      </c>
      <c r="L10">
        <v>-166.92</v>
      </c>
      <c r="M10">
        <v>-7.0000000000000007E-2</v>
      </c>
      <c r="N10">
        <v>110543</v>
      </c>
      <c r="O10" t="s">
        <v>818</v>
      </c>
      <c r="P10" t="s">
        <v>742</v>
      </c>
      <c r="Q10" t="s">
        <v>819</v>
      </c>
    </row>
    <row r="11" spans="1:17">
      <c r="A11">
        <v>12</v>
      </c>
      <c r="B11">
        <v>497.7</v>
      </c>
      <c r="C11">
        <v>3.04</v>
      </c>
      <c r="D11">
        <v>0.2666</v>
      </c>
      <c r="E11">
        <v>0.27910000000000001</v>
      </c>
      <c r="F11">
        <v>86.18</v>
      </c>
      <c r="G11">
        <v>0</v>
      </c>
      <c r="H11">
        <v>7.05</v>
      </c>
      <c r="I11">
        <v>132.93</v>
      </c>
      <c r="J11">
        <v>333.41</v>
      </c>
      <c r="K11">
        <v>119.55</v>
      </c>
      <c r="L11">
        <v>-174.8</v>
      </c>
      <c r="M11">
        <v>-5.34</v>
      </c>
      <c r="N11">
        <v>107835</v>
      </c>
      <c r="O11" t="s">
        <v>491</v>
      </c>
      <c r="P11" t="s">
        <v>742</v>
      </c>
      <c r="Q11" t="s">
        <v>769</v>
      </c>
    </row>
    <row r="12" spans="1:17">
      <c r="A12">
        <v>13</v>
      </c>
      <c r="B12">
        <v>504.6</v>
      </c>
      <c r="C12">
        <v>3.12</v>
      </c>
      <c r="D12">
        <v>0.27289999999999998</v>
      </c>
      <c r="E12">
        <v>0.2702</v>
      </c>
      <c r="F12">
        <v>86.18</v>
      </c>
      <c r="G12">
        <v>0</v>
      </c>
      <c r="H12">
        <v>7.17</v>
      </c>
      <c r="I12">
        <v>130.57</v>
      </c>
      <c r="J12">
        <v>336.42</v>
      </c>
      <c r="K12">
        <v>110.25</v>
      </c>
      <c r="L12">
        <v>-172</v>
      </c>
      <c r="M12">
        <v>-3.42</v>
      </c>
      <c r="N12">
        <v>96140</v>
      </c>
      <c r="O12" t="s">
        <v>491</v>
      </c>
      <c r="P12" t="s">
        <v>742</v>
      </c>
      <c r="Q12" t="s">
        <v>799</v>
      </c>
    </row>
    <row r="13" spans="1:17">
      <c r="A13">
        <v>14</v>
      </c>
      <c r="B13">
        <v>489</v>
      </c>
      <c r="C13">
        <v>3.1</v>
      </c>
      <c r="D13">
        <v>0.27210000000000001</v>
      </c>
      <c r="E13">
        <v>0.2341</v>
      </c>
      <c r="F13">
        <v>86.18</v>
      </c>
      <c r="G13">
        <v>0</v>
      </c>
      <c r="H13">
        <v>6.73</v>
      </c>
      <c r="I13">
        <v>133.71</v>
      </c>
      <c r="J13">
        <v>322.88</v>
      </c>
      <c r="K13">
        <v>173.31</v>
      </c>
      <c r="L13">
        <v>-184</v>
      </c>
      <c r="M13">
        <v>-8.75</v>
      </c>
      <c r="N13">
        <v>75832</v>
      </c>
      <c r="O13" t="s">
        <v>491</v>
      </c>
      <c r="P13" t="s">
        <v>742</v>
      </c>
      <c r="Q13" t="s">
        <v>743</v>
      </c>
    </row>
    <row r="14" spans="1:17">
      <c r="A14">
        <v>15</v>
      </c>
      <c r="B14">
        <v>500</v>
      </c>
      <c r="C14">
        <v>3.15</v>
      </c>
      <c r="D14">
        <v>0.26929999999999998</v>
      </c>
      <c r="E14">
        <v>0.24929999999999999</v>
      </c>
      <c r="F14">
        <v>86.18</v>
      </c>
      <c r="G14">
        <v>0</v>
      </c>
      <c r="H14">
        <v>6.99</v>
      </c>
      <c r="I14">
        <v>131.16</v>
      </c>
      <c r="J14">
        <v>331.14</v>
      </c>
      <c r="K14">
        <v>144.61000000000001</v>
      </c>
      <c r="L14">
        <v>-175.9</v>
      </c>
      <c r="M14">
        <v>-3.13</v>
      </c>
      <c r="N14">
        <v>79298</v>
      </c>
      <c r="O14" t="s">
        <v>423</v>
      </c>
      <c r="P14" t="s">
        <v>742</v>
      </c>
      <c r="Q14" t="s">
        <v>782</v>
      </c>
    </row>
    <row r="15" spans="1:17">
      <c r="A15">
        <v>17</v>
      </c>
      <c r="B15">
        <v>540.20000000000005</v>
      </c>
      <c r="C15">
        <v>2.74</v>
      </c>
      <c r="D15">
        <v>0.26190000000000002</v>
      </c>
      <c r="E15">
        <v>0.34949999999999998</v>
      </c>
      <c r="F15">
        <v>100.2</v>
      </c>
      <c r="G15">
        <v>0</v>
      </c>
      <c r="H15">
        <v>7.45</v>
      </c>
      <c r="I15">
        <v>147.02000000000001</v>
      </c>
      <c r="J15">
        <v>371.58</v>
      </c>
      <c r="K15">
        <v>182.57</v>
      </c>
      <c r="L15">
        <v>-187.8</v>
      </c>
      <c r="M15">
        <v>8.17</v>
      </c>
      <c r="N15">
        <v>142825</v>
      </c>
      <c r="O15" t="s">
        <v>689</v>
      </c>
      <c r="P15" t="s">
        <v>874</v>
      </c>
      <c r="Q15" t="s">
        <v>968</v>
      </c>
    </row>
    <row r="16" spans="1:17">
      <c r="A16">
        <v>18</v>
      </c>
      <c r="B16">
        <v>530.4</v>
      </c>
      <c r="C16">
        <v>2.74</v>
      </c>
      <c r="D16">
        <v>0.2611</v>
      </c>
      <c r="E16">
        <v>0.32800000000000001</v>
      </c>
      <c r="F16">
        <v>100.2</v>
      </c>
      <c r="G16">
        <v>0</v>
      </c>
      <c r="H16">
        <v>7.2</v>
      </c>
      <c r="I16">
        <v>148.74</v>
      </c>
      <c r="J16">
        <v>363.2</v>
      </c>
      <c r="K16">
        <v>154.9</v>
      </c>
      <c r="L16">
        <v>-194.72</v>
      </c>
      <c r="M16">
        <v>3.47</v>
      </c>
      <c r="N16">
        <v>591764</v>
      </c>
      <c r="O16" t="s">
        <v>491</v>
      </c>
      <c r="P16" t="s">
        <v>874</v>
      </c>
      <c r="Q16" t="s">
        <v>909</v>
      </c>
    </row>
    <row r="17" spans="1:17">
      <c r="A17">
        <v>19</v>
      </c>
      <c r="B17">
        <v>535.20000000000005</v>
      </c>
      <c r="C17">
        <v>2.81</v>
      </c>
      <c r="D17">
        <v>0.2555</v>
      </c>
      <c r="E17">
        <v>0.32040000000000002</v>
      </c>
      <c r="F17">
        <v>100.2</v>
      </c>
      <c r="G17">
        <v>0</v>
      </c>
      <c r="H17">
        <v>7.31</v>
      </c>
      <c r="I17">
        <v>146.43</v>
      </c>
      <c r="J17">
        <v>365</v>
      </c>
      <c r="K17">
        <v>153.75</v>
      </c>
      <c r="L17">
        <v>-191.33</v>
      </c>
      <c r="M17">
        <v>5.08</v>
      </c>
      <c r="N17">
        <v>589344</v>
      </c>
      <c r="O17" t="s">
        <v>491</v>
      </c>
      <c r="P17" t="s">
        <v>874</v>
      </c>
      <c r="Q17" t="s">
        <v>929</v>
      </c>
    </row>
    <row r="18" spans="1:17">
      <c r="A18">
        <v>20</v>
      </c>
      <c r="B18">
        <v>540.6</v>
      </c>
      <c r="C18">
        <v>2.89</v>
      </c>
      <c r="D18">
        <v>0.26750000000000002</v>
      </c>
      <c r="E18">
        <v>0.30909999999999999</v>
      </c>
      <c r="F18">
        <v>100.2</v>
      </c>
      <c r="G18">
        <v>0</v>
      </c>
      <c r="H18">
        <v>7.36</v>
      </c>
      <c r="I18">
        <v>144.11000000000001</v>
      </c>
      <c r="J18">
        <v>366.62</v>
      </c>
      <c r="K18">
        <v>154.55000000000001</v>
      </c>
      <c r="L18">
        <v>-189.66</v>
      </c>
      <c r="M18">
        <v>10.92</v>
      </c>
      <c r="N18">
        <v>617787</v>
      </c>
      <c r="O18" t="s">
        <v>491</v>
      </c>
      <c r="P18" t="s">
        <v>874</v>
      </c>
      <c r="Q18" t="s">
        <v>969</v>
      </c>
    </row>
    <row r="19" spans="1:17">
      <c r="A19">
        <v>21</v>
      </c>
      <c r="B19">
        <v>520.5</v>
      </c>
      <c r="C19">
        <v>2.77</v>
      </c>
      <c r="D19">
        <v>0.2666</v>
      </c>
      <c r="E19">
        <v>0.28710000000000002</v>
      </c>
      <c r="F19">
        <v>100.2</v>
      </c>
      <c r="G19">
        <v>0</v>
      </c>
      <c r="H19">
        <v>6.94</v>
      </c>
      <c r="I19">
        <v>148.88999999999999</v>
      </c>
      <c r="J19">
        <v>352.34</v>
      </c>
      <c r="K19">
        <v>149.34</v>
      </c>
      <c r="L19">
        <v>-206.15</v>
      </c>
      <c r="M19">
        <v>0.55000000000000004</v>
      </c>
      <c r="N19">
        <v>590352</v>
      </c>
      <c r="O19" t="s">
        <v>491</v>
      </c>
      <c r="P19" t="s">
        <v>874</v>
      </c>
      <c r="Q19" t="s">
        <v>880</v>
      </c>
    </row>
    <row r="20" spans="1:17">
      <c r="A20">
        <v>22</v>
      </c>
      <c r="B20">
        <v>537.29999999999995</v>
      </c>
      <c r="C20">
        <v>2.91</v>
      </c>
      <c r="D20">
        <v>0.25580000000000003</v>
      </c>
      <c r="E20">
        <v>0.2964</v>
      </c>
      <c r="F20">
        <v>100.2</v>
      </c>
      <c r="G20">
        <v>0</v>
      </c>
      <c r="H20">
        <v>7.25</v>
      </c>
      <c r="I20">
        <v>144.94999999999999</v>
      </c>
      <c r="J20">
        <v>362.93</v>
      </c>
      <c r="K20">
        <v>-86</v>
      </c>
      <c r="L20">
        <v>-194.1</v>
      </c>
      <c r="M20">
        <v>5.61</v>
      </c>
      <c r="N20">
        <v>565593</v>
      </c>
      <c r="O20" t="s">
        <v>423</v>
      </c>
      <c r="P20" t="s">
        <v>874</v>
      </c>
      <c r="Q20" t="s">
        <v>951</v>
      </c>
    </row>
    <row r="21" spans="1:17">
      <c r="A21">
        <v>23</v>
      </c>
      <c r="B21">
        <v>519.79999999999995</v>
      </c>
      <c r="C21">
        <v>2.74</v>
      </c>
      <c r="D21">
        <v>0.26479999999999998</v>
      </c>
      <c r="E21">
        <v>0.30220000000000002</v>
      </c>
      <c r="F21">
        <v>100.2</v>
      </c>
      <c r="G21">
        <v>0</v>
      </c>
      <c r="H21">
        <v>6.99</v>
      </c>
      <c r="I21">
        <v>150.02000000000001</v>
      </c>
      <c r="J21">
        <v>353.65</v>
      </c>
      <c r="K21">
        <v>153.91</v>
      </c>
      <c r="L21">
        <v>-201.67</v>
      </c>
      <c r="M21">
        <v>3.31</v>
      </c>
      <c r="N21">
        <v>108087</v>
      </c>
      <c r="O21" t="s">
        <v>491</v>
      </c>
      <c r="P21" t="s">
        <v>874</v>
      </c>
      <c r="Q21" t="s">
        <v>875</v>
      </c>
    </row>
    <row r="22" spans="1:17">
      <c r="A22">
        <v>24</v>
      </c>
      <c r="B22">
        <v>536.4</v>
      </c>
      <c r="C22">
        <v>2.95</v>
      </c>
      <c r="D22">
        <v>0.27339999999999998</v>
      </c>
      <c r="E22">
        <v>0.26790000000000003</v>
      </c>
      <c r="F22">
        <v>100.2</v>
      </c>
      <c r="G22">
        <v>0</v>
      </c>
      <c r="H22">
        <v>7.11</v>
      </c>
      <c r="I22">
        <v>145.87</v>
      </c>
      <c r="J22">
        <v>359.21</v>
      </c>
      <c r="K22">
        <v>138.69999999999999</v>
      </c>
      <c r="L22">
        <v>-201.46</v>
      </c>
      <c r="M22">
        <v>2.72</v>
      </c>
      <c r="N22">
        <v>562492</v>
      </c>
      <c r="O22" t="s">
        <v>491</v>
      </c>
      <c r="P22" t="s">
        <v>874</v>
      </c>
      <c r="Q22" t="s">
        <v>940</v>
      </c>
    </row>
    <row r="23" spans="1:17">
      <c r="A23">
        <v>25</v>
      </c>
      <c r="B23">
        <v>531.1</v>
      </c>
      <c r="C23">
        <v>2.95</v>
      </c>
      <c r="D23">
        <v>0.26619999999999999</v>
      </c>
      <c r="E23">
        <v>0.25009999999999999</v>
      </c>
      <c r="F23">
        <v>100.2</v>
      </c>
      <c r="G23">
        <v>0</v>
      </c>
      <c r="H23">
        <v>6.97</v>
      </c>
      <c r="I23">
        <v>145.88</v>
      </c>
      <c r="J23">
        <v>354.03</v>
      </c>
      <c r="K23">
        <v>248.25</v>
      </c>
      <c r="L23">
        <v>-204.77</v>
      </c>
      <c r="M23">
        <v>4.5999999999999996</v>
      </c>
      <c r="N23">
        <v>464062</v>
      </c>
      <c r="O23" t="s">
        <v>491</v>
      </c>
      <c r="P23" t="s">
        <v>874</v>
      </c>
      <c r="Q23" t="s">
        <v>914</v>
      </c>
    </row>
    <row r="24" spans="1:17">
      <c r="A24">
        <v>27</v>
      </c>
      <c r="B24">
        <v>568.70000000000005</v>
      </c>
      <c r="C24">
        <v>2.4900000000000002</v>
      </c>
      <c r="D24">
        <v>0.25230000000000002</v>
      </c>
      <c r="E24">
        <v>0.39960000000000001</v>
      </c>
      <c r="F24">
        <v>114.23</v>
      </c>
      <c r="G24">
        <v>0</v>
      </c>
      <c r="H24">
        <v>7.55</v>
      </c>
      <c r="I24">
        <v>163.37</v>
      </c>
      <c r="J24">
        <v>398.83</v>
      </c>
      <c r="K24">
        <v>216.38</v>
      </c>
      <c r="L24">
        <v>-208.75</v>
      </c>
      <c r="M24">
        <v>15.92</v>
      </c>
      <c r="N24">
        <v>111659</v>
      </c>
      <c r="O24" t="s">
        <v>423</v>
      </c>
      <c r="P24" t="s">
        <v>982</v>
      </c>
      <c r="Q24" t="s">
        <v>1160</v>
      </c>
    </row>
    <row r="25" spans="1:17">
      <c r="A25">
        <v>28</v>
      </c>
      <c r="B25">
        <v>559.70000000000005</v>
      </c>
      <c r="C25">
        <v>2.5</v>
      </c>
      <c r="D25">
        <v>0.2606</v>
      </c>
      <c r="E25">
        <v>0.3795</v>
      </c>
      <c r="F25">
        <v>114.23</v>
      </c>
      <c r="G25">
        <v>0</v>
      </c>
      <c r="H25">
        <v>7.37</v>
      </c>
      <c r="I25">
        <v>164.23</v>
      </c>
      <c r="J25">
        <v>390.8</v>
      </c>
      <c r="K25">
        <v>164.16</v>
      </c>
      <c r="L25">
        <v>-215.43</v>
      </c>
      <c r="M25">
        <v>11.84</v>
      </c>
      <c r="N25">
        <v>592278</v>
      </c>
      <c r="O25" t="s">
        <v>423</v>
      </c>
      <c r="P25" t="s">
        <v>982</v>
      </c>
      <c r="Q25" t="s">
        <v>1084</v>
      </c>
    </row>
    <row r="26" spans="1:17">
      <c r="A26">
        <v>29</v>
      </c>
      <c r="B26">
        <v>563.6</v>
      </c>
      <c r="C26">
        <v>2.5499999999999998</v>
      </c>
      <c r="D26">
        <v>0.25240000000000001</v>
      </c>
      <c r="E26">
        <v>0.37230000000000002</v>
      </c>
      <c r="F26">
        <v>114.23</v>
      </c>
      <c r="G26">
        <v>0</v>
      </c>
      <c r="H26">
        <v>7.49</v>
      </c>
      <c r="I26">
        <v>162.72999999999999</v>
      </c>
      <c r="J26">
        <v>392.08</v>
      </c>
      <c r="K26">
        <v>152.65</v>
      </c>
      <c r="L26">
        <v>-212.51</v>
      </c>
      <c r="M26">
        <v>12.75</v>
      </c>
      <c r="N26">
        <v>589811</v>
      </c>
      <c r="O26" t="s">
        <v>423</v>
      </c>
      <c r="P26" t="s">
        <v>982</v>
      </c>
      <c r="Q26" t="s">
        <v>1120</v>
      </c>
    </row>
    <row r="27" spans="1:17">
      <c r="A27">
        <v>30</v>
      </c>
      <c r="B27">
        <v>561.70000000000005</v>
      </c>
      <c r="C27">
        <v>2.54</v>
      </c>
      <c r="D27">
        <v>0.2591</v>
      </c>
      <c r="E27">
        <v>0.37069999999999997</v>
      </c>
      <c r="F27">
        <v>114.23</v>
      </c>
      <c r="G27">
        <v>0</v>
      </c>
      <c r="H27">
        <v>7.52</v>
      </c>
      <c r="I27">
        <v>160.32</v>
      </c>
      <c r="J27">
        <v>390.86</v>
      </c>
      <c r="K27">
        <v>152.19</v>
      </c>
      <c r="L27">
        <v>-211.96</v>
      </c>
      <c r="M27">
        <v>15.71</v>
      </c>
      <c r="N27">
        <v>589537</v>
      </c>
      <c r="O27" t="s">
        <v>491</v>
      </c>
      <c r="P27" t="s">
        <v>982</v>
      </c>
      <c r="Q27" t="s">
        <v>1108</v>
      </c>
    </row>
    <row r="28" spans="1:17">
      <c r="A28">
        <v>31</v>
      </c>
      <c r="B28">
        <v>565.5</v>
      </c>
      <c r="C28">
        <v>2.61</v>
      </c>
      <c r="D28">
        <v>0.25269999999999998</v>
      </c>
      <c r="E28">
        <v>0.36049999999999999</v>
      </c>
      <c r="F28">
        <v>114.23</v>
      </c>
      <c r="G28">
        <v>0</v>
      </c>
      <c r="H28">
        <v>7.43</v>
      </c>
      <c r="I28">
        <v>160.97</v>
      </c>
      <c r="J28">
        <v>391.69</v>
      </c>
      <c r="K28">
        <v>-86</v>
      </c>
      <c r="L28">
        <v>-210.87</v>
      </c>
      <c r="M28">
        <v>16.86</v>
      </c>
      <c r="N28">
        <v>619998</v>
      </c>
      <c r="O28" t="s">
        <v>423</v>
      </c>
      <c r="P28" t="s">
        <v>982</v>
      </c>
      <c r="Q28" t="s">
        <v>1134</v>
      </c>
    </row>
    <row r="29" spans="1:17">
      <c r="A29">
        <v>32</v>
      </c>
      <c r="B29">
        <v>549.79999999999995</v>
      </c>
      <c r="C29">
        <v>2.5299999999999998</v>
      </c>
      <c r="D29">
        <v>0.2646</v>
      </c>
      <c r="E29">
        <v>0.33779999999999999</v>
      </c>
      <c r="F29">
        <v>114.23</v>
      </c>
      <c r="G29">
        <v>0</v>
      </c>
      <c r="H29">
        <v>7.17</v>
      </c>
      <c r="I29">
        <v>165.12</v>
      </c>
      <c r="J29">
        <v>379.99</v>
      </c>
      <c r="K29">
        <v>151.97</v>
      </c>
      <c r="L29">
        <v>-224.72</v>
      </c>
      <c r="M29">
        <v>10.71</v>
      </c>
      <c r="N29">
        <v>590738</v>
      </c>
      <c r="O29" t="s">
        <v>423</v>
      </c>
      <c r="P29" t="s">
        <v>982</v>
      </c>
      <c r="Q29" t="s">
        <v>1020</v>
      </c>
    </row>
    <row r="30" spans="1:17">
      <c r="A30">
        <v>33</v>
      </c>
      <c r="B30">
        <v>563.5</v>
      </c>
      <c r="C30">
        <v>2.63</v>
      </c>
      <c r="D30">
        <v>0.26290000000000002</v>
      </c>
      <c r="E30">
        <v>0.34549999999999997</v>
      </c>
      <c r="F30">
        <v>114.23</v>
      </c>
      <c r="G30">
        <v>0</v>
      </c>
      <c r="H30">
        <v>7.34</v>
      </c>
      <c r="I30">
        <v>161.28</v>
      </c>
      <c r="J30">
        <v>388.76</v>
      </c>
      <c r="K30">
        <v>-86</v>
      </c>
      <c r="L30">
        <v>-213.89</v>
      </c>
      <c r="M30">
        <v>15.02</v>
      </c>
      <c r="N30">
        <v>584941</v>
      </c>
      <c r="O30" t="s">
        <v>423</v>
      </c>
      <c r="P30" t="s">
        <v>982</v>
      </c>
      <c r="Q30" t="s">
        <v>1117</v>
      </c>
    </row>
    <row r="31" spans="1:17">
      <c r="A31">
        <v>34</v>
      </c>
      <c r="B31">
        <v>553.5</v>
      </c>
      <c r="C31">
        <v>2.56</v>
      </c>
      <c r="D31">
        <v>0.2626</v>
      </c>
      <c r="E31">
        <v>0.34360000000000002</v>
      </c>
      <c r="F31">
        <v>114.23</v>
      </c>
      <c r="G31">
        <v>0</v>
      </c>
      <c r="H31">
        <v>7.16</v>
      </c>
      <c r="I31">
        <v>164.8</v>
      </c>
      <c r="J31">
        <v>382.58</v>
      </c>
      <c r="K31">
        <v>-86</v>
      </c>
      <c r="L31">
        <v>-219.41</v>
      </c>
      <c r="M31">
        <v>11.72</v>
      </c>
      <c r="N31">
        <v>589435</v>
      </c>
      <c r="O31" t="s">
        <v>423</v>
      </c>
      <c r="P31" t="s">
        <v>982</v>
      </c>
      <c r="Q31" t="s">
        <v>1048</v>
      </c>
    </row>
    <row r="32" spans="1:17">
      <c r="A32">
        <v>35</v>
      </c>
      <c r="B32">
        <v>550</v>
      </c>
      <c r="C32">
        <v>2.4900000000000002</v>
      </c>
      <c r="D32">
        <v>0.26250000000000001</v>
      </c>
      <c r="E32">
        <v>0.35759999999999997</v>
      </c>
      <c r="F32">
        <v>114.23</v>
      </c>
      <c r="G32">
        <v>0</v>
      </c>
      <c r="H32">
        <v>7.21</v>
      </c>
      <c r="I32">
        <v>165.56</v>
      </c>
      <c r="J32">
        <v>382.26</v>
      </c>
      <c r="K32">
        <v>182</v>
      </c>
      <c r="L32">
        <v>-222.63</v>
      </c>
      <c r="M32">
        <v>10.46</v>
      </c>
      <c r="N32">
        <v>592132</v>
      </c>
      <c r="O32" t="s">
        <v>423</v>
      </c>
      <c r="P32" t="s">
        <v>982</v>
      </c>
      <c r="Q32" t="s">
        <v>1021</v>
      </c>
    </row>
    <row r="33" spans="1:17">
      <c r="A33">
        <v>36</v>
      </c>
      <c r="B33">
        <v>562</v>
      </c>
      <c r="C33">
        <v>2.65</v>
      </c>
      <c r="D33">
        <v>0.25109999999999999</v>
      </c>
      <c r="E33">
        <v>0.32019999999999998</v>
      </c>
      <c r="F33">
        <v>114.23</v>
      </c>
      <c r="G33">
        <v>0</v>
      </c>
      <c r="H33">
        <v>7.28</v>
      </c>
      <c r="I33">
        <v>161.6</v>
      </c>
      <c r="J33">
        <v>385.12</v>
      </c>
      <c r="K33">
        <v>147.05000000000001</v>
      </c>
      <c r="L33">
        <v>-220.12</v>
      </c>
      <c r="M33">
        <v>13.26</v>
      </c>
      <c r="N33">
        <v>563166</v>
      </c>
      <c r="O33" t="s">
        <v>423</v>
      </c>
      <c r="P33" t="s">
        <v>982</v>
      </c>
      <c r="Q33" t="s">
        <v>1109</v>
      </c>
    </row>
    <row r="34" spans="1:17">
      <c r="A34">
        <v>37</v>
      </c>
      <c r="B34">
        <v>568.79999999999995</v>
      </c>
      <c r="C34">
        <v>2.69</v>
      </c>
      <c r="D34">
        <v>0.26519999999999999</v>
      </c>
      <c r="E34">
        <v>0.33810000000000001</v>
      </c>
      <c r="F34">
        <v>114.23</v>
      </c>
      <c r="G34">
        <v>0</v>
      </c>
      <c r="H34">
        <v>7.4</v>
      </c>
      <c r="I34">
        <v>159.47</v>
      </c>
      <c r="J34">
        <v>390.88</v>
      </c>
      <c r="K34">
        <v>-86</v>
      </c>
      <c r="L34">
        <v>-213.01</v>
      </c>
      <c r="M34">
        <v>16.739999999999998</v>
      </c>
      <c r="N34">
        <v>583482</v>
      </c>
      <c r="O34" t="s">
        <v>423</v>
      </c>
      <c r="P34" t="s">
        <v>982</v>
      </c>
      <c r="Q34" t="s">
        <v>1161</v>
      </c>
    </row>
    <row r="35" spans="1:17">
      <c r="A35">
        <v>38</v>
      </c>
      <c r="B35">
        <v>567.1</v>
      </c>
      <c r="C35">
        <v>2.7</v>
      </c>
      <c r="D35">
        <v>0.25040000000000001</v>
      </c>
      <c r="E35">
        <v>0.32969999999999999</v>
      </c>
      <c r="F35">
        <v>114.23</v>
      </c>
      <c r="G35">
        <v>0</v>
      </c>
      <c r="H35">
        <v>7.42</v>
      </c>
      <c r="I35">
        <v>159.44</v>
      </c>
      <c r="J35">
        <v>388.8</v>
      </c>
      <c r="K35">
        <v>158.19999999999999</v>
      </c>
      <c r="L35">
        <v>-211.21</v>
      </c>
      <c r="M35">
        <v>18.79</v>
      </c>
      <c r="N35">
        <v>609267</v>
      </c>
      <c r="O35" t="s">
        <v>423</v>
      </c>
      <c r="P35" t="s">
        <v>982</v>
      </c>
      <c r="Q35" t="s">
        <v>1149</v>
      </c>
    </row>
    <row r="36" spans="1:17">
      <c r="A36">
        <v>39</v>
      </c>
      <c r="B36">
        <v>576.5</v>
      </c>
      <c r="C36">
        <v>2.81</v>
      </c>
      <c r="D36">
        <v>0.26679999999999998</v>
      </c>
      <c r="E36">
        <v>0.30499999999999999</v>
      </c>
      <c r="F36">
        <v>114.23</v>
      </c>
      <c r="G36">
        <v>0</v>
      </c>
      <c r="H36">
        <v>7.36</v>
      </c>
      <c r="I36">
        <v>157.84</v>
      </c>
      <c r="J36">
        <v>391.42</v>
      </c>
      <c r="K36">
        <v>182.28</v>
      </c>
      <c r="L36">
        <v>-214.85</v>
      </c>
      <c r="M36">
        <v>22.88</v>
      </c>
      <c r="N36">
        <v>1067089</v>
      </c>
      <c r="O36" t="s">
        <v>491</v>
      </c>
      <c r="P36" t="s">
        <v>982</v>
      </c>
      <c r="Q36" t="s">
        <v>1208</v>
      </c>
    </row>
    <row r="37" spans="1:17">
      <c r="A37">
        <v>40</v>
      </c>
      <c r="B37">
        <v>563.5</v>
      </c>
      <c r="C37">
        <v>2.73</v>
      </c>
      <c r="D37">
        <v>0.25409999999999999</v>
      </c>
      <c r="E37">
        <v>0.29709999999999998</v>
      </c>
      <c r="F37">
        <v>114.23</v>
      </c>
      <c r="G37">
        <v>0</v>
      </c>
      <c r="H37">
        <v>7.18</v>
      </c>
      <c r="I37">
        <v>160.34</v>
      </c>
      <c r="J37">
        <v>383</v>
      </c>
      <c r="K37">
        <v>160.88999999999999</v>
      </c>
      <c r="L37">
        <v>-219.95</v>
      </c>
      <c r="M37">
        <v>17.73</v>
      </c>
      <c r="N37">
        <v>564023</v>
      </c>
      <c r="O37" t="s">
        <v>1118</v>
      </c>
      <c r="P37" t="s">
        <v>982</v>
      </c>
      <c r="Q37" t="s">
        <v>1119</v>
      </c>
    </row>
    <row r="38" spans="1:17">
      <c r="A38">
        <v>41</v>
      </c>
      <c r="B38">
        <v>543.79999999999995</v>
      </c>
      <c r="C38">
        <v>2.57</v>
      </c>
      <c r="D38">
        <v>0.26569999999999999</v>
      </c>
      <c r="E38">
        <v>0.30349999999999999</v>
      </c>
      <c r="F38">
        <v>114.23</v>
      </c>
      <c r="G38">
        <v>0</v>
      </c>
      <c r="H38">
        <v>6.89</v>
      </c>
      <c r="I38">
        <v>165.45</v>
      </c>
      <c r="J38">
        <v>372.39</v>
      </c>
      <c r="K38">
        <v>165.78</v>
      </c>
      <c r="L38">
        <v>-224.01</v>
      </c>
      <c r="M38">
        <v>13.94</v>
      </c>
      <c r="N38">
        <v>540841</v>
      </c>
      <c r="O38" t="s">
        <v>491</v>
      </c>
      <c r="P38" t="s">
        <v>982</v>
      </c>
      <c r="Q38" t="s">
        <v>983</v>
      </c>
    </row>
    <row r="39" spans="1:17">
      <c r="A39">
        <v>42</v>
      </c>
      <c r="B39">
        <v>573.5</v>
      </c>
      <c r="C39">
        <v>2.82</v>
      </c>
      <c r="D39">
        <v>0.26910000000000001</v>
      </c>
      <c r="E39">
        <v>0.2903</v>
      </c>
      <c r="F39">
        <v>114.23</v>
      </c>
      <c r="G39">
        <v>0</v>
      </c>
      <c r="H39">
        <v>7.29</v>
      </c>
      <c r="I39">
        <v>158.16</v>
      </c>
      <c r="J39">
        <v>387.92</v>
      </c>
      <c r="K39">
        <v>172.22</v>
      </c>
      <c r="L39">
        <v>-216.44</v>
      </c>
      <c r="M39">
        <v>18.91</v>
      </c>
      <c r="N39">
        <v>560214</v>
      </c>
      <c r="O39" t="s">
        <v>491</v>
      </c>
      <c r="P39" t="s">
        <v>982</v>
      </c>
      <c r="Q39" t="s">
        <v>1192</v>
      </c>
    </row>
    <row r="40" spans="1:17">
      <c r="A40">
        <v>43</v>
      </c>
      <c r="B40">
        <v>566.4</v>
      </c>
      <c r="C40">
        <v>2.73</v>
      </c>
      <c r="D40">
        <v>0.26719999999999999</v>
      </c>
      <c r="E40">
        <v>0.31530000000000002</v>
      </c>
      <c r="F40">
        <v>114.23</v>
      </c>
      <c r="G40">
        <v>0</v>
      </c>
      <c r="H40">
        <v>7.3</v>
      </c>
      <c r="I40">
        <v>159.51</v>
      </c>
      <c r="J40">
        <v>386.62</v>
      </c>
      <c r="K40">
        <v>163.95</v>
      </c>
      <c r="L40">
        <v>-217.4</v>
      </c>
      <c r="M40">
        <v>18.79</v>
      </c>
      <c r="N40">
        <v>565753</v>
      </c>
      <c r="O40" t="s">
        <v>491</v>
      </c>
      <c r="P40" t="s">
        <v>982</v>
      </c>
      <c r="Q40" t="s">
        <v>1141</v>
      </c>
    </row>
    <row r="41" spans="1:17">
      <c r="A41">
        <v>44</v>
      </c>
      <c r="B41">
        <v>568</v>
      </c>
      <c r="C41">
        <v>2.87</v>
      </c>
      <c r="D41">
        <v>0.2802</v>
      </c>
      <c r="E41">
        <v>0.245</v>
      </c>
      <c r="F41">
        <v>114.23</v>
      </c>
      <c r="G41">
        <v>0</v>
      </c>
      <c r="H41">
        <v>6.25</v>
      </c>
      <c r="I41">
        <v>174.7</v>
      </c>
      <c r="J41">
        <v>379.62</v>
      </c>
      <c r="K41">
        <v>373.84</v>
      </c>
      <c r="L41">
        <v>-225.6</v>
      </c>
      <c r="M41">
        <v>22.23</v>
      </c>
      <c r="N41">
        <v>594821</v>
      </c>
      <c r="O41" t="s">
        <v>1150</v>
      </c>
      <c r="P41" t="s">
        <v>982</v>
      </c>
      <c r="Q41" t="s">
        <v>1151</v>
      </c>
    </row>
    <row r="42" spans="1:17">
      <c r="A42">
        <v>46</v>
      </c>
      <c r="B42">
        <v>594.6</v>
      </c>
      <c r="C42">
        <v>2.29</v>
      </c>
      <c r="D42">
        <v>0.25369999999999998</v>
      </c>
      <c r="E42">
        <v>0.44350000000000001</v>
      </c>
      <c r="F42">
        <v>128.26</v>
      </c>
      <c r="G42">
        <v>0</v>
      </c>
      <c r="H42">
        <v>7.63</v>
      </c>
      <c r="I42">
        <v>179.56</v>
      </c>
      <c r="J42">
        <v>423.97</v>
      </c>
      <c r="K42">
        <v>219.66</v>
      </c>
      <c r="L42">
        <v>-228.74</v>
      </c>
      <c r="M42">
        <v>24.7</v>
      </c>
      <c r="N42">
        <v>111842</v>
      </c>
      <c r="O42" t="s">
        <v>491</v>
      </c>
      <c r="P42" t="s">
        <v>1168</v>
      </c>
      <c r="Q42" t="s">
        <v>1307</v>
      </c>
    </row>
    <row r="43" spans="1:17">
      <c r="A43">
        <v>47</v>
      </c>
      <c r="B43">
        <v>569.79999999999995</v>
      </c>
      <c r="C43">
        <v>2.33</v>
      </c>
      <c r="D43">
        <v>0.25600000000000001</v>
      </c>
      <c r="E43">
        <v>0.34460000000000002</v>
      </c>
      <c r="F43">
        <v>128.26</v>
      </c>
      <c r="G43">
        <v>0</v>
      </c>
      <c r="H43">
        <v>7.03</v>
      </c>
      <c r="I43">
        <v>182.25</v>
      </c>
      <c r="J43">
        <v>397.24</v>
      </c>
      <c r="K43">
        <v>167.39</v>
      </c>
      <c r="L43">
        <v>-253.3</v>
      </c>
      <c r="M43">
        <v>13.8</v>
      </c>
      <c r="N43">
        <v>3522949</v>
      </c>
      <c r="O43" t="s">
        <v>672</v>
      </c>
      <c r="P43" t="s">
        <v>1168</v>
      </c>
      <c r="Q43" t="s">
        <v>1169</v>
      </c>
    </row>
    <row r="44" spans="1:17">
      <c r="A44">
        <v>48</v>
      </c>
      <c r="B44">
        <v>609.5</v>
      </c>
      <c r="C44">
        <v>2.3199999999999998</v>
      </c>
      <c r="D44">
        <v>0.26400000000000001</v>
      </c>
      <c r="E44">
        <v>0.38469999999999999</v>
      </c>
      <c r="F44">
        <v>142.28</v>
      </c>
      <c r="G44">
        <v>0</v>
      </c>
      <c r="H44">
        <v>7.31</v>
      </c>
      <c r="I44">
        <v>192.51</v>
      </c>
      <c r="J44">
        <v>428.83</v>
      </c>
      <c r="K44">
        <v>165</v>
      </c>
      <c r="L44">
        <v>-258.8</v>
      </c>
      <c r="M44">
        <v>33.46</v>
      </c>
      <c r="N44">
        <v>7154805</v>
      </c>
      <c r="O44" t="s">
        <v>848</v>
      </c>
      <c r="P44" t="s">
        <v>1327</v>
      </c>
      <c r="Q44" t="s">
        <v>2507</v>
      </c>
    </row>
    <row r="45" spans="1:17">
      <c r="A45">
        <v>49</v>
      </c>
      <c r="B45">
        <v>581</v>
      </c>
      <c r="C45">
        <v>2.46</v>
      </c>
      <c r="D45">
        <v>0.26250000000000001</v>
      </c>
      <c r="E45">
        <v>0.35220000000000001</v>
      </c>
      <c r="F45">
        <v>128.26</v>
      </c>
      <c r="G45">
        <v>0</v>
      </c>
      <c r="H45">
        <v>7.13</v>
      </c>
      <c r="I45">
        <v>178.13</v>
      </c>
      <c r="J45">
        <v>403.81</v>
      </c>
      <c r="K45">
        <v>159.78</v>
      </c>
      <c r="L45">
        <v>-240.3</v>
      </c>
      <c r="M45">
        <v>25</v>
      </c>
      <c r="N45">
        <v>16747301</v>
      </c>
      <c r="O45" t="s">
        <v>566</v>
      </c>
      <c r="P45" t="s">
        <v>1168</v>
      </c>
      <c r="Q45" t="s">
        <v>1231</v>
      </c>
    </row>
    <row r="46" spans="1:17">
      <c r="A46">
        <v>50</v>
      </c>
      <c r="B46">
        <v>610.04999999999995</v>
      </c>
      <c r="C46">
        <v>2.6749999999999998</v>
      </c>
      <c r="D46">
        <v>0.2495</v>
      </c>
      <c r="E46">
        <v>0.33810000000000001</v>
      </c>
      <c r="F46">
        <v>128.26</v>
      </c>
      <c r="G46">
        <v>0</v>
      </c>
      <c r="H46">
        <v>7.44</v>
      </c>
      <c r="I46">
        <v>171.01</v>
      </c>
      <c r="J46">
        <v>419.34</v>
      </c>
      <c r="K46">
        <v>240.12</v>
      </c>
      <c r="L46">
        <v>-231.84</v>
      </c>
      <c r="M46">
        <v>41.7</v>
      </c>
      <c r="N46">
        <v>1067205</v>
      </c>
      <c r="O46" t="s">
        <v>559</v>
      </c>
      <c r="P46" t="s">
        <v>1168</v>
      </c>
      <c r="Q46" t="s">
        <v>1396</v>
      </c>
    </row>
    <row r="47" spans="1:17">
      <c r="A47">
        <v>51</v>
      </c>
      <c r="B47">
        <v>607.5</v>
      </c>
      <c r="C47">
        <v>2.7410000000000001</v>
      </c>
      <c r="D47">
        <v>0.25750000000000001</v>
      </c>
      <c r="E47">
        <v>0.30509999999999998</v>
      </c>
      <c r="F47">
        <v>128.26</v>
      </c>
      <c r="G47">
        <v>0</v>
      </c>
      <c r="H47">
        <v>7.39</v>
      </c>
      <c r="I47">
        <v>170.33</v>
      </c>
      <c r="J47">
        <v>413.44</v>
      </c>
      <c r="K47">
        <v>263.26</v>
      </c>
      <c r="L47">
        <v>-236.86</v>
      </c>
      <c r="M47">
        <v>37.4</v>
      </c>
      <c r="N47">
        <v>7154792</v>
      </c>
      <c r="O47" t="s">
        <v>491</v>
      </c>
      <c r="P47" t="s">
        <v>1168</v>
      </c>
      <c r="Q47" t="s">
        <v>1380</v>
      </c>
    </row>
    <row r="48" spans="1:17">
      <c r="A48">
        <v>52</v>
      </c>
      <c r="B48">
        <v>592.6</v>
      </c>
      <c r="C48">
        <v>2.6</v>
      </c>
      <c r="D48">
        <v>0.25509999999999999</v>
      </c>
      <c r="E48">
        <v>0.31380000000000002</v>
      </c>
      <c r="F48">
        <v>128.26</v>
      </c>
      <c r="G48">
        <v>0</v>
      </c>
      <c r="H48">
        <v>7.3</v>
      </c>
      <c r="I48">
        <v>174.45</v>
      </c>
      <c r="J48">
        <v>406.18</v>
      </c>
      <c r="K48">
        <v>152.06</v>
      </c>
      <c r="L48">
        <v>-237.36</v>
      </c>
      <c r="M48">
        <v>32.64</v>
      </c>
      <c r="N48">
        <v>1186534</v>
      </c>
      <c r="O48" t="s">
        <v>423</v>
      </c>
      <c r="P48" t="s">
        <v>1168</v>
      </c>
      <c r="Q48" t="s">
        <v>1289</v>
      </c>
    </row>
    <row r="49" spans="1:17">
      <c r="A49">
        <v>53</v>
      </c>
      <c r="B49">
        <v>574.6</v>
      </c>
      <c r="C49">
        <v>2.4900000000000002</v>
      </c>
      <c r="D49">
        <v>0.2505</v>
      </c>
      <c r="E49">
        <v>0.31359999999999999</v>
      </c>
      <c r="F49">
        <v>128.26</v>
      </c>
      <c r="G49">
        <v>0</v>
      </c>
      <c r="H49">
        <v>6.92</v>
      </c>
      <c r="I49">
        <v>179.23</v>
      </c>
      <c r="J49">
        <v>395.44</v>
      </c>
      <c r="K49">
        <v>206.95</v>
      </c>
      <c r="L49">
        <v>-241.38</v>
      </c>
      <c r="M49">
        <v>34.020000000000003</v>
      </c>
      <c r="N49">
        <v>1070877</v>
      </c>
      <c r="O49" t="s">
        <v>848</v>
      </c>
      <c r="P49" t="s">
        <v>1168</v>
      </c>
      <c r="Q49" t="s">
        <v>1198</v>
      </c>
    </row>
    <row r="50" spans="1:17">
      <c r="A50">
        <v>54</v>
      </c>
      <c r="B50">
        <v>607.5</v>
      </c>
      <c r="C50">
        <v>2.72</v>
      </c>
      <c r="D50">
        <v>0.26079999999999998</v>
      </c>
      <c r="E50">
        <v>0.31440000000000001</v>
      </c>
      <c r="F50">
        <v>128.26</v>
      </c>
      <c r="G50">
        <v>0</v>
      </c>
      <c r="H50">
        <v>7.38</v>
      </c>
      <c r="I50">
        <v>170.77</v>
      </c>
      <c r="J50">
        <v>414.71</v>
      </c>
      <c r="K50">
        <v>171.05</v>
      </c>
      <c r="L50">
        <v>-236.1</v>
      </c>
      <c r="M50">
        <v>38</v>
      </c>
      <c r="N50">
        <v>16747389</v>
      </c>
      <c r="O50" t="s">
        <v>491</v>
      </c>
      <c r="P50" t="s">
        <v>1168</v>
      </c>
      <c r="Q50" t="s">
        <v>1381</v>
      </c>
    </row>
    <row r="51" spans="1:17">
      <c r="A51">
        <v>56</v>
      </c>
      <c r="B51">
        <v>617.70000000000005</v>
      </c>
      <c r="C51">
        <v>2.11</v>
      </c>
      <c r="D51">
        <v>0.2465</v>
      </c>
      <c r="E51">
        <v>0.49230000000000002</v>
      </c>
      <c r="F51">
        <v>142.29</v>
      </c>
      <c r="G51">
        <v>0</v>
      </c>
      <c r="H51">
        <v>7.69</v>
      </c>
      <c r="I51">
        <v>195.83</v>
      </c>
      <c r="J51">
        <v>447.31</v>
      </c>
      <c r="K51">
        <v>243.51</v>
      </c>
      <c r="L51">
        <v>-249.46</v>
      </c>
      <c r="M51">
        <v>33.200000000000003</v>
      </c>
      <c r="N51">
        <v>124185</v>
      </c>
      <c r="O51" t="s">
        <v>423</v>
      </c>
      <c r="P51" t="s">
        <v>1327</v>
      </c>
      <c r="Q51" t="s">
        <v>1441</v>
      </c>
    </row>
    <row r="52" spans="1:17">
      <c r="A52">
        <v>57</v>
      </c>
      <c r="B52">
        <v>623</v>
      </c>
      <c r="C52">
        <v>2.5099999999999998</v>
      </c>
      <c r="D52">
        <v>0.27</v>
      </c>
      <c r="E52">
        <v>0.3659</v>
      </c>
      <c r="F52">
        <v>142.28</v>
      </c>
      <c r="G52">
        <v>0</v>
      </c>
      <c r="H52">
        <v>7.31</v>
      </c>
      <c r="I52">
        <v>187.06</v>
      </c>
      <c r="J52">
        <v>433.46</v>
      </c>
      <c r="K52">
        <v>219.15</v>
      </c>
      <c r="L52">
        <v>-258.3</v>
      </c>
      <c r="M52">
        <v>46.68</v>
      </c>
      <c r="N52">
        <v>13475815</v>
      </c>
      <c r="O52" t="s">
        <v>848</v>
      </c>
      <c r="P52" t="s">
        <v>1327</v>
      </c>
      <c r="Q52" t="s">
        <v>2508</v>
      </c>
    </row>
    <row r="53" spans="1:17">
      <c r="A53">
        <v>58</v>
      </c>
      <c r="B53">
        <v>581.4</v>
      </c>
      <c r="C53">
        <v>2.19</v>
      </c>
      <c r="D53">
        <v>0.26500000000000001</v>
      </c>
      <c r="E53">
        <v>0.37669999999999998</v>
      </c>
      <c r="F53">
        <v>142.28</v>
      </c>
      <c r="G53">
        <v>0</v>
      </c>
      <c r="H53">
        <v>6.97</v>
      </c>
      <c r="I53">
        <v>198.72</v>
      </c>
      <c r="J53">
        <v>410.61</v>
      </c>
      <c r="K53">
        <v>260.55</v>
      </c>
      <c r="L53">
        <v>-283.8</v>
      </c>
      <c r="M53">
        <v>21.4</v>
      </c>
      <c r="N53">
        <v>1071814</v>
      </c>
      <c r="O53" t="s">
        <v>848</v>
      </c>
      <c r="P53" t="s">
        <v>1327</v>
      </c>
      <c r="Q53" t="s">
        <v>2509</v>
      </c>
    </row>
    <row r="54" spans="1:17">
      <c r="A54">
        <v>63</v>
      </c>
      <c r="B54">
        <v>639</v>
      </c>
      <c r="C54">
        <v>1.95</v>
      </c>
      <c r="D54">
        <v>0.2419</v>
      </c>
      <c r="E54">
        <v>0.53029999999999999</v>
      </c>
      <c r="F54">
        <v>156.31</v>
      </c>
      <c r="G54">
        <v>0</v>
      </c>
      <c r="H54">
        <v>7.76</v>
      </c>
      <c r="I54">
        <v>212.24</v>
      </c>
      <c r="J54">
        <v>470.04</v>
      </c>
      <c r="K54">
        <v>247.56</v>
      </c>
      <c r="L54">
        <v>-270.43</v>
      </c>
      <c r="M54">
        <v>41.16</v>
      </c>
      <c r="N54">
        <v>1120214</v>
      </c>
      <c r="O54" t="s">
        <v>543</v>
      </c>
      <c r="P54" t="s">
        <v>1556</v>
      </c>
      <c r="Q54" t="s">
        <v>1557</v>
      </c>
    </row>
    <row r="55" spans="1:17">
      <c r="A55">
        <v>64</v>
      </c>
      <c r="B55">
        <v>658</v>
      </c>
      <c r="C55">
        <v>1.82</v>
      </c>
      <c r="D55">
        <v>0.2404</v>
      </c>
      <c r="E55">
        <v>0.57640000000000002</v>
      </c>
      <c r="F55">
        <v>170.34</v>
      </c>
      <c r="G55">
        <v>0</v>
      </c>
      <c r="H55">
        <v>7.79</v>
      </c>
      <c r="I55">
        <v>228.6</v>
      </c>
      <c r="J55">
        <v>489.43</v>
      </c>
      <c r="K55">
        <v>263.56</v>
      </c>
      <c r="L55">
        <v>-290.89999999999998</v>
      </c>
      <c r="M55">
        <v>49.81</v>
      </c>
      <c r="N55">
        <v>112403</v>
      </c>
      <c r="O55" t="s">
        <v>1687</v>
      </c>
      <c r="P55" t="s">
        <v>1688</v>
      </c>
      <c r="Q55" t="s">
        <v>1689</v>
      </c>
    </row>
    <row r="56" spans="1:17">
      <c r="A56">
        <v>65</v>
      </c>
      <c r="B56">
        <v>675</v>
      </c>
      <c r="C56">
        <v>1.68</v>
      </c>
      <c r="D56">
        <v>0.2301</v>
      </c>
      <c r="E56">
        <v>0.61739999999999995</v>
      </c>
      <c r="F56">
        <v>184.37</v>
      </c>
      <c r="G56">
        <v>0</v>
      </c>
      <c r="H56">
        <v>7.87</v>
      </c>
      <c r="I56">
        <v>244.63</v>
      </c>
      <c r="J56">
        <v>508.62</v>
      </c>
      <c r="K56">
        <v>267.76</v>
      </c>
      <c r="L56">
        <v>-311.5</v>
      </c>
      <c r="M56">
        <v>58.45</v>
      </c>
      <c r="N56">
        <v>629505</v>
      </c>
      <c r="O56" t="s">
        <v>1765</v>
      </c>
      <c r="P56" t="s">
        <v>1766</v>
      </c>
      <c r="Q56" t="s">
        <v>1767</v>
      </c>
    </row>
    <row r="57" spans="1:17">
      <c r="A57">
        <v>66</v>
      </c>
      <c r="B57">
        <v>693</v>
      </c>
      <c r="C57">
        <v>1.57</v>
      </c>
      <c r="D57">
        <v>0.22389999999999999</v>
      </c>
      <c r="E57">
        <v>0.64300000000000002</v>
      </c>
      <c r="F57">
        <v>198.39</v>
      </c>
      <c r="G57">
        <v>0</v>
      </c>
      <c r="H57">
        <v>7.89</v>
      </c>
      <c r="I57">
        <v>261.27</v>
      </c>
      <c r="J57">
        <v>526.73</v>
      </c>
      <c r="K57">
        <v>279.01</v>
      </c>
      <c r="L57">
        <v>-332</v>
      </c>
      <c r="M57">
        <v>66.819999999999993</v>
      </c>
      <c r="N57">
        <v>629594</v>
      </c>
      <c r="O57" t="s">
        <v>1854</v>
      </c>
      <c r="P57" t="s">
        <v>1855</v>
      </c>
      <c r="Q57" t="s">
        <v>1856</v>
      </c>
    </row>
    <row r="58" spans="1:17">
      <c r="A58">
        <v>67</v>
      </c>
      <c r="B58">
        <v>708</v>
      </c>
      <c r="C58">
        <v>1.48</v>
      </c>
      <c r="D58">
        <v>0.2235</v>
      </c>
      <c r="E58">
        <v>0.68630000000000002</v>
      </c>
      <c r="F58">
        <v>212.42</v>
      </c>
      <c r="G58">
        <v>0</v>
      </c>
      <c r="H58">
        <v>7.93</v>
      </c>
      <c r="I58">
        <v>277.77999999999997</v>
      </c>
      <c r="J58">
        <v>543.84</v>
      </c>
      <c r="K58">
        <v>283.07</v>
      </c>
      <c r="L58">
        <v>-353.11</v>
      </c>
      <c r="M58">
        <v>75.23</v>
      </c>
      <c r="N58">
        <v>629629</v>
      </c>
      <c r="O58" t="s">
        <v>1854</v>
      </c>
      <c r="P58" t="s">
        <v>1944</v>
      </c>
      <c r="Q58" t="s">
        <v>1945</v>
      </c>
    </row>
    <row r="59" spans="1:17">
      <c r="A59">
        <v>68</v>
      </c>
      <c r="B59">
        <v>723</v>
      </c>
      <c r="C59">
        <v>1.4</v>
      </c>
      <c r="D59">
        <v>0.2175</v>
      </c>
      <c r="E59">
        <v>0.71740000000000004</v>
      </c>
      <c r="F59">
        <v>226.45</v>
      </c>
      <c r="G59">
        <v>0</v>
      </c>
      <c r="H59">
        <v>7.92</v>
      </c>
      <c r="I59">
        <v>294.20999999999998</v>
      </c>
      <c r="J59">
        <v>560.01</v>
      </c>
      <c r="K59">
        <v>291.31</v>
      </c>
      <c r="L59">
        <v>-374.17</v>
      </c>
      <c r="M59">
        <v>82.15</v>
      </c>
      <c r="N59">
        <v>544763</v>
      </c>
      <c r="O59" t="s">
        <v>2006</v>
      </c>
      <c r="P59" t="s">
        <v>2007</v>
      </c>
      <c r="Q59" t="s">
        <v>2008</v>
      </c>
    </row>
    <row r="60" spans="1:17">
      <c r="A60">
        <v>69</v>
      </c>
      <c r="B60">
        <v>736</v>
      </c>
      <c r="C60">
        <v>1.34</v>
      </c>
      <c r="D60">
        <v>0.22320000000000001</v>
      </c>
      <c r="E60">
        <v>0.76970000000000005</v>
      </c>
      <c r="F60">
        <v>240.47</v>
      </c>
      <c r="G60">
        <v>0</v>
      </c>
      <c r="H60">
        <v>7.89</v>
      </c>
      <c r="I60">
        <v>310.94</v>
      </c>
      <c r="J60">
        <v>575.29999999999995</v>
      </c>
      <c r="K60">
        <v>295.13</v>
      </c>
      <c r="L60">
        <v>-393.9</v>
      </c>
      <c r="M60">
        <v>90.83</v>
      </c>
      <c r="N60">
        <v>629787</v>
      </c>
      <c r="O60" t="s">
        <v>2054</v>
      </c>
      <c r="P60" t="s">
        <v>2055</v>
      </c>
      <c r="Q60" t="s">
        <v>2056</v>
      </c>
    </row>
    <row r="61" spans="1:17">
      <c r="A61">
        <v>70</v>
      </c>
      <c r="B61">
        <v>747</v>
      </c>
      <c r="C61">
        <v>1.27</v>
      </c>
      <c r="D61">
        <v>0.2238</v>
      </c>
      <c r="E61">
        <v>0.81140000000000001</v>
      </c>
      <c r="F61">
        <v>254.5</v>
      </c>
      <c r="G61">
        <v>0</v>
      </c>
      <c r="H61">
        <v>7.83</v>
      </c>
      <c r="I61">
        <v>328.23</v>
      </c>
      <c r="J61">
        <v>589.86</v>
      </c>
      <c r="K61">
        <v>301.33</v>
      </c>
      <c r="L61">
        <v>-414.57</v>
      </c>
      <c r="M61">
        <v>99.21</v>
      </c>
      <c r="N61">
        <v>593453</v>
      </c>
      <c r="O61" t="s">
        <v>2094</v>
      </c>
      <c r="P61" t="s">
        <v>2095</v>
      </c>
      <c r="Q61" t="s">
        <v>2096</v>
      </c>
    </row>
    <row r="62" spans="1:17">
      <c r="A62">
        <v>71</v>
      </c>
      <c r="B62">
        <v>758</v>
      </c>
      <c r="C62">
        <v>1.21</v>
      </c>
      <c r="D62">
        <v>0.21410000000000001</v>
      </c>
      <c r="E62">
        <v>0.85219999999999996</v>
      </c>
      <c r="F62">
        <v>268.52999999999997</v>
      </c>
      <c r="G62">
        <v>0</v>
      </c>
      <c r="H62">
        <v>7.79</v>
      </c>
      <c r="I62">
        <v>345.62</v>
      </c>
      <c r="J62">
        <v>603.75</v>
      </c>
      <c r="K62">
        <v>305.05</v>
      </c>
      <c r="L62">
        <v>-435.14</v>
      </c>
      <c r="M62">
        <v>107.5</v>
      </c>
      <c r="N62">
        <v>629925</v>
      </c>
      <c r="O62" t="s">
        <v>2131</v>
      </c>
      <c r="P62" t="s">
        <v>2132</v>
      </c>
      <c r="Q62" t="s">
        <v>2133</v>
      </c>
    </row>
    <row r="63" spans="1:17">
      <c r="A63">
        <v>72</v>
      </c>
      <c r="B63">
        <v>602</v>
      </c>
      <c r="C63">
        <v>2.16</v>
      </c>
      <c r="D63">
        <v>0.24840000000000001</v>
      </c>
      <c r="E63">
        <v>0.42880000000000001</v>
      </c>
      <c r="F63">
        <v>142.29</v>
      </c>
      <c r="G63">
        <v>0</v>
      </c>
      <c r="H63">
        <v>7.27</v>
      </c>
      <c r="I63">
        <v>197.41</v>
      </c>
      <c r="J63">
        <v>430.05</v>
      </c>
      <c r="K63">
        <v>-86</v>
      </c>
      <c r="L63">
        <v>-267</v>
      </c>
      <c r="M63">
        <v>26</v>
      </c>
      <c r="N63">
        <v>15869871</v>
      </c>
      <c r="O63" t="s">
        <v>566</v>
      </c>
      <c r="P63" t="s">
        <v>1327</v>
      </c>
      <c r="Q63" t="s">
        <v>1342</v>
      </c>
    </row>
    <row r="64" spans="1:17">
      <c r="A64">
        <v>73</v>
      </c>
      <c r="B64">
        <v>768</v>
      </c>
      <c r="C64">
        <v>1.1599999999999999</v>
      </c>
      <c r="D64">
        <v>0.2165</v>
      </c>
      <c r="E64">
        <v>0.90690000000000004</v>
      </c>
      <c r="F64">
        <v>282.55</v>
      </c>
      <c r="G64">
        <v>0</v>
      </c>
      <c r="H64">
        <v>7.83</v>
      </c>
      <c r="I64">
        <v>363.69</v>
      </c>
      <c r="J64">
        <v>616.95000000000005</v>
      </c>
      <c r="K64">
        <v>309.58</v>
      </c>
      <c r="L64">
        <v>-455.76</v>
      </c>
      <c r="M64">
        <v>115.7</v>
      </c>
      <c r="N64">
        <v>112958</v>
      </c>
      <c r="O64" t="s">
        <v>2131</v>
      </c>
      <c r="P64" t="s">
        <v>2180</v>
      </c>
      <c r="Q64" t="s">
        <v>2181</v>
      </c>
    </row>
    <row r="65" spans="1:17">
      <c r="A65">
        <v>74</v>
      </c>
      <c r="B65">
        <v>778</v>
      </c>
      <c r="C65">
        <v>1.1100000000000001</v>
      </c>
      <c r="D65">
        <v>0.24199999999999999</v>
      </c>
      <c r="E65">
        <v>0.94199999999999995</v>
      </c>
      <c r="F65">
        <v>296.57</v>
      </c>
      <c r="G65">
        <v>0</v>
      </c>
      <c r="H65">
        <v>7.92</v>
      </c>
      <c r="I65">
        <v>381.2</v>
      </c>
      <c r="J65">
        <v>629.65</v>
      </c>
      <c r="K65">
        <v>313.35000000000002</v>
      </c>
      <c r="L65">
        <v>-653.45000000000005</v>
      </c>
      <c r="M65">
        <v>74.89</v>
      </c>
      <c r="N65">
        <v>629947</v>
      </c>
      <c r="O65" t="s">
        <v>368</v>
      </c>
      <c r="P65" t="s">
        <v>2225</v>
      </c>
      <c r="Q65" t="s">
        <v>2226</v>
      </c>
    </row>
    <row r="66" spans="1:17">
      <c r="A66">
        <v>75</v>
      </c>
      <c r="B66">
        <v>787</v>
      </c>
      <c r="C66">
        <v>1.06</v>
      </c>
      <c r="D66">
        <v>0.24</v>
      </c>
      <c r="E66">
        <v>0.97219999999999995</v>
      </c>
      <c r="F66">
        <v>310.60000000000002</v>
      </c>
      <c r="G66">
        <v>0</v>
      </c>
      <c r="H66">
        <v>7.99</v>
      </c>
      <c r="I66">
        <v>399</v>
      </c>
      <c r="J66">
        <v>641.75</v>
      </c>
      <c r="K66">
        <v>317</v>
      </c>
      <c r="L66">
        <v>-498.5</v>
      </c>
      <c r="M66">
        <v>130.69999999999999</v>
      </c>
      <c r="N66">
        <v>629970</v>
      </c>
      <c r="O66" t="s">
        <v>368</v>
      </c>
      <c r="P66" t="s">
        <v>2494</v>
      </c>
      <c r="Q66" t="s">
        <v>2495</v>
      </c>
    </row>
    <row r="67" spans="1:17">
      <c r="A67">
        <v>76</v>
      </c>
      <c r="B67">
        <v>796</v>
      </c>
      <c r="C67">
        <v>1.02</v>
      </c>
      <c r="D67">
        <v>0.24</v>
      </c>
      <c r="E67">
        <v>1.0262</v>
      </c>
      <c r="F67">
        <v>324.63</v>
      </c>
      <c r="G67">
        <v>0</v>
      </c>
      <c r="H67">
        <v>7.75</v>
      </c>
      <c r="I67">
        <v>416.87</v>
      </c>
      <c r="J67">
        <v>653.35</v>
      </c>
      <c r="K67">
        <v>320.64999999999998</v>
      </c>
      <c r="L67">
        <v>-519.20000000000005</v>
      </c>
      <c r="M67">
        <v>139</v>
      </c>
      <c r="N67">
        <v>638675</v>
      </c>
      <c r="O67" t="s">
        <v>523</v>
      </c>
      <c r="P67" t="s">
        <v>2800</v>
      </c>
      <c r="Q67" t="s">
        <v>2801</v>
      </c>
    </row>
    <row r="68" spans="1:17">
      <c r="A68">
        <v>77</v>
      </c>
      <c r="B68">
        <v>804</v>
      </c>
      <c r="C68">
        <v>0.98</v>
      </c>
      <c r="D68">
        <v>0.20599999999999999</v>
      </c>
      <c r="E68">
        <v>1.071</v>
      </c>
      <c r="F68">
        <v>338.66</v>
      </c>
      <c r="G68">
        <v>0</v>
      </c>
      <c r="H68">
        <v>7.74</v>
      </c>
      <c r="I68">
        <v>434.94</v>
      </c>
      <c r="J68">
        <v>664.45</v>
      </c>
      <c r="K68">
        <v>324.05</v>
      </c>
      <c r="L68">
        <v>-540</v>
      </c>
      <c r="M68">
        <v>147.19999999999999</v>
      </c>
      <c r="N68">
        <v>646311</v>
      </c>
      <c r="O68" t="s">
        <v>568</v>
      </c>
      <c r="P68" t="s">
        <v>2298</v>
      </c>
      <c r="Q68" t="s">
        <v>2299</v>
      </c>
    </row>
    <row r="69" spans="1:17">
      <c r="A69">
        <v>79</v>
      </c>
      <c r="B69">
        <v>819</v>
      </c>
      <c r="C69">
        <v>0.91</v>
      </c>
      <c r="D69">
        <v>0.16900000000000001</v>
      </c>
      <c r="E69">
        <v>1.1544000000000001</v>
      </c>
      <c r="F69">
        <v>366.7</v>
      </c>
      <c r="G69">
        <v>0</v>
      </c>
      <c r="H69">
        <v>8.3000000000000007</v>
      </c>
      <c r="I69">
        <v>428.4</v>
      </c>
      <c r="J69">
        <v>694.5</v>
      </c>
      <c r="K69">
        <v>38.1</v>
      </c>
      <c r="L69">
        <v>-579.37</v>
      </c>
      <c r="M69">
        <v>166.66</v>
      </c>
      <c r="N69">
        <v>630013</v>
      </c>
      <c r="O69" t="s">
        <v>368</v>
      </c>
      <c r="P69" t="s">
        <v>2322</v>
      </c>
      <c r="Q69" t="s">
        <v>2323</v>
      </c>
    </row>
    <row r="70" spans="1:17">
      <c r="A70">
        <v>80</v>
      </c>
      <c r="B70">
        <v>826</v>
      </c>
      <c r="C70">
        <v>0.88300000000000001</v>
      </c>
      <c r="D70">
        <v>0.23899999999999999</v>
      </c>
      <c r="E70">
        <v>1.2136</v>
      </c>
      <c r="F70">
        <v>380.73</v>
      </c>
      <c r="G70">
        <v>0</v>
      </c>
      <c r="H70">
        <v>7.92</v>
      </c>
      <c r="I70">
        <v>488.2</v>
      </c>
      <c r="J70">
        <v>695.25</v>
      </c>
      <c r="K70">
        <v>332.15</v>
      </c>
      <c r="L70">
        <v>-825.17</v>
      </c>
      <c r="M70">
        <v>105.24</v>
      </c>
      <c r="N70">
        <v>593497</v>
      </c>
      <c r="O70" t="s">
        <v>368</v>
      </c>
      <c r="P70" t="s">
        <v>2347</v>
      </c>
      <c r="Q70" t="s">
        <v>2348</v>
      </c>
    </row>
    <row r="71" spans="1:17">
      <c r="A71">
        <v>81</v>
      </c>
      <c r="B71">
        <v>832</v>
      </c>
      <c r="C71">
        <v>0.85</v>
      </c>
      <c r="D71">
        <v>0.20019999999999999</v>
      </c>
      <c r="E71">
        <v>1.2375</v>
      </c>
      <c r="F71">
        <v>394.77</v>
      </c>
      <c r="G71">
        <v>0</v>
      </c>
      <c r="H71">
        <v>7.67</v>
      </c>
      <c r="I71">
        <v>506.32</v>
      </c>
      <c r="J71">
        <v>704.75</v>
      </c>
      <c r="K71">
        <v>334.55</v>
      </c>
      <c r="L71">
        <v>-622.79999999999995</v>
      </c>
      <c r="M71">
        <v>179.9</v>
      </c>
      <c r="N71">
        <v>630024</v>
      </c>
      <c r="O71" t="s">
        <v>568</v>
      </c>
      <c r="P71" t="s">
        <v>2359</v>
      </c>
      <c r="Q71" t="s">
        <v>2360</v>
      </c>
    </row>
    <row r="72" spans="1:17">
      <c r="A72">
        <v>85</v>
      </c>
      <c r="B72">
        <v>613</v>
      </c>
      <c r="C72">
        <v>2.16</v>
      </c>
      <c r="D72">
        <v>0.24759999999999999</v>
      </c>
      <c r="E72">
        <v>0.46489999999999998</v>
      </c>
      <c r="F72">
        <v>142.29</v>
      </c>
      <c r="G72">
        <v>0</v>
      </c>
      <c r="H72">
        <v>7.6</v>
      </c>
      <c r="I72">
        <v>195.08</v>
      </c>
      <c r="J72">
        <v>440.95</v>
      </c>
      <c r="K72">
        <v>188.35</v>
      </c>
      <c r="L72">
        <v>-254.4</v>
      </c>
      <c r="M72">
        <v>28.8</v>
      </c>
      <c r="N72">
        <v>5911046</v>
      </c>
      <c r="O72" t="s">
        <v>1404</v>
      </c>
      <c r="P72" t="s">
        <v>1327</v>
      </c>
      <c r="Q72" t="s">
        <v>1405</v>
      </c>
    </row>
    <row r="73" spans="1:17">
      <c r="A73">
        <v>86</v>
      </c>
      <c r="B73">
        <v>610</v>
      </c>
      <c r="C73">
        <v>2.12</v>
      </c>
      <c r="D73">
        <v>0.2432</v>
      </c>
      <c r="E73">
        <v>0.4723</v>
      </c>
      <c r="F73">
        <v>142.29</v>
      </c>
      <c r="G73">
        <v>0</v>
      </c>
      <c r="H73">
        <v>7.55</v>
      </c>
      <c r="I73">
        <v>196.78</v>
      </c>
      <c r="J73">
        <v>440.15</v>
      </c>
      <c r="K73">
        <v>198.5</v>
      </c>
      <c r="L73">
        <v>-256.52</v>
      </c>
      <c r="M73">
        <v>28.4</v>
      </c>
      <c r="N73">
        <v>871830</v>
      </c>
      <c r="O73" t="s">
        <v>566</v>
      </c>
      <c r="P73" t="s">
        <v>1327</v>
      </c>
      <c r="Q73" t="s">
        <v>1390</v>
      </c>
    </row>
    <row r="74" spans="1:17">
      <c r="A74">
        <v>87</v>
      </c>
      <c r="B74">
        <v>610</v>
      </c>
      <c r="C74">
        <v>2.16</v>
      </c>
      <c r="D74">
        <v>0.24759999999999999</v>
      </c>
      <c r="E74">
        <v>0.46510000000000001</v>
      </c>
      <c r="F74">
        <v>142.29</v>
      </c>
      <c r="G74">
        <v>0</v>
      </c>
      <c r="H74">
        <v>7.48</v>
      </c>
      <c r="I74">
        <v>195.43</v>
      </c>
      <c r="J74">
        <v>438.85</v>
      </c>
      <c r="K74">
        <v>174.45</v>
      </c>
      <c r="L74">
        <v>-254.7</v>
      </c>
      <c r="M74">
        <v>28.9</v>
      </c>
      <c r="N74">
        <v>17301949</v>
      </c>
      <c r="O74" t="s">
        <v>566</v>
      </c>
      <c r="P74" t="s">
        <v>1327</v>
      </c>
      <c r="Q74" t="s">
        <v>1391</v>
      </c>
    </row>
    <row r="75" spans="1:17">
      <c r="A75">
        <v>88</v>
      </c>
      <c r="B75">
        <v>610</v>
      </c>
      <c r="C75">
        <v>2.16</v>
      </c>
      <c r="D75">
        <v>0.24929999999999999</v>
      </c>
      <c r="E75">
        <v>0.45619999999999999</v>
      </c>
      <c r="F75">
        <v>142.29</v>
      </c>
      <c r="G75">
        <v>0</v>
      </c>
      <c r="H75">
        <v>7.56</v>
      </c>
      <c r="I75">
        <v>195.3</v>
      </c>
      <c r="J75">
        <v>438.25</v>
      </c>
      <c r="K75">
        <v>186</v>
      </c>
      <c r="L75">
        <v>-254.72</v>
      </c>
      <c r="M75">
        <v>30.6</v>
      </c>
      <c r="N75">
        <v>15869859</v>
      </c>
      <c r="O75" t="s">
        <v>566</v>
      </c>
      <c r="P75" t="s">
        <v>1327</v>
      </c>
      <c r="Q75" t="s">
        <v>1392</v>
      </c>
    </row>
    <row r="76" spans="1:17">
      <c r="A76">
        <v>90</v>
      </c>
      <c r="B76">
        <v>692</v>
      </c>
      <c r="C76">
        <v>1.57</v>
      </c>
      <c r="D76">
        <v>0.23599999999999999</v>
      </c>
      <c r="E76">
        <v>0.54820000000000002</v>
      </c>
      <c r="F76">
        <v>226.44</v>
      </c>
      <c r="G76">
        <v>0</v>
      </c>
      <c r="H76">
        <v>7.1</v>
      </c>
      <c r="I76">
        <v>289.70999999999998</v>
      </c>
      <c r="J76">
        <v>519.5</v>
      </c>
      <c r="K76">
        <v>-86</v>
      </c>
      <c r="L76">
        <v>-413.2</v>
      </c>
      <c r="M76">
        <v>73.959999999999994</v>
      </c>
      <c r="N76">
        <v>4390049</v>
      </c>
      <c r="O76" t="s">
        <v>2802</v>
      </c>
      <c r="P76" t="s">
        <v>2007</v>
      </c>
      <c r="Q76" t="s">
        <v>2803</v>
      </c>
    </row>
    <row r="77" spans="1:17">
      <c r="A77">
        <v>91</v>
      </c>
      <c r="B77">
        <v>582.87</v>
      </c>
      <c r="C77">
        <v>2.31</v>
      </c>
      <c r="D77">
        <v>0.25390000000000001</v>
      </c>
      <c r="E77">
        <v>0.4602</v>
      </c>
      <c r="F77">
        <v>128.26</v>
      </c>
      <c r="G77">
        <v>0</v>
      </c>
      <c r="H77">
        <v>7.49</v>
      </c>
      <c r="I77">
        <v>180.72</v>
      </c>
      <c r="J77">
        <v>416.43</v>
      </c>
      <c r="K77">
        <v>192.78</v>
      </c>
      <c r="L77">
        <v>-235.73</v>
      </c>
      <c r="M77">
        <v>20.59</v>
      </c>
      <c r="N77">
        <v>3221612</v>
      </c>
      <c r="O77" t="s">
        <v>423</v>
      </c>
      <c r="P77" t="s">
        <v>1168</v>
      </c>
      <c r="Q77" t="s">
        <v>1237</v>
      </c>
    </row>
    <row r="78" spans="1:17">
      <c r="A78">
        <v>92</v>
      </c>
      <c r="B78">
        <v>590.15</v>
      </c>
      <c r="C78">
        <v>2.34</v>
      </c>
      <c r="D78">
        <v>0.25230000000000002</v>
      </c>
      <c r="E78">
        <v>0.4123</v>
      </c>
      <c r="F78">
        <v>128.26</v>
      </c>
      <c r="G78">
        <v>0</v>
      </c>
      <c r="H78">
        <v>7.52</v>
      </c>
      <c r="I78">
        <v>178.93</v>
      </c>
      <c r="J78">
        <v>417.38</v>
      </c>
      <c r="K78">
        <v>165.55</v>
      </c>
      <c r="L78">
        <v>-233.64</v>
      </c>
      <c r="M78">
        <v>21.72</v>
      </c>
      <c r="N78">
        <v>2216333</v>
      </c>
      <c r="O78" t="s">
        <v>672</v>
      </c>
      <c r="P78" t="s">
        <v>1168</v>
      </c>
      <c r="Q78" t="s">
        <v>1279</v>
      </c>
    </row>
    <row r="79" spans="1:17">
      <c r="A79">
        <v>93</v>
      </c>
      <c r="B79">
        <v>587.65</v>
      </c>
      <c r="C79">
        <v>2.34</v>
      </c>
      <c r="D79">
        <v>0.2505</v>
      </c>
      <c r="E79">
        <v>0.41289999999999999</v>
      </c>
      <c r="F79">
        <v>128.26</v>
      </c>
      <c r="G79">
        <v>0</v>
      </c>
      <c r="H79">
        <v>7.48</v>
      </c>
      <c r="I79">
        <v>179.06</v>
      </c>
      <c r="J79">
        <v>415.59</v>
      </c>
      <c r="K79">
        <v>159.94999999999999</v>
      </c>
      <c r="L79">
        <v>-233.64</v>
      </c>
      <c r="M79">
        <v>21.72</v>
      </c>
      <c r="N79">
        <v>2216344</v>
      </c>
      <c r="O79" t="s">
        <v>672</v>
      </c>
      <c r="P79" t="s">
        <v>1168</v>
      </c>
      <c r="Q79" t="s">
        <v>1264</v>
      </c>
    </row>
    <row r="80" spans="1:17">
      <c r="A80">
        <v>94</v>
      </c>
      <c r="B80">
        <v>590</v>
      </c>
      <c r="C80">
        <v>2.39</v>
      </c>
      <c r="D80">
        <v>0.25640000000000002</v>
      </c>
      <c r="E80">
        <v>0.40799999999999997</v>
      </c>
      <c r="F80">
        <v>128.26</v>
      </c>
      <c r="G80">
        <v>0</v>
      </c>
      <c r="H80">
        <v>7.48</v>
      </c>
      <c r="I80">
        <v>177.51</v>
      </c>
      <c r="J80">
        <v>416.35</v>
      </c>
      <c r="K80">
        <v>158.25</v>
      </c>
      <c r="L80">
        <v>-231.46</v>
      </c>
      <c r="M80">
        <v>24.94</v>
      </c>
      <c r="N80">
        <v>15869804</v>
      </c>
      <c r="O80" t="s">
        <v>566</v>
      </c>
      <c r="P80" t="s">
        <v>1168</v>
      </c>
      <c r="Q80" t="s">
        <v>1277</v>
      </c>
    </row>
    <row r="81" spans="1:17">
      <c r="A81">
        <v>96</v>
      </c>
      <c r="B81">
        <v>576.70000000000005</v>
      </c>
      <c r="C81">
        <v>2.35</v>
      </c>
      <c r="D81">
        <v>0.25509999999999999</v>
      </c>
      <c r="E81">
        <v>0.3911</v>
      </c>
      <c r="F81">
        <v>128.26</v>
      </c>
      <c r="G81">
        <v>0</v>
      </c>
      <c r="H81">
        <v>7.26</v>
      </c>
      <c r="I81">
        <v>181.52</v>
      </c>
      <c r="J81">
        <v>405.84</v>
      </c>
      <c r="K81">
        <v>160.15</v>
      </c>
      <c r="L81">
        <v>-246.1</v>
      </c>
      <c r="M81">
        <v>17.899999999999999</v>
      </c>
      <c r="N81">
        <v>1071267</v>
      </c>
      <c r="O81" t="s">
        <v>1209</v>
      </c>
      <c r="P81" t="s">
        <v>1168</v>
      </c>
      <c r="Q81" t="s">
        <v>1210</v>
      </c>
    </row>
    <row r="82" spans="1:17">
      <c r="A82">
        <v>101</v>
      </c>
      <c r="B82">
        <v>398</v>
      </c>
      <c r="C82">
        <v>5.54</v>
      </c>
      <c r="D82">
        <v>0.28360000000000002</v>
      </c>
      <c r="E82">
        <v>0.1278</v>
      </c>
      <c r="F82">
        <v>42.08</v>
      </c>
      <c r="G82">
        <v>0</v>
      </c>
      <c r="H82">
        <v>7.03</v>
      </c>
      <c r="I82">
        <v>69.900000000000006</v>
      </c>
      <c r="J82">
        <v>240.37</v>
      </c>
      <c r="K82">
        <v>145.72999999999999</v>
      </c>
      <c r="L82">
        <v>53.35</v>
      </c>
      <c r="M82">
        <v>104.4</v>
      </c>
      <c r="N82">
        <v>75194</v>
      </c>
      <c r="O82" t="s">
        <v>423</v>
      </c>
      <c r="P82" t="s">
        <v>528</v>
      </c>
      <c r="Q82" t="s">
        <v>576</v>
      </c>
    </row>
    <row r="83" spans="1:17">
      <c r="A83">
        <v>102</v>
      </c>
      <c r="B83">
        <v>459.93</v>
      </c>
      <c r="C83">
        <v>4.9800000000000004</v>
      </c>
      <c r="D83">
        <v>0.27350000000000002</v>
      </c>
      <c r="E83">
        <v>0.1847</v>
      </c>
      <c r="F83">
        <v>56.11</v>
      </c>
      <c r="G83">
        <v>0</v>
      </c>
      <c r="H83">
        <v>7.83</v>
      </c>
      <c r="I83">
        <v>81.42</v>
      </c>
      <c r="J83">
        <v>285.66000000000003</v>
      </c>
      <c r="K83">
        <v>182.48</v>
      </c>
      <c r="L83">
        <v>28.5</v>
      </c>
      <c r="M83">
        <v>112.2</v>
      </c>
      <c r="N83">
        <v>287230</v>
      </c>
      <c r="O83" t="s">
        <v>672</v>
      </c>
      <c r="P83" t="s">
        <v>597</v>
      </c>
      <c r="Q83" t="s">
        <v>673</v>
      </c>
    </row>
    <row r="84" spans="1:17">
      <c r="A84">
        <v>104</v>
      </c>
      <c r="B84">
        <v>511.7</v>
      </c>
      <c r="C84">
        <v>4.51</v>
      </c>
      <c r="D84">
        <v>0.27560000000000001</v>
      </c>
      <c r="E84">
        <v>0.19489999999999999</v>
      </c>
      <c r="F84">
        <v>70.13</v>
      </c>
      <c r="G84">
        <v>0</v>
      </c>
      <c r="H84">
        <v>8.09</v>
      </c>
      <c r="I84">
        <v>94.61</v>
      </c>
      <c r="J84">
        <v>322.41000000000003</v>
      </c>
      <c r="K84">
        <v>179.27</v>
      </c>
      <c r="L84">
        <v>-76.400000000000006</v>
      </c>
      <c r="M84">
        <v>38.85</v>
      </c>
      <c r="N84">
        <v>287923</v>
      </c>
      <c r="O84" t="s">
        <v>491</v>
      </c>
      <c r="P84" t="s">
        <v>658</v>
      </c>
      <c r="Q84" t="s">
        <v>841</v>
      </c>
    </row>
    <row r="85" spans="1:17">
      <c r="A85">
        <v>105</v>
      </c>
      <c r="B85">
        <v>532.70000000000005</v>
      </c>
      <c r="C85">
        <v>3.79</v>
      </c>
      <c r="D85">
        <v>0.27260000000000001</v>
      </c>
      <c r="E85">
        <v>0.2288</v>
      </c>
      <c r="F85">
        <v>84.16</v>
      </c>
      <c r="G85">
        <v>0</v>
      </c>
      <c r="H85">
        <v>7.87</v>
      </c>
      <c r="I85">
        <v>113.04</v>
      </c>
      <c r="J85">
        <v>344.96</v>
      </c>
      <c r="K85">
        <v>130.72999999999999</v>
      </c>
      <c r="L85">
        <v>-105.9</v>
      </c>
      <c r="M85">
        <v>36.299999999999997</v>
      </c>
      <c r="N85">
        <v>96377</v>
      </c>
      <c r="O85" t="s">
        <v>491</v>
      </c>
      <c r="P85" t="s">
        <v>722</v>
      </c>
      <c r="Q85" t="s">
        <v>921</v>
      </c>
    </row>
    <row r="86" spans="1:17">
      <c r="A86">
        <v>107</v>
      </c>
      <c r="B86">
        <v>569.5</v>
      </c>
      <c r="C86">
        <v>3.4</v>
      </c>
      <c r="D86">
        <v>0.26910000000000001</v>
      </c>
      <c r="E86">
        <v>0.27010000000000001</v>
      </c>
      <c r="F86">
        <v>98.19</v>
      </c>
      <c r="G86">
        <v>0</v>
      </c>
      <c r="H86">
        <v>7.95</v>
      </c>
      <c r="I86">
        <v>128.75</v>
      </c>
      <c r="J86">
        <v>376.62</v>
      </c>
      <c r="K86">
        <v>134.71</v>
      </c>
      <c r="L86">
        <v>-126.7</v>
      </c>
      <c r="M86">
        <v>44.8</v>
      </c>
      <c r="N86">
        <v>1640897</v>
      </c>
      <c r="O86" t="s">
        <v>491</v>
      </c>
      <c r="P86" t="s">
        <v>900</v>
      </c>
      <c r="Q86" t="s">
        <v>1167</v>
      </c>
    </row>
    <row r="87" spans="1:17">
      <c r="A87">
        <v>108</v>
      </c>
      <c r="B87">
        <v>547</v>
      </c>
      <c r="C87">
        <v>3.4449999999999998</v>
      </c>
      <c r="D87">
        <v>0.2727</v>
      </c>
      <c r="E87">
        <v>0.27239999999999998</v>
      </c>
      <c r="F87">
        <v>98.19</v>
      </c>
      <c r="G87">
        <v>0</v>
      </c>
      <c r="H87">
        <v>7.56</v>
      </c>
      <c r="I87">
        <v>130.93</v>
      </c>
      <c r="J87">
        <v>361</v>
      </c>
      <c r="K87">
        <v>203.36</v>
      </c>
      <c r="L87">
        <v>-138.28</v>
      </c>
      <c r="M87">
        <v>39.04</v>
      </c>
      <c r="N87">
        <v>1638262</v>
      </c>
      <c r="O87" t="s">
        <v>1010</v>
      </c>
      <c r="P87" t="s">
        <v>900</v>
      </c>
      <c r="Q87" t="s">
        <v>1011</v>
      </c>
    </row>
    <row r="88" spans="1:17">
      <c r="A88">
        <v>109</v>
      </c>
      <c r="B88">
        <v>565.15</v>
      </c>
      <c r="C88">
        <v>3.4449999999999998</v>
      </c>
      <c r="D88">
        <v>0.27129999999999999</v>
      </c>
      <c r="E88">
        <v>0.26619999999999999</v>
      </c>
      <c r="F88">
        <v>98.19</v>
      </c>
      <c r="G88">
        <v>0</v>
      </c>
      <c r="H88">
        <v>7.9</v>
      </c>
      <c r="I88">
        <v>127.82</v>
      </c>
      <c r="J88">
        <v>372.68</v>
      </c>
      <c r="K88">
        <v>219.26</v>
      </c>
      <c r="L88">
        <v>-129.44999999999999</v>
      </c>
      <c r="M88">
        <v>46</v>
      </c>
      <c r="N88">
        <v>1192183</v>
      </c>
      <c r="O88" t="s">
        <v>672</v>
      </c>
      <c r="P88" t="s">
        <v>900</v>
      </c>
      <c r="Q88" t="s">
        <v>1133</v>
      </c>
    </row>
    <row r="89" spans="1:17">
      <c r="A89">
        <v>110</v>
      </c>
      <c r="B89">
        <v>553.15</v>
      </c>
      <c r="C89">
        <v>3.4449999999999998</v>
      </c>
      <c r="D89">
        <v>0.2697</v>
      </c>
      <c r="E89">
        <v>0.26979999999999998</v>
      </c>
      <c r="F89">
        <v>98.19</v>
      </c>
      <c r="G89">
        <v>0</v>
      </c>
      <c r="H89">
        <v>7.71</v>
      </c>
      <c r="I89">
        <v>131.47</v>
      </c>
      <c r="J89">
        <v>365.02</v>
      </c>
      <c r="K89">
        <v>155.58000000000001</v>
      </c>
      <c r="L89">
        <v>-136.57</v>
      </c>
      <c r="M89">
        <v>38.49</v>
      </c>
      <c r="N89">
        <v>822504</v>
      </c>
      <c r="O89" t="s">
        <v>672</v>
      </c>
      <c r="P89" t="s">
        <v>900</v>
      </c>
      <c r="Q89" t="s">
        <v>1043</v>
      </c>
    </row>
    <row r="90" spans="1:17">
      <c r="A90">
        <v>111</v>
      </c>
      <c r="B90">
        <v>551</v>
      </c>
      <c r="C90">
        <v>3.4449999999999998</v>
      </c>
      <c r="D90">
        <v>0.2707</v>
      </c>
      <c r="E90">
        <v>0.27429999999999999</v>
      </c>
      <c r="F90">
        <v>98.19</v>
      </c>
      <c r="G90">
        <v>0</v>
      </c>
      <c r="H90">
        <v>7.57</v>
      </c>
      <c r="I90">
        <v>132.65</v>
      </c>
      <c r="J90">
        <v>363.92</v>
      </c>
      <c r="K90">
        <v>139.44999999999999</v>
      </c>
      <c r="L90">
        <v>-135.85</v>
      </c>
      <c r="M90">
        <v>39.200000000000003</v>
      </c>
      <c r="N90">
        <v>2532583</v>
      </c>
      <c r="O90" t="s">
        <v>672</v>
      </c>
      <c r="P90" t="s">
        <v>900</v>
      </c>
      <c r="Q90" t="s">
        <v>1031</v>
      </c>
    </row>
    <row r="91" spans="1:17">
      <c r="A91">
        <v>112</v>
      </c>
      <c r="B91">
        <v>553</v>
      </c>
      <c r="C91">
        <v>3.4449999999999998</v>
      </c>
      <c r="D91">
        <v>0.2697</v>
      </c>
      <c r="E91">
        <v>0.26989999999999997</v>
      </c>
      <c r="F91">
        <v>98.19</v>
      </c>
      <c r="G91">
        <v>0</v>
      </c>
      <c r="H91">
        <v>7.66</v>
      </c>
      <c r="I91">
        <v>131.91999999999999</v>
      </c>
      <c r="J91">
        <v>364.88</v>
      </c>
      <c r="K91">
        <v>139.18</v>
      </c>
      <c r="L91">
        <v>-133.6</v>
      </c>
      <c r="M91">
        <v>41.46</v>
      </c>
      <c r="N91">
        <v>1759586</v>
      </c>
      <c r="O91" t="s">
        <v>672</v>
      </c>
      <c r="P91" t="s">
        <v>900</v>
      </c>
      <c r="Q91" t="s">
        <v>1040</v>
      </c>
    </row>
    <row r="92" spans="1:17">
      <c r="A92">
        <v>114</v>
      </c>
      <c r="B92">
        <v>596</v>
      </c>
      <c r="C92">
        <v>3.02</v>
      </c>
      <c r="D92">
        <v>0.25430000000000003</v>
      </c>
      <c r="E92">
        <v>0.3266</v>
      </c>
      <c r="F92">
        <v>112.22</v>
      </c>
      <c r="G92">
        <v>0</v>
      </c>
      <c r="H92">
        <v>8</v>
      </c>
      <c r="I92">
        <v>145.19</v>
      </c>
      <c r="J92">
        <v>404.11</v>
      </c>
      <c r="K92">
        <v>155.82</v>
      </c>
      <c r="L92">
        <v>-147.80000000000001</v>
      </c>
      <c r="M92">
        <v>53.44</v>
      </c>
      <c r="N92">
        <v>2040962</v>
      </c>
      <c r="O92" t="s">
        <v>789</v>
      </c>
      <c r="P92" t="s">
        <v>1022</v>
      </c>
      <c r="Q92" t="s">
        <v>1310</v>
      </c>
    </row>
    <row r="93" spans="1:17">
      <c r="A93">
        <v>115</v>
      </c>
      <c r="B93">
        <v>593</v>
      </c>
      <c r="C93">
        <v>3.04</v>
      </c>
      <c r="D93">
        <v>0.25340000000000001</v>
      </c>
      <c r="E93">
        <v>0.30299999999999999</v>
      </c>
      <c r="F93">
        <v>112.22</v>
      </c>
      <c r="G93">
        <v>0</v>
      </c>
      <c r="H93">
        <v>7.79</v>
      </c>
      <c r="I93">
        <v>145.27000000000001</v>
      </c>
      <c r="J93">
        <v>399.58</v>
      </c>
      <c r="K93">
        <v>161.79</v>
      </c>
      <c r="L93">
        <v>-150.71</v>
      </c>
      <c r="M93">
        <v>53.05</v>
      </c>
      <c r="N93">
        <v>3875512</v>
      </c>
      <c r="O93" t="s">
        <v>566</v>
      </c>
      <c r="P93" t="s">
        <v>1022</v>
      </c>
      <c r="Q93" t="s">
        <v>1290</v>
      </c>
    </row>
    <row r="94" spans="1:17">
      <c r="A94">
        <v>116</v>
      </c>
      <c r="B94">
        <v>582</v>
      </c>
      <c r="C94">
        <v>3.02</v>
      </c>
      <c r="D94">
        <v>0.2671</v>
      </c>
      <c r="E94">
        <v>0.32979999999999998</v>
      </c>
      <c r="F94">
        <v>112.22</v>
      </c>
      <c r="G94">
        <v>0</v>
      </c>
      <c r="H94">
        <v>7.74</v>
      </c>
      <c r="I94">
        <v>144.5</v>
      </c>
      <c r="J94">
        <v>394.67</v>
      </c>
      <c r="K94">
        <v>129.35</v>
      </c>
      <c r="L94">
        <v>-154.9</v>
      </c>
      <c r="M94">
        <v>50.67</v>
      </c>
      <c r="N94">
        <v>16747505</v>
      </c>
      <c r="O94" t="s">
        <v>568</v>
      </c>
      <c r="P94" t="s">
        <v>1022</v>
      </c>
      <c r="Q94" t="s">
        <v>1234</v>
      </c>
    </row>
    <row r="95" spans="1:17">
      <c r="A95">
        <v>122</v>
      </c>
      <c r="B95">
        <v>621</v>
      </c>
      <c r="C95">
        <v>2.72</v>
      </c>
      <c r="D95">
        <v>0.253</v>
      </c>
      <c r="E95">
        <v>0.37190000000000001</v>
      </c>
      <c r="F95">
        <v>126.24</v>
      </c>
      <c r="G95">
        <v>0</v>
      </c>
      <c r="H95">
        <v>8.01</v>
      </c>
      <c r="I95">
        <v>161.57</v>
      </c>
      <c r="J95">
        <v>429.75</v>
      </c>
      <c r="K95">
        <v>165.17</v>
      </c>
      <c r="L95">
        <v>-168.3</v>
      </c>
      <c r="M95">
        <v>62.17</v>
      </c>
      <c r="N95">
        <v>2040951</v>
      </c>
      <c r="O95" t="s">
        <v>566</v>
      </c>
      <c r="P95" t="s">
        <v>1297</v>
      </c>
      <c r="Q95" t="s">
        <v>1464</v>
      </c>
    </row>
    <row r="96" spans="1:17">
      <c r="A96">
        <v>137</v>
      </c>
      <c r="B96">
        <v>553.79999999999995</v>
      </c>
      <c r="C96">
        <v>4.08</v>
      </c>
      <c r="D96">
        <v>0.2727</v>
      </c>
      <c r="E96">
        <v>0.20810000000000001</v>
      </c>
      <c r="F96">
        <v>84.16</v>
      </c>
      <c r="G96">
        <v>0</v>
      </c>
      <c r="H96">
        <v>8.19</v>
      </c>
      <c r="I96">
        <v>108.86</v>
      </c>
      <c r="J96">
        <v>353.87</v>
      </c>
      <c r="K96">
        <v>279.69</v>
      </c>
      <c r="L96">
        <v>-123.1</v>
      </c>
      <c r="M96">
        <v>31.76</v>
      </c>
      <c r="N96">
        <v>110827</v>
      </c>
      <c r="O96" t="s">
        <v>491</v>
      </c>
      <c r="P96" t="s">
        <v>722</v>
      </c>
      <c r="Q96" t="s">
        <v>1049</v>
      </c>
    </row>
    <row r="97" spans="1:17">
      <c r="A97">
        <v>138</v>
      </c>
      <c r="B97">
        <v>572.1</v>
      </c>
      <c r="C97">
        <v>3.48</v>
      </c>
      <c r="D97">
        <v>0.26850000000000002</v>
      </c>
      <c r="E97">
        <v>0.2361</v>
      </c>
      <c r="F97">
        <v>98.19</v>
      </c>
      <c r="G97">
        <v>0</v>
      </c>
      <c r="H97">
        <v>7.85</v>
      </c>
      <c r="I97">
        <v>128.19</v>
      </c>
      <c r="J97">
        <v>374.08</v>
      </c>
      <c r="K97">
        <v>146.58000000000001</v>
      </c>
      <c r="L97">
        <v>-154.69999999999999</v>
      </c>
      <c r="M97">
        <v>27.33</v>
      </c>
      <c r="N97">
        <v>108872</v>
      </c>
      <c r="O97" t="s">
        <v>491</v>
      </c>
      <c r="P97" t="s">
        <v>900</v>
      </c>
      <c r="Q97" t="s">
        <v>1187</v>
      </c>
    </row>
    <row r="98" spans="1:17">
      <c r="A98">
        <v>140</v>
      </c>
      <c r="B98">
        <v>609.15</v>
      </c>
      <c r="C98">
        <v>3.04</v>
      </c>
      <c r="D98">
        <v>0.27010000000000001</v>
      </c>
      <c r="E98">
        <v>0.2455</v>
      </c>
      <c r="F98">
        <v>112.22</v>
      </c>
      <c r="G98">
        <v>0</v>
      </c>
      <c r="H98">
        <v>7.99</v>
      </c>
      <c r="I98">
        <v>143.04</v>
      </c>
      <c r="J98">
        <v>404.93</v>
      </c>
      <c r="K98">
        <v>161.83000000000001</v>
      </c>
      <c r="L98">
        <v>-171.7</v>
      </c>
      <c r="M98">
        <v>39.549999999999997</v>
      </c>
      <c r="N98">
        <v>1678917</v>
      </c>
      <c r="O98" t="s">
        <v>1010</v>
      </c>
      <c r="P98" t="s">
        <v>1022</v>
      </c>
      <c r="Q98" t="s">
        <v>1389</v>
      </c>
    </row>
    <row r="99" spans="1:17">
      <c r="A99">
        <v>141</v>
      </c>
      <c r="B99">
        <v>591.15</v>
      </c>
      <c r="C99">
        <v>2.9380000000000002</v>
      </c>
      <c r="D99">
        <v>0.26900000000000002</v>
      </c>
      <c r="E99">
        <v>0.2326</v>
      </c>
      <c r="F99">
        <v>112.22</v>
      </c>
      <c r="G99">
        <v>0</v>
      </c>
      <c r="H99">
        <v>7.66</v>
      </c>
      <c r="I99">
        <v>144.47</v>
      </c>
      <c r="J99">
        <v>392.69</v>
      </c>
      <c r="K99">
        <v>239.66</v>
      </c>
      <c r="L99">
        <v>-181</v>
      </c>
      <c r="M99">
        <v>35.229999999999997</v>
      </c>
      <c r="N99">
        <v>590669</v>
      </c>
      <c r="O99" t="s">
        <v>672</v>
      </c>
      <c r="P99" t="s">
        <v>1022</v>
      </c>
      <c r="Q99" t="s">
        <v>1282</v>
      </c>
    </row>
    <row r="100" spans="1:17">
      <c r="A100">
        <v>142</v>
      </c>
      <c r="B100">
        <v>606.15</v>
      </c>
      <c r="C100">
        <v>2.9380000000000002</v>
      </c>
      <c r="D100">
        <v>0.26819999999999999</v>
      </c>
      <c r="E100">
        <v>0.2324</v>
      </c>
      <c r="F100">
        <v>112.22</v>
      </c>
      <c r="G100">
        <v>0</v>
      </c>
      <c r="H100">
        <v>7.94</v>
      </c>
      <c r="I100">
        <v>141.65</v>
      </c>
      <c r="J100">
        <v>402.94</v>
      </c>
      <c r="K100">
        <v>223.16</v>
      </c>
      <c r="L100">
        <v>-172.17</v>
      </c>
      <c r="M100">
        <v>41.21</v>
      </c>
      <c r="N100">
        <v>2207014</v>
      </c>
      <c r="O100" t="s">
        <v>672</v>
      </c>
      <c r="P100" t="s">
        <v>1022</v>
      </c>
      <c r="Q100" t="s">
        <v>1372</v>
      </c>
    </row>
    <row r="101" spans="1:17">
      <c r="A101">
        <v>143</v>
      </c>
      <c r="B101">
        <v>596.15</v>
      </c>
      <c r="C101">
        <v>2.9380000000000002</v>
      </c>
      <c r="D101">
        <v>0.2727</v>
      </c>
      <c r="E101">
        <v>0.2379</v>
      </c>
      <c r="F101">
        <v>112.22</v>
      </c>
      <c r="G101">
        <v>0</v>
      </c>
      <c r="H101">
        <v>7.71</v>
      </c>
      <c r="I101">
        <v>145.35</v>
      </c>
      <c r="J101">
        <v>396.58</v>
      </c>
      <c r="K101">
        <v>184.99</v>
      </c>
      <c r="L101">
        <v>-180</v>
      </c>
      <c r="M101">
        <v>34.479999999999997</v>
      </c>
      <c r="N101">
        <v>6876239</v>
      </c>
      <c r="O101" t="s">
        <v>672</v>
      </c>
      <c r="P101" t="s">
        <v>1022</v>
      </c>
      <c r="Q101" t="s">
        <v>1311</v>
      </c>
    </row>
    <row r="102" spans="1:17">
      <c r="A102">
        <v>144</v>
      </c>
      <c r="B102">
        <v>591.15</v>
      </c>
      <c r="C102">
        <v>2.9380000000000002</v>
      </c>
      <c r="D102">
        <v>0.26900000000000002</v>
      </c>
      <c r="E102">
        <v>0.2366</v>
      </c>
      <c r="F102">
        <v>112.22</v>
      </c>
      <c r="G102">
        <v>0</v>
      </c>
      <c r="H102">
        <v>7.65</v>
      </c>
      <c r="I102">
        <v>147.28</v>
      </c>
      <c r="J102">
        <v>393.24</v>
      </c>
      <c r="K102">
        <v>197.61</v>
      </c>
      <c r="L102">
        <v>-184.77</v>
      </c>
      <c r="M102">
        <v>29.83</v>
      </c>
      <c r="N102">
        <v>638040</v>
      </c>
      <c r="O102" t="s">
        <v>672</v>
      </c>
      <c r="P102" t="s">
        <v>1022</v>
      </c>
      <c r="Q102" t="s">
        <v>1283</v>
      </c>
    </row>
    <row r="103" spans="1:17">
      <c r="A103">
        <v>145</v>
      </c>
      <c r="B103">
        <v>598</v>
      </c>
      <c r="C103">
        <v>2.9380000000000002</v>
      </c>
      <c r="D103">
        <v>0.27179999999999999</v>
      </c>
      <c r="E103">
        <v>0.23350000000000001</v>
      </c>
      <c r="F103">
        <v>112.22</v>
      </c>
      <c r="G103">
        <v>0</v>
      </c>
      <c r="H103">
        <v>7.84</v>
      </c>
      <c r="I103">
        <v>143.77000000000001</v>
      </c>
      <c r="J103">
        <v>397.61</v>
      </c>
      <c r="K103">
        <v>183.07</v>
      </c>
      <c r="L103">
        <v>-176.57</v>
      </c>
      <c r="M103">
        <v>36.32</v>
      </c>
      <c r="N103">
        <v>2207036</v>
      </c>
      <c r="O103" t="s">
        <v>672</v>
      </c>
      <c r="P103" t="s">
        <v>1022</v>
      </c>
      <c r="Q103" t="s">
        <v>1314</v>
      </c>
    </row>
    <row r="104" spans="1:17">
      <c r="A104">
        <v>146</v>
      </c>
      <c r="B104">
        <v>598.15</v>
      </c>
      <c r="C104">
        <v>2.9380000000000002</v>
      </c>
      <c r="D104">
        <v>0.27179999999999999</v>
      </c>
      <c r="E104">
        <v>0.2311</v>
      </c>
      <c r="F104">
        <v>112.22</v>
      </c>
      <c r="G104">
        <v>0</v>
      </c>
      <c r="H104">
        <v>7.81</v>
      </c>
      <c r="I104">
        <v>144.11000000000001</v>
      </c>
      <c r="J104">
        <v>397.48</v>
      </c>
      <c r="K104">
        <v>185.74</v>
      </c>
      <c r="L104">
        <v>-176.65</v>
      </c>
      <c r="M104">
        <v>37.950000000000003</v>
      </c>
      <c r="N104">
        <v>624293</v>
      </c>
      <c r="O104" t="s">
        <v>672</v>
      </c>
      <c r="P104" t="s">
        <v>1022</v>
      </c>
      <c r="Q104" t="s">
        <v>1319</v>
      </c>
    </row>
    <row r="105" spans="1:17">
      <c r="A105">
        <v>147</v>
      </c>
      <c r="B105">
        <v>587.70000000000005</v>
      </c>
      <c r="C105">
        <v>2.94</v>
      </c>
      <c r="D105">
        <v>0.26950000000000002</v>
      </c>
      <c r="E105">
        <v>0.25480000000000003</v>
      </c>
      <c r="F105">
        <v>112.22</v>
      </c>
      <c r="G105">
        <v>0</v>
      </c>
      <c r="H105">
        <v>7.58</v>
      </c>
      <c r="I105">
        <v>147.9</v>
      </c>
      <c r="J105">
        <v>392.51</v>
      </c>
      <c r="K105">
        <v>236.21</v>
      </c>
      <c r="L105">
        <v>-184.6</v>
      </c>
      <c r="M105">
        <v>31.72</v>
      </c>
      <c r="N105">
        <v>2207047</v>
      </c>
      <c r="O105" t="s">
        <v>672</v>
      </c>
      <c r="P105" t="s">
        <v>1022</v>
      </c>
      <c r="Q105" t="s">
        <v>1265</v>
      </c>
    </row>
    <row r="106" spans="1:17">
      <c r="A106">
        <v>149</v>
      </c>
      <c r="B106">
        <v>639.15</v>
      </c>
      <c r="C106">
        <v>2.8069999999999999</v>
      </c>
      <c r="D106">
        <v>0.252</v>
      </c>
      <c r="E106">
        <v>0.25950000000000001</v>
      </c>
      <c r="F106">
        <v>126.24</v>
      </c>
      <c r="G106">
        <v>0</v>
      </c>
      <c r="H106">
        <v>7.99</v>
      </c>
      <c r="I106">
        <v>159.76</v>
      </c>
      <c r="J106">
        <v>429.87</v>
      </c>
      <c r="K106">
        <v>178.25</v>
      </c>
      <c r="L106">
        <v>-193.3</v>
      </c>
      <c r="M106">
        <v>47.38</v>
      </c>
      <c r="N106">
        <v>1678928</v>
      </c>
      <c r="O106" t="s">
        <v>672</v>
      </c>
      <c r="P106" t="s">
        <v>1297</v>
      </c>
      <c r="Q106" t="s">
        <v>1560</v>
      </c>
    </row>
    <row r="107" spans="1:17">
      <c r="A107">
        <v>150</v>
      </c>
      <c r="B107">
        <v>627</v>
      </c>
      <c r="C107">
        <v>2.85</v>
      </c>
      <c r="D107">
        <v>0.25019999999999998</v>
      </c>
      <c r="E107">
        <v>0.32950000000000002</v>
      </c>
      <c r="F107">
        <v>126.24</v>
      </c>
      <c r="G107">
        <v>0</v>
      </c>
      <c r="H107">
        <v>7.96</v>
      </c>
      <c r="I107">
        <v>158.15</v>
      </c>
      <c r="J107">
        <v>428.15</v>
      </c>
      <c r="K107">
        <v>183.76</v>
      </c>
      <c r="L107">
        <v>-196</v>
      </c>
      <c r="M107">
        <v>49</v>
      </c>
      <c r="N107">
        <v>696297</v>
      </c>
      <c r="O107" t="s">
        <v>1494</v>
      </c>
      <c r="P107" t="s">
        <v>1297</v>
      </c>
      <c r="Q107" t="s">
        <v>1495</v>
      </c>
    </row>
    <row r="108" spans="1:17">
      <c r="A108">
        <v>152</v>
      </c>
      <c r="B108">
        <v>667</v>
      </c>
      <c r="C108">
        <v>2.57</v>
      </c>
      <c r="D108">
        <v>0.3034</v>
      </c>
      <c r="E108">
        <v>0.27429999999999999</v>
      </c>
      <c r="F108">
        <v>140.27000000000001</v>
      </c>
      <c r="G108">
        <v>0</v>
      </c>
      <c r="H108">
        <v>8.02</v>
      </c>
      <c r="I108">
        <v>176.27</v>
      </c>
      <c r="J108">
        <v>454.1</v>
      </c>
      <c r="K108">
        <v>198.42</v>
      </c>
      <c r="L108">
        <v>-213.17</v>
      </c>
      <c r="M108">
        <v>56.54</v>
      </c>
      <c r="N108">
        <v>1678939</v>
      </c>
      <c r="O108" t="s">
        <v>1736</v>
      </c>
      <c r="P108" t="s">
        <v>1433</v>
      </c>
      <c r="Q108" t="s">
        <v>1737</v>
      </c>
    </row>
    <row r="109" spans="1:17">
      <c r="A109">
        <v>153</v>
      </c>
      <c r="B109">
        <v>703.6</v>
      </c>
      <c r="C109">
        <v>3.2</v>
      </c>
      <c r="D109">
        <v>0.26640000000000003</v>
      </c>
      <c r="E109">
        <v>0.27910000000000001</v>
      </c>
      <c r="F109">
        <v>138.25</v>
      </c>
      <c r="G109">
        <v>0</v>
      </c>
      <c r="H109">
        <v>8.6199999999999992</v>
      </c>
      <c r="I109">
        <v>154.62</v>
      </c>
      <c r="J109">
        <v>468.97</v>
      </c>
      <c r="K109">
        <v>230.17</v>
      </c>
      <c r="L109">
        <v>-169.24</v>
      </c>
      <c r="M109">
        <v>85.52</v>
      </c>
      <c r="N109">
        <v>493016</v>
      </c>
      <c r="O109" t="s">
        <v>491</v>
      </c>
      <c r="P109" t="s">
        <v>1822</v>
      </c>
      <c r="Q109" t="s">
        <v>1921</v>
      </c>
    </row>
    <row r="110" spans="1:17">
      <c r="A110">
        <v>154</v>
      </c>
      <c r="B110">
        <v>687</v>
      </c>
      <c r="C110">
        <v>3.2</v>
      </c>
      <c r="D110">
        <v>0.23530000000000001</v>
      </c>
      <c r="E110">
        <v>0.29930000000000001</v>
      </c>
      <c r="F110">
        <v>138.25</v>
      </c>
      <c r="G110">
        <v>0</v>
      </c>
      <c r="H110">
        <v>8.32</v>
      </c>
      <c r="I110">
        <v>159.32</v>
      </c>
      <c r="J110">
        <v>460.46</v>
      </c>
      <c r="K110">
        <v>242.77</v>
      </c>
      <c r="L110">
        <v>-182.17</v>
      </c>
      <c r="M110">
        <v>73.55</v>
      </c>
      <c r="N110">
        <v>493027</v>
      </c>
      <c r="O110" t="s">
        <v>1821</v>
      </c>
      <c r="P110" t="s">
        <v>1822</v>
      </c>
      <c r="Q110" t="s">
        <v>1823</v>
      </c>
    </row>
    <row r="111" spans="1:17">
      <c r="A111">
        <v>155</v>
      </c>
      <c r="B111">
        <v>727</v>
      </c>
      <c r="C111">
        <v>2.56</v>
      </c>
      <c r="D111">
        <v>0.25330000000000003</v>
      </c>
      <c r="E111">
        <v>0.42759999999999998</v>
      </c>
      <c r="F111">
        <v>166.31</v>
      </c>
      <c r="G111">
        <v>0</v>
      </c>
      <c r="H111">
        <v>8.31</v>
      </c>
      <c r="I111">
        <v>188.38</v>
      </c>
      <c r="J111">
        <v>512.19000000000005</v>
      </c>
      <c r="K111">
        <v>276.77999999999997</v>
      </c>
      <c r="L111">
        <v>-213</v>
      </c>
      <c r="M111">
        <v>42.6</v>
      </c>
      <c r="N111">
        <v>92513</v>
      </c>
      <c r="O111" t="s">
        <v>568</v>
      </c>
      <c r="P111" t="s">
        <v>2022</v>
      </c>
      <c r="Q111" t="s">
        <v>2023</v>
      </c>
    </row>
    <row r="112" spans="1:17">
      <c r="A112">
        <v>158</v>
      </c>
      <c r="B112">
        <v>751.25</v>
      </c>
      <c r="C112">
        <v>1.65</v>
      </c>
      <c r="D112">
        <v>0.193</v>
      </c>
      <c r="E112">
        <v>0.66269999999999996</v>
      </c>
      <c r="F112">
        <v>224.43</v>
      </c>
      <c r="G112">
        <v>0</v>
      </c>
      <c r="H112">
        <v>8.15</v>
      </c>
      <c r="I112">
        <v>275.29000000000002</v>
      </c>
      <c r="J112">
        <v>570.75</v>
      </c>
      <c r="K112">
        <v>271.42</v>
      </c>
      <c r="L112">
        <v>-336.9</v>
      </c>
      <c r="M112">
        <v>106.9</v>
      </c>
      <c r="N112">
        <v>1795160</v>
      </c>
      <c r="O112" t="s">
        <v>2113</v>
      </c>
      <c r="P112" t="s">
        <v>1999</v>
      </c>
      <c r="Q112" t="s">
        <v>2114</v>
      </c>
    </row>
    <row r="113" spans="1:17">
      <c r="A113">
        <v>159</v>
      </c>
      <c r="B113">
        <v>604.20000000000005</v>
      </c>
      <c r="C113">
        <v>3.82</v>
      </c>
      <c r="D113">
        <v>0.29849999999999999</v>
      </c>
      <c r="E113">
        <v>0.24079999999999999</v>
      </c>
      <c r="F113">
        <v>98.19</v>
      </c>
      <c r="G113">
        <v>0</v>
      </c>
      <c r="H113">
        <v>8.42</v>
      </c>
      <c r="I113">
        <v>121.81</v>
      </c>
      <c r="J113">
        <v>391.95</v>
      </c>
      <c r="K113">
        <v>265.11</v>
      </c>
      <c r="L113">
        <v>-119.24</v>
      </c>
      <c r="M113">
        <v>63.39</v>
      </c>
      <c r="N113">
        <v>291645</v>
      </c>
      <c r="O113" t="s">
        <v>1360</v>
      </c>
      <c r="P113" t="s">
        <v>900</v>
      </c>
      <c r="Q113" t="s">
        <v>1361</v>
      </c>
    </row>
    <row r="114" spans="1:17">
      <c r="A114">
        <v>160</v>
      </c>
      <c r="B114">
        <v>647.20000000000005</v>
      </c>
      <c r="C114">
        <v>3.56</v>
      </c>
      <c r="D114">
        <v>0.27129999999999999</v>
      </c>
      <c r="E114">
        <v>0.25240000000000001</v>
      </c>
      <c r="F114">
        <v>112.22</v>
      </c>
      <c r="G114">
        <v>0</v>
      </c>
      <c r="H114">
        <v>8.49</v>
      </c>
      <c r="I114">
        <v>134.85</v>
      </c>
      <c r="J114">
        <v>424.31</v>
      </c>
      <c r="K114">
        <v>287.98</v>
      </c>
      <c r="L114">
        <v>-125.8</v>
      </c>
      <c r="M114">
        <v>89.97</v>
      </c>
      <c r="N114">
        <v>292648</v>
      </c>
      <c r="O114" t="s">
        <v>566</v>
      </c>
      <c r="P114" t="s">
        <v>1022</v>
      </c>
      <c r="Q114" t="s">
        <v>1612</v>
      </c>
    </row>
    <row r="115" spans="1:17">
      <c r="A115">
        <v>176</v>
      </c>
      <c r="B115">
        <v>579</v>
      </c>
      <c r="C115">
        <v>2.2999999999999998</v>
      </c>
      <c r="D115">
        <v>0.247</v>
      </c>
      <c r="E115">
        <v>0.39269999999999999</v>
      </c>
      <c r="F115">
        <v>128.26</v>
      </c>
      <c r="G115">
        <v>0</v>
      </c>
      <c r="H115">
        <v>7.33</v>
      </c>
      <c r="I115">
        <v>181.72</v>
      </c>
      <c r="J115">
        <v>408.36</v>
      </c>
      <c r="K115">
        <v>170.25</v>
      </c>
      <c r="L115">
        <v>-242.8</v>
      </c>
      <c r="M115">
        <v>18.3</v>
      </c>
      <c r="N115">
        <v>1072055</v>
      </c>
      <c r="O115" t="s">
        <v>566</v>
      </c>
      <c r="P115" t="s">
        <v>1168</v>
      </c>
      <c r="Q115" t="s">
        <v>1218</v>
      </c>
    </row>
    <row r="116" spans="1:17">
      <c r="A116">
        <v>190</v>
      </c>
      <c r="B116">
        <v>590</v>
      </c>
      <c r="C116">
        <v>2.57</v>
      </c>
      <c r="D116">
        <v>0.26179999999999998</v>
      </c>
      <c r="E116">
        <v>0.33529999999999999</v>
      </c>
      <c r="F116">
        <v>128.26</v>
      </c>
      <c r="G116">
        <v>0</v>
      </c>
      <c r="H116">
        <v>7.25</v>
      </c>
      <c r="I116">
        <v>175.43</v>
      </c>
      <c r="J116">
        <v>406.99</v>
      </c>
      <c r="K116">
        <v>173.68</v>
      </c>
      <c r="L116">
        <v>-231.3</v>
      </c>
      <c r="M116">
        <v>35.96</v>
      </c>
      <c r="N116">
        <v>16747323</v>
      </c>
      <c r="O116" t="s">
        <v>566</v>
      </c>
      <c r="P116" t="s">
        <v>1168</v>
      </c>
      <c r="Q116" t="s">
        <v>1278</v>
      </c>
    </row>
    <row r="117" spans="1:17">
      <c r="A117">
        <v>192</v>
      </c>
      <c r="B117">
        <v>591</v>
      </c>
      <c r="C117">
        <v>2.5299999999999998</v>
      </c>
      <c r="D117">
        <v>0.2616</v>
      </c>
      <c r="E117">
        <v>0.35299999999999998</v>
      </c>
      <c r="F117">
        <v>128.26</v>
      </c>
      <c r="G117">
        <v>0</v>
      </c>
      <c r="H117">
        <v>7.32</v>
      </c>
      <c r="I117">
        <v>174.68</v>
      </c>
      <c r="J117">
        <v>409.88</v>
      </c>
      <c r="K117">
        <v>150.79</v>
      </c>
      <c r="L117">
        <v>-227.9</v>
      </c>
      <c r="M117">
        <v>36.299999999999997</v>
      </c>
      <c r="N117">
        <v>1068877</v>
      </c>
      <c r="O117" t="s">
        <v>1280</v>
      </c>
      <c r="P117" t="s">
        <v>1168</v>
      </c>
      <c r="Q117" t="s">
        <v>1281</v>
      </c>
    </row>
    <row r="118" spans="1:17">
      <c r="A118">
        <v>201</v>
      </c>
      <c r="B118">
        <v>282.33999999999997</v>
      </c>
      <c r="C118">
        <v>5.0410000000000004</v>
      </c>
      <c r="D118">
        <v>0.27689999999999998</v>
      </c>
      <c r="E118">
        <v>8.6199999999999999E-2</v>
      </c>
      <c r="F118">
        <v>28.05</v>
      </c>
      <c r="G118">
        <v>0</v>
      </c>
      <c r="H118">
        <v>6.08</v>
      </c>
      <c r="I118">
        <v>49.32</v>
      </c>
      <c r="J118">
        <v>169.47</v>
      </c>
      <c r="K118">
        <v>104</v>
      </c>
      <c r="L118">
        <v>52.28</v>
      </c>
      <c r="M118">
        <v>68.150000000000006</v>
      </c>
      <c r="N118">
        <v>74851</v>
      </c>
      <c r="O118" t="s">
        <v>463</v>
      </c>
      <c r="P118" t="s">
        <v>464</v>
      </c>
      <c r="Q118" t="s">
        <v>465</v>
      </c>
    </row>
    <row r="119" spans="1:17">
      <c r="A119">
        <v>202</v>
      </c>
      <c r="B119">
        <v>364.85</v>
      </c>
      <c r="C119">
        <v>4.5999999999999996</v>
      </c>
      <c r="D119">
        <v>0.27529999999999999</v>
      </c>
      <c r="E119">
        <v>0.1376</v>
      </c>
      <c r="F119">
        <v>42.08</v>
      </c>
      <c r="G119">
        <v>0</v>
      </c>
      <c r="H119">
        <v>6.43</v>
      </c>
      <c r="I119">
        <v>68.959999999999994</v>
      </c>
      <c r="J119">
        <v>225.43</v>
      </c>
      <c r="K119">
        <v>87.9</v>
      </c>
      <c r="L119">
        <v>20.41</v>
      </c>
      <c r="M119">
        <v>62.78</v>
      </c>
      <c r="N119">
        <v>115071</v>
      </c>
      <c r="O119" t="s">
        <v>491</v>
      </c>
      <c r="P119" t="s">
        <v>528</v>
      </c>
      <c r="Q119" t="s">
        <v>529</v>
      </c>
    </row>
    <row r="120" spans="1:17">
      <c r="A120">
        <v>204</v>
      </c>
      <c r="B120">
        <v>419.5</v>
      </c>
      <c r="C120">
        <v>4.0199999999999996</v>
      </c>
      <c r="D120">
        <v>0.27639999999999998</v>
      </c>
      <c r="E120">
        <v>0.1845</v>
      </c>
      <c r="F120">
        <v>56.11</v>
      </c>
      <c r="G120">
        <v>0</v>
      </c>
      <c r="H120">
        <v>6.68</v>
      </c>
      <c r="I120">
        <v>89.63</v>
      </c>
      <c r="J120">
        <v>266.89999999999998</v>
      </c>
      <c r="K120">
        <v>87.8</v>
      </c>
      <c r="L120">
        <v>-0.13</v>
      </c>
      <c r="M120">
        <v>70.27</v>
      </c>
      <c r="N120">
        <v>106989</v>
      </c>
      <c r="O120" t="s">
        <v>491</v>
      </c>
      <c r="P120" t="s">
        <v>597</v>
      </c>
      <c r="Q120" t="s">
        <v>602</v>
      </c>
    </row>
    <row r="121" spans="1:17">
      <c r="A121">
        <v>205</v>
      </c>
      <c r="B121">
        <v>435.5</v>
      </c>
      <c r="C121">
        <v>4.21</v>
      </c>
      <c r="D121">
        <v>0.27179999999999999</v>
      </c>
      <c r="E121">
        <v>0.2019</v>
      </c>
      <c r="F121">
        <v>56.11</v>
      </c>
      <c r="G121">
        <v>0</v>
      </c>
      <c r="H121">
        <v>7.2</v>
      </c>
      <c r="I121">
        <v>87.41</v>
      </c>
      <c r="J121">
        <v>276.87</v>
      </c>
      <c r="K121">
        <v>134.26</v>
      </c>
      <c r="L121">
        <v>-7.4</v>
      </c>
      <c r="M121">
        <v>65.36</v>
      </c>
      <c r="N121">
        <v>590181</v>
      </c>
      <c r="O121" t="s">
        <v>491</v>
      </c>
      <c r="P121" t="s">
        <v>597</v>
      </c>
      <c r="Q121" t="s">
        <v>632</v>
      </c>
    </row>
    <row r="122" spans="1:17">
      <c r="A122">
        <v>206</v>
      </c>
      <c r="B122">
        <v>428.6</v>
      </c>
      <c r="C122">
        <v>4.0999999999999996</v>
      </c>
      <c r="D122">
        <v>0.27400000000000002</v>
      </c>
      <c r="E122">
        <v>0.21759999999999999</v>
      </c>
      <c r="F122">
        <v>56.11</v>
      </c>
      <c r="G122">
        <v>0</v>
      </c>
      <c r="H122">
        <v>6.95</v>
      </c>
      <c r="I122">
        <v>89.35</v>
      </c>
      <c r="J122">
        <v>274.02999999999997</v>
      </c>
      <c r="K122">
        <v>167.62</v>
      </c>
      <c r="L122">
        <v>-11.1</v>
      </c>
      <c r="M122">
        <v>63.16</v>
      </c>
      <c r="N122">
        <v>624646</v>
      </c>
      <c r="O122" t="s">
        <v>491</v>
      </c>
      <c r="P122" t="s">
        <v>597</v>
      </c>
      <c r="Q122" t="s">
        <v>614</v>
      </c>
    </row>
    <row r="123" spans="1:17">
      <c r="A123">
        <v>207</v>
      </c>
      <c r="B123">
        <v>417.9</v>
      </c>
      <c r="C123">
        <v>4</v>
      </c>
      <c r="D123">
        <v>0.27500000000000002</v>
      </c>
      <c r="E123">
        <v>0.1948</v>
      </c>
      <c r="F123">
        <v>56.11</v>
      </c>
      <c r="G123">
        <v>0</v>
      </c>
      <c r="H123">
        <v>6.68</v>
      </c>
      <c r="I123">
        <v>95.37</v>
      </c>
      <c r="J123">
        <v>266.25</v>
      </c>
      <c r="K123">
        <v>132.81</v>
      </c>
      <c r="L123">
        <v>-16.899999999999999</v>
      </c>
      <c r="M123">
        <v>58.08</v>
      </c>
      <c r="N123">
        <v>115117</v>
      </c>
      <c r="O123" t="s">
        <v>491</v>
      </c>
      <c r="P123" t="s">
        <v>597</v>
      </c>
      <c r="Q123" t="s">
        <v>598</v>
      </c>
    </row>
    <row r="124" spans="1:17">
      <c r="A124">
        <v>209</v>
      </c>
      <c r="B124">
        <v>464.8</v>
      </c>
      <c r="C124">
        <v>3.56</v>
      </c>
      <c r="D124">
        <v>0.27029999999999998</v>
      </c>
      <c r="E124">
        <v>0.23719999999999999</v>
      </c>
      <c r="F124">
        <v>70.13</v>
      </c>
      <c r="G124">
        <v>0</v>
      </c>
      <c r="H124">
        <v>7.08</v>
      </c>
      <c r="I124">
        <v>110.47</v>
      </c>
      <c r="J124">
        <v>303.11</v>
      </c>
      <c r="K124">
        <v>107.93</v>
      </c>
      <c r="L124">
        <v>-21.3</v>
      </c>
      <c r="M124">
        <v>78.45</v>
      </c>
      <c r="N124">
        <v>109671</v>
      </c>
      <c r="O124" t="s">
        <v>491</v>
      </c>
      <c r="P124" t="s">
        <v>658</v>
      </c>
      <c r="Q124" t="s">
        <v>685</v>
      </c>
    </row>
    <row r="125" spans="1:17">
      <c r="A125">
        <v>210</v>
      </c>
      <c r="B125">
        <v>475</v>
      </c>
      <c r="C125">
        <v>3.64</v>
      </c>
      <c r="D125">
        <v>0.27860000000000001</v>
      </c>
      <c r="E125">
        <v>0.24540000000000001</v>
      </c>
      <c r="F125">
        <v>70.13</v>
      </c>
      <c r="G125">
        <v>0</v>
      </c>
      <c r="H125">
        <v>7.39</v>
      </c>
      <c r="I125">
        <v>107.92</v>
      </c>
      <c r="J125">
        <v>310.08</v>
      </c>
      <c r="K125">
        <v>121.75</v>
      </c>
      <c r="L125">
        <v>-26.3</v>
      </c>
      <c r="M125">
        <v>73.66</v>
      </c>
      <c r="N125">
        <v>627203</v>
      </c>
      <c r="O125" t="s">
        <v>491</v>
      </c>
      <c r="P125" t="s">
        <v>658</v>
      </c>
      <c r="Q125" t="s">
        <v>704</v>
      </c>
    </row>
    <row r="126" spans="1:17">
      <c r="A126">
        <v>211</v>
      </c>
      <c r="B126">
        <v>474.2</v>
      </c>
      <c r="C126">
        <v>3.66</v>
      </c>
      <c r="D126">
        <v>0.27900000000000003</v>
      </c>
      <c r="E126">
        <v>0.24840000000000001</v>
      </c>
      <c r="F126">
        <v>70.13</v>
      </c>
      <c r="G126">
        <v>0</v>
      </c>
      <c r="H126">
        <v>7.32</v>
      </c>
      <c r="I126">
        <v>109.08</v>
      </c>
      <c r="J126">
        <v>309.49</v>
      </c>
      <c r="K126">
        <v>132.88999999999999</v>
      </c>
      <c r="L126">
        <v>-31.1</v>
      </c>
      <c r="M126">
        <v>69.81</v>
      </c>
      <c r="N126">
        <v>646048</v>
      </c>
      <c r="O126" t="s">
        <v>491</v>
      </c>
      <c r="P126" t="s">
        <v>658</v>
      </c>
      <c r="Q126" t="s">
        <v>703</v>
      </c>
    </row>
    <row r="127" spans="1:17">
      <c r="A127">
        <v>212</v>
      </c>
      <c r="B127">
        <v>465</v>
      </c>
      <c r="C127">
        <v>3.4470000000000001</v>
      </c>
      <c r="D127">
        <v>0.27700000000000002</v>
      </c>
      <c r="E127">
        <v>0.2341</v>
      </c>
      <c r="F127">
        <v>70.13</v>
      </c>
      <c r="G127">
        <v>0</v>
      </c>
      <c r="H127">
        <v>7.19</v>
      </c>
      <c r="I127">
        <v>108.72</v>
      </c>
      <c r="J127">
        <v>304.31</v>
      </c>
      <c r="K127">
        <v>135.58000000000001</v>
      </c>
      <c r="L127">
        <v>-35.1</v>
      </c>
      <c r="M127">
        <v>66.680000000000007</v>
      </c>
      <c r="N127">
        <v>563462</v>
      </c>
      <c r="O127" t="s">
        <v>686</v>
      </c>
      <c r="P127" t="s">
        <v>658</v>
      </c>
      <c r="Q127" t="s">
        <v>687</v>
      </c>
    </row>
    <row r="128" spans="1:17">
      <c r="A128">
        <v>213</v>
      </c>
      <c r="B128">
        <v>452.7</v>
      </c>
      <c r="C128">
        <v>3.53</v>
      </c>
      <c r="D128">
        <v>0.28399999999999997</v>
      </c>
      <c r="E128">
        <v>0.2097</v>
      </c>
      <c r="F128">
        <v>70.13</v>
      </c>
      <c r="G128">
        <v>0</v>
      </c>
      <c r="H128">
        <v>6.82</v>
      </c>
      <c r="I128">
        <v>111.81</v>
      </c>
      <c r="J128">
        <v>293.20999999999998</v>
      </c>
      <c r="K128">
        <v>104.66</v>
      </c>
      <c r="L128">
        <v>-28.95</v>
      </c>
      <c r="M128">
        <v>75.5</v>
      </c>
      <c r="N128">
        <v>563451</v>
      </c>
      <c r="O128" t="s">
        <v>491</v>
      </c>
      <c r="P128" t="s">
        <v>658</v>
      </c>
      <c r="Q128" t="s">
        <v>659</v>
      </c>
    </row>
    <row r="129" spans="1:17">
      <c r="A129">
        <v>214</v>
      </c>
      <c r="B129">
        <v>470</v>
      </c>
      <c r="C129">
        <v>3.42</v>
      </c>
      <c r="D129">
        <v>0.28170000000000001</v>
      </c>
      <c r="E129">
        <v>0.28699999999999998</v>
      </c>
      <c r="F129">
        <v>70.13</v>
      </c>
      <c r="G129">
        <v>0</v>
      </c>
      <c r="H129">
        <v>7.42</v>
      </c>
      <c r="I129">
        <v>107.27</v>
      </c>
      <c r="J129">
        <v>311.70999999999998</v>
      </c>
      <c r="K129">
        <v>139.38999999999999</v>
      </c>
      <c r="L129">
        <v>-42.55</v>
      </c>
      <c r="M129">
        <v>59.79</v>
      </c>
      <c r="N129">
        <v>513359</v>
      </c>
      <c r="O129" t="s">
        <v>585</v>
      </c>
      <c r="P129" t="s">
        <v>658</v>
      </c>
      <c r="Q129" t="s">
        <v>693</v>
      </c>
    </row>
    <row r="130" spans="1:17">
      <c r="A130">
        <v>216</v>
      </c>
      <c r="B130">
        <v>504</v>
      </c>
      <c r="C130">
        <v>3.21</v>
      </c>
      <c r="D130">
        <v>0.26519999999999999</v>
      </c>
      <c r="E130">
        <v>0.28510000000000002</v>
      </c>
      <c r="F130">
        <v>84.16</v>
      </c>
      <c r="G130">
        <v>0</v>
      </c>
      <c r="H130">
        <v>7.34</v>
      </c>
      <c r="I130">
        <v>125.77</v>
      </c>
      <c r="J130">
        <v>336.63</v>
      </c>
      <c r="K130">
        <v>133.38999999999999</v>
      </c>
      <c r="L130">
        <v>-42</v>
      </c>
      <c r="M130">
        <v>87.39</v>
      </c>
      <c r="N130">
        <v>592416</v>
      </c>
      <c r="O130" t="s">
        <v>491</v>
      </c>
      <c r="P130" t="s">
        <v>722</v>
      </c>
      <c r="Q130" t="s">
        <v>798</v>
      </c>
    </row>
    <row r="131" spans="1:17">
      <c r="A131">
        <v>217</v>
      </c>
      <c r="B131">
        <v>511.4</v>
      </c>
      <c r="C131">
        <v>3.16</v>
      </c>
      <c r="D131">
        <v>0.2681</v>
      </c>
      <c r="E131">
        <v>0.28739999999999999</v>
      </c>
      <c r="F131">
        <v>84.16</v>
      </c>
      <c r="G131">
        <v>0</v>
      </c>
      <c r="H131">
        <v>7.49</v>
      </c>
      <c r="I131">
        <v>123.31</v>
      </c>
      <c r="J131">
        <v>342.03</v>
      </c>
      <c r="K131">
        <v>132</v>
      </c>
      <c r="L131">
        <v>-52.26</v>
      </c>
      <c r="M131">
        <v>80.239999999999995</v>
      </c>
      <c r="N131">
        <v>7688213</v>
      </c>
      <c r="O131" t="s">
        <v>789</v>
      </c>
      <c r="P131" t="s">
        <v>722</v>
      </c>
      <c r="Q131" t="s">
        <v>840</v>
      </c>
    </row>
    <row r="132" spans="1:17">
      <c r="A132">
        <v>218</v>
      </c>
      <c r="B132">
        <v>509.8</v>
      </c>
      <c r="C132">
        <v>3.1680000000000001</v>
      </c>
      <c r="D132">
        <v>0.2681</v>
      </c>
      <c r="E132">
        <v>0.28860000000000002</v>
      </c>
      <c r="F132">
        <v>84.16</v>
      </c>
      <c r="G132">
        <v>0</v>
      </c>
      <c r="H132">
        <v>7.5</v>
      </c>
      <c r="I132">
        <v>125.04</v>
      </c>
      <c r="J132">
        <v>341.02</v>
      </c>
      <c r="K132">
        <v>140.16999999999999</v>
      </c>
      <c r="L132">
        <v>-53.81</v>
      </c>
      <c r="M132">
        <v>76.44</v>
      </c>
      <c r="N132">
        <v>4050457</v>
      </c>
      <c r="O132" t="s">
        <v>789</v>
      </c>
      <c r="P132" t="s">
        <v>722</v>
      </c>
      <c r="Q132" t="s">
        <v>835</v>
      </c>
    </row>
    <row r="133" spans="1:17">
      <c r="A133">
        <v>219</v>
      </c>
      <c r="B133">
        <v>509</v>
      </c>
      <c r="C133">
        <v>3.17</v>
      </c>
      <c r="D133">
        <v>0.2656</v>
      </c>
      <c r="E133">
        <v>0.2787</v>
      </c>
      <c r="F133">
        <v>84.16</v>
      </c>
      <c r="G133">
        <v>0</v>
      </c>
      <c r="H133">
        <v>7.45</v>
      </c>
      <c r="I133">
        <v>124.64</v>
      </c>
      <c r="J133">
        <v>339.6</v>
      </c>
      <c r="K133">
        <v>135.33000000000001</v>
      </c>
      <c r="L133">
        <v>-48.37</v>
      </c>
      <c r="M133">
        <v>82.26</v>
      </c>
      <c r="N133">
        <v>7642093</v>
      </c>
      <c r="O133" t="s">
        <v>721</v>
      </c>
      <c r="P133" t="s">
        <v>722</v>
      </c>
      <c r="Q133" t="s">
        <v>831</v>
      </c>
    </row>
    <row r="134" spans="1:17">
      <c r="A134">
        <v>220</v>
      </c>
      <c r="B134">
        <v>509</v>
      </c>
      <c r="C134">
        <v>3.17</v>
      </c>
      <c r="D134">
        <v>0.27160000000000001</v>
      </c>
      <c r="E134">
        <v>0.28539999999999999</v>
      </c>
      <c r="F134">
        <v>84.16</v>
      </c>
      <c r="G134">
        <v>0</v>
      </c>
      <c r="H134">
        <v>7.48</v>
      </c>
      <c r="I134">
        <v>125.15</v>
      </c>
      <c r="J134">
        <v>340.24</v>
      </c>
      <c r="K134">
        <v>159.75</v>
      </c>
      <c r="L134">
        <v>-52.55</v>
      </c>
      <c r="M134">
        <v>79.66</v>
      </c>
      <c r="N134">
        <v>13269528</v>
      </c>
      <c r="O134" t="s">
        <v>721</v>
      </c>
      <c r="P134" t="s">
        <v>722</v>
      </c>
      <c r="Q134" t="s">
        <v>832</v>
      </c>
    </row>
    <row r="135" spans="1:17">
      <c r="A135">
        <v>221</v>
      </c>
      <c r="B135">
        <v>505</v>
      </c>
      <c r="C135">
        <v>3.19</v>
      </c>
      <c r="D135">
        <v>0.26910000000000001</v>
      </c>
      <c r="E135">
        <v>0.2611</v>
      </c>
      <c r="F135">
        <v>84.16</v>
      </c>
      <c r="G135">
        <v>0</v>
      </c>
      <c r="H135">
        <v>7.37</v>
      </c>
      <c r="I135">
        <v>124.72</v>
      </c>
      <c r="J135">
        <v>335.26</v>
      </c>
      <c r="K135">
        <v>137.43</v>
      </c>
      <c r="L135">
        <v>-52.26</v>
      </c>
      <c r="M135">
        <v>72.97</v>
      </c>
      <c r="N135">
        <v>763291</v>
      </c>
      <c r="O135" t="s">
        <v>757</v>
      </c>
      <c r="P135" t="s">
        <v>722</v>
      </c>
      <c r="Q135" t="s">
        <v>800</v>
      </c>
    </row>
    <row r="136" spans="1:17">
      <c r="A136">
        <v>222</v>
      </c>
      <c r="B136">
        <v>495</v>
      </c>
      <c r="C136">
        <v>3.29</v>
      </c>
      <c r="D136">
        <v>0.2601</v>
      </c>
      <c r="E136">
        <v>0.26400000000000001</v>
      </c>
      <c r="F136">
        <v>84.16</v>
      </c>
      <c r="G136">
        <v>0</v>
      </c>
      <c r="H136">
        <v>7.06</v>
      </c>
      <c r="I136">
        <v>126.98</v>
      </c>
      <c r="J136">
        <v>327.33</v>
      </c>
      <c r="K136">
        <v>120.2</v>
      </c>
      <c r="L136">
        <v>-46.11</v>
      </c>
      <c r="M136">
        <v>85.35</v>
      </c>
      <c r="N136">
        <v>760203</v>
      </c>
      <c r="O136" t="s">
        <v>721</v>
      </c>
      <c r="P136" t="s">
        <v>722</v>
      </c>
      <c r="Q136" t="s">
        <v>756</v>
      </c>
    </row>
    <row r="137" spans="1:17">
      <c r="A137">
        <v>223</v>
      </c>
      <c r="B137">
        <v>496</v>
      </c>
      <c r="C137">
        <v>3.22</v>
      </c>
      <c r="D137">
        <v>0.26939999999999997</v>
      </c>
      <c r="E137">
        <v>0.2389</v>
      </c>
      <c r="F137">
        <v>84.16</v>
      </c>
      <c r="G137">
        <v>0</v>
      </c>
      <c r="H137">
        <v>7.08</v>
      </c>
      <c r="I137">
        <v>127.69</v>
      </c>
      <c r="J137">
        <v>327.02</v>
      </c>
      <c r="K137">
        <v>119.52</v>
      </c>
      <c r="L137">
        <v>-44.1</v>
      </c>
      <c r="M137">
        <v>83.1</v>
      </c>
      <c r="N137">
        <v>691372</v>
      </c>
      <c r="O137" t="s">
        <v>757</v>
      </c>
      <c r="P137" t="s">
        <v>722</v>
      </c>
      <c r="Q137" t="s">
        <v>758</v>
      </c>
    </row>
    <row r="138" spans="1:17">
      <c r="A138">
        <v>224</v>
      </c>
      <c r="B138">
        <v>514</v>
      </c>
      <c r="C138">
        <v>3.16</v>
      </c>
      <c r="D138">
        <v>0.2681</v>
      </c>
      <c r="E138">
        <v>0.2445</v>
      </c>
      <c r="F138">
        <v>84.16</v>
      </c>
      <c r="G138">
        <v>0</v>
      </c>
      <c r="H138">
        <v>7.52</v>
      </c>
      <c r="I138">
        <v>123.53</v>
      </c>
      <c r="J138">
        <v>340.46</v>
      </c>
      <c r="K138">
        <v>138.08000000000001</v>
      </c>
      <c r="L138">
        <v>-59.75</v>
      </c>
      <c r="M138">
        <v>68.489999999999995</v>
      </c>
      <c r="N138">
        <v>625274</v>
      </c>
      <c r="O138" t="s">
        <v>789</v>
      </c>
      <c r="P138" t="s">
        <v>722</v>
      </c>
      <c r="Q138" t="s">
        <v>847</v>
      </c>
    </row>
    <row r="139" spans="1:17">
      <c r="A139">
        <v>225</v>
      </c>
      <c r="B139">
        <v>515</v>
      </c>
      <c r="C139">
        <v>3.29</v>
      </c>
      <c r="D139">
        <v>0.27529999999999999</v>
      </c>
      <c r="E139">
        <v>0.25850000000000001</v>
      </c>
      <c r="F139">
        <v>84.16</v>
      </c>
      <c r="G139">
        <v>0</v>
      </c>
      <c r="H139">
        <v>7.54</v>
      </c>
      <c r="I139">
        <v>122.23</v>
      </c>
      <c r="J139">
        <v>340.85</v>
      </c>
      <c r="K139">
        <v>138.31</v>
      </c>
      <c r="L139">
        <v>-59.91</v>
      </c>
      <c r="M139">
        <v>71</v>
      </c>
      <c r="N139">
        <v>922623</v>
      </c>
      <c r="O139" t="s">
        <v>507</v>
      </c>
      <c r="P139" t="s">
        <v>722</v>
      </c>
      <c r="Q139" t="s">
        <v>854</v>
      </c>
    </row>
    <row r="140" spans="1:17">
      <c r="A140">
        <v>226</v>
      </c>
      <c r="B140">
        <v>534</v>
      </c>
      <c r="C140">
        <v>3.04</v>
      </c>
      <c r="D140">
        <v>0.27560000000000001</v>
      </c>
      <c r="E140">
        <v>0.3024</v>
      </c>
      <c r="F140">
        <v>98.19</v>
      </c>
      <c r="G140">
        <v>0</v>
      </c>
      <c r="H140">
        <v>7.34</v>
      </c>
      <c r="I140">
        <v>141.44</v>
      </c>
      <c r="J140">
        <v>359.88</v>
      </c>
      <c r="K140">
        <v>131.69999999999999</v>
      </c>
      <c r="L140">
        <v>-66.7</v>
      </c>
      <c r="M140">
        <v>87.5</v>
      </c>
      <c r="N140">
        <v>3769231</v>
      </c>
      <c r="O140" t="s">
        <v>507</v>
      </c>
      <c r="P140" t="s">
        <v>900</v>
      </c>
      <c r="Q140" t="s">
        <v>924</v>
      </c>
    </row>
    <row r="141" spans="1:17">
      <c r="A141">
        <v>227</v>
      </c>
      <c r="B141">
        <v>499</v>
      </c>
      <c r="C141">
        <v>3.22</v>
      </c>
      <c r="D141">
        <v>0.26850000000000002</v>
      </c>
      <c r="E141">
        <v>0.2442</v>
      </c>
      <c r="F141">
        <v>84.16</v>
      </c>
      <c r="G141">
        <v>0</v>
      </c>
      <c r="H141">
        <v>7.14</v>
      </c>
      <c r="I141">
        <v>126.65</v>
      </c>
      <c r="J141">
        <v>329.53</v>
      </c>
      <c r="K141">
        <v>138.72</v>
      </c>
      <c r="L141">
        <v>-50.33</v>
      </c>
      <c r="M141">
        <v>76.989999999999995</v>
      </c>
      <c r="N141">
        <v>691383</v>
      </c>
      <c r="O141" t="s">
        <v>776</v>
      </c>
      <c r="P141" t="s">
        <v>722</v>
      </c>
      <c r="Q141" t="s">
        <v>777</v>
      </c>
    </row>
    <row r="142" spans="1:17">
      <c r="A142">
        <v>228</v>
      </c>
      <c r="B142">
        <v>501</v>
      </c>
      <c r="C142">
        <v>3.22</v>
      </c>
      <c r="D142">
        <v>0.26750000000000002</v>
      </c>
      <c r="E142">
        <v>0.25519999999999998</v>
      </c>
      <c r="F142">
        <v>84.16</v>
      </c>
      <c r="G142">
        <v>0</v>
      </c>
      <c r="H142">
        <v>7.2</v>
      </c>
      <c r="I142">
        <v>126.74</v>
      </c>
      <c r="J142">
        <v>331.76</v>
      </c>
      <c r="K142">
        <v>132.36000000000001</v>
      </c>
      <c r="L142">
        <v>-54.35</v>
      </c>
      <c r="M142">
        <v>74.349999999999994</v>
      </c>
      <c r="N142">
        <v>674760</v>
      </c>
      <c r="O142" t="s">
        <v>787</v>
      </c>
      <c r="P142" t="s">
        <v>722</v>
      </c>
      <c r="Q142" t="s">
        <v>788</v>
      </c>
    </row>
    <row r="143" spans="1:17">
      <c r="A143">
        <v>229</v>
      </c>
      <c r="B143">
        <v>511</v>
      </c>
      <c r="C143">
        <v>3.3</v>
      </c>
      <c r="D143">
        <v>0.2702</v>
      </c>
      <c r="E143">
        <v>0.25230000000000002</v>
      </c>
      <c r="F143">
        <v>84.16</v>
      </c>
      <c r="G143">
        <v>0</v>
      </c>
      <c r="H143">
        <v>7.43</v>
      </c>
      <c r="I143">
        <v>122.9</v>
      </c>
      <c r="J143">
        <v>337.82</v>
      </c>
      <c r="K143">
        <v>141.61000000000001</v>
      </c>
      <c r="L143">
        <v>-55.9</v>
      </c>
      <c r="M143">
        <v>78.37</v>
      </c>
      <c r="N143">
        <v>760214</v>
      </c>
      <c r="O143" t="s">
        <v>757</v>
      </c>
      <c r="P143" t="s">
        <v>722</v>
      </c>
      <c r="Q143" t="s">
        <v>839</v>
      </c>
    </row>
    <row r="144" spans="1:17">
      <c r="A144">
        <v>230</v>
      </c>
      <c r="B144">
        <v>501</v>
      </c>
      <c r="C144">
        <v>3.32</v>
      </c>
      <c r="D144">
        <v>0.26700000000000002</v>
      </c>
      <c r="E144">
        <v>0.23330000000000001</v>
      </c>
      <c r="F144">
        <v>84.16</v>
      </c>
      <c r="G144">
        <v>0</v>
      </c>
      <c r="H144">
        <v>7.17</v>
      </c>
      <c r="I144">
        <v>125.03</v>
      </c>
      <c r="J144">
        <v>328.77</v>
      </c>
      <c r="K144">
        <v>115.88</v>
      </c>
      <c r="L144">
        <v>-55.73</v>
      </c>
      <c r="M144">
        <v>71.67</v>
      </c>
      <c r="N144">
        <v>563780</v>
      </c>
      <c r="O144" t="s">
        <v>789</v>
      </c>
      <c r="P144" t="s">
        <v>722</v>
      </c>
      <c r="Q144" t="s">
        <v>790</v>
      </c>
    </row>
    <row r="145" spans="1:17">
      <c r="A145">
        <v>231</v>
      </c>
      <c r="B145">
        <v>480</v>
      </c>
      <c r="C145">
        <v>3.29</v>
      </c>
      <c r="D145">
        <v>0.2742</v>
      </c>
      <c r="E145">
        <v>0.22850000000000001</v>
      </c>
      <c r="F145">
        <v>84.16</v>
      </c>
      <c r="G145">
        <v>0</v>
      </c>
      <c r="H145">
        <v>6.7</v>
      </c>
      <c r="I145">
        <v>129.88999999999999</v>
      </c>
      <c r="J145">
        <v>314.39999999999998</v>
      </c>
      <c r="K145">
        <v>157.94999999999999</v>
      </c>
      <c r="L145">
        <v>-59.75</v>
      </c>
      <c r="M145">
        <v>81.709999999999994</v>
      </c>
      <c r="N145">
        <v>558372</v>
      </c>
      <c r="O145" t="s">
        <v>721</v>
      </c>
      <c r="P145" t="s">
        <v>722</v>
      </c>
      <c r="Q145" t="s">
        <v>723</v>
      </c>
    </row>
    <row r="146" spans="1:17">
      <c r="A146">
        <v>232</v>
      </c>
      <c r="B146">
        <v>528</v>
      </c>
      <c r="C146">
        <v>3.32</v>
      </c>
      <c r="D146">
        <v>0.27100000000000002</v>
      </c>
      <c r="E146">
        <v>0.22370000000000001</v>
      </c>
      <c r="F146">
        <v>84.16</v>
      </c>
      <c r="G146">
        <v>0</v>
      </c>
      <c r="H146">
        <v>7.76</v>
      </c>
      <c r="I146">
        <v>119.64</v>
      </c>
      <c r="J146">
        <v>346.36</v>
      </c>
      <c r="K146">
        <v>198.87</v>
      </c>
      <c r="L146">
        <v>-59.2</v>
      </c>
      <c r="M146">
        <v>75.86</v>
      </c>
      <c r="N146">
        <v>563791</v>
      </c>
      <c r="O146" t="s">
        <v>898</v>
      </c>
      <c r="P146" t="s">
        <v>722</v>
      </c>
      <c r="Q146" t="s">
        <v>899</v>
      </c>
    </row>
    <row r="147" spans="1:17">
      <c r="A147">
        <v>233</v>
      </c>
      <c r="B147">
        <v>543</v>
      </c>
      <c r="C147">
        <v>2.95</v>
      </c>
      <c r="D147">
        <v>0.2601</v>
      </c>
      <c r="E147">
        <v>0.30730000000000002</v>
      </c>
      <c r="F147">
        <v>98.19</v>
      </c>
      <c r="G147">
        <v>0</v>
      </c>
      <c r="H147">
        <v>7.55</v>
      </c>
      <c r="I147">
        <v>139.47999999999999</v>
      </c>
      <c r="J147">
        <v>367.15</v>
      </c>
      <c r="K147">
        <v>168</v>
      </c>
      <c r="L147">
        <v>-74.64</v>
      </c>
      <c r="M147">
        <v>84.62</v>
      </c>
      <c r="N147">
        <v>3404715</v>
      </c>
      <c r="O147" t="s">
        <v>568</v>
      </c>
      <c r="P147" t="s">
        <v>900</v>
      </c>
      <c r="Q147" t="s">
        <v>977</v>
      </c>
    </row>
    <row r="148" spans="1:17">
      <c r="A148">
        <v>234</v>
      </c>
      <c r="B148">
        <v>537.4</v>
      </c>
      <c r="C148">
        <v>2.92</v>
      </c>
      <c r="D148">
        <v>0.26419999999999999</v>
      </c>
      <c r="E148">
        <v>0.34320000000000001</v>
      </c>
      <c r="F148">
        <v>98.19</v>
      </c>
      <c r="G148">
        <v>0</v>
      </c>
      <c r="H148">
        <v>7.49</v>
      </c>
      <c r="I148">
        <v>141.71</v>
      </c>
      <c r="J148">
        <v>366.79</v>
      </c>
      <c r="K148">
        <v>154.27000000000001</v>
      </c>
      <c r="L148">
        <v>-62.8</v>
      </c>
      <c r="M148">
        <v>94.83</v>
      </c>
      <c r="N148">
        <v>592767</v>
      </c>
      <c r="O148" t="s">
        <v>952</v>
      </c>
      <c r="P148" t="s">
        <v>900</v>
      </c>
      <c r="Q148" t="s">
        <v>953</v>
      </c>
    </row>
    <row r="149" spans="1:17">
      <c r="A149">
        <v>235</v>
      </c>
      <c r="B149">
        <v>543.70000000000005</v>
      </c>
      <c r="C149">
        <v>2.84</v>
      </c>
      <c r="D149">
        <v>0.26379999999999998</v>
      </c>
      <c r="E149">
        <v>0.33629999999999999</v>
      </c>
      <c r="F149">
        <v>98.19</v>
      </c>
      <c r="G149">
        <v>0</v>
      </c>
      <c r="H149">
        <v>7.51</v>
      </c>
      <c r="I149">
        <v>139.72</v>
      </c>
      <c r="J149">
        <v>371.56</v>
      </c>
      <c r="K149">
        <v>164</v>
      </c>
      <c r="L149">
        <v>-69.2</v>
      </c>
      <c r="M149">
        <v>89.2</v>
      </c>
      <c r="N149">
        <v>6443921</v>
      </c>
      <c r="O149" t="s">
        <v>757</v>
      </c>
      <c r="P149" t="s">
        <v>900</v>
      </c>
      <c r="Q149" t="s">
        <v>979</v>
      </c>
    </row>
    <row r="150" spans="1:17">
      <c r="A150">
        <v>236</v>
      </c>
      <c r="B150">
        <v>543.1</v>
      </c>
      <c r="C150">
        <v>2.85</v>
      </c>
      <c r="D150">
        <v>0.253</v>
      </c>
      <c r="E150">
        <v>0.33660000000000001</v>
      </c>
      <c r="F150">
        <v>98.19</v>
      </c>
      <c r="G150">
        <v>0</v>
      </c>
      <c r="H150">
        <v>7.56</v>
      </c>
      <c r="I150">
        <v>140.88</v>
      </c>
      <c r="J150">
        <v>369.15</v>
      </c>
      <c r="K150">
        <v>164</v>
      </c>
      <c r="L150">
        <v>-74.599999999999994</v>
      </c>
      <c r="M150">
        <v>84</v>
      </c>
      <c r="N150">
        <v>14686136</v>
      </c>
      <c r="O150" t="s">
        <v>507</v>
      </c>
      <c r="P150" t="s">
        <v>900</v>
      </c>
      <c r="Q150" t="s">
        <v>978</v>
      </c>
    </row>
    <row r="151" spans="1:17">
      <c r="A151">
        <v>237</v>
      </c>
      <c r="B151">
        <v>540</v>
      </c>
      <c r="C151">
        <v>2.85</v>
      </c>
      <c r="D151">
        <v>0.25390000000000001</v>
      </c>
      <c r="E151">
        <v>0.33410000000000001</v>
      </c>
      <c r="F151">
        <v>98.19</v>
      </c>
      <c r="G151">
        <v>0</v>
      </c>
      <c r="H151">
        <v>7.5</v>
      </c>
      <c r="I151">
        <v>141.51</v>
      </c>
      <c r="J151">
        <v>371.15</v>
      </c>
      <c r="K151">
        <v>137.15</v>
      </c>
      <c r="L151">
        <v>-108.74</v>
      </c>
      <c r="M151">
        <v>85</v>
      </c>
      <c r="N151">
        <v>14686147</v>
      </c>
      <c r="O151" t="s">
        <v>961</v>
      </c>
      <c r="P151" t="s">
        <v>900</v>
      </c>
      <c r="Q151" t="s">
        <v>962</v>
      </c>
    </row>
    <row r="152" spans="1:17">
      <c r="A152">
        <v>238</v>
      </c>
      <c r="B152">
        <v>538</v>
      </c>
      <c r="C152">
        <v>2.87</v>
      </c>
      <c r="D152">
        <v>0.25540000000000002</v>
      </c>
      <c r="E152">
        <v>0.30940000000000001</v>
      </c>
      <c r="F152">
        <v>98.19</v>
      </c>
      <c r="G152">
        <v>0</v>
      </c>
      <c r="H152">
        <v>7.47</v>
      </c>
      <c r="I152">
        <v>140.57</v>
      </c>
      <c r="J152">
        <v>365.15</v>
      </c>
      <c r="K152">
        <v>170.31</v>
      </c>
      <c r="L152">
        <v>-77.23</v>
      </c>
      <c r="M152">
        <v>82.51</v>
      </c>
      <c r="N152">
        <v>6094026</v>
      </c>
      <c r="O152" t="s">
        <v>568</v>
      </c>
      <c r="P152" t="s">
        <v>900</v>
      </c>
      <c r="Q152" t="s">
        <v>954</v>
      </c>
    </row>
    <row r="153" spans="1:17">
      <c r="A153">
        <v>239</v>
      </c>
      <c r="B153">
        <v>530</v>
      </c>
      <c r="C153">
        <v>3.03</v>
      </c>
      <c r="D153">
        <v>0.2737</v>
      </c>
      <c r="E153">
        <v>0.3019</v>
      </c>
      <c r="F153">
        <v>98.19</v>
      </c>
      <c r="G153">
        <v>0</v>
      </c>
      <c r="H153">
        <v>7.34</v>
      </c>
      <c r="I153">
        <v>141.94999999999999</v>
      </c>
      <c r="J153">
        <v>358.15</v>
      </c>
      <c r="K153">
        <v>145.65</v>
      </c>
      <c r="L153">
        <v>-64.099999999999994</v>
      </c>
      <c r="M153">
        <v>96.65</v>
      </c>
      <c r="N153">
        <v>4038044</v>
      </c>
      <c r="O153" t="s">
        <v>568</v>
      </c>
      <c r="P153" t="s">
        <v>900</v>
      </c>
      <c r="Q153" t="s">
        <v>905</v>
      </c>
    </row>
    <row r="154" spans="1:17">
      <c r="A154">
        <v>240</v>
      </c>
      <c r="B154">
        <v>528</v>
      </c>
      <c r="C154">
        <v>2.95</v>
      </c>
      <c r="D154">
        <v>0.26750000000000002</v>
      </c>
      <c r="E154">
        <v>0.30570000000000003</v>
      </c>
      <c r="F154">
        <v>98.19</v>
      </c>
      <c r="G154">
        <v>0</v>
      </c>
      <c r="H154">
        <v>7.34</v>
      </c>
      <c r="I154">
        <v>142.9</v>
      </c>
      <c r="J154">
        <v>357.05</v>
      </c>
      <c r="K154">
        <v>145</v>
      </c>
      <c r="L154">
        <v>-66.69</v>
      </c>
      <c r="M154">
        <v>92.33</v>
      </c>
      <c r="N154">
        <v>3404613</v>
      </c>
      <c r="O154" t="s">
        <v>568</v>
      </c>
      <c r="P154" t="s">
        <v>900</v>
      </c>
      <c r="Q154" t="s">
        <v>901</v>
      </c>
    </row>
    <row r="155" spans="1:17">
      <c r="A155">
        <v>248</v>
      </c>
      <c r="B155">
        <v>531</v>
      </c>
      <c r="C155">
        <v>3.14</v>
      </c>
      <c r="D155">
        <v>0.27100000000000002</v>
      </c>
      <c r="E155">
        <v>0.23880000000000001</v>
      </c>
      <c r="F155">
        <v>98.19</v>
      </c>
      <c r="G155">
        <v>0</v>
      </c>
      <c r="H155">
        <v>7.16</v>
      </c>
      <c r="I155">
        <v>140.15</v>
      </c>
      <c r="J155">
        <v>351.04</v>
      </c>
      <c r="K155">
        <v>163.30000000000001</v>
      </c>
      <c r="L155">
        <v>-85.48</v>
      </c>
      <c r="M155">
        <v>85.57</v>
      </c>
      <c r="N155">
        <v>594569</v>
      </c>
      <c r="O155" t="s">
        <v>568</v>
      </c>
      <c r="P155" t="s">
        <v>900</v>
      </c>
      <c r="Q155" t="s">
        <v>913</v>
      </c>
    </row>
    <row r="156" spans="1:17">
      <c r="A156">
        <v>249</v>
      </c>
      <c r="B156">
        <v>545</v>
      </c>
      <c r="C156">
        <v>2.84</v>
      </c>
      <c r="D156">
        <v>0.26390000000000002</v>
      </c>
      <c r="E156">
        <v>0.2949</v>
      </c>
      <c r="F156">
        <v>98.19</v>
      </c>
      <c r="G156">
        <v>0</v>
      </c>
      <c r="H156">
        <v>7.6</v>
      </c>
      <c r="I156">
        <v>140.57</v>
      </c>
      <c r="J156">
        <v>368.9</v>
      </c>
      <c r="K156">
        <v>136.51</v>
      </c>
      <c r="L156">
        <v>-68.7</v>
      </c>
      <c r="M156">
        <v>89.4</v>
      </c>
      <c r="N156">
        <v>7642106</v>
      </c>
      <c r="O156" t="s">
        <v>757</v>
      </c>
      <c r="P156" t="s">
        <v>900</v>
      </c>
      <c r="Q156" t="s">
        <v>988</v>
      </c>
    </row>
    <row r="157" spans="1:17">
      <c r="A157">
        <v>250</v>
      </c>
      <c r="B157">
        <v>566.9</v>
      </c>
      <c r="C157">
        <v>2.6629999999999998</v>
      </c>
      <c r="D157">
        <v>0.28439999999999999</v>
      </c>
      <c r="E157">
        <v>0.3921</v>
      </c>
      <c r="F157">
        <v>112.22</v>
      </c>
      <c r="G157">
        <v>0</v>
      </c>
      <c r="H157">
        <v>7.59</v>
      </c>
      <c r="I157">
        <v>158</v>
      </c>
      <c r="J157">
        <v>394.44</v>
      </c>
      <c r="K157">
        <v>171.45</v>
      </c>
      <c r="L157">
        <v>-83.6</v>
      </c>
      <c r="M157">
        <v>103</v>
      </c>
      <c r="N157">
        <v>111660</v>
      </c>
      <c r="O157" t="s">
        <v>491</v>
      </c>
      <c r="P157" t="s">
        <v>1022</v>
      </c>
      <c r="Q157" t="s">
        <v>1142</v>
      </c>
    </row>
    <row r="158" spans="1:17">
      <c r="A158">
        <v>251</v>
      </c>
      <c r="B158">
        <v>571.6</v>
      </c>
      <c r="C158">
        <v>2.589</v>
      </c>
      <c r="D158">
        <v>0.26619999999999999</v>
      </c>
      <c r="E158">
        <v>0.38400000000000001</v>
      </c>
      <c r="F158">
        <v>112.22</v>
      </c>
      <c r="G158">
        <v>0</v>
      </c>
      <c r="H158">
        <v>7.54</v>
      </c>
      <c r="I158">
        <v>156.82</v>
      </c>
      <c r="J158">
        <v>398.15</v>
      </c>
      <c r="K158">
        <v>185.45</v>
      </c>
      <c r="L158">
        <v>-95.5</v>
      </c>
      <c r="M158">
        <v>92.3</v>
      </c>
      <c r="N158">
        <v>13389429</v>
      </c>
      <c r="O158" t="s">
        <v>898</v>
      </c>
      <c r="P158" t="s">
        <v>1022</v>
      </c>
      <c r="Q158" t="s">
        <v>1182</v>
      </c>
    </row>
    <row r="159" spans="1:17">
      <c r="A159">
        <v>256</v>
      </c>
      <c r="B159">
        <v>550</v>
      </c>
      <c r="C159">
        <v>2.68</v>
      </c>
      <c r="D159">
        <v>0.26369999999999999</v>
      </c>
      <c r="E159">
        <v>0.30109999999999998</v>
      </c>
      <c r="F159">
        <v>112.22</v>
      </c>
      <c r="G159">
        <v>0</v>
      </c>
      <c r="H159">
        <v>7.1</v>
      </c>
      <c r="I159">
        <v>157.91</v>
      </c>
      <c r="J159">
        <v>374.59</v>
      </c>
      <c r="K159">
        <v>179.67</v>
      </c>
      <c r="L159">
        <v>-110.4</v>
      </c>
      <c r="M159">
        <v>86.8</v>
      </c>
      <c r="N159">
        <v>107391</v>
      </c>
      <c r="O159" t="s">
        <v>721</v>
      </c>
      <c r="P159" t="s">
        <v>1022</v>
      </c>
      <c r="Q159" t="s">
        <v>1023</v>
      </c>
    </row>
    <row r="160" spans="1:17">
      <c r="A160">
        <v>257</v>
      </c>
      <c r="B160">
        <v>555</v>
      </c>
      <c r="C160">
        <v>2.68</v>
      </c>
      <c r="D160">
        <v>0.25869999999999999</v>
      </c>
      <c r="E160">
        <v>0.29709999999999998</v>
      </c>
      <c r="F160">
        <v>112.22</v>
      </c>
      <c r="G160">
        <v>0</v>
      </c>
      <c r="H160">
        <v>7.32</v>
      </c>
      <c r="I160">
        <v>156.44</v>
      </c>
      <c r="J160">
        <v>378.06</v>
      </c>
      <c r="K160">
        <v>166.82</v>
      </c>
      <c r="L160">
        <v>-104.9</v>
      </c>
      <c r="M160">
        <v>93.5</v>
      </c>
      <c r="N160">
        <v>107404</v>
      </c>
      <c r="O160" t="s">
        <v>566</v>
      </c>
      <c r="P160" t="s">
        <v>1022</v>
      </c>
      <c r="Q160" t="s">
        <v>1060</v>
      </c>
    </row>
    <row r="161" spans="1:17">
      <c r="A161">
        <v>258</v>
      </c>
      <c r="B161">
        <v>569</v>
      </c>
      <c r="C161">
        <v>2.67</v>
      </c>
      <c r="D161">
        <v>0.25669999999999998</v>
      </c>
      <c r="E161">
        <v>0.35770000000000002</v>
      </c>
      <c r="F161">
        <v>112.22</v>
      </c>
      <c r="G161">
        <v>0</v>
      </c>
      <c r="H161">
        <v>7.54</v>
      </c>
      <c r="I161">
        <v>155.25</v>
      </c>
      <c r="J161">
        <v>393.15</v>
      </c>
      <c r="K161">
        <v>-86</v>
      </c>
      <c r="L161">
        <v>-97</v>
      </c>
      <c r="M161">
        <v>91.28</v>
      </c>
      <c r="N161">
        <v>1632162</v>
      </c>
      <c r="O161" t="s">
        <v>757</v>
      </c>
      <c r="P161" t="s">
        <v>1022</v>
      </c>
      <c r="Q161" t="s">
        <v>1162</v>
      </c>
    </row>
    <row r="162" spans="1:17">
      <c r="A162">
        <v>259</v>
      </c>
      <c r="B162">
        <v>593.1</v>
      </c>
      <c r="C162">
        <v>2.4279999999999999</v>
      </c>
      <c r="D162">
        <v>0.27729999999999999</v>
      </c>
      <c r="E162">
        <v>0.43669999999999998</v>
      </c>
      <c r="F162">
        <v>126.24</v>
      </c>
      <c r="G162">
        <v>0</v>
      </c>
      <c r="H162">
        <v>7.68</v>
      </c>
      <c r="I162">
        <v>174.05</v>
      </c>
      <c r="J162">
        <v>420.04</v>
      </c>
      <c r="K162">
        <v>191.81</v>
      </c>
      <c r="L162">
        <v>-104</v>
      </c>
      <c r="M162">
        <v>111.5</v>
      </c>
      <c r="N162">
        <v>124118</v>
      </c>
      <c r="O162" t="s">
        <v>1296</v>
      </c>
      <c r="P162" t="s">
        <v>1297</v>
      </c>
      <c r="Q162" t="s">
        <v>1298</v>
      </c>
    </row>
    <row r="163" spans="1:17">
      <c r="A163">
        <v>260</v>
      </c>
      <c r="B163">
        <v>616.6</v>
      </c>
      <c r="C163">
        <v>2.2229999999999999</v>
      </c>
      <c r="D163">
        <v>0.28339999999999999</v>
      </c>
      <c r="E163">
        <v>0.48049999999999998</v>
      </c>
      <c r="F163">
        <v>140.27000000000001</v>
      </c>
      <c r="G163">
        <v>0</v>
      </c>
      <c r="H163">
        <v>7.73</v>
      </c>
      <c r="I163">
        <v>190.24</v>
      </c>
      <c r="J163">
        <v>443.75</v>
      </c>
      <c r="K163">
        <v>206.89</v>
      </c>
      <c r="L163">
        <v>-123.3</v>
      </c>
      <c r="M163">
        <v>119.8</v>
      </c>
      <c r="N163">
        <v>872059</v>
      </c>
      <c r="O163" t="s">
        <v>1432</v>
      </c>
      <c r="P163" t="s">
        <v>1433</v>
      </c>
      <c r="Q163" t="s">
        <v>1434</v>
      </c>
    </row>
    <row r="164" spans="1:17">
      <c r="A164">
        <v>261</v>
      </c>
      <c r="B164">
        <v>637.79999999999995</v>
      </c>
      <c r="C164">
        <v>2.044</v>
      </c>
      <c r="D164">
        <v>0.24149999999999999</v>
      </c>
      <c r="E164">
        <v>0.52249999999999996</v>
      </c>
      <c r="F164">
        <v>154.30000000000001</v>
      </c>
      <c r="G164">
        <v>0</v>
      </c>
      <c r="H164">
        <v>7.8</v>
      </c>
      <c r="I164">
        <v>206.67</v>
      </c>
      <c r="J164">
        <v>465.82</v>
      </c>
      <c r="K164">
        <v>223.99</v>
      </c>
      <c r="L164">
        <v>-145.30000000000001</v>
      </c>
      <c r="M164">
        <v>128.1</v>
      </c>
      <c r="N164">
        <v>821954</v>
      </c>
      <c r="O164" t="s">
        <v>1544</v>
      </c>
      <c r="P164" t="s">
        <v>1545</v>
      </c>
      <c r="Q164" t="s">
        <v>1546</v>
      </c>
    </row>
    <row r="165" spans="1:17">
      <c r="A165">
        <v>262</v>
      </c>
      <c r="B165">
        <v>657.1</v>
      </c>
      <c r="C165">
        <v>1.8879999999999999</v>
      </c>
      <c r="D165">
        <v>0.25530000000000003</v>
      </c>
      <c r="E165">
        <v>0.56200000000000006</v>
      </c>
      <c r="F165">
        <v>168.32</v>
      </c>
      <c r="G165">
        <v>0</v>
      </c>
      <c r="H165">
        <v>7.91</v>
      </c>
      <c r="I165">
        <v>222.84</v>
      </c>
      <c r="J165">
        <v>486.51</v>
      </c>
      <c r="K165">
        <v>237.93</v>
      </c>
      <c r="L165">
        <v>-165.35</v>
      </c>
      <c r="M165">
        <v>136.9</v>
      </c>
      <c r="N165">
        <v>112414</v>
      </c>
      <c r="O165" t="s">
        <v>1682</v>
      </c>
      <c r="P165" t="s">
        <v>1683</v>
      </c>
      <c r="Q165" t="s">
        <v>1684</v>
      </c>
    </row>
    <row r="166" spans="1:17">
      <c r="A166">
        <v>263</v>
      </c>
      <c r="B166">
        <v>674.8</v>
      </c>
      <c r="C166">
        <v>1.7490000000000001</v>
      </c>
      <c r="D166">
        <v>0.22969999999999999</v>
      </c>
      <c r="E166">
        <v>0.60740000000000005</v>
      </c>
      <c r="F166">
        <v>182.35</v>
      </c>
      <c r="G166">
        <v>0</v>
      </c>
      <c r="H166">
        <v>7.85</v>
      </c>
      <c r="I166">
        <v>239.18</v>
      </c>
      <c r="J166">
        <v>505.93</v>
      </c>
      <c r="K166">
        <v>250.08</v>
      </c>
      <c r="L166">
        <v>-186.64</v>
      </c>
      <c r="M166">
        <v>144.80000000000001</v>
      </c>
      <c r="N166">
        <v>2437561</v>
      </c>
      <c r="O166" t="s">
        <v>1762</v>
      </c>
      <c r="P166" t="s">
        <v>1763</v>
      </c>
      <c r="Q166" t="s">
        <v>1764</v>
      </c>
    </row>
    <row r="167" spans="1:17">
      <c r="A167">
        <v>264</v>
      </c>
      <c r="B167">
        <v>691</v>
      </c>
      <c r="C167">
        <v>1.627</v>
      </c>
      <c r="D167">
        <v>0.22309999999999999</v>
      </c>
      <c r="E167">
        <v>0.65029999999999999</v>
      </c>
      <c r="F167">
        <v>196.38</v>
      </c>
      <c r="G167">
        <v>0</v>
      </c>
      <c r="H167">
        <v>7.87</v>
      </c>
      <c r="I167">
        <v>255.82</v>
      </c>
      <c r="J167">
        <v>524.25</v>
      </c>
      <c r="K167">
        <v>260.3</v>
      </c>
      <c r="L167">
        <v>-207.31</v>
      </c>
      <c r="M167">
        <v>153.08000000000001</v>
      </c>
      <c r="N167">
        <v>1120361</v>
      </c>
      <c r="O167" t="s">
        <v>1762</v>
      </c>
      <c r="P167" t="s">
        <v>1844</v>
      </c>
      <c r="Q167" t="s">
        <v>1845</v>
      </c>
    </row>
    <row r="168" spans="1:17">
      <c r="A168">
        <v>265</v>
      </c>
      <c r="B168">
        <v>708</v>
      </c>
      <c r="C168">
        <v>1.57</v>
      </c>
      <c r="D168">
        <v>0.2074</v>
      </c>
      <c r="E168">
        <v>0.68149999999999999</v>
      </c>
      <c r="F168">
        <v>210.4</v>
      </c>
      <c r="G168">
        <v>0</v>
      </c>
      <c r="H168">
        <v>7.84</v>
      </c>
      <c r="I168">
        <v>272.20999999999998</v>
      </c>
      <c r="J168">
        <v>541.61</v>
      </c>
      <c r="K168">
        <v>269.42</v>
      </c>
      <c r="L168">
        <v>-228</v>
      </c>
      <c r="M168">
        <v>161</v>
      </c>
      <c r="N168">
        <v>13360617</v>
      </c>
      <c r="O168" t="s">
        <v>1404</v>
      </c>
      <c r="P168" t="s">
        <v>1911</v>
      </c>
      <c r="Q168" t="s">
        <v>1946</v>
      </c>
    </row>
    <row r="169" spans="1:17">
      <c r="A169">
        <v>266</v>
      </c>
      <c r="B169">
        <v>722</v>
      </c>
      <c r="C169">
        <v>1.48</v>
      </c>
      <c r="D169">
        <v>0.20930000000000001</v>
      </c>
      <c r="E169">
        <v>0.72419999999999995</v>
      </c>
      <c r="F169">
        <v>224.43</v>
      </c>
      <c r="G169">
        <v>0</v>
      </c>
      <c r="H169">
        <v>7.86</v>
      </c>
      <c r="I169">
        <v>288.66000000000003</v>
      </c>
      <c r="J169">
        <v>558.02</v>
      </c>
      <c r="K169">
        <v>277.27</v>
      </c>
      <c r="L169">
        <v>-248.65</v>
      </c>
      <c r="M169">
        <v>169.64</v>
      </c>
      <c r="N169">
        <v>629732</v>
      </c>
      <c r="O169" t="s">
        <v>1998</v>
      </c>
      <c r="P169" t="s">
        <v>1999</v>
      </c>
      <c r="Q169" t="s">
        <v>2000</v>
      </c>
    </row>
    <row r="170" spans="1:17">
      <c r="A170">
        <v>267</v>
      </c>
      <c r="B170">
        <v>748</v>
      </c>
      <c r="C170">
        <v>1.34</v>
      </c>
      <c r="D170">
        <v>0.19550000000000001</v>
      </c>
      <c r="E170">
        <v>0.79430000000000001</v>
      </c>
      <c r="F170">
        <v>252.48</v>
      </c>
      <c r="G170">
        <v>0</v>
      </c>
      <c r="H170">
        <v>7.91</v>
      </c>
      <c r="I170">
        <v>321.58999999999997</v>
      </c>
      <c r="J170">
        <v>587.97</v>
      </c>
      <c r="K170">
        <v>290.76</v>
      </c>
      <c r="L170">
        <v>-289.99</v>
      </c>
      <c r="M170">
        <v>186.18</v>
      </c>
      <c r="N170">
        <v>112889</v>
      </c>
      <c r="O170" t="s">
        <v>2099</v>
      </c>
      <c r="P170" t="s">
        <v>2100</v>
      </c>
      <c r="Q170" t="s">
        <v>2101</v>
      </c>
    </row>
    <row r="171" spans="1:17">
      <c r="A171">
        <v>269</v>
      </c>
      <c r="B171">
        <v>507</v>
      </c>
      <c r="C171">
        <v>4.8</v>
      </c>
      <c r="D171">
        <v>0.2661</v>
      </c>
      <c r="E171">
        <v>0.1961</v>
      </c>
      <c r="F171">
        <v>68.12</v>
      </c>
      <c r="G171">
        <v>0</v>
      </c>
      <c r="H171">
        <v>8.26</v>
      </c>
      <c r="I171">
        <v>88.87</v>
      </c>
      <c r="J171">
        <v>317.38</v>
      </c>
      <c r="K171">
        <v>138.13</v>
      </c>
      <c r="L171">
        <v>32.299999999999997</v>
      </c>
      <c r="M171">
        <v>110.5</v>
      </c>
      <c r="N171">
        <v>142290</v>
      </c>
      <c r="O171" t="s">
        <v>809</v>
      </c>
      <c r="P171" t="s">
        <v>679</v>
      </c>
      <c r="Q171" t="s">
        <v>810</v>
      </c>
    </row>
    <row r="172" spans="1:17">
      <c r="A172">
        <v>270</v>
      </c>
      <c r="B172">
        <v>560.4</v>
      </c>
      <c r="C172">
        <v>4.3499999999999996</v>
      </c>
      <c r="D172">
        <v>0.2717</v>
      </c>
      <c r="E172">
        <v>0.21229999999999999</v>
      </c>
      <c r="F172">
        <v>82.15</v>
      </c>
      <c r="G172">
        <v>0</v>
      </c>
      <c r="H172">
        <v>8.52</v>
      </c>
      <c r="I172">
        <v>101.88</v>
      </c>
      <c r="J172">
        <v>356.12</v>
      </c>
      <c r="K172">
        <v>169.67</v>
      </c>
      <c r="L172">
        <v>-4.5199999999999996</v>
      </c>
      <c r="M172">
        <v>107.7</v>
      </c>
      <c r="N172">
        <v>110838</v>
      </c>
      <c r="O172" t="s">
        <v>1092</v>
      </c>
      <c r="P172" t="s">
        <v>821</v>
      </c>
      <c r="Q172" t="s">
        <v>1093</v>
      </c>
    </row>
    <row r="173" spans="1:17">
      <c r="A173">
        <v>271</v>
      </c>
      <c r="B173">
        <v>741.8</v>
      </c>
      <c r="C173">
        <v>1.2210000000000001</v>
      </c>
      <c r="D173">
        <v>0.19170000000000001</v>
      </c>
      <c r="E173">
        <v>0.87839999999999996</v>
      </c>
      <c r="F173">
        <v>280.5</v>
      </c>
      <c r="G173">
        <v>0</v>
      </c>
      <c r="H173">
        <v>8.2100000000000009</v>
      </c>
      <c r="I173">
        <v>294.88</v>
      </c>
      <c r="J173">
        <v>592.12</v>
      </c>
      <c r="K173">
        <v>285.07</v>
      </c>
      <c r="L173">
        <v>-324.22000000000003</v>
      </c>
      <c r="M173">
        <v>193.9</v>
      </c>
      <c r="N173">
        <v>42448851</v>
      </c>
      <c r="O173" t="s">
        <v>2071</v>
      </c>
      <c r="P173" t="s">
        <v>2072</v>
      </c>
      <c r="Q173" t="s">
        <v>2073</v>
      </c>
    </row>
    <row r="174" spans="1:17">
      <c r="A174">
        <v>272</v>
      </c>
      <c r="B174">
        <v>701.6</v>
      </c>
      <c r="C174">
        <v>1.5669999999999999</v>
      </c>
      <c r="D174">
        <v>0.22739999999999999</v>
      </c>
      <c r="E174">
        <v>0.68940000000000001</v>
      </c>
      <c r="F174">
        <v>210.4</v>
      </c>
      <c r="G174">
        <v>0</v>
      </c>
      <c r="H174">
        <v>8.35</v>
      </c>
      <c r="I174">
        <v>237.21</v>
      </c>
      <c r="J174">
        <v>537</v>
      </c>
      <c r="K174">
        <v>263.42</v>
      </c>
      <c r="L174">
        <v>-238.8</v>
      </c>
      <c r="M174">
        <v>152.19999999999999</v>
      </c>
      <c r="N174">
        <v>74392362</v>
      </c>
      <c r="O174" t="s">
        <v>1404</v>
      </c>
      <c r="P174" t="s">
        <v>1911</v>
      </c>
      <c r="Q174" t="s">
        <v>1912</v>
      </c>
    </row>
    <row r="175" spans="1:17">
      <c r="A175">
        <v>273</v>
      </c>
      <c r="B175">
        <v>598</v>
      </c>
      <c r="C175">
        <v>4.01</v>
      </c>
      <c r="D175">
        <v>0.26960000000000001</v>
      </c>
      <c r="E175">
        <v>0.25169999999999998</v>
      </c>
      <c r="F175">
        <v>96.17</v>
      </c>
      <c r="G175">
        <v>0</v>
      </c>
      <c r="H175">
        <v>8.48</v>
      </c>
      <c r="I175">
        <v>116</v>
      </c>
      <c r="J175">
        <v>388.15</v>
      </c>
      <c r="K175">
        <v>217.15</v>
      </c>
      <c r="L175">
        <v>-9.1999999999999993</v>
      </c>
      <c r="M175">
        <v>137.4</v>
      </c>
      <c r="N175">
        <v>628922</v>
      </c>
      <c r="O175" t="s">
        <v>507</v>
      </c>
      <c r="P175" t="s">
        <v>1014</v>
      </c>
      <c r="Q175" t="s">
        <v>1315</v>
      </c>
    </row>
    <row r="176" spans="1:17">
      <c r="A176">
        <v>274</v>
      </c>
      <c r="B176">
        <v>632</v>
      </c>
      <c r="C176">
        <v>3.68</v>
      </c>
      <c r="D176">
        <v>0.26679999999999998</v>
      </c>
      <c r="E176">
        <v>0.28039999999999998</v>
      </c>
      <c r="F176">
        <v>110.2</v>
      </c>
      <c r="G176">
        <v>0</v>
      </c>
      <c r="H176">
        <v>8.49</v>
      </c>
      <c r="I176">
        <v>130.32</v>
      </c>
      <c r="J176">
        <v>416.15</v>
      </c>
      <c r="K176">
        <v>214.15</v>
      </c>
      <c r="L176">
        <v>-27</v>
      </c>
      <c r="M176">
        <v>154.5</v>
      </c>
      <c r="N176">
        <v>931884</v>
      </c>
      <c r="O176" t="s">
        <v>568</v>
      </c>
      <c r="P176" t="s">
        <v>1194</v>
      </c>
      <c r="Q176" t="s">
        <v>1521</v>
      </c>
    </row>
    <row r="177" spans="1:17">
      <c r="A177">
        <v>276</v>
      </c>
      <c r="B177">
        <v>572</v>
      </c>
      <c r="C177">
        <v>2.59</v>
      </c>
      <c r="D177">
        <v>0.25109999999999999</v>
      </c>
      <c r="E177">
        <v>0.38890000000000002</v>
      </c>
      <c r="F177">
        <v>112.22</v>
      </c>
      <c r="G177">
        <v>0</v>
      </c>
      <c r="H177">
        <v>7.58</v>
      </c>
      <c r="I177">
        <v>155.83000000000001</v>
      </c>
      <c r="J177">
        <v>398.79</v>
      </c>
      <c r="K177">
        <v>172.95</v>
      </c>
      <c r="L177">
        <v>-91.1</v>
      </c>
      <c r="M177">
        <v>96.5</v>
      </c>
      <c r="N177">
        <v>7642048</v>
      </c>
      <c r="O177" t="s">
        <v>568</v>
      </c>
      <c r="P177" t="s">
        <v>1022</v>
      </c>
      <c r="Q177" t="s">
        <v>1185</v>
      </c>
    </row>
    <row r="178" spans="1:17">
      <c r="A178">
        <v>277</v>
      </c>
      <c r="B178">
        <v>574</v>
      </c>
      <c r="C178">
        <v>2.58</v>
      </c>
      <c r="D178">
        <v>0.27429999999999999</v>
      </c>
      <c r="E178">
        <v>0.34379999999999999</v>
      </c>
      <c r="F178">
        <v>112.22</v>
      </c>
      <c r="G178">
        <v>0</v>
      </c>
      <c r="H178">
        <v>7.52</v>
      </c>
      <c r="I178">
        <v>157.81</v>
      </c>
      <c r="J178">
        <v>396.45</v>
      </c>
      <c r="K178">
        <v>163.15</v>
      </c>
      <c r="L178">
        <v>-94.6</v>
      </c>
      <c r="M178">
        <v>92.3</v>
      </c>
      <c r="N178">
        <v>14919018</v>
      </c>
      <c r="O178" t="s">
        <v>1188</v>
      </c>
      <c r="P178" t="s">
        <v>1022</v>
      </c>
      <c r="Q178" t="s">
        <v>1193</v>
      </c>
    </row>
    <row r="179" spans="1:17">
      <c r="A179">
        <v>278</v>
      </c>
      <c r="B179">
        <v>568</v>
      </c>
      <c r="C179">
        <v>2.59</v>
      </c>
      <c r="D179">
        <v>0.25280000000000002</v>
      </c>
      <c r="E179">
        <v>0.38540000000000002</v>
      </c>
      <c r="F179">
        <v>112.22</v>
      </c>
      <c r="G179">
        <v>0</v>
      </c>
      <c r="H179">
        <v>7.47</v>
      </c>
      <c r="I179">
        <v>156.51</v>
      </c>
      <c r="J179">
        <v>395.69</v>
      </c>
      <c r="K179">
        <v>154.44999999999999</v>
      </c>
      <c r="L179">
        <v>-90.4</v>
      </c>
      <c r="M179">
        <v>99.07</v>
      </c>
      <c r="N179">
        <v>7642151</v>
      </c>
      <c r="O179" t="s">
        <v>568</v>
      </c>
      <c r="P179" t="s">
        <v>1022</v>
      </c>
      <c r="Q179" t="s">
        <v>1152</v>
      </c>
    </row>
    <row r="180" spans="1:17">
      <c r="A180">
        <v>279</v>
      </c>
      <c r="B180">
        <v>573</v>
      </c>
      <c r="C180">
        <v>2.58</v>
      </c>
      <c r="D180">
        <v>0.2737</v>
      </c>
      <c r="E180">
        <v>0.33929999999999999</v>
      </c>
      <c r="F180">
        <v>112.22</v>
      </c>
      <c r="G180">
        <v>0</v>
      </c>
      <c r="H180">
        <v>7.53</v>
      </c>
      <c r="I180">
        <v>158.08000000000001</v>
      </c>
      <c r="J180">
        <v>395.41</v>
      </c>
      <c r="K180">
        <v>179.37</v>
      </c>
      <c r="L180">
        <v>-94.6</v>
      </c>
      <c r="M180">
        <v>94</v>
      </c>
      <c r="N180">
        <v>14850238</v>
      </c>
      <c r="O180" t="s">
        <v>1188</v>
      </c>
      <c r="P180" t="s">
        <v>1022</v>
      </c>
      <c r="Q180" t="s">
        <v>1189</v>
      </c>
    </row>
    <row r="181" spans="1:17">
      <c r="A181">
        <v>280</v>
      </c>
      <c r="B181">
        <v>569</v>
      </c>
      <c r="C181">
        <v>2.59</v>
      </c>
      <c r="D181">
        <v>0.25240000000000001</v>
      </c>
      <c r="E181">
        <v>0.38</v>
      </c>
      <c r="F181">
        <v>112.22</v>
      </c>
      <c r="G181">
        <v>0</v>
      </c>
      <c r="H181">
        <v>7.53</v>
      </c>
      <c r="I181">
        <v>156.51</v>
      </c>
      <c r="J181">
        <v>396.05</v>
      </c>
      <c r="K181">
        <v>147.15</v>
      </c>
      <c r="L181">
        <v>-89.64</v>
      </c>
      <c r="M181">
        <v>97.37</v>
      </c>
      <c r="N181">
        <v>14850227</v>
      </c>
      <c r="O181" t="s">
        <v>1163</v>
      </c>
      <c r="P181" t="s">
        <v>1022</v>
      </c>
      <c r="Q181" t="s">
        <v>1164</v>
      </c>
    </row>
    <row r="182" spans="1:17">
      <c r="A182">
        <v>281</v>
      </c>
      <c r="B182">
        <v>736</v>
      </c>
      <c r="C182">
        <v>1.41</v>
      </c>
      <c r="D182">
        <v>0.19769999999999999</v>
      </c>
      <c r="E182">
        <v>0.75029999999999997</v>
      </c>
      <c r="F182">
        <v>238.46</v>
      </c>
      <c r="G182">
        <v>0</v>
      </c>
      <c r="H182">
        <v>7.84</v>
      </c>
      <c r="I182">
        <v>305.14</v>
      </c>
      <c r="J182">
        <v>573.4</v>
      </c>
      <c r="K182">
        <v>284.35000000000002</v>
      </c>
      <c r="L182">
        <v>-269.3</v>
      </c>
      <c r="M182">
        <v>178.2</v>
      </c>
      <c r="N182">
        <v>6765395</v>
      </c>
      <c r="O182" t="s">
        <v>2057</v>
      </c>
      <c r="P182" t="s">
        <v>2058</v>
      </c>
      <c r="Q182" t="s">
        <v>2059</v>
      </c>
    </row>
    <row r="183" spans="1:17">
      <c r="A183">
        <v>283</v>
      </c>
      <c r="B183">
        <v>760</v>
      </c>
      <c r="C183">
        <v>1.28</v>
      </c>
      <c r="D183">
        <v>0.1883</v>
      </c>
      <c r="E183">
        <v>0.83250000000000002</v>
      </c>
      <c r="F183">
        <v>266.51</v>
      </c>
      <c r="G183">
        <v>0</v>
      </c>
      <c r="H183">
        <v>7.95</v>
      </c>
      <c r="I183">
        <v>338.08</v>
      </c>
      <c r="J183">
        <v>602.16999999999996</v>
      </c>
      <c r="K183">
        <v>296.55</v>
      </c>
      <c r="L183">
        <v>-310</v>
      </c>
      <c r="M183">
        <v>194</v>
      </c>
      <c r="N183">
        <v>18435455</v>
      </c>
      <c r="O183" t="s">
        <v>2057</v>
      </c>
      <c r="P183" t="s">
        <v>2136</v>
      </c>
      <c r="Q183" t="s">
        <v>2137</v>
      </c>
    </row>
    <row r="184" spans="1:17">
      <c r="A184">
        <v>284</v>
      </c>
      <c r="B184">
        <v>771</v>
      </c>
      <c r="C184">
        <v>1.22</v>
      </c>
      <c r="D184">
        <v>0.18959999999999999</v>
      </c>
      <c r="E184">
        <v>0.88039999999999996</v>
      </c>
      <c r="F184">
        <v>280.54000000000002</v>
      </c>
      <c r="G184">
        <v>0</v>
      </c>
      <c r="H184">
        <v>7.95</v>
      </c>
      <c r="I184">
        <v>355.73</v>
      </c>
      <c r="J184">
        <v>615.54</v>
      </c>
      <c r="K184">
        <v>301.75</v>
      </c>
      <c r="L184">
        <v>-331.33</v>
      </c>
      <c r="M184">
        <v>202.73</v>
      </c>
      <c r="N184">
        <v>3452071</v>
      </c>
      <c r="O184" t="s">
        <v>2193</v>
      </c>
      <c r="P184" t="s">
        <v>2072</v>
      </c>
      <c r="Q184" t="s">
        <v>2194</v>
      </c>
    </row>
    <row r="185" spans="1:17">
      <c r="A185">
        <v>285</v>
      </c>
      <c r="B185">
        <v>599</v>
      </c>
      <c r="C185">
        <v>3.43</v>
      </c>
      <c r="D185">
        <v>0.26100000000000001</v>
      </c>
      <c r="E185">
        <v>0.32940000000000003</v>
      </c>
      <c r="F185">
        <v>108.18</v>
      </c>
      <c r="G185">
        <v>0</v>
      </c>
      <c r="H185">
        <v>8.27</v>
      </c>
      <c r="I185">
        <v>130.93</v>
      </c>
      <c r="J185">
        <v>401</v>
      </c>
      <c r="K185">
        <v>164.15</v>
      </c>
      <c r="L185">
        <v>65.099999999999994</v>
      </c>
      <c r="M185">
        <v>200</v>
      </c>
      <c r="N185">
        <v>100403</v>
      </c>
      <c r="O185" t="s">
        <v>2516</v>
      </c>
      <c r="P185" t="s">
        <v>1586</v>
      </c>
      <c r="Q185" t="s">
        <v>2517</v>
      </c>
    </row>
    <row r="186" spans="1:17">
      <c r="A186">
        <v>286</v>
      </c>
      <c r="B186">
        <v>542</v>
      </c>
      <c r="C186">
        <v>4.13</v>
      </c>
      <c r="D186">
        <v>0.26290000000000002</v>
      </c>
      <c r="E186">
        <v>0.23180000000000001</v>
      </c>
      <c r="F186">
        <v>82.15</v>
      </c>
      <c r="G186">
        <v>0</v>
      </c>
      <c r="H186">
        <v>8.2200000000000006</v>
      </c>
      <c r="I186">
        <v>105.97</v>
      </c>
      <c r="J186">
        <v>348.64</v>
      </c>
      <c r="K186">
        <v>146.62</v>
      </c>
      <c r="L186">
        <v>-3.8</v>
      </c>
      <c r="M186">
        <v>103.8</v>
      </c>
      <c r="N186">
        <v>693890</v>
      </c>
      <c r="O186" t="s">
        <v>474</v>
      </c>
      <c r="P186" t="s">
        <v>821</v>
      </c>
      <c r="Q186" t="s">
        <v>975</v>
      </c>
    </row>
    <row r="187" spans="1:17">
      <c r="A187">
        <v>287</v>
      </c>
      <c r="B187">
        <v>526</v>
      </c>
      <c r="C187">
        <v>4.13</v>
      </c>
      <c r="D187">
        <v>0.27039999999999997</v>
      </c>
      <c r="E187">
        <v>0.2296</v>
      </c>
      <c r="F187">
        <v>82.15</v>
      </c>
      <c r="G187">
        <v>0</v>
      </c>
      <c r="H187">
        <v>7.93</v>
      </c>
      <c r="I187">
        <v>108.26</v>
      </c>
      <c r="J187">
        <v>338.06</v>
      </c>
      <c r="K187">
        <v>-86</v>
      </c>
      <c r="L187">
        <v>7.4</v>
      </c>
      <c r="M187">
        <v>113.9</v>
      </c>
      <c r="N187">
        <v>1120623</v>
      </c>
      <c r="O187" t="s">
        <v>474</v>
      </c>
      <c r="P187" t="s">
        <v>821</v>
      </c>
      <c r="Q187" t="s">
        <v>894</v>
      </c>
    </row>
    <row r="188" spans="1:17">
      <c r="A188">
        <v>288</v>
      </c>
      <c r="B188">
        <v>527</v>
      </c>
      <c r="C188">
        <v>4.13</v>
      </c>
      <c r="D188">
        <v>0.26240000000000002</v>
      </c>
      <c r="E188">
        <v>0.23569999999999999</v>
      </c>
      <c r="F188">
        <v>82.15</v>
      </c>
      <c r="G188">
        <v>0</v>
      </c>
      <c r="H188">
        <v>7.97</v>
      </c>
      <c r="I188">
        <v>107.61</v>
      </c>
      <c r="J188">
        <v>338.82</v>
      </c>
      <c r="K188">
        <v>112.3</v>
      </c>
      <c r="L188">
        <v>14.6</v>
      </c>
      <c r="M188">
        <v>121.6</v>
      </c>
      <c r="N188">
        <v>1759815</v>
      </c>
      <c r="O188" t="s">
        <v>474</v>
      </c>
      <c r="P188" t="s">
        <v>821</v>
      </c>
      <c r="Q188" t="s">
        <v>897</v>
      </c>
    </row>
    <row r="189" spans="1:17">
      <c r="A189">
        <v>289</v>
      </c>
      <c r="B189">
        <v>561</v>
      </c>
      <c r="C189">
        <v>2.76</v>
      </c>
      <c r="D189">
        <v>0.26300000000000001</v>
      </c>
      <c r="E189">
        <v>0.32490000000000002</v>
      </c>
      <c r="F189">
        <v>112.22</v>
      </c>
      <c r="G189">
        <v>0</v>
      </c>
      <c r="H189">
        <v>7.4</v>
      </c>
      <c r="I189">
        <v>156.47</v>
      </c>
      <c r="J189">
        <v>383.65</v>
      </c>
      <c r="K189">
        <v>-86</v>
      </c>
      <c r="L189">
        <v>-978</v>
      </c>
      <c r="M189">
        <v>92.8</v>
      </c>
      <c r="N189">
        <v>16746864</v>
      </c>
      <c r="O189" t="s">
        <v>1097</v>
      </c>
      <c r="P189" t="s">
        <v>1022</v>
      </c>
      <c r="Q189" t="s">
        <v>1098</v>
      </c>
    </row>
    <row r="190" spans="1:17">
      <c r="A190">
        <v>290</v>
      </c>
      <c r="B190">
        <v>657</v>
      </c>
      <c r="C190">
        <v>2.75</v>
      </c>
      <c r="D190">
        <v>0.26379999999999998</v>
      </c>
      <c r="E190">
        <v>0.31230000000000002</v>
      </c>
      <c r="F190">
        <v>136.24</v>
      </c>
      <c r="G190">
        <v>0</v>
      </c>
      <c r="H190">
        <v>8.1999999999999993</v>
      </c>
      <c r="I190">
        <v>162.33000000000001</v>
      </c>
      <c r="J190">
        <v>449.65</v>
      </c>
      <c r="K190">
        <v>199</v>
      </c>
      <c r="L190">
        <v>-6.4</v>
      </c>
      <c r="M190">
        <v>-86</v>
      </c>
      <c r="N190">
        <v>5989275</v>
      </c>
      <c r="O190" t="s">
        <v>2516</v>
      </c>
      <c r="P190" t="s">
        <v>1547</v>
      </c>
      <c r="Q190" t="s">
        <v>2518</v>
      </c>
    </row>
    <row r="191" spans="1:17">
      <c r="A191">
        <v>291</v>
      </c>
      <c r="B191">
        <v>667</v>
      </c>
      <c r="C191">
        <v>2.82</v>
      </c>
      <c r="D191">
        <v>0.26600000000000001</v>
      </c>
      <c r="E191">
        <v>0.37619999999999998</v>
      </c>
      <c r="F191">
        <v>136.24</v>
      </c>
      <c r="G191">
        <v>0</v>
      </c>
      <c r="H191">
        <v>8.83</v>
      </c>
      <c r="I191">
        <v>158.72</v>
      </c>
      <c r="J191">
        <v>458.15</v>
      </c>
      <c r="K191">
        <v>-86</v>
      </c>
      <c r="L191">
        <v>0</v>
      </c>
      <c r="M191">
        <v>-86</v>
      </c>
      <c r="N191">
        <v>586629</v>
      </c>
      <c r="O191" t="s">
        <v>568</v>
      </c>
      <c r="P191" t="s">
        <v>1547</v>
      </c>
      <c r="Q191" t="s">
        <v>1738</v>
      </c>
    </row>
    <row r="192" spans="1:17">
      <c r="A192">
        <v>301</v>
      </c>
      <c r="B192">
        <v>394</v>
      </c>
      <c r="C192">
        <v>5.25</v>
      </c>
      <c r="D192">
        <v>0.27110000000000001</v>
      </c>
      <c r="E192">
        <v>0.1041</v>
      </c>
      <c r="F192">
        <v>40.07</v>
      </c>
      <c r="G192">
        <v>0</v>
      </c>
      <c r="H192">
        <v>8.58</v>
      </c>
      <c r="I192">
        <v>60.44</v>
      </c>
      <c r="J192">
        <v>238.65</v>
      </c>
      <c r="K192">
        <v>136.87</v>
      </c>
      <c r="L192">
        <v>192.2</v>
      </c>
      <c r="M192">
        <v>200.8</v>
      </c>
      <c r="N192">
        <v>463490</v>
      </c>
      <c r="O192" t="s">
        <v>570</v>
      </c>
      <c r="P192" t="s">
        <v>571</v>
      </c>
      <c r="Q192" t="s">
        <v>572</v>
      </c>
    </row>
    <row r="193" spans="1:17">
      <c r="A193">
        <v>302</v>
      </c>
      <c r="B193">
        <v>452</v>
      </c>
      <c r="C193">
        <v>4.3600000000000003</v>
      </c>
      <c r="D193">
        <v>0.26700000000000002</v>
      </c>
      <c r="E193">
        <v>0.16589999999999999</v>
      </c>
      <c r="F193">
        <v>54.09</v>
      </c>
      <c r="G193">
        <v>0</v>
      </c>
      <c r="H193">
        <v>7.93</v>
      </c>
      <c r="I193">
        <v>81.64</v>
      </c>
      <c r="J193">
        <v>284</v>
      </c>
      <c r="K193">
        <v>136.96</v>
      </c>
      <c r="L193">
        <v>162.30000000000001</v>
      </c>
      <c r="M193">
        <v>198.6</v>
      </c>
      <c r="N193">
        <v>590192</v>
      </c>
      <c r="O193" t="s">
        <v>566</v>
      </c>
      <c r="P193" t="s">
        <v>607</v>
      </c>
      <c r="Q193" t="s">
        <v>657</v>
      </c>
    </row>
    <row r="194" spans="1:17">
      <c r="A194">
        <v>303</v>
      </c>
      <c r="B194">
        <v>425</v>
      </c>
      <c r="C194">
        <v>4.32</v>
      </c>
      <c r="D194">
        <v>0.27039999999999997</v>
      </c>
      <c r="E194">
        <v>0.19500000000000001</v>
      </c>
      <c r="F194">
        <v>54.09</v>
      </c>
      <c r="G194">
        <v>0</v>
      </c>
      <c r="H194">
        <v>7.63</v>
      </c>
      <c r="I194">
        <v>83.02</v>
      </c>
      <c r="J194">
        <v>268.74</v>
      </c>
      <c r="K194">
        <v>164.25</v>
      </c>
      <c r="L194">
        <v>110.16</v>
      </c>
      <c r="M194">
        <v>150.66999999999999</v>
      </c>
      <c r="N194">
        <v>106990</v>
      </c>
      <c r="O194" t="s">
        <v>423</v>
      </c>
      <c r="P194" t="s">
        <v>607</v>
      </c>
      <c r="Q194" t="s">
        <v>608</v>
      </c>
    </row>
    <row r="195" spans="1:17">
      <c r="A195">
        <v>304</v>
      </c>
      <c r="B195">
        <v>500</v>
      </c>
      <c r="C195">
        <v>3.8</v>
      </c>
      <c r="D195">
        <v>0.26860000000000001</v>
      </c>
      <c r="E195">
        <v>0.1542</v>
      </c>
      <c r="F195">
        <v>68.12</v>
      </c>
      <c r="G195">
        <v>0</v>
      </c>
      <c r="H195">
        <v>7.87</v>
      </c>
      <c r="I195">
        <v>99.07</v>
      </c>
      <c r="J195">
        <v>318</v>
      </c>
      <c r="K195">
        <v>135.88</v>
      </c>
      <c r="L195">
        <v>140.66999999999999</v>
      </c>
      <c r="M195">
        <v>205.48</v>
      </c>
      <c r="N195">
        <v>591957</v>
      </c>
      <c r="O195" t="s">
        <v>566</v>
      </c>
      <c r="P195" t="s">
        <v>679</v>
      </c>
      <c r="Q195" t="s">
        <v>783</v>
      </c>
    </row>
    <row r="196" spans="1:17">
      <c r="A196">
        <v>305</v>
      </c>
      <c r="B196">
        <v>499</v>
      </c>
      <c r="C196">
        <v>3.74</v>
      </c>
      <c r="D196">
        <v>0.26690000000000003</v>
      </c>
      <c r="E196">
        <v>0.14699999999999999</v>
      </c>
      <c r="F196">
        <v>68.12</v>
      </c>
      <c r="G196">
        <v>0</v>
      </c>
      <c r="H196">
        <v>7.83</v>
      </c>
      <c r="I196">
        <v>99.28</v>
      </c>
      <c r="J196">
        <v>317.22000000000003</v>
      </c>
      <c r="K196">
        <v>132.35</v>
      </c>
      <c r="L196">
        <v>82.76</v>
      </c>
      <c r="M196">
        <v>150.46</v>
      </c>
      <c r="N196">
        <v>1574410</v>
      </c>
      <c r="O196" t="s">
        <v>778</v>
      </c>
      <c r="P196" t="s">
        <v>679</v>
      </c>
      <c r="Q196" t="s">
        <v>779</v>
      </c>
    </row>
    <row r="197" spans="1:17">
      <c r="A197">
        <v>306</v>
      </c>
      <c r="B197">
        <v>500</v>
      </c>
      <c r="C197">
        <v>3.74</v>
      </c>
      <c r="D197">
        <v>0.26719999999999999</v>
      </c>
      <c r="E197">
        <v>0.1162</v>
      </c>
      <c r="F197">
        <v>68.12</v>
      </c>
      <c r="G197">
        <v>0</v>
      </c>
      <c r="H197">
        <v>7.7</v>
      </c>
      <c r="I197">
        <v>101.52</v>
      </c>
      <c r="J197">
        <v>315.18</v>
      </c>
      <c r="K197">
        <v>185.68</v>
      </c>
      <c r="L197">
        <v>75.81</v>
      </c>
      <c r="M197">
        <v>144.63999999999999</v>
      </c>
      <c r="N197">
        <v>2004708</v>
      </c>
      <c r="O197" t="s">
        <v>778</v>
      </c>
      <c r="P197" t="s">
        <v>679</v>
      </c>
      <c r="Q197" t="s">
        <v>784</v>
      </c>
    </row>
    <row r="198" spans="1:17">
      <c r="A198">
        <v>307</v>
      </c>
      <c r="B198">
        <v>479</v>
      </c>
      <c r="C198">
        <v>3.74</v>
      </c>
      <c r="D198">
        <v>0.26379999999999998</v>
      </c>
      <c r="E198">
        <v>8.3699999999999997E-2</v>
      </c>
      <c r="F198">
        <v>68.12</v>
      </c>
      <c r="G198">
        <v>0</v>
      </c>
      <c r="H198">
        <v>7.11</v>
      </c>
      <c r="I198">
        <v>104.25</v>
      </c>
      <c r="J198">
        <v>299.12</v>
      </c>
      <c r="K198">
        <v>124.88</v>
      </c>
      <c r="L198">
        <v>105.44</v>
      </c>
      <c r="M198">
        <v>170.25</v>
      </c>
      <c r="N198">
        <v>591935</v>
      </c>
      <c r="O198" t="s">
        <v>566</v>
      </c>
      <c r="P198" t="s">
        <v>679</v>
      </c>
      <c r="Q198" t="s">
        <v>717</v>
      </c>
    </row>
    <row r="199" spans="1:17">
      <c r="A199">
        <v>308</v>
      </c>
      <c r="B199">
        <v>497</v>
      </c>
      <c r="C199">
        <v>3.8</v>
      </c>
      <c r="D199">
        <v>0.28449999999999998</v>
      </c>
      <c r="E199">
        <v>0.21840000000000001</v>
      </c>
      <c r="F199">
        <v>68.12</v>
      </c>
      <c r="G199">
        <v>0</v>
      </c>
      <c r="H199">
        <v>8.0500000000000007</v>
      </c>
      <c r="I199">
        <v>98.73</v>
      </c>
      <c r="J199">
        <v>321.39999999999998</v>
      </c>
      <c r="K199">
        <v>147.5</v>
      </c>
      <c r="L199">
        <v>133.07</v>
      </c>
      <c r="M199">
        <v>199.2</v>
      </c>
      <c r="N199">
        <v>591968</v>
      </c>
      <c r="O199" t="s">
        <v>566</v>
      </c>
      <c r="P199" t="s">
        <v>679</v>
      </c>
      <c r="Q199" t="s">
        <v>764</v>
      </c>
    </row>
    <row r="200" spans="1:17">
      <c r="A200">
        <v>309</v>
      </c>
      <c r="B200">
        <v>484</v>
      </c>
      <c r="C200">
        <v>3.85</v>
      </c>
      <c r="D200">
        <v>0.25990000000000002</v>
      </c>
      <c r="E200">
        <v>0.1583</v>
      </c>
      <c r="F200">
        <v>68.12</v>
      </c>
      <c r="G200">
        <v>0</v>
      </c>
      <c r="H200">
        <v>7.5</v>
      </c>
      <c r="I200">
        <v>100.78</v>
      </c>
      <c r="J200">
        <v>307.22000000000003</v>
      </c>
      <c r="K200">
        <v>127.27</v>
      </c>
      <c r="L200">
        <v>75.73</v>
      </c>
      <c r="M200">
        <v>145.9</v>
      </c>
      <c r="N200">
        <v>78795</v>
      </c>
      <c r="O200" t="s">
        <v>733</v>
      </c>
      <c r="P200" t="s">
        <v>679</v>
      </c>
      <c r="Q200" t="s">
        <v>734</v>
      </c>
    </row>
    <row r="201" spans="1:17">
      <c r="A201">
        <v>310</v>
      </c>
      <c r="B201">
        <v>508</v>
      </c>
      <c r="C201">
        <v>3.35</v>
      </c>
      <c r="D201">
        <v>0.2631</v>
      </c>
      <c r="E201">
        <v>0.22589999999999999</v>
      </c>
      <c r="F201">
        <v>82.15</v>
      </c>
      <c r="G201">
        <v>0</v>
      </c>
      <c r="H201">
        <v>7.35</v>
      </c>
      <c r="I201">
        <v>119.36</v>
      </c>
      <c r="J201">
        <v>332.61</v>
      </c>
      <c r="K201">
        <v>132.47</v>
      </c>
      <c r="L201">
        <v>84.1</v>
      </c>
      <c r="M201">
        <v>178</v>
      </c>
      <c r="N201">
        <v>592427</v>
      </c>
      <c r="O201" t="s">
        <v>820</v>
      </c>
      <c r="P201" t="s">
        <v>821</v>
      </c>
      <c r="Q201" t="s">
        <v>822</v>
      </c>
    </row>
    <row r="202" spans="1:17">
      <c r="A202">
        <v>311</v>
      </c>
      <c r="B202">
        <v>490</v>
      </c>
      <c r="C202">
        <v>3.83</v>
      </c>
      <c r="D202">
        <v>0.29470000000000002</v>
      </c>
      <c r="E202">
        <v>0.18740000000000001</v>
      </c>
      <c r="F202">
        <v>68.12</v>
      </c>
      <c r="G202">
        <v>0</v>
      </c>
      <c r="H202">
        <v>7.75</v>
      </c>
      <c r="I202">
        <v>100.08</v>
      </c>
      <c r="J202">
        <v>314</v>
      </c>
      <c r="K202">
        <v>159.53</v>
      </c>
      <c r="L202">
        <v>129.69999999999999</v>
      </c>
      <c r="M202">
        <v>198.61</v>
      </c>
      <c r="N202">
        <v>598254</v>
      </c>
      <c r="O202" t="s">
        <v>566</v>
      </c>
      <c r="P202" t="s">
        <v>679</v>
      </c>
      <c r="Q202" t="s">
        <v>746</v>
      </c>
    </row>
    <row r="203" spans="1:17">
      <c r="A203">
        <v>312</v>
      </c>
      <c r="B203">
        <v>541</v>
      </c>
      <c r="C203">
        <v>4.43</v>
      </c>
      <c r="D203">
        <v>0.28360000000000002</v>
      </c>
      <c r="E203">
        <v>0.23760000000000001</v>
      </c>
      <c r="F203">
        <v>80.13</v>
      </c>
      <c r="G203">
        <v>0</v>
      </c>
      <c r="H203">
        <v>8.51</v>
      </c>
      <c r="I203">
        <v>99.54</v>
      </c>
      <c r="J203">
        <v>345.93</v>
      </c>
      <c r="K203">
        <v>-86</v>
      </c>
      <c r="L203">
        <v>100</v>
      </c>
      <c r="M203">
        <v>171</v>
      </c>
      <c r="N203">
        <v>26519915</v>
      </c>
      <c r="O203" t="s">
        <v>545</v>
      </c>
      <c r="P203" t="s">
        <v>971</v>
      </c>
      <c r="Q203" t="s">
        <v>972</v>
      </c>
    </row>
    <row r="204" spans="1:17">
      <c r="A204">
        <v>313</v>
      </c>
      <c r="B204">
        <v>510</v>
      </c>
      <c r="C204">
        <v>3.35</v>
      </c>
      <c r="D204">
        <v>0.26050000000000001</v>
      </c>
      <c r="E204">
        <v>0.28000000000000003</v>
      </c>
      <c r="F204">
        <v>82.15</v>
      </c>
      <c r="G204">
        <v>0</v>
      </c>
      <c r="H204">
        <v>7.6</v>
      </c>
      <c r="I204">
        <v>118.16</v>
      </c>
      <c r="J204">
        <v>338.15</v>
      </c>
      <c r="K204">
        <v>134.44999999999999</v>
      </c>
      <c r="L204">
        <v>71.87</v>
      </c>
      <c r="M204">
        <v>165.1</v>
      </c>
      <c r="N204">
        <v>592450</v>
      </c>
      <c r="O204" t="s">
        <v>566</v>
      </c>
      <c r="P204" t="s">
        <v>821</v>
      </c>
      <c r="Q204" t="s">
        <v>836</v>
      </c>
    </row>
    <row r="205" spans="1:17">
      <c r="A205">
        <v>314</v>
      </c>
      <c r="B205">
        <v>535</v>
      </c>
      <c r="C205">
        <v>3.35</v>
      </c>
      <c r="D205">
        <v>0.24929999999999999</v>
      </c>
      <c r="E205">
        <v>0.28210000000000002</v>
      </c>
      <c r="F205">
        <v>82.15</v>
      </c>
      <c r="G205">
        <v>0</v>
      </c>
      <c r="H205">
        <v>8.08</v>
      </c>
      <c r="I205">
        <v>115.65</v>
      </c>
      <c r="J205">
        <v>356.15</v>
      </c>
      <c r="K205">
        <v>228.25</v>
      </c>
      <c r="L205">
        <v>43.3</v>
      </c>
      <c r="M205">
        <v>142</v>
      </c>
      <c r="N205">
        <v>5194514</v>
      </c>
      <c r="O205" t="s">
        <v>568</v>
      </c>
      <c r="P205" t="s">
        <v>821</v>
      </c>
      <c r="Q205" t="s">
        <v>926</v>
      </c>
    </row>
    <row r="206" spans="1:17">
      <c r="A206">
        <v>315</v>
      </c>
      <c r="B206">
        <v>507</v>
      </c>
      <c r="C206">
        <v>5.15</v>
      </c>
      <c r="D206">
        <v>0.27489999999999998</v>
      </c>
      <c r="E206">
        <v>0.20200000000000001</v>
      </c>
      <c r="F206">
        <v>66.099999999999994</v>
      </c>
      <c r="G206">
        <v>0</v>
      </c>
      <c r="H206">
        <v>8.25</v>
      </c>
      <c r="I206">
        <v>82.89</v>
      </c>
      <c r="J206">
        <v>314.64999999999998</v>
      </c>
      <c r="K206">
        <v>188.15</v>
      </c>
      <c r="L206">
        <v>130.80000000000001</v>
      </c>
      <c r="M206">
        <v>174.4</v>
      </c>
      <c r="N206">
        <v>542927</v>
      </c>
      <c r="O206" t="s">
        <v>811</v>
      </c>
      <c r="P206" t="s">
        <v>754</v>
      </c>
      <c r="Q206" t="s">
        <v>812</v>
      </c>
    </row>
    <row r="207" spans="1:17">
      <c r="A207">
        <v>316</v>
      </c>
      <c r="B207">
        <v>660</v>
      </c>
      <c r="C207">
        <v>3.06</v>
      </c>
      <c r="D207">
        <v>0.24809999999999999</v>
      </c>
      <c r="E207">
        <v>0.28799999999999998</v>
      </c>
      <c r="F207">
        <v>132.21</v>
      </c>
      <c r="G207">
        <v>0</v>
      </c>
      <c r="H207">
        <v>8.6999999999999993</v>
      </c>
      <c r="I207">
        <v>134.74</v>
      </c>
      <c r="J207">
        <v>443</v>
      </c>
      <c r="K207">
        <v>306.75</v>
      </c>
      <c r="L207">
        <v>208</v>
      </c>
      <c r="M207">
        <v>375</v>
      </c>
      <c r="N207">
        <v>77736</v>
      </c>
      <c r="O207" t="s">
        <v>545</v>
      </c>
      <c r="P207" t="s">
        <v>1657</v>
      </c>
      <c r="Q207" t="s">
        <v>1699</v>
      </c>
    </row>
    <row r="208" spans="1:17">
      <c r="A208">
        <v>317</v>
      </c>
      <c r="B208">
        <v>649</v>
      </c>
      <c r="C208">
        <v>2.82</v>
      </c>
      <c r="D208">
        <v>0.2515</v>
      </c>
      <c r="E208">
        <v>0.38069999999999998</v>
      </c>
      <c r="F208">
        <v>136.24</v>
      </c>
      <c r="G208">
        <v>0</v>
      </c>
      <c r="H208">
        <v>8.31</v>
      </c>
      <c r="I208">
        <v>161.56</v>
      </c>
      <c r="J208">
        <v>448.15</v>
      </c>
      <c r="K208">
        <v>-86</v>
      </c>
      <c r="L208">
        <v>-9.3000000000000007</v>
      </c>
      <c r="M208">
        <v>191</v>
      </c>
      <c r="N208">
        <v>99832</v>
      </c>
      <c r="O208" t="s">
        <v>1219</v>
      </c>
      <c r="P208" t="s">
        <v>1547</v>
      </c>
      <c r="Q208" t="s">
        <v>1616</v>
      </c>
    </row>
    <row r="209" spans="1:17">
      <c r="A209">
        <v>318</v>
      </c>
      <c r="B209">
        <v>648</v>
      </c>
      <c r="C209">
        <v>2.82</v>
      </c>
      <c r="D209">
        <v>0.29299999999999998</v>
      </c>
      <c r="E209">
        <v>0.37659999999999999</v>
      </c>
      <c r="F209">
        <v>136.24</v>
      </c>
      <c r="G209">
        <v>0</v>
      </c>
      <c r="H209">
        <v>8.2899999999999991</v>
      </c>
      <c r="I209">
        <v>162.84</v>
      </c>
      <c r="J209">
        <v>444.15</v>
      </c>
      <c r="K209">
        <v>-86</v>
      </c>
      <c r="L209">
        <v>-5.61</v>
      </c>
      <c r="M209">
        <v>197</v>
      </c>
      <c r="N209">
        <v>555102</v>
      </c>
      <c r="O209" t="s">
        <v>1219</v>
      </c>
      <c r="P209" t="s">
        <v>1547</v>
      </c>
      <c r="Q209" t="s">
        <v>1613</v>
      </c>
    </row>
    <row r="210" spans="1:17">
      <c r="A210">
        <v>319</v>
      </c>
      <c r="B210">
        <v>526</v>
      </c>
      <c r="C210">
        <v>3.52</v>
      </c>
      <c r="D210">
        <v>0.27079999999999999</v>
      </c>
      <c r="E210">
        <v>0.2142</v>
      </c>
      <c r="F210">
        <v>82.15</v>
      </c>
      <c r="G210">
        <v>0</v>
      </c>
      <c r="H210">
        <v>7.82</v>
      </c>
      <c r="I210">
        <v>113.65</v>
      </c>
      <c r="J210">
        <v>341.96</v>
      </c>
      <c r="K210">
        <v>197.18</v>
      </c>
      <c r="L210">
        <v>45.1</v>
      </c>
      <c r="M210">
        <v>144</v>
      </c>
      <c r="N210">
        <v>513815</v>
      </c>
      <c r="O210" t="s">
        <v>721</v>
      </c>
      <c r="P210" t="s">
        <v>821</v>
      </c>
      <c r="Q210" t="s">
        <v>895</v>
      </c>
    </row>
    <row r="211" spans="1:17">
      <c r="A211">
        <v>320</v>
      </c>
      <c r="B211">
        <v>538</v>
      </c>
      <c r="C211">
        <v>3.35</v>
      </c>
      <c r="D211">
        <v>0.24790000000000001</v>
      </c>
      <c r="E211">
        <v>0.27539999999999998</v>
      </c>
      <c r="F211">
        <v>82.15</v>
      </c>
      <c r="G211">
        <v>0</v>
      </c>
      <c r="H211">
        <v>8.11</v>
      </c>
      <c r="I211">
        <v>114.31</v>
      </c>
      <c r="J211">
        <v>354.15</v>
      </c>
      <c r="K211">
        <v>177.05</v>
      </c>
      <c r="L211">
        <v>47.4</v>
      </c>
      <c r="M211">
        <v>146</v>
      </c>
      <c r="N211">
        <v>5194503</v>
      </c>
      <c r="O211" t="s">
        <v>568</v>
      </c>
      <c r="P211" t="s">
        <v>821</v>
      </c>
      <c r="Q211" t="s">
        <v>955</v>
      </c>
    </row>
    <row r="212" spans="1:17">
      <c r="A212">
        <v>331</v>
      </c>
      <c r="B212">
        <v>558</v>
      </c>
      <c r="C212">
        <v>4.7300000000000004</v>
      </c>
      <c r="D212">
        <v>0.26519999999999999</v>
      </c>
      <c r="E212">
        <v>0.23080000000000001</v>
      </c>
      <c r="F212">
        <v>80.13</v>
      </c>
      <c r="G212">
        <v>0</v>
      </c>
      <c r="H212">
        <v>8.7899999999999991</v>
      </c>
      <c r="I212">
        <v>95.71</v>
      </c>
      <c r="J212">
        <v>353.49</v>
      </c>
      <c r="K212">
        <v>184.15</v>
      </c>
      <c r="L212">
        <v>106.2</v>
      </c>
      <c r="M212">
        <v>181.9</v>
      </c>
      <c r="N212">
        <v>592574</v>
      </c>
      <c r="O212" t="s">
        <v>721</v>
      </c>
      <c r="P212" t="s">
        <v>971</v>
      </c>
      <c r="Q212" t="s">
        <v>1077</v>
      </c>
    </row>
    <row r="213" spans="1:17">
      <c r="A213">
        <v>332</v>
      </c>
      <c r="B213">
        <v>569</v>
      </c>
      <c r="C213">
        <v>4.7300000000000004</v>
      </c>
      <c r="D213">
        <v>0.27700000000000002</v>
      </c>
      <c r="E213">
        <v>0.20480000000000001</v>
      </c>
      <c r="F213">
        <v>80.13</v>
      </c>
      <c r="G213">
        <v>0</v>
      </c>
      <c r="H213">
        <v>9.06</v>
      </c>
      <c r="I213">
        <v>94.21</v>
      </c>
      <c r="J213">
        <v>354.65</v>
      </c>
      <c r="K213">
        <v>223.95</v>
      </c>
      <c r="L213">
        <v>110</v>
      </c>
      <c r="M213">
        <v>188</v>
      </c>
      <c r="N213">
        <v>628411</v>
      </c>
      <c r="O213" t="s">
        <v>2804</v>
      </c>
      <c r="P213" t="s">
        <v>971</v>
      </c>
      <c r="Q213" t="s">
        <v>2519</v>
      </c>
    </row>
    <row r="214" spans="1:17">
      <c r="A214">
        <v>333</v>
      </c>
      <c r="B214">
        <v>645</v>
      </c>
      <c r="C214">
        <v>3.9</v>
      </c>
      <c r="D214">
        <v>0.27200000000000002</v>
      </c>
      <c r="E214">
        <v>0.2858</v>
      </c>
      <c r="F214">
        <v>108.18</v>
      </c>
      <c r="G214">
        <v>0</v>
      </c>
      <c r="H214">
        <v>9.06</v>
      </c>
      <c r="I214">
        <v>123.24</v>
      </c>
      <c r="J214">
        <v>423.65</v>
      </c>
      <c r="K214">
        <v>204.15</v>
      </c>
      <c r="L214">
        <v>101.1</v>
      </c>
      <c r="M214">
        <v>245</v>
      </c>
      <c r="N214">
        <v>111784</v>
      </c>
      <c r="O214" t="s">
        <v>568</v>
      </c>
      <c r="P214" t="s">
        <v>1586</v>
      </c>
      <c r="Q214" t="s">
        <v>1587</v>
      </c>
    </row>
    <row r="215" spans="1:17">
      <c r="A215">
        <v>401</v>
      </c>
      <c r="B215">
        <v>308.3</v>
      </c>
      <c r="C215">
        <v>6.1379999999999999</v>
      </c>
      <c r="D215">
        <v>0.27060000000000001</v>
      </c>
      <c r="E215">
        <v>0.19120000000000001</v>
      </c>
      <c r="F215">
        <v>26.04</v>
      </c>
      <c r="G215">
        <v>0</v>
      </c>
      <c r="H215">
        <v>9.18</v>
      </c>
      <c r="I215">
        <v>42.21</v>
      </c>
      <c r="J215">
        <v>189</v>
      </c>
      <c r="K215">
        <v>192.35</v>
      </c>
      <c r="L215">
        <v>226.73</v>
      </c>
      <c r="M215">
        <v>209.2</v>
      </c>
      <c r="N215">
        <v>74862</v>
      </c>
      <c r="O215" t="s">
        <v>491</v>
      </c>
      <c r="P215" t="s">
        <v>492</v>
      </c>
      <c r="Q215" t="s">
        <v>493</v>
      </c>
    </row>
    <row r="216" spans="1:17">
      <c r="A216">
        <v>402</v>
      </c>
      <c r="B216">
        <v>402.4</v>
      </c>
      <c r="C216">
        <v>5.63</v>
      </c>
      <c r="D216">
        <v>0.27589999999999998</v>
      </c>
      <c r="E216">
        <v>0.21149999999999999</v>
      </c>
      <c r="F216">
        <v>40.07</v>
      </c>
      <c r="G216">
        <v>0</v>
      </c>
      <c r="H216">
        <v>8.99</v>
      </c>
      <c r="I216">
        <v>59.62</v>
      </c>
      <c r="J216">
        <v>249.93</v>
      </c>
      <c r="K216">
        <v>170.45</v>
      </c>
      <c r="L216">
        <v>185.5</v>
      </c>
      <c r="M216">
        <v>193.84</v>
      </c>
      <c r="N216">
        <v>74997</v>
      </c>
      <c r="O216" t="s">
        <v>585</v>
      </c>
      <c r="P216" t="s">
        <v>571</v>
      </c>
      <c r="Q216" t="s">
        <v>586</v>
      </c>
    </row>
    <row r="217" spans="1:17">
      <c r="A217">
        <v>403</v>
      </c>
      <c r="B217">
        <v>440</v>
      </c>
      <c r="C217">
        <v>4.5999999999999996</v>
      </c>
      <c r="D217">
        <v>0.27</v>
      </c>
      <c r="E217">
        <v>0.247</v>
      </c>
      <c r="F217">
        <v>54.09</v>
      </c>
      <c r="G217">
        <v>0</v>
      </c>
      <c r="H217">
        <v>8.11</v>
      </c>
      <c r="I217">
        <v>80.95</v>
      </c>
      <c r="J217">
        <v>281.24</v>
      </c>
      <c r="K217">
        <v>147.43</v>
      </c>
      <c r="L217">
        <v>165.2</v>
      </c>
      <c r="M217">
        <v>202.1</v>
      </c>
      <c r="N217">
        <v>107006</v>
      </c>
      <c r="O217" t="s">
        <v>640</v>
      </c>
      <c r="P217" t="s">
        <v>607</v>
      </c>
      <c r="Q217" t="s">
        <v>641</v>
      </c>
    </row>
    <row r="218" spans="1:17">
      <c r="A218">
        <v>404</v>
      </c>
      <c r="B218">
        <v>473.2</v>
      </c>
      <c r="C218">
        <v>4.87</v>
      </c>
      <c r="D218">
        <v>0.2767</v>
      </c>
      <c r="E218">
        <v>0.23849999999999999</v>
      </c>
      <c r="F218">
        <v>54.09</v>
      </c>
      <c r="G218">
        <v>0</v>
      </c>
      <c r="H218">
        <v>8.5500000000000007</v>
      </c>
      <c r="I218">
        <v>78.900000000000006</v>
      </c>
      <c r="J218">
        <v>300.14</v>
      </c>
      <c r="K218">
        <v>240.89</v>
      </c>
      <c r="L218">
        <v>146.30000000000001</v>
      </c>
      <c r="M218">
        <v>184.9</v>
      </c>
      <c r="N218">
        <v>503173</v>
      </c>
      <c r="O218" t="s">
        <v>701</v>
      </c>
      <c r="P218" t="s">
        <v>607</v>
      </c>
      <c r="Q218" t="s">
        <v>702</v>
      </c>
    </row>
    <row r="219" spans="1:17">
      <c r="A219">
        <v>405</v>
      </c>
      <c r="B219">
        <v>481.2</v>
      </c>
      <c r="C219">
        <v>4.17</v>
      </c>
      <c r="D219">
        <v>0.27179999999999999</v>
      </c>
      <c r="E219">
        <v>0.28989999999999999</v>
      </c>
      <c r="F219">
        <v>68.12</v>
      </c>
      <c r="G219">
        <v>0</v>
      </c>
      <c r="H219">
        <v>7.87</v>
      </c>
      <c r="I219">
        <v>99</v>
      </c>
      <c r="J219">
        <v>313.33</v>
      </c>
      <c r="K219">
        <v>167.45</v>
      </c>
      <c r="L219">
        <v>144.4</v>
      </c>
      <c r="M219">
        <v>210.3</v>
      </c>
      <c r="N219">
        <v>627190</v>
      </c>
      <c r="O219" t="s">
        <v>727</v>
      </c>
      <c r="P219" t="s">
        <v>679</v>
      </c>
      <c r="Q219" t="s">
        <v>728</v>
      </c>
    </row>
    <row r="220" spans="1:17">
      <c r="A220">
        <v>406</v>
      </c>
      <c r="B220">
        <v>544</v>
      </c>
      <c r="C220">
        <v>3.53</v>
      </c>
      <c r="D220">
        <v>0.25829999999999997</v>
      </c>
      <c r="E220">
        <v>0.21829999999999999</v>
      </c>
      <c r="F220">
        <v>82.15</v>
      </c>
      <c r="G220">
        <v>0</v>
      </c>
      <c r="H220">
        <v>8.1199999999999992</v>
      </c>
      <c r="I220">
        <v>114.37</v>
      </c>
      <c r="J220">
        <v>354.65</v>
      </c>
      <c r="K220">
        <v>170.15</v>
      </c>
      <c r="L220">
        <v>106</v>
      </c>
      <c r="M220">
        <v>199</v>
      </c>
      <c r="N220">
        <v>928494</v>
      </c>
      <c r="O220" t="s">
        <v>568</v>
      </c>
      <c r="P220" t="s">
        <v>821</v>
      </c>
      <c r="Q220" t="s">
        <v>984</v>
      </c>
    </row>
    <row r="221" spans="1:17">
      <c r="A221">
        <v>407</v>
      </c>
      <c r="B221">
        <v>549</v>
      </c>
      <c r="C221">
        <v>3.53</v>
      </c>
      <c r="D221">
        <v>0.25600000000000001</v>
      </c>
      <c r="E221">
        <v>0.22140000000000001</v>
      </c>
      <c r="F221">
        <v>82.15</v>
      </c>
      <c r="G221">
        <v>0</v>
      </c>
      <c r="H221">
        <v>8.27</v>
      </c>
      <c r="I221">
        <v>113.02</v>
      </c>
      <c r="J221">
        <v>357.67</v>
      </c>
      <c r="K221">
        <v>183.65</v>
      </c>
      <c r="L221">
        <v>105</v>
      </c>
      <c r="M221">
        <v>199</v>
      </c>
      <c r="N221">
        <v>764352</v>
      </c>
      <c r="O221" t="s">
        <v>568</v>
      </c>
      <c r="P221" t="s">
        <v>821</v>
      </c>
      <c r="Q221" t="s">
        <v>1018</v>
      </c>
    </row>
    <row r="222" spans="1:17">
      <c r="A222">
        <v>412</v>
      </c>
      <c r="B222">
        <v>519</v>
      </c>
      <c r="C222">
        <v>4.03</v>
      </c>
      <c r="D222">
        <v>0.27250000000000002</v>
      </c>
      <c r="E222">
        <v>0.17519999999999999</v>
      </c>
      <c r="F222">
        <v>68.12</v>
      </c>
      <c r="G222">
        <v>0</v>
      </c>
      <c r="H222">
        <v>8.2899999999999991</v>
      </c>
      <c r="I222">
        <v>96.56</v>
      </c>
      <c r="J222">
        <v>329.22</v>
      </c>
      <c r="K222">
        <v>163.85</v>
      </c>
      <c r="L222">
        <v>125.1</v>
      </c>
      <c r="M222">
        <v>190.84</v>
      </c>
      <c r="N222">
        <v>627214</v>
      </c>
      <c r="O222" t="s">
        <v>566</v>
      </c>
      <c r="P222" t="s">
        <v>679</v>
      </c>
      <c r="Q222" t="s">
        <v>867</v>
      </c>
    </row>
    <row r="223" spans="1:17">
      <c r="A223">
        <v>413</v>
      </c>
      <c r="B223">
        <v>516.20000000000005</v>
      </c>
      <c r="C223">
        <v>3.62</v>
      </c>
      <c r="D223">
        <v>0.26569999999999999</v>
      </c>
      <c r="E223">
        <v>0.3327</v>
      </c>
      <c r="F223">
        <v>82.15</v>
      </c>
      <c r="G223">
        <v>0</v>
      </c>
      <c r="H223">
        <v>7.98</v>
      </c>
      <c r="I223">
        <v>115.44</v>
      </c>
      <c r="J223">
        <v>344.48</v>
      </c>
      <c r="K223">
        <v>141.25</v>
      </c>
      <c r="L223">
        <v>123.7</v>
      </c>
      <c r="M223">
        <v>218.7</v>
      </c>
      <c r="N223">
        <v>693027</v>
      </c>
      <c r="O223" t="s">
        <v>568</v>
      </c>
      <c r="P223" t="s">
        <v>821</v>
      </c>
      <c r="Q223" t="s">
        <v>855</v>
      </c>
    </row>
    <row r="224" spans="1:17">
      <c r="A224">
        <v>414</v>
      </c>
      <c r="B224">
        <v>492</v>
      </c>
      <c r="C224">
        <v>4.38</v>
      </c>
      <c r="D224">
        <v>0.26550000000000001</v>
      </c>
      <c r="E224">
        <v>0.13700000000000001</v>
      </c>
      <c r="F224">
        <v>66.099999999999994</v>
      </c>
      <c r="G224">
        <v>0</v>
      </c>
      <c r="H224">
        <v>7.62</v>
      </c>
      <c r="I224">
        <v>94.57</v>
      </c>
      <c r="J224">
        <v>305.14999999999998</v>
      </c>
      <c r="K224">
        <v>160.15</v>
      </c>
      <c r="L224">
        <v>260</v>
      </c>
      <c r="M224">
        <v>302.5</v>
      </c>
      <c r="N224">
        <v>78808</v>
      </c>
      <c r="O224" t="s">
        <v>568</v>
      </c>
      <c r="P224" t="s">
        <v>754</v>
      </c>
      <c r="Q224" t="s">
        <v>755</v>
      </c>
    </row>
    <row r="225" spans="1:17">
      <c r="A225">
        <v>416</v>
      </c>
      <c r="B225">
        <v>574</v>
      </c>
      <c r="C225">
        <v>2.88</v>
      </c>
      <c r="D225">
        <v>0.26669999999999999</v>
      </c>
      <c r="E225">
        <v>0.42330000000000001</v>
      </c>
      <c r="F225">
        <v>110.2</v>
      </c>
      <c r="G225">
        <v>0</v>
      </c>
      <c r="H225">
        <v>7.97</v>
      </c>
      <c r="I225">
        <v>148.38999999999999</v>
      </c>
      <c r="J225">
        <v>399.35</v>
      </c>
      <c r="K225">
        <v>193.85</v>
      </c>
      <c r="L225">
        <v>82.3</v>
      </c>
      <c r="M225">
        <v>235.3</v>
      </c>
      <c r="N225">
        <v>629050</v>
      </c>
      <c r="O225" t="s">
        <v>566</v>
      </c>
      <c r="P225" t="s">
        <v>1194</v>
      </c>
      <c r="Q225" t="s">
        <v>1195</v>
      </c>
    </row>
    <row r="226" spans="1:17">
      <c r="A226">
        <v>418</v>
      </c>
      <c r="B226">
        <v>454</v>
      </c>
      <c r="C226">
        <v>4.8600000000000003</v>
      </c>
      <c r="D226">
        <v>0.28070000000000001</v>
      </c>
      <c r="E226">
        <v>0.1069</v>
      </c>
      <c r="F226">
        <v>52.08</v>
      </c>
      <c r="G226">
        <v>0</v>
      </c>
      <c r="H226">
        <v>8.42</v>
      </c>
      <c r="I226">
        <v>74.290000000000006</v>
      </c>
      <c r="J226">
        <v>278.25</v>
      </c>
      <c r="K226">
        <v>-86</v>
      </c>
      <c r="L226">
        <v>304.60000000000002</v>
      </c>
      <c r="M226">
        <v>306</v>
      </c>
      <c r="N226">
        <v>689974</v>
      </c>
      <c r="O226" t="s">
        <v>660</v>
      </c>
      <c r="P226" t="s">
        <v>661</v>
      </c>
      <c r="Q226" t="s">
        <v>662</v>
      </c>
    </row>
    <row r="227" spans="1:17">
      <c r="A227">
        <v>419</v>
      </c>
      <c r="B227">
        <v>463.2</v>
      </c>
      <c r="C227">
        <v>4.2</v>
      </c>
      <c r="D227">
        <v>0.25140000000000001</v>
      </c>
      <c r="E227">
        <v>0.30809999999999998</v>
      </c>
      <c r="F227">
        <v>68.12</v>
      </c>
      <c r="G227">
        <v>0</v>
      </c>
      <c r="H227">
        <v>7.42</v>
      </c>
      <c r="I227">
        <v>103.21</v>
      </c>
      <c r="J227">
        <v>299.49</v>
      </c>
      <c r="K227">
        <v>183.45</v>
      </c>
      <c r="L227">
        <v>136.4</v>
      </c>
      <c r="M227">
        <v>207.2</v>
      </c>
      <c r="N227">
        <v>598232</v>
      </c>
      <c r="O227" t="s">
        <v>568</v>
      </c>
      <c r="P227" t="s">
        <v>679</v>
      </c>
      <c r="Q227" t="s">
        <v>680</v>
      </c>
    </row>
    <row r="228" spans="1:17">
      <c r="A228">
        <v>420</v>
      </c>
      <c r="B228">
        <v>520</v>
      </c>
      <c r="C228">
        <v>4.4000000000000004</v>
      </c>
      <c r="D228">
        <v>0.26050000000000001</v>
      </c>
      <c r="E228">
        <v>0.25230000000000002</v>
      </c>
      <c r="F228">
        <v>66.099999999999994</v>
      </c>
      <c r="G228">
        <v>0</v>
      </c>
      <c r="H228">
        <v>8.44</v>
      </c>
      <c r="I228">
        <v>90.08</v>
      </c>
      <c r="J228">
        <v>332.65</v>
      </c>
      <c r="K228">
        <v>-86</v>
      </c>
      <c r="L228">
        <v>249</v>
      </c>
      <c r="M228">
        <v>281</v>
      </c>
      <c r="N228">
        <v>646059</v>
      </c>
      <c r="O228" t="s">
        <v>2516</v>
      </c>
      <c r="P228" t="s">
        <v>754</v>
      </c>
      <c r="Q228" t="s">
        <v>2520</v>
      </c>
    </row>
    <row r="229" spans="1:17">
      <c r="A229">
        <v>421</v>
      </c>
      <c r="B229">
        <v>503</v>
      </c>
      <c r="C229">
        <v>4.4000000000000004</v>
      </c>
      <c r="D229">
        <v>0.26929999999999998</v>
      </c>
      <c r="E229">
        <v>0.17860000000000001</v>
      </c>
      <c r="F229">
        <v>66.099999999999994</v>
      </c>
      <c r="G229">
        <v>0</v>
      </c>
      <c r="H229">
        <v>8.0399999999999991</v>
      </c>
      <c r="I229">
        <v>91.25</v>
      </c>
      <c r="J229">
        <v>315.64999999999998</v>
      </c>
      <c r="K229">
        <v>-86</v>
      </c>
      <c r="L229">
        <v>269</v>
      </c>
      <c r="M229">
        <v>303</v>
      </c>
      <c r="N229">
        <v>871283</v>
      </c>
      <c r="O229" t="s">
        <v>568</v>
      </c>
      <c r="P229" t="s">
        <v>754</v>
      </c>
      <c r="Q229" t="s">
        <v>791</v>
      </c>
    </row>
    <row r="230" spans="1:17">
      <c r="A230">
        <v>424</v>
      </c>
      <c r="B230">
        <v>832</v>
      </c>
      <c r="C230">
        <v>2.9</v>
      </c>
      <c r="D230">
        <v>0.25609999999999999</v>
      </c>
      <c r="E230">
        <v>0.3836</v>
      </c>
      <c r="F230">
        <v>178.23</v>
      </c>
      <c r="G230">
        <v>0</v>
      </c>
      <c r="H230">
        <v>8.9</v>
      </c>
      <c r="I230">
        <v>188.47</v>
      </c>
      <c r="J230">
        <v>573</v>
      </c>
      <c r="K230">
        <v>335.65</v>
      </c>
      <c r="L230">
        <v>430.12</v>
      </c>
      <c r="M230">
        <v>509.78</v>
      </c>
      <c r="N230">
        <v>501655</v>
      </c>
      <c r="O230" t="s">
        <v>787</v>
      </c>
      <c r="P230" t="s">
        <v>2361</v>
      </c>
      <c r="Q230" t="s">
        <v>2362</v>
      </c>
    </row>
    <row r="231" spans="1:17">
      <c r="A231">
        <v>501</v>
      </c>
      <c r="B231">
        <v>562.04999999999995</v>
      </c>
      <c r="C231">
        <v>4.8949999999999996</v>
      </c>
      <c r="D231">
        <v>0.27139999999999997</v>
      </c>
      <c r="E231">
        <v>0.21029999999999999</v>
      </c>
      <c r="F231">
        <v>78.11</v>
      </c>
      <c r="G231">
        <v>0</v>
      </c>
      <c r="H231">
        <v>9.16</v>
      </c>
      <c r="I231">
        <v>89.48</v>
      </c>
      <c r="J231">
        <v>353.24</v>
      </c>
      <c r="K231">
        <v>278.68</v>
      </c>
      <c r="L231">
        <v>82.93</v>
      </c>
      <c r="M231">
        <v>129.6</v>
      </c>
      <c r="N231">
        <v>71432</v>
      </c>
      <c r="O231" t="s">
        <v>491</v>
      </c>
      <c r="P231" t="s">
        <v>1110</v>
      </c>
      <c r="Q231" t="s">
        <v>1111</v>
      </c>
    </row>
    <row r="232" spans="1:17">
      <c r="A232">
        <v>502</v>
      </c>
      <c r="B232">
        <v>591.75</v>
      </c>
      <c r="C232">
        <v>4.1079999999999997</v>
      </c>
      <c r="D232">
        <v>0.26390000000000002</v>
      </c>
      <c r="E232">
        <v>0.26400000000000001</v>
      </c>
      <c r="F232">
        <v>92.14</v>
      </c>
      <c r="G232">
        <v>0</v>
      </c>
      <c r="H232">
        <v>8.9600000000000009</v>
      </c>
      <c r="I232">
        <v>106.57</v>
      </c>
      <c r="J232">
        <v>383.78</v>
      </c>
      <c r="K232">
        <v>178.18</v>
      </c>
      <c r="L232">
        <v>50</v>
      </c>
      <c r="M232">
        <v>122</v>
      </c>
      <c r="N232">
        <v>108883</v>
      </c>
      <c r="O232" t="s">
        <v>491</v>
      </c>
      <c r="P232" t="s">
        <v>1286</v>
      </c>
      <c r="Q232" t="s">
        <v>1287</v>
      </c>
    </row>
    <row r="233" spans="1:17">
      <c r="A233">
        <v>503</v>
      </c>
      <c r="B233">
        <v>694.1</v>
      </c>
      <c r="C233">
        <v>3.4369999999999998</v>
      </c>
      <c r="D233">
        <v>0.26300000000000001</v>
      </c>
      <c r="E233">
        <v>0.31390000000000001</v>
      </c>
      <c r="F233">
        <v>132.19999999999999</v>
      </c>
      <c r="G233">
        <v>0</v>
      </c>
      <c r="H233">
        <v>8.8699999999999992</v>
      </c>
      <c r="I233">
        <v>141.19999999999999</v>
      </c>
      <c r="J233">
        <v>463.75</v>
      </c>
      <c r="K233">
        <v>182.1</v>
      </c>
      <c r="L233">
        <v>37.08</v>
      </c>
      <c r="M233">
        <v>172.1</v>
      </c>
      <c r="N233">
        <v>767588</v>
      </c>
      <c r="O233" t="s">
        <v>848</v>
      </c>
      <c r="P233" t="s">
        <v>1657</v>
      </c>
      <c r="Q233" t="s">
        <v>2510</v>
      </c>
    </row>
    <row r="234" spans="1:17">
      <c r="A234">
        <v>504</v>
      </c>
      <c r="B234">
        <v>617.15</v>
      </c>
      <c r="C234">
        <v>3.609</v>
      </c>
      <c r="D234">
        <v>0.26300000000000001</v>
      </c>
      <c r="E234">
        <v>0.30349999999999999</v>
      </c>
      <c r="F234">
        <v>106.17</v>
      </c>
      <c r="G234">
        <v>0</v>
      </c>
      <c r="H234">
        <v>8.7899999999999991</v>
      </c>
      <c r="I234">
        <v>122.76</v>
      </c>
      <c r="J234">
        <v>409.35</v>
      </c>
      <c r="K234">
        <v>178.2</v>
      </c>
      <c r="L234">
        <v>29.79</v>
      </c>
      <c r="M234">
        <v>130.63</v>
      </c>
      <c r="N234">
        <v>100414</v>
      </c>
      <c r="O234" t="s">
        <v>491</v>
      </c>
      <c r="P234" t="s">
        <v>1430</v>
      </c>
      <c r="Q234" t="s">
        <v>1437</v>
      </c>
    </row>
    <row r="235" spans="1:17">
      <c r="A235">
        <v>505</v>
      </c>
      <c r="B235">
        <v>630.29999999999995</v>
      </c>
      <c r="C235">
        <v>3.7320000000000002</v>
      </c>
      <c r="D235">
        <v>0.26300000000000001</v>
      </c>
      <c r="E235">
        <v>0.31009999999999999</v>
      </c>
      <c r="F235">
        <v>106.17</v>
      </c>
      <c r="G235">
        <v>0</v>
      </c>
      <c r="H235">
        <v>8.99</v>
      </c>
      <c r="I235">
        <v>121.14</v>
      </c>
      <c r="J235">
        <v>417.58</v>
      </c>
      <c r="K235">
        <v>247.98</v>
      </c>
      <c r="L235">
        <v>19</v>
      </c>
      <c r="M235">
        <v>122</v>
      </c>
      <c r="N235">
        <v>95476</v>
      </c>
      <c r="O235" t="s">
        <v>491</v>
      </c>
      <c r="P235" t="s">
        <v>1430</v>
      </c>
      <c r="Q235" t="s">
        <v>1514</v>
      </c>
    </row>
    <row r="236" spans="1:17">
      <c r="A236">
        <v>506</v>
      </c>
      <c r="B236">
        <v>617</v>
      </c>
      <c r="C236">
        <v>3.5409999999999999</v>
      </c>
      <c r="D236">
        <v>0.25940000000000002</v>
      </c>
      <c r="E236">
        <v>0.32650000000000001</v>
      </c>
      <c r="F236">
        <v>106.17</v>
      </c>
      <c r="G236">
        <v>0</v>
      </c>
      <c r="H236">
        <v>8.83</v>
      </c>
      <c r="I236">
        <v>123.39</v>
      </c>
      <c r="J236">
        <v>412.27</v>
      </c>
      <c r="K236">
        <v>225.3</v>
      </c>
      <c r="L236">
        <v>17.23</v>
      </c>
      <c r="M236">
        <v>118.9</v>
      </c>
      <c r="N236">
        <v>108383</v>
      </c>
      <c r="O236" t="s">
        <v>491</v>
      </c>
      <c r="P236" t="s">
        <v>1430</v>
      </c>
      <c r="Q236" t="s">
        <v>1435</v>
      </c>
    </row>
    <row r="237" spans="1:17">
      <c r="A237">
        <v>507</v>
      </c>
      <c r="B237">
        <v>616.20000000000005</v>
      </c>
      <c r="C237">
        <v>3.5110000000000001</v>
      </c>
      <c r="D237">
        <v>0.25969999999999999</v>
      </c>
      <c r="E237">
        <v>0.32179999999999997</v>
      </c>
      <c r="F237">
        <v>106.17</v>
      </c>
      <c r="G237">
        <v>0</v>
      </c>
      <c r="H237">
        <v>8.75</v>
      </c>
      <c r="I237">
        <v>123.92</v>
      </c>
      <c r="J237">
        <v>411.51</v>
      </c>
      <c r="K237">
        <v>286.41000000000003</v>
      </c>
      <c r="L237">
        <v>17.95</v>
      </c>
      <c r="M237">
        <v>121.4</v>
      </c>
      <c r="N237">
        <v>106423</v>
      </c>
      <c r="O237" t="s">
        <v>491</v>
      </c>
      <c r="P237" t="s">
        <v>1430</v>
      </c>
      <c r="Q237" t="s">
        <v>1431</v>
      </c>
    </row>
    <row r="238" spans="1:17">
      <c r="A238">
        <v>508</v>
      </c>
      <c r="B238">
        <v>711.2</v>
      </c>
      <c r="C238">
        <v>3.5219999999999998</v>
      </c>
      <c r="D238">
        <v>0.26200000000000001</v>
      </c>
      <c r="E238">
        <v>0.32619999999999999</v>
      </c>
      <c r="F238">
        <v>132.19999999999999</v>
      </c>
      <c r="G238">
        <v>0</v>
      </c>
      <c r="H238">
        <v>8.84</v>
      </c>
      <c r="I238">
        <v>139.9</v>
      </c>
      <c r="J238">
        <v>475.15</v>
      </c>
      <c r="K238">
        <v>213.3</v>
      </c>
      <c r="L238">
        <v>31.72</v>
      </c>
      <c r="M238">
        <v>164.8</v>
      </c>
      <c r="N238">
        <v>874351</v>
      </c>
      <c r="O238" t="s">
        <v>848</v>
      </c>
      <c r="P238" t="s">
        <v>1657</v>
      </c>
      <c r="Q238" t="s">
        <v>2511</v>
      </c>
    </row>
    <row r="239" spans="1:17">
      <c r="A239">
        <v>509</v>
      </c>
      <c r="B239">
        <v>638.35</v>
      </c>
      <c r="C239">
        <v>3.2</v>
      </c>
      <c r="D239">
        <v>0.26529999999999998</v>
      </c>
      <c r="E239">
        <v>0.34439999999999998</v>
      </c>
      <c r="F239">
        <v>120.19</v>
      </c>
      <c r="G239">
        <v>0</v>
      </c>
      <c r="H239">
        <v>8.6300000000000008</v>
      </c>
      <c r="I239">
        <v>139.83000000000001</v>
      </c>
      <c r="J239">
        <v>432.37</v>
      </c>
      <c r="K239">
        <v>173.65</v>
      </c>
      <c r="L239">
        <v>7.91</v>
      </c>
      <c r="M239">
        <v>137.6</v>
      </c>
      <c r="N239">
        <v>103651</v>
      </c>
      <c r="O239" t="s">
        <v>491</v>
      </c>
      <c r="P239" t="s">
        <v>1515</v>
      </c>
      <c r="Q239" t="s">
        <v>1554</v>
      </c>
    </row>
    <row r="240" spans="1:17">
      <c r="A240">
        <v>510</v>
      </c>
      <c r="B240">
        <v>631</v>
      </c>
      <c r="C240">
        <v>3.2090000000000001</v>
      </c>
      <c r="D240">
        <v>0.26150000000000001</v>
      </c>
      <c r="E240">
        <v>0.32740000000000002</v>
      </c>
      <c r="F240">
        <v>120.19</v>
      </c>
      <c r="G240">
        <v>0</v>
      </c>
      <c r="H240">
        <v>8.52</v>
      </c>
      <c r="I240">
        <v>139.85</v>
      </c>
      <c r="J240">
        <v>425.56</v>
      </c>
      <c r="K240">
        <v>177.14</v>
      </c>
      <c r="L240">
        <v>3.93</v>
      </c>
      <c r="M240">
        <v>136.97999999999999</v>
      </c>
      <c r="N240">
        <v>98828</v>
      </c>
      <c r="O240" t="s">
        <v>491</v>
      </c>
      <c r="P240" t="s">
        <v>1515</v>
      </c>
      <c r="Q240" t="s">
        <v>1516</v>
      </c>
    </row>
    <row r="241" spans="1:17">
      <c r="A241">
        <v>511</v>
      </c>
      <c r="B241">
        <v>650</v>
      </c>
      <c r="C241">
        <v>3.29</v>
      </c>
      <c r="D241">
        <v>0.25829999999999997</v>
      </c>
      <c r="E241">
        <v>0.33529999999999999</v>
      </c>
      <c r="F241">
        <v>120.19</v>
      </c>
      <c r="G241">
        <v>0</v>
      </c>
      <c r="H241">
        <v>8.81</v>
      </c>
      <c r="I241">
        <v>137.11000000000001</v>
      </c>
      <c r="J241">
        <v>438.33</v>
      </c>
      <c r="K241">
        <v>192.35</v>
      </c>
      <c r="L241">
        <v>1.21</v>
      </c>
      <c r="M241">
        <v>131.06</v>
      </c>
      <c r="N241">
        <v>611143</v>
      </c>
      <c r="O241" t="s">
        <v>1627</v>
      </c>
      <c r="P241" t="s">
        <v>1515</v>
      </c>
      <c r="Q241" t="s">
        <v>1628</v>
      </c>
    </row>
    <row r="242" spans="1:17">
      <c r="A242">
        <v>512</v>
      </c>
      <c r="B242">
        <v>637.15</v>
      </c>
      <c r="C242">
        <v>3.15</v>
      </c>
      <c r="D242">
        <v>0.26269999999999999</v>
      </c>
      <c r="E242">
        <v>0.3649</v>
      </c>
      <c r="F242">
        <v>120.19</v>
      </c>
      <c r="G242">
        <v>0</v>
      </c>
      <c r="H242">
        <v>8.73</v>
      </c>
      <c r="I242">
        <v>139.69</v>
      </c>
      <c r="J242">
        <v>434.48</v>
      </c>
      <c r="K242">
        <v>177.61</v>
      </c>
      <c r="L242">
        <v>-1.92</v>
      </c>
      <c r="M242">
        <v>126.43</v>
      </c>
      <c r="N242">
        <v>620144</v>
      </c>
      <c r="O242" t="s">
        <v>491</v>
      </c>
      <c r="P242" t="s">
        <v>1515</v>
      </c>
      <c r="Q242" t="s">
        <v>1542</v>
      </c>
    </row>
    <row r="243" spans="1:17">
      <c r="A243">
        <v>513</v>
      </c>
      <c r="B243">
        <v>640.20000000000005</v>
      </c>
      <c r="C243">
        <v>3.23</v>
      </c>
      <c r="D243">
        <v>0.2596</v>
      </c>
      <c r="E243">
        <v>0.36659999999999998</v>
      </c>
      <c r="F243">
        <v>120.19</v>
      </c>
      <c r="G243">
        <v>0</v>
      </c>
      <c r="H243">
        <v>8.69</v>
      </c>
      <c r="I243">
        <v>140.25</v>
      </c>
      <c r="J243">
        <v>435.16</v>
      </c>
      <c r="K243">
        <v>210.83</v>
      </c>
      <c r="L243">
        <v>-3.26</v>
      </c>
      <c r="M243">
        <v>126.8</v>
      </c>
      <c r="N243">
        <v>622968</v>
      </c>
      <c r="O243" t="s">
        <v>1567</v>
      </c>
      <c r="P243" t="s">
        <v>1515</v>
      </c>
      <c r="Q243" t="s">
        <v>1568</v>
      </c>
    </row>
    <row r="244" spans="1:17">
      <c r="A244">
        <v>514</v>
      </c>
      <c r="B244">
        <v>664.5</v>
      </c>
      <c r="C244">
        <v>3.4540000000000002</v>
      </c>
      <c r="D244">
        <v>0.25879999999999997</v>
      </c>
      <c r="E244">
        <v>0.36659999999999998</v>
      </c>
      <c r="F244">
        <v>120.19</v>
      </c>
      <c r="G244">
        <v>0</v>
      </c>
      <c r="H244">
        <v>8.9700000000000006</v>
      </c>
      <c r="I244">
        <v>134.91</v>
      </c>
      <c r="J244">
        <v>449.27</v>
      </c>
      <c r="K244">
        <v>247.79</v>
      </c>
      <c r="L244">
        <v>-9.57</v>
      </c>
      <c r="M244">
        <v>124.4</v>
      </c>
      <c r="N244">
        <v>526738</v>
      </c>
      <c r="O244" t="s">
        <v>1725</v>
      </c>
      <c r="P244" t="s">
        <v>1515</v>
      </c>
      <c r="Q244" t="s">
        <v>1726</v>
      </c>
    </row>
    <row r="245" spans="1:17">
      <c r="A245">
        <v>515</v>
      </c>
      <c r="B245">
        <v>649.1</v>
      </c>
      <c r="C245">
        <v>3.2320000000000002</v>
      </c>
      <c r="D245">
        <v>0.25750000000000001</v>
      </c>
      <c r="E245">
        <v>0.37869999999999998</v>
      </c>
      <c r="F245">
        <v>120.19</v>
      </c>
      <c r="G245">
        <v>0</v>
      </c>
      <c r="H245">
        <v>8.84</v>
      </c>
      <c r="I245">
        <v>137.80000000000001</v>
      </c>
      <c r="J245">
        <v>442.53</v>
      </c>
      <c r="K245">
        <v>229.38</v>
      </c>
      <c r="L245">
        <v>-13.92</v>
      </c>
      <c r="M245">
        <v>117</v>
      </c>
      <c r="N245">
        <v>95636</v>
      </c>
      <c r="O245" t="s">
        <v>423</v>
      </c>
      <c r="P245" t="s">
        <v>1515</v>
      </c>
      <c r="Q245" t="s">
        <v>1622</v>
      </c>
    </row>
    <row r="246" spans="1:17">
      <c r="A246">
        <v>516</v>
      </c>
      <c r="B246">
        <v>637.29999999999995</v>
      </c>
      <c r="C246">
        <v>3.1269999999999998</v>
      </c>
      <c r="D246">
        <v>0.25840000000000002</v>
      </c>
      <c r="E246">
        <v>0.39850000000000002</v>
      </c>
      <c r="F246">
        <v>120.19</v>
      </c>
      <c r="G246">
        <v>0</v>
      </c>
      <c r="H246">
        <v>8.7799999999999994</v>
      </c>
      <c r="I246">
        <v>139.54</v>
      </c>
      <c r="J246">
        <v>437.89</v>
      </c>
      <c r="K246">
        <v>228.46</v>
      </c>
      <c r="L246">
        <v>-16.05</v>
      </c>
      <c r="M246">
        <v>118.1</v>
      </c>
      <c r="N246">
        <v>108678</v>
      </c>
      <c r="O246" t="s">
        <v>580</v>
      </c>
      <c r="P246" t="s">
        <v>1515</v>
      </c>
      <c r="Q246" t="s">
        <v>1543</v>
      </c>
    </row>
    <row r="247" spans="1:17">
      <c r="A247">
        <v>518</v>
      </c>
      <c r="B247">
        <v>660.5</v>
      </c>
      <c r="C247">
        <v>2.89</v>
      </c>
      <c r="D247">
        <v>0.26129999999999998</v>
      </c>
      <c r="E247">
        <v>0.39410000000000001</v>
      </c>
      <c r="F247">
        <v>134.22</v>
      </c>
      <c r="G247">
        <v>0</v>
      </c>
      <c r="H247">
        <v>8.5299999999999994</v>
      </c>
      <c r="I247">
        <v>156.49</v>
      </c>
      <c r="J247">
        <v>456.42</v>
      </c>
      <c r="K247">
        <v>185.18</v>
      </c>
      <c r="L247">
        <v>-13.8</v>
      </c>
      <c r="M247">
        <v>145.4</v>
      </c>
      <c r="N247">
        <v>104518</v>
      </c>
      <c r="O247" t="s">
        <v>491</v>
      </c>
      <c r="P247" t="s">
        <v>1618</v>
      </c>
      <c r="Q247" t="s">
        <v>1710</v>
      </c>
    </row>
    <row r="248" spans="1:17">
      <c r="A248">
        <v>519</v>
      </c>
      <c r="B248">
        <v>650</v>
      </c>
      <c r="C248">
        <v>3.05</v>
      </c>
      <c r="D248">
        <v>0.26979999999999998</v>
      </c>
      <c r="E248">
        <v>0.38169999999999998</v>
      </c>
      <c r="F248">
        <v>134.22</v>
      </c>
      <c r="G248">
        <v>0</v>
      </c>
      <c r="H248">
        <v>8.44</v>
      </c>
      <c r="I248">
        <v>158.07</v>
      </c>
      <c r="J248">
        <v>445.94</v>
      </c>
      <c r="K248">
        <v>221.7</v>
      </c>
      <c r="L248">
        <v>-20.54</v>
      </c>
      <c r="M248">
        <v>138.80000000000001</v>
      </c>
      <c r="N248">
        <v>538932</v>
      </c>
      <c r="O248" t="s">
        <v>1629</v>
      </c>
      <c r="P248" t="s">
        <v>1618</v>
      </c>
      <c r="Q248" t="s">
        <v>1630</v>
      </c>
    </row>
    <row r="249" spans="1:17">
      <c r="A249">
        <v>520</v>
      </c>
      <c r="B249">
        <v>664.54</v>
      </c>
      <c r="C249">
        <v>2.95</v>
      </c>
      <c r="D249">
        <v>0.2535</v>
      </c>
      <c r="E249">
        <v>0.27910000000000001</v>
      </c>
      <c r="F249">
        <v>134.22</v>
      </c>
      <c r="G249">
        <v>0</v>
      </c>
      <c r="H249">
        <v>8.34</v>
      </c>
      <c r="I249">
        <v>156.5</v>
      </c>
      <c r="J249">
        <v>446.48</v>
      </c>
      <c r="K249">
        <v>197.72</v>
      </c>
      <c r="L249">
        <v>-17.3</v>
      </c>
      <c r="M249">
        <v>145.22999999999999</v>
      </c>
      <c r="N249">
        <v>135988</v>
      </c>
      <c r="O249" t="s">
        <v>1727</v>
      </c>
      <c r="P249" t="s">
        <v>1618</v>
      </c>
      <c r="Q249" t="s">
        <v>1728</v>
      </c>
    </row>
    <row r="250" spans="1:17">
      <c r="A250">
        <v>521</v>
      </c>
      <c r="B250">
        <v>660</v>
      </c>
      <c r="C250">
        <v>2.97</v>
      </c>
      <c r="D250">
        <v>0.249</v>
      </c>
      <c r="E250">
        <v>0.26740000000000003</v>
      </c>
      <c r="F250">
        <v>134.22</v>
      </c>
      <c r="G250">
        <v>0</v>
      </c>
      <c r="H250">
        <v>8.3699999999999992</v>
      </c>
      <c r="I250">
        <v>155.6</v>
      </c>
      <c r="J250">
        <v>442.3</v>
      </c>
      <c r="K250">
        <v>215.27</v>
      </c>
      <c r="L250">
        <v>-22.6</v>
      </c>
      <c r="M250">
        <v>149.94999999999999</v>
      </c>
      <c r="N250">
        <v>98066</v>
      </c>
      <c r="O250" t="s">
        <v>1677</v>
      </c>
      <c r="P250" t="s">
        <v>1618</v>
      </c>
      <c r="Q250" t="s">
        <v>1700</v>
      </c>
    </row>
    <row r="251" spans="1:17">
      <c r="A251">
        <v>522</v>
      </c>
      <c r="B251">
        <v>657</v>
      </c>
      <c r="C251">
        <v>2.9</v>
      </c>
      <c r="D251">
        <v>0.24840000000000001</v>
      </c>
      <c r="E251">
        <v>0.36620000000000003</v>
      </c>
      <c r="F251">
        <v>134.22</v>
      </c>
      <c r="G251">
        <v>0</v>
      </c>
      <c r="H251">
        <v>8.5</v>
      </c>
      <c r="I251">
        <v>153.79</v>
      </c>
      <c r="J251">
        <v>451.33</v>
      </c>
      <c r="K251">
        <v>201.64</v>
      </c>
      <c r="L251">
        <v>-25.61</v>
      </c>
      <c r="M251">
        <v>137.36000000000001</v>
      </c>
      <c r="N251">
        <v>527844</v>
      </c>
      <c r="O251" t="s">
        <v>1677</v>
      </c>
      <c r="P251" t="s">
        <v>1618</v>
      </c>
      <c r="Q251" t="s">
        <v>1678</v>
      </c>
    </row>
    <row r="252" spans="1:17">
      <c r="A252">
        <v>523</v>
      </c>
      <c r="B252">
        <v>649</v>
      </c>
      <c r="C252">
        <v>2.81</v>
      </c>
      <c r="D252">
        <v>0.24249999999999999</v>
      </c>
      <c r="E252">
        <v>0.378</v>
      </c>
      <c r="F252">
        <v>134.22</v>
      </c>
      <c r="G252">
        <v>0</v>
      </c>
      <c r="H252">
        <v>8.3699999999999992</v>
      </c>
      <c r="I252">
        <v>156.59</v>
      </c>
      <c r="J252">
        <v>448.23</v>
      </c>
      <c r="K252">
        <v>209.44</v>
      </c>
      <c r="L252">
        <v>-27.99</v>
      </c>
      <c r="M252">
        <v>130.1</v>
      </c>
      <c r="N252">
        <v>535773</v>
      </c>
      <c r="O252" t="s">
        <v>1617</v>
      </c>
      <c r="P252" t="s">
        <v>1618</v>
      </c>
      <c r="Q252" t="s">
        <v>1619</v>
      </c>
    </row>
    <row r="253" spans="1:17">
      <c r="A253">
        <v>524</v>
      </c>
      <c r="B253">
        <v>652</v>
      </c>
      <c r="C253">
        <v>2.8</v>
      </c>
      <c r="D253">
        <v>0.2465</v>
      </c>
      <c r="E253">
        <v>0.37380000000000002</v>
      </c>
      <c r="F253">
        <v>134.22</v>
      </c>
      <c r="G253">
        <v>0</v>
      </c>
      <c r="H253">
        <v>8.4499999999999993</v>
      </c>
      <c r="I253">
        <v>157.44999999999999</v>
      </c>
      <c r="J253">
        <v>450.28</v>
      </c>
      <c r="K253">
        <v>205.25</v>
      </c>
      <c r="L253">
        <v>-27.99</v>
      </c>
      <c r="M253">
        <v>133.52000000000001</v>
      </c>
      <c r="N253">
        <v>99876</v>
      </c>
      <c r="O253" t="s">
        <v>1639</v>
      </c>
      <c r="P253" t="s">
        <v>1618</v>
      </c>
      <c r="Q253" t="s">
        <v>1640</v>
      </c>
    </row>
    <row r="254" spans="1:17">
      <c r="A254">
        <v>525</v>
      </c>
      <c r="B254">
        <v>668</v>
      </c>
      <c r="C254">
        <v>2.88</v>
      </c>
      <c r="D254">
        <v>0.26029999999999998</v>
      </c>
      <c r="E254">
        <v>0.33950000000000002</v>
      </c>
      <c r="F254">
        <v>134.22</v>
      </c>
      <c r="G254">
        <v>0</v>
      </c>
      <c r="H254">
        <v>8.68</v>
      </c>
      <c r="I254">
        <v>153.28</v>
      </c>
      <c r="J254">
        <v>456.57</v>
      </c>
      <c r="K254">
        <v>241.91</v>
      </c>
      <c r="L254">
        <v>-18.95</v>
      </c>
      <c r="M254">
        <v>141.08000000000001</v>
      </c>
      <c r="N254">
        <v>135013</v>
      </c>
      <c r="O254" t="s">
        <v>633</v>
      </c>
      <c r="P254" t="s">
        <v>1618</v>
      </c>
      <c r="Q254" t="s">
        <v>1744</v>
      </c>
    </row>
    <row r="255" spans="1:17">
      <c r="A255">
        <v>526</v>
      </c>
      <c r="B255">
        <v>663</v>
      </c>
      <c r="C255">
        <v>2.88</v>
      </c>
      <c r="D255">
        <v>0.255</v>
      </c>
      <c r="E255">
        <v>0.35399999999999998</v>
      </c>
      <c r="F255">
        <v>134.22</v>
      </c>
      <c r="G255">
        <v>0</v>
      </c>
      <c r="H255">
        <v>8.5399999999999991</v>
      </c>
      <c r="I255">
        <v>156.08000000000001</v>
      </c>
      <c r="J255">
        <v>454.25</v>
      </c>
      <c r="K255">
        <v>189.23</v>
      </c>
      <c r="L255">
        <v>-21.8</v>
      </c>
      <c r="M255">
        <v>136.69999999999999</v>
      </c>
      <c r="N255">
        <v>141935</v>
      </c>
      <c r="O255" t="s">
        <v>811</v>
      </c>
      <c r="P255" t="s">
        <v>1618</v>
      </c>
      <c r="Q255" t="s">
        <v>1716</v>
      </c>
    </row>
    <row r="256" spans="1:17">
      <c r="A256">
        <v>527</v>
      </c>
      <c r="B256">
        <v>657.9</v>
      </c>
      <c r="C256">
        <v>2.8029999999999999</v>
      </c>
      <c r="D256">
        <v>0.25469999999999998</v>
      </c>
      <c r="E256">
        <v>0.40279999999999999</v>
      </c>
      <c r="F256">
        <v>134.22</v>
      </c>
      <c r="G256">
        <v>0</v>
      </c>
      <c r="H256">
        <v>8.57</v>
      </c>
      <c r="I256">
        <v>156.44</v>
      </c>
      <c r="J256">
        <v>456.9</v>
      </c>
      <c r="K256">
        <v>230.3</v>
      </c>
      <c r="L256">
        <v>-22.3</v>
      </c>
      <c r="M256">
        <v>138.5</v>
      </c>
      <c r="N256">
        <v>105055</v>
      </c>
      <c r="O256" t="s">
        <v>1685</v>
      </c>
      <c r="P256" t="s">
        <v>1618</v>
      </c>
      <c r="Q256" t="s">
        <v>1686</v>
      </c>
    </row>
    <row r="257" spans="1:17">
      <c r="A257">
        <v>530</v>
      </c>
      <c r="B257">
        <v>693</v>
      </c>
      <c r="C257">
        <v>3.11</v>
      </c>
      <c r="D257">
        <v>0.24030000000000001</v>
      </c>
      <c r="E257">
        <v>0.41720000000000002</v>
      </c>
      <c r="F257">
        <v>134.22</v>
      </c>
      <c r="G257">
        <v>0</v>
      </c>
      <c r="H257">
        <v>9.2200000000000006</v>
      </c>
      <c r="I257">
        <v>149.07</v>
      </c>
      <c r="J257">
        <v>478.19</v>
      </c>
      <c r="K257">
        <v>266.89999999999998</v>
      </c>
      <c r="L257">
        <v>-33.049999999999997</v>
      </c>
      <c r="M257">
        <v>132.4</v>
      </c>
      <c r="N257">
        <v>488233</v>
      </c>
      <c r="O257" t="s">
        <v>566</v>
      </c>
      <c r="P257" t="s">
        <v>1618</v>
      </c>
      <c r="Q257" t="s">
        <v>1857</v>
      </c>
    </row>
    <row r="258" spans="1:17">
      <c r="A258">
        <v>531</v>
      </c>
      <c r="B258">
        <v>679</v>
      </c>
      <c r="C258">
        <v>2.97</v>
      </c>
      <c r="D258">
        <v>0.2487</v>
      </c>
      <c r="E258">
        <v>0.42420000000000002</v>
      </c>
      <c r="F258">
        <v>134.22</v>
      </c>
      <c r="G258">
        <v>0</v>
      </c>
      <c r="H258">
        <v>8.9600000000000009</v>
      </c>
      <c r="I258">
        <v>151.38</v>
      </c>
      <c r="J258">
        <v>471.15</v>
      </c>
      <c r="K258">
        <v>249.46</v>
      </c>
      <c r="L258">
        <v>-40.54</v>
      </c>
      <c r="M258">
        <v>123.1</v>
      </c>
      <c r="N258">
        <v>527537</v>
      </c>
      <c r="O258" t="s">
        <v>474</v>
      </c>
      <c r="P258" t="s">
        <v>1618</v>
      </c>
      <c r="Q258" t="s">
        <v>1783</v>
      </c>
    </row>
    <row r="259" spans="1:17">
      <c r="A259">
        <v>532</v>
      </c>
      <c r="B259">
        <v>676</v>
      </c>
      <c r="C259">
        <v>2.9</v>
      </c>
      <c r="D259">
        <v>0.251</v>
      </c>
      <c r="E259">
        <v>0.42170000000000002</v>
      </c>
      <c r="F259">
        <v>134.22</v>
      </c>
      <c r="G259">
        <v>0</v>
      </c>
      <c r="H259">
        <v>8.3699999999999992</v>
      </c>
      <c r="I259">
        <v>160</v>
      </c>
      <c r="J259">
        <v>469.99</v>
      </c>
      <c r="K259">
        <v>352.38</v>
      </c>
      <c r="L259">
        <v>-45.27</v>
      </c>
      <c r="M259">
        <v>117.7</v>
      </c>
      <c r="N259">
        <v>95932</v>
      </c>
      <c r="O259" t="s">
        <v>1774</v>
      </c>
      <c r="P259" t="s">
        <v>1618</v>
      </c>
      <c r="Q259" t="s">
        <v>1775</v>
      </c>
    </row>
    <row r="260" spans="1:17">
      <c r="A260">
        <v>534</v>
      </c>
      <c r="B260">
        <v>708</v>
      </c>
      <c r="C260">
        <v>2.2999999999999998</v>
      </c>
      <c r="D260">
        <v>0.28599999999999998</v>
      </c>
      <c r="E260">
        <v>0.50229999999999997</v>
      </c>
      <c r="F260">
        <v>190.32</v>
      </c>
      <c r="G260">
        <v>0</v>
      </c>
      <c r="H260">
        <v>7.57</v>
      </c>
      <c r="I260">
        <v>231.56</v>
      </c>
      <c r="J260">
        <v>510.43</v>
      </c>
      <c r="K260">
        <v>350.76</v>
      </c>
      <c r="L260">
        <v>-141.80000000000001</v>
      </c>
      <c r="M260">
        <v>159.22</v>
      </c>
      <c r="N260">
        <v>1012722</v>
      </c>
      <c r="O260" t="s">
        <v>2802</v>
      </c>
      <c r="P260" t="s">
        <v>2025</v>
      </c>
      <c r="Q260" t="s">
        <v>2805</v>
      </c>
    </row>
    <row r="261" spans="1:17">
      <c r="A261">
        <v>543</v>
      </c>
      <c r="B261">
        <v>684</v>
      </c>
      <c r="C261">
        <v>2.4500000000000002</v>
      </c>
      <c r="D261">
        <v>0.2429</v>
      </c>
      <c r="E261">
        <v>0.35870000000000002</v>
      </c>
      <c r="F261">
        <v>162.28</v>
      </c>
      <c r="G261">
        <v>0</v>
      </c>
      <c r="H261">
        <v>8.11</v>
      </c>
      <c r="I261">
        <v>190.37</v>
      </c>
      <c r="J261">
        <v>476.15</v>
      </c>
      <c r="K261">
        <v>210.15</v>
      </c>
      <c r="L261">
        <v>-77.599999999999994</v>
      </c>
      <c r="M261">
        <v>144.53</v>
      </c>
      <c r="N261">
        <v>99627</v>
      </c>
      <c r="O261" t="s">
        <v>474</v>
      </c>
      <c r="P261" t="s">
        <v>1806</v>
      </c>
      <c r="Q261" t="s">
        <v>1807</v>
      </c>
    </row>
    <row r="262" spans="1:17">
      <c r="A262">
        <v>544</v>
      </c>
      <c r="B262">
        <v>689</v>
      </c>
      <c r="C262">
        <v>2.4500000000000002</v>
      </c>
      <c r="D262">
        <v>0.24560000000000001</v>
      </c>
      <c r="E262">
        <v>0.39</v>
      </c>
      <c r="F262">
        <v>162.28</v>
      </c>
      <c r="G262">
        <v>0</v>
      </c>
      <c r="H262">
        <v>8.2799999999999994</v>
      </c>
      <c r="I262">
        <v>190.24</v>
      </c>
      <c r="J262">
        <v>483.52</v>
      </c>
      <c r="K262">
        <v>256.08</v>
      </c>
      <c r="L262">
        <v>-77.599999999999994</v>
      </c>
      <c r="M262">
        <v>147.80000000000001</v>
      </c>
      <c r="N262">
        <v>100185</v>
      </c>
      <c r="O262" t="s">
        <v>474</v>
      </c>
      <c r="P262" t="s">
        <v>1806</v>
      </c>
      <c r="Q262" t="s">
        <v>1837</v>
      </c>
    </row>
    <row r="263" spans="1:17">
      <c r="A263">
        <v>549</v>
      </c>
      <c r="B263">
        <v>714</v>
      </c>
      <c r="C263">
        <v>2.1800000000000002</v>
      </c>
      <c r="D263">
        <v>0.2303</v>
      </c>
      <c r="E263">
        <v>0.5272</v>
      </c>
      <c r="F263">
        <v>176.3</v>
      </c>
      <c r="G263">
        <v>0</v>
      </c>
      <c r="H263">
        <v>8.52</v>
      </c>
      <c r="I263">
        <v>206.67</v>
      </c>
      <c r="J263">
        <v>519.25</v>
      </c>
      <c r="K263">
        <v>225.15</v>
      </c>
      <c r="L263">
        <v>-75.2</v>
      </c>
      <c r="M263">
        <v>170.3</v>
      </c>
      <c r="N263">
        <v>1078713</v>
      </c>
      <c r="O263" t="s">
        <v>566</v>
      </c>
      <c r="P263" t="s">
        <v>1960</v>
      </c>
      <c r="Q263" t="s">
        <v>1961</v>
      </c>
    </row>
    <row r="264" spans="1:17">
      <c r="A264">
        <v>554</v>
      </c>
      <c r="B264">
        <v>753</v>
      </c>
      <c r="C264">
        <v>1.77</v>
      </c>
      <c r="D264">
        <v>0.2417</v>
      </c>
      <c r="E264">
        <v>0.67969999999999997</v>
      </c>
      <c r="F264">
        <v>218.38</v>
      </c>
      <c r="G264">
        <v>0</v>
      </c>
      <c r="H264">
        <v>8.34</v>
      </c>
      <c r="I264">
        <v>256.41000000000003</v>
      </c>
      <c r="J264">
        <v>571.04</v>
      </c>
      <c r="K264">
        <v>258.77</v>
      </c>
      <c r="L264">
        <v>-137.5</v>
      </c>
      <c r="M264">
        <v>195.1</v>
      </c>
      <c r="N264">
        <v>104723</v>
      </c>
      <c r="O264" t="s">
        <v>566</v>
      </c>
      <c r="P264" t="s">
        <v>2117</v>
      </c>
      <c r="Q264" t="s">
        <v>2118</v>
      </c>
    </row>
    <row r="265" spans="1:17">
      <c r="A265">
        <v>557</v>
      </c>
      <c r="B265">
        <v>744</v>
      </c>
      <c r="C265">
        <v>2.88</v>
      </c>
      <c r="D265">
        <v>0.26229999999999998</v>
      </c>
      <c r="E265">
        <v>0.37830000000000003</v>
      </c>
      <c r="F265">
        <v>160.26</v>
      </c>
      <c r="G265">
        <v>0</v>
      </c>
      <c r="H265">
        <v>9.16</v>
      </c>
      <c r="I265">
        <v>170.67</v>
      </c>
      <c r="J265">
        <v>513.27</v>
      </c>
      <c r="K265">
        <v>280.14</v>
      </c>
      <c r="L265">
        <v>-15.55</v>
      </c>
      <c r="M265">
        <v>189.3</v>
      </c>
      <c r="N265">
        <v>827521</v>
      </c>
      <c r="O265" t="s">
        <v>708</v>
      </c>
      <c r="P265" t="s">
        <v>2086</v>
      </c>
      <c r="Q265" t="s">
        <v>2087</v>
      </c>
    </row>
    <row r="266" spans="1:17">
      <c r="A266">
        <v>558</v>
      </c>
      <c r="B266">
        <v>773</v>
      </c>
      <c r="C266">
        <v>3.38</v>
      </c>
      <c r="D266">
        <v>0.28810000000000002</v>
      </c>
      <c r="E266">
        <v>0.40289999999999998</v>
      </c>
      <c r="F266">
        <v>154.21</v>
      </c>
      <c r="G266">
        <v>0</v>
      </c>
      <c r="H266">
        <v>9.41</v>
      </c>
      <c r="I266">
        <v>155.29</v>
      </c>
      <c r="J266">
        <v>528.15</v>
      </c>
      <c r="K266">
        <v>342.35</v>
      </c>
      <c r="L266">
        <v>182.1</v>
      </c>
      <c r="M266">
        <v>280.23</v>
      </c>
      <c r="N266">
        <v>92524</v>
      </c>
      <c r="O266" t="s">
        <v>2201</v>
      </c>
      <c r="P266" t="s">
        <v>2202</v>
      </c>
      <c r="Q266" t="s">
        <v>2203</v>
      </c>
    </row>
    <row r="267" spans="1:17">
      <c r="A267">
        <v>559</v>
      </c>
      <c r="B267">
        <v>908</v>
      </c>
      <c r="C267">
        <v>2.99</v>
      </c>
      <c r="D267">
        <v>0.32900000000000001</v>
      </c>
      <c r="E267">
        <v>0.64259999999999995</v>
      </c>
      <c r="F267">
        <v>230.31</v>
      </c>
      <c r="G267">
        <v>0</v>
      </c>
      <c r="H267">
        <v>8.43</v>
      </c>
      <c r="I267">
        <v>239.38</v>
      </c>
      <c r="J267">
        <v>649.15</v>
      </c>
      <c r="K267">
        <v>485.85</v>
      </c>
      <c r="L267">
        <v>276.60000000000002</v>
      </c>
      <c r="M267">
        <v>424</v>
      </c>
      <c r="N267">
        <v>92944</v>
      </c>
      <c r="O267" t="s">
        <v>761</v>
      </c>
      <c r="P267" t="s">
        <v>2412</v>
      </c>
      <c r="Q267" t="s">
        <v>2446</v>
      </c>
    </row>
    <row r="268" spans="1:17">
      <c r="A268">
        <v>560</v>
      </c>
      <c r="B268">
        <v>883</v>
      </c>
      <c r="C268">
        <v>2.48</v>
      </c>
      <c r="D268">
        <v>0.35060000000000002</v>
      </c>
      <c r="E268">
        <v>0.65090000000000003</v>
      </c>
      <c r="F268">
        <v>230.31</v>
      </c>
      <c r="G268">
        <v>0</v>
      </c>
      <c r="H268">
        <v>9.36</v>
      </c>
      <c r="I268">
        <v>221.12</v>
      </c>
      <c r="J268">
        <v>638.15</v>
      </c>
      <c r="K268">
        <v>360.65</v>
      </c>
      <c r="L268">
        <v>276.60000000000002</v>
      </c>
      <c r="M268">
        <v>423</v>
      </c>
      <c r="N268">
        <v>92068</v>
      </c>
      <c r="O268" t="s">
        <v>423</v>
      </c>
      <c r="P268" t="s">
        <v>2412</v>
      </c>
      <c r="Q268" t="s">
        <v>2430</v>
      </c>
    </row>
    <row r="269" spans="1:17">
      <c r="A269">
        <v>561</v>
      </c>
      <c r="B269">
        <v>857</v>
      </c>
      <c r="C269">
        <v>2.99</v>
      </c>
      <c r="D269">
        <v>0.39639999999999997</v>
      </c>
      <c r="E269">
        <v>0.55130000000000001</v>
      </c>
      <c r="F269">
        <v>230.31</v>
      </c>
      <c r="G269">
        <v>0</v>
      </c>
      <c r="H269">
        <v>9.02</v>
      </c>
      <c r="I269">
        <v>219.07</v>
      </c>
      <c r="J269">
        <v>605.15</v>
      </c>
      <c r="K269">
        <v>329.35</v>
      </c>
      <c r="L269">
        <v>276.60000000000002</v>
      </c>
      <c r="M269">
        <v>423</v>
      </c>
      <c r="N269">
        <v>84151</v>
      </c>
      <c r="O269" t="s">
        <v>761</v>
      </c>
      <c r="P269" t="s">
        <v>2412</v>
      </c>
      <c r="Q269" t="s">
        <v>2413</v>
      </c>
    </row>
    <row r="270" spans="1:17">
      <c r="A270">
        <v>562</v>
      </c>
      <c r="B270">
        <v>775</v>
      </c>
      <c r="C270">
        <v>2.68</v>
      </c>
      <c r="D270">
        <v>0.25119999999999998</v>
      </c>
      <c r="E270">
        <v>0.45660000000000001</v>
      </c>
      <c r="F270">
        <v>182.27</v>
      </c>
      <c r="G270">
        <v>0</v>
      </c>
      <c r="H270">
        <v>9.23</v>
      </c>
      <c r="I270">
        <v>183.01</v>
      </c>
      <c r="J270">
        <v>545.78</v>
      </c>
      <c r="K270">
        <v>255.14</v>
      </c>
      <c r="L270">
        <v>116</v>
      </c>
      <c r="M270">
        <v>270</v>
      </c>
      <c r="N270">
        <v>612000</v>
      </c>
      <c r="O270" t="s">
        <v>568</v>
      </c>
      <c r="P270" t="s">
        <v>2207</v>
      </c>
      <c r="Q270" t="s">
        <v>2208</v>
      </c>
    </row>
    <row r="271" spans="1:17">
      <c r="A271">
        <v>563</v>
      </c>
      <c r="B271">
        <v>760</v>
      </c>
      <c r="C271">
        <v>2.71</v>
      </c>
      <c r="D271">
        <v>0.25009999999999999</v>
      </c>
      <c r="E271">
        <v>0.48159999999999997</v>
      </c>
      <c r="F271">
        <v>168.24</v>
      </c>
      <c r="G271">
        <v>0</v>
      </c>
      <c r="H271">
        <v>9.58</v>
      </c>
      <c r="I271">
        <v>167.9</v>
      </c>
      <c r="J271">
        <v>537.41999999999996</v>
      </c>
      <c r="K271">
        <v>298.39</v>
      </c>
      <c r="L271">
        <v>157.19999999999999</v>
      </c>
      <c r="M271">
        <v>282</v>
      </c>
      <c r="N271">
        <v>101815</v>
      </c>
      <c r="O271" t="s">
        <v>2138</v>
      </c>
      <c r="P271" t="s">
        <v>2139</v>
      </c>
      <c r="Q271" t="s">
        <v>2140</v>
      </c>
    </row>
    <row r="272" spans="1:17">
      <c r="A272">
        <v>564</v>
      </c>
      <c r="B272">
        <v>780</v>
      </c>
      <c r="C272">
        <v>2.65</v>
      </c>
      <c r="D272">
        <v>0.24759999999999999</v>
      </c>
      <c r="E272">
        <v>0.48849999999999999</v>
      </c>
      <c r="F272">
        <v>182.27</v>
      </c>
      <c r="G272">
        <v>0</v>
      </c>
      <c r="H272">
        <v>8.9499999999999993</v>
      </c>
      <c r="I272">
        <v>188.81</v>
      </c>
      <c r="J272">
        <v>553.65</v>
      </c>
      <c r="K272">
        <v>324.33999999999997</v>
      </c>
      <c r="L272">
        <v>144</v>
      </c>
      <c r="M272">
        <v>297</v>
      </c>
      <c r="N272">
        <v>103297</v>
      </c>
      <c r="O272" t="s">
        <v>757</v>
      </c>
      <c r="P272" t="s">
        <v>2207</v>
      </c>
      <c r="Q272" t="s">
        <v>2231</v>
      </c>
    </row>
    <row r="273" spans="1:17">
      <c r="A273">
        <v>565</v>
      </c>
      <c r="B273">
        <v>865</v>
      </c>
      <c r="C273">
        <v>2.2000000000000002</v>
      </c>
      <c r="D273">
        <v>0.2303</v>
      </c>
      <c r="E273">
        <v>0.57350000000000001</v>
      </c>
      <c r="F273">
        <v>244.34</v>
      </c>
      <c r="G273">
        <v>0</v>
      </c>
      <c r="H273">
        <v>8.8000000000000007</v>
      </c>
      <c r="I273">
        <v>240.41</v>
      </c>
      <c r="J273">
        <v>532.35</v>
      </c>
      <c r="K273">
        <v>366.15</v>
      </c>
      <c r="L273">
        <v>271.2</v>
      </c>
      <c r="M273">
        <v>448.5</v>
      </c>
      <c r="N273">
        <v>519733</v>
      </c>
      <c r="O273" t="s">
        <v>474</v>
      </c>
      <c r="P273" t="s">
        <v>2416</v>
      </c>
      <c r="Q273" t="s">
        <v>2417</v>
      </c>
    </row>
    <row r="274" spans="1:17">
      <c r="A274">
        <v>566</v>
      </c>
      <c r="B274">
        <v>835</v>
      </c>
      <c r="C274">
        <v>2</v>
      </c>
      <c r="D274">
        <v>0.2228</v>
      </c>
      <c r="E274">
        <v>0.54669999999999996</v>
      </c>
      <c r="F274">
        <v>236.36</v>
      </c>
      <c r="G274">
        <v>0</v>
      </c>
      <c r="H274">
        <v>8.75</v>
      </c>
      <c r="I274">
        <v>239.96</v>
      </c>
      <c r="J274">
        <v>614</v>
      </c>
      <c r="K274">
        <v>-86</v>
      </c>
      <c r="L274">
        <v>161</v>
      </c>
      <c r="M274">
        <v>405</v>
      </c>
      <c r="N274">
        <v>6362807</v>
      </c>
      <c r="O274" t="s">
        <v>545</v>
      </c>
      <c r="P274" t="s">
        <v>2371</v>
      </c>
      <c r="Q274" t="s">
        <v>2372</v>
      </c>
    </row>
    <row r="275" spans="1:17">
      <c r="A275">
        <v>567</v>
      </c>
      <c r="B275">
        <v>679.9</v>
      </c>
      <c r="C275">
        <v>2.6040000000000001</v>
      </c>
      <c r="D275">
        <v>0.25359999999999999</v>
      </c>
      <c r="E275">
        <v>0.43780000000000002</v>
      </c>
      <c r="F275">
        <v>148.25</v>
      </c>
      <c r="G275">
        <v>0</v>
      </c>
      <c r="H275">
        <v>8.5299999999999994</v>
      </c>
      <c r="I275">
        <v>173.45</v>
      </c>
      <c r="J275">
        <v>478.61</v>
      </c>
      <c r="K275">
        <v>198.15</v>
      </c>
      <c r="L275">
        <v>-33.9</v>
      </c>
      <c r="M275">
        <v>153.58000000000001</v>
      </c>
      <c r="N275">
        <v>538681</v>
      </c>
      <c r="O275" t="s">
        <v>442</v>
      </c>
      <c r="P275" t="s">
        <v>1786</v>
      </c>
      <c r="Q275" t="s">
        <v>1787</v>
      </c>
    </row>
    <row r="276" spans="1:17">
      <c r="A276">
        <v>568</v>
      </c>
      <c r="B276">
        <v>698</v>
      </c>
      <c r="C276">
        <v>2.38</v>
      </c>
      <c r="D276">
        <v>0.27189999999999998</v>
      </c>
      <c r="E276">
        <v>0.47899999999999998</v>
      </c>
      <c r="F276">
        <v>162.28</v>
      </c>
      <c r="G276">
        <v>0</v>
      </c>
      <c r="H276">
        <v>8.43</v>
      </c>
      <c r="I276">
        <v>190.03</v>
      </c>
      <c r="J276">
        <v>499.25</v>
      </c>
      <c r="K276">
        <v>212.04</v>
      </c>
      <c r="L276">
        <v>-54.6</v>
      </c>
      <c r="M276">
        <v>161.9</v>
      </c>
      <c r="N276">
        <v>1077163</v>
      </c>
      <c r="O276" t="s">
        <v>1891</v>
      </c>
      <c r="P276" t="s">
        <v>1806</v>
      </c>
      <c r="Q276" t="s">
        <v>1892</v>
      </c>
    </row>
    <row r="277" spans="1:17">
      <c r="A277">
        <v>569</v>
      </c>
      <c r="B277">
        <v>729</v>
      </c>
      <c r="C277">
        <v>2.02</v>
      </c>
      <c r="D277">
        <v>0.22070000000000001</v>
      </c>
      <c r="E277">
        <v>0.56699999999999995</v>
      </c>
      <c r="F277">
        <v>190.33</v>
      </c>
      <c r="G277">
        <v>0</v>
      </c>
      <c r="H277">
        <v>8.4600000000000009</v>
      </c>
      <c r="I277">
        <v>223.23</v>
      </c>
      <c r="J277">
        <v>537.54999999999995</v>
      </c>
      <c r="K277">
        <v>237.15</v>
      </c>
      <c r="L277">
        <v>-95.82</v>
      </c>
      <c r="M277">
        <v>178.6</v>
      </c>
      <c r="N277">
        <v>2189608</v>
      </c>
      <c r="O277" t="s">
        <v>566</v>
      </c>
      <c r="P277" t="s">
        <v>2025</v>
      </c>
      <c r="Q277" t="s">
        <v>2026</v>
      </c>
    </row>
    <row r="278" spans="1:17">
      <c r="A278">
        <v>570</v>
      </c>
      <c r="B278">
        <v>741</v>
      </c>
      <c r="C278">
        <v>1.8959999999999999</v>
      </c>
      <c r="D278">
        <v>0.23169999999999999</v>
      </c>
      <c r="E278">
        <v>0.63800000000000001</v>
      </c>
      <c r="F278">
        <v>204.36</v>
      </c>
      <c r="G278">
        <v>0</v>
      </c>
      <c r="H278">
        <v>8.33</v>
      </c>
      <c r="I278">
        <v>239.79</v>
      </c>
      <c r="J278">
        <v>555.20000000000005</v>
      </c>
      <c r="K278">
        <v>249</v>
      </c>
      <c r="L278">
        <v>-116.8</v>
      </c>
      <c r="M278">
        <v>186.66</v>
      </c>
      <c r="N278">
        <v>1081772</v>
      </c>
      <c r="O278" t="s">
        <v>2516</v>
      </c>
      <c r="P278" t="s">
        <v>2521</v>
      </c>
      <c r="Q278" t="s">
        <v>2522</v>
      </c>
    </row>
    <row r="279" spans="1:17">
      <c r="A279">
        <v>571</v>
      </c>
      <c r="B279">
        <v>764</v>
      </c>
      <c r="C279">
        <v>1.6719999999999999</v>
      </c>
      <c r="D279">
        <v>0.24779999999999999</v>
      </c>
      <c r="E279">
        <v>0.72870000000000001</v>
      </c>
      <c r="F279">
        <v>232.41</v>
      </c>
      <c r="G279">
        <v>0</v>
      </c>
      <c r="H279">
        <v>8.34</v>
      </c>
      <c r="I279">
        <v>272.95999999999998</v>
      </c>
      <c r="J279">
        <v>586.4</v>
      </c>
      <c r="K279">
        <v>268</v>
      </c>
      <c r="L279">
        <v>-158.30000000000001</v>
      </c>
      <c r="M279">
        <v>203.4</v>
      </c>
      <c r="N279">
        <v>6742547</v>
      </c>
      <c r="O279" t="s">
        <v>491</v>
      </c>
      <c r="P279" t="s">
        <v>2158</v>
      </c>
      <c r="Q279" t="s">
        <v>2159</v>
      </c>
    </row>
    <row r="280" spans="1:17">
      <c r="A280">
        <v>572</v>
      </c>
      <c r="B280">
        <v>790</v>
      </c>
      <c r="C280">
        <v>1.48</v>
      </c>
      <c r="D280">
        <v>0.2266</v>
      </c>
      <c r="E280">
        <v>0.77990000000000004</v>
      </c>
      <c r="F280">
        <v>260.45999999999998</v>
      </c>
      <c r="G280">
        <v>0</v>
      </c>
      <c r="H280">
        <v>8.4</v>
      </c>
      <c r="I280">
        <v>305.89</v>
      </c>
      <c r="J280">
        <v>614.45000000000005</v>
      </c>
      <c r="K280">
        <v>283.14999999999998</v>
      </c>
      <c r="L280">
        <v>-199.7</v>
      </c>
      <c r="M280">
        <v>220</v>
      </c>
      <c r="N280">
        <v>123024</v>
      </c>
      <c r="O280" t="s">
        <v>1457</v>
      </c>
      <c r="P280" t="s">
        <v>2265</v>
      </c>
      <c r="Q280" t="s">
        <v>2266</v>
      </c>
    </row>
    <row r="281" spans="1:17">
      <c r="A281">
        <v>574</v>
      </c>
      <c r="B281">
        <v>780</v>
      </c>
      <c r="C281">
        <v>1.56</v>
      </c>
      <c r="D281">
        <v>0.24060000000000001</v>
      </c>
      <c r="E281">
        <v>0.73329999999999995</v>
      </c>
      <c r="F281">
        <v>246.44</v>
      </c>
      <c r="G281">
        <v>0</v>
      </c>
      <c r="H281">
        <v>8.4600000000000009</v>
      </c>
      <c r="I281">
        <v>289.60000000000002</v>
      </c>
      <c r="J281">
        <v>600.75</v>
      </c>
      <c r="K281">
        <v>276.14999999999998</v>
      </c>
      <c r="L281">
        <v>-178.7</v>
      </c>
      <c r="M281">
        <v>211.38</v>
      </c>
      <c r="N281">
        <v>123013</v>
      </c>
      <c r="O281" t="s">
        <v>491</v>
      </c>
      <c r="P281" t="s">
        <v>2232</v>
      </c>
      <c r="Q281" t="s">
        <v>2233</v>
      </c>
    </row>
    <row r="282" spans="1:17">
      <c r="A282">
        <v>575</v>
      </c>
      <c r="B282">
        <v>655</v>
      </c>
      <c r="C282">
        <v>2.75</v>
      </c>
      <c r="D282">
        <v>0.23300000000000001</v>
      </c>
      <c r="E282">
        <v>0.41689999999999999</v>
      </c>
      <c r="F282">
        <v>134.22</v>
      </c>
      <c r="G282">
        <v>0</v>
      </c>
      <c r="H282">
        <v>8.59</v>
      </c>
      <c r="I282">
        <v>155.91999999999999</v>
      </c>
      <c r="J282">
        <v>456.93</v>
      </c>
      <c r="K282">
        <v>189</v>
      </c>
      <c r="L282">
        <v>-35.4</v>
      </c>
      <c r="M282">
        <v>127.2</v>
      </c>
      <c r="N282">
        <v>934747</v>
      </c>
      <c r="O282" t="s">
        <v>1665</v>
      </c>
      <c r="P282" t="s">
        <v>1618</v>
      </c>
      <c r="Q282" t="s">
        <v>1666</v>
      </c>
    </row>
    <row r="283" spans="1:17">
      <c r="A283">
        <v>576</v>
      </c>
      <c r="B283">
        <v>671</v>
      </c>
      <c r="C283">
        <v>3.02</v>
      </c>
      <c r="D283">
        <v>0.23699999999999999</v>
      </c>
      <c r="E283">
        <v>0.40660000000000002</v>
      </c>
      <c r="F283">
        <v>134.22</v>
      </c>
      <c r="G283">
        <v>0</v>
      </c>
      <c r="H283">
        <v>8.8699999999999992</v>
      </c>
      <c r="I283">
        <v>151.41999999999999</v>
      </c>
      <c r="J283">
        <v>463.19</v>
      </c>
      <c r="K283">
        <v>257</v>
      </c>
      <c r="L283">
        <v>-26.23</v>
      </c>
      <c r="M283">
        <v>137.9</v>
      </c>
      <c r="N283">
        <v>2870044</v>
      </c>
      <c r="O283" t="s">
        <v>844</v>
      </c>
      <c r="P283" t="s">
        <v>1618</v>
      </c>
      <c r="Q283" t="s">
        <v>1754</v>
      </c>
    </row>
    <row r="284" spans="1:17">
      <c r="A284">
        <v>577</v>
      </c>
      <c r="B284">
        <v>663</v>
      </c>
      <c r="C284">
        <v>2.88</v>
      </c>
      <c r="D284">
        <v>0.27560000000000001</v>
      </c>
      <c r="E284">
        <v>0.41139999999999999</v>
      </c>
      <c r="F284">
        <v>134.22</v>
      </c>
      <c r="G284">
        <v>0</v>
      </c>
      <c r="H284">
        <v>8.61</v>
      </c>
      <c r="I284">
        <v>153.72</v>
      </c>
      <c r="J284">
        <v>460.09</v>
      </c>
      <c r="K284">
        <v>219</v>
      </c>
      <c r="L284">
        <v>-32.18</v>
      </c>
      <c r="M284">
        <v>127.3</v>
      </c>
      <c r="N284">
        <v>1758889</v>
      </c>
      <c r="O284" t="s">
        <v>863</v>
      </c>
      <c r="P284" t="s">
        <v>1618</v>
      </c>
      <c r="Q284" t="s">
        <v>1717</v>
      </c>
    </row>
    <row r="285" spans="1:17">
      <c r="A285">
        <v>578</v>
      </c>
      <c r="B285">
        <v>665</v>
      </c>
      <c r="C285">
        <v>2.88</v>
      </c>
      <c r="D285">
        <v>0.2351</v>
      </c>
      <c r="E285">
        <v>0.41399999999999998</v>
      </c>
      <c r="F285">
        <v>134.22</v>
      </c>
      <c r="G285">
        <v>0</v>
      </c>
      <c r="H285">
        <v>8.6300000000000008</v>
      </c>
      <c r="I285">
        <v>153.86000000000001</v>
      </c>
      <c r="J285">
        <v>461.59</v>
      </c>
      <c r="K285">
        <v>210</v>
      </c>
      <c r="L285">
        <v>-30.8</v>
      </c>
      <c r="M285">
        <v>128.6</v>
      </c>
      <c r="N285">
        <v>874419</v>
      </c>
      <c r="O285" t="s">
        <v>844</v>
      </c>
      <c r="P285" t="s">
        <v>1618</v>
      </c>
      <c r="Q285" t="s">
        <v>1729</v>
      </c>
    </row>
    <row r="286" spans="1:17">
      <c r="A286">
        <v>579</v>
      </c>
      <c r="B286">
        <v>667</v>
      </c>
      <c r="C286">
        <v>2.88</v>
      </c>
      <c r="D286">
        <v>0.2359</v>
      </c>
      <c r="E286">
        <v>0.41139999999999999</v>
      </c>
      <c r="F286">
        <v>134.22</v>
      </c>
      <c r="G286">
        <v>0</v>
      </c>
      <c r="H286">
        <v>8.7899999999999991</v>
      </c>
      <c r="I286">
        <v>154.16999999999999</v>
      </c>
      <c r="J286">
        <v>462.93</v>
      </c>
      <c r="K286">
        <v>206</v>
      </c>
      <c r="L286">
        <v>-32.090000000000003</v>
      </c>
      <c r="M286">
        <v>127.4</v>
      </c>
      <c r="N286">
        <v>934805</v>
      </c>
      <c r="O286" t="s">
        <v>844</v>
      </c>
      <c r="P286" t="s">
        <v>1618</v>
      </c>
      <c r="Q286" t="s">
        <v>1739</v>
      </c>
    </row>
    <row r="287" spans="1:17">
      <c r="A287">
        <v>580</v>
      </c>
      <c r="B287">
        <v>680</v>
      </c>
      <c r="C287">
        <v>2.88</v>
      </c>
      <c r="D287">
        <v>0.24690000000000001</v>
      </c>
      <c r="E287">
        <v>0.36209999999999998</v>
      </c>
      <c r="F287">
        <v>134.22</v>
      </c>
      <c r="G287">
        <v>0</v>
      </c>
      <c r="H287">
        <v>8.9499999999999993</v>
      </c>
      <c r="I287">
        <v>151.13</v>
      </c>
      <c r="J287">
        <v>467.11</v>
      </c>
      <c r="K287">
        <v>223.64</v>
      </c>
      <c r="L287">
        <v>-25.65</v>
      </c>
      <c r="M287">
        <v>138.4</v>
      </c>
      <c r="N287">
        <v>933982</v>
      </c>
      <c r="O287" t="s">
        <v>1788</v>
      </c>
      <c r="P287" t="s">
        <v>1618</v>
      </c>
      <c r="Q287" t="s">
        <v>1789</v>
      </c>
    </row>
    <row r="288" spans="1:17">
      <c r="A288">
        <v>581</v>
      </c>
      <c r="B288">
        <v>805</v>
      </c>
      <c r="C288">
        <v>1.99</v>
      </c>
      <c r="D288">
        <v>0.248</v>
      </c>
      <c r="E288">
        <v>0.52080000000000004</v>
      </c>
      <c r="F288">
        <v>238.37</v>
      </c>
      <c r="G288">
        <v>0</v>
      </c>
      <c r="H288">
        <v>8.14</v>
      </c>
      <c r="I288">
        <v>233.32</v>
      </c>
      <c r="J288">
        <v>500</v>
      </c>
      <c r="K288">
        <v>392.65</v>
      </c>
      <c r="L288">
        <v>59.2</v>
      </c>
      <c r="M288">
        <v>347</v>
      </c>
      <c r="N288">
        <v>1889674</v>
      </c>
      <c r="O288" t="s">
        <v>1861</v>
      </c>
      <c r="P288" t="s">
        <v>2302</v>
      </c>
      <c r="Q288" t="s">
        <v>2303</v>
      </c>
    </row>
    <row r="289" spans="1:17">
      <c r="A289">
        <v>583</v>
      </c>
      <c r="B289">
        <v>685</v>
      </c>
      <c r="C289">
        <v>3.01</v>
      </c>
      <c r="D289">
        <v>0.1847</v>
      </c>
      <c r="E289">
        <v>0.35639999999999999</v>
      </c>
      <c r="F289">
        <v>132.21</v>
      </c>
      <c r="G289">
        <v>0</v>
      </c>
      <c r="H289">
        <v>9.06</v>
      </c>
      <c r="I289">
        <v>143.84</v>
      </c>
      <c r="J289">
        <v>467.85</v>
      </c>
      <c r="K289">
        <v>249.65</v>
      </c>
      <c r="L289">
        <v>83.7</v>
      </c>
      <c r="M289">
        <v>212</v>
      </c>
      <c r="N289">
        <v>768003</v>
      </c>
      <c r="O289" t="s">
        <v>568</v>
      </c>
      <c r="P289" t="s">
        <v>1657</v>
      </c>
      <c r="Q289" t="s">
        <v>1811</v>
      </c>
    </row>
    <row r="290" spans="1:17">
      <c r="A290">
        <v>584</v>
      </c>
      <c r="B290">
        <v>654</v>
      </c>
      <c r="C290">
        <v>3.01</v>
      </c>
      <c r="D290">
        <v>0.19309999999999999</v>
      </c>
      <c r="E290">
        <v>0.36099999999999999</v>
      </c>
      <c r="F290">
        <v>132.21</v>
      </c>
      <c r="G290">
        <v>0</v>
      </c>
      <c r="H290">
        <v>8.66</v>
      </c>
      <c r="I290">
        <v>148.25</v>
      </c>
      <c r="J290">
        <v>447.15</v>
      </c>
      <c r="K290">
        <v>-86</v>
      </c>
      <c r="L290">
        <v>79.5</v>
      </c>
      <c r="M290">
        <v>208</v>
      </c>
      <c r="N290">
        <v>767997</v>
      </c>
      <c r="O290" t="s">
        <v>568</v>
      </c>
      <c r="P290" t="s">
        <v>1657</v>
      </c>
      <c r="Q290" t="s">
        <v>1658</v>
      </c>
    </row>
    <row r="291" spans="1:17">
      <c r="A291">
        <v>585</v>
      </c>
      <c r="B291">
        <v>662</v>
      </c>
      <c r="C291">
        <v>2.94</v>
      </c>
      <c r="D291">
        <v>0.25080000000000002</v>
      </c>
      <c r="E291">
        <v>0.40699999999999997</v>
      </c>
      <c r="F291">
        <v>134.22</v>
      </c>
      <c r="G291">
        <v>0</v>
      </c>
      <c r="H291">
        <v>8.6199999999999992</v>
      </c>
      <c r="I291">
        <v>154.33000000000001</v>
      </c>
      <c r="J291">
        <v>458.08</v>
      </c>
      <c r="K291">
        <v>212.85</v>
      </c>
      <c r="L291">
        <v>-19.78</v>
      </c>
      <c r="M291">
        <v>141</v>
      </c>
      <c r="N291">
        <v>1074175</v>
      </c>
      <c r="O291" t="s">
        <v>566</v>
      </c>
      <c r="P291" t="s">
        <v>1618</v>
      </c>
      <c r="Q291" t="s">
        <v>1714</v>
      </c>
    </row>
    <row r="292" spans="1:17">
      <c r="A292">
        <v>586</v>
      </c>
      <c r="B292">
        <v>654</v>
      </c>
      <c r="C292">
        <v>2.81</v>
      </c>
      <c r="D292">
        <v>0.25269999999999998</v>
      </c>
      <c r="E292">
        <v>0.4128</v>
      </c>
      <c r="F292">
        <v>134.22</v>
      </c>
      <c r="G292">
        <v>0</v>
      </c>
      <c r="H292">
        <v>8.56</v>
      </c>
      <c r="I292">
        <v>156.62</v>
      </c>
      <c r="J292">
        <v>455.13</v>
      </c>
      <c r="K292">
        <v>190.57</v>
      </c>
      <c r="L292">
        <v>-24.14</v>
      </c>
      <c r="M292">
        <v>135.19999999999999</v>
      </c>
      <c r="N292">
        <v>1074437</v>
      </c>
      <c r="O292" t="s">
        <v>566</v>
      </c>
      <c r="P292" t="s">
        <v>1618</v>
      </c>
      <c r="Q292" t="s">
        <v>1659</v>
      </c>
    </row>
    <row r="293" spans="1:17">
      <c r="A293">
        <v>587</v>
      </c>
      <c r="B293">
        <v>656</v>
      </c>
      <c r="C293">
        <v>2.81</v>
      </c>
      <c r="D293">
        <v>0.252</v>
      </c>
      <c r="E293">
        <v>0.41339999999999999</v>
      </c>
      <c r="F293">
        <v>134.22</v>
      </c>
      <c r="G293">
        <v>0</v>
      </c>
      <c r="H293">
        <v>8.5399999999999991</v>
      </c>
      <c r="I293">
        <v>157.1</v>
      </c>
      <c r="J293">
        <v>456.53</v>
      </c>
      <c r="K293">
        <v>209.46</v>
      </c>
      <c r="L293">
        <v>-23.14</v>
      </c>
      <c r="M293">
        <v>138.19999999999999</v>
      </c>
      <c r="N293">
        <v>1074551</v>
      </c>
      <c r="O293" t="s">
        <v>566</v>
      </c>
      <c r="P293" t="s">
        <v>1618</v>
      </c>
      <c r="Q293" t="s">
        <v>1673</v>
      </c>
    </row>
    <row r="294" spans="1:17">
      <c r="A294">
        <v>588</v>
      </c>
      <c r="B294">
        <v>840</v>
      </c>
      <c r="C294">
        <v>2.04</v>
      </c>
      <c r="D294">
        <v>0.23599999999999999</v>
      </c>
      <c r="E294">
        <v>0.61160000000000003</v>
      </c>
      <c r="F294">
        <v>258.36</v>
      </c>
      <c r="G294">
        <v>0</v>
      </c>
      <c r="H294">
        <v>9.11</v>
      </c>
      <c r="I294">
        <v>230.65</v>
      </c>
      <c r="J294">
        <v>671.15</v>
      </c>
      <c r="K294">
        <v>330.15</v>
      </c>
      <c r="L294">
        <v>130.19999999999999</v>
      </c>
      <c r="M294">
        <v>458.2</v>
      </c>
      <c r="N294">
        <v>1520429</v>
      </c>
      <c r="O294" t="s">
        <v>545</v>
      </c>
      <c r="P294" t="s">
        <v>2380</v>
      </c>
      <c r="Q294" t="s">
        <v>2381</v>
      </c>
    </row>
    <row r="295" spans="1:17">
      <c r="A295">
        <v>589</v>
      </c>
      <c r="B295">
        <v>983</v>
      </c>
      <c r="C295">
        <v>1.79</v>
      </c>
      <c r="D295">
        <v>0.21160000000000001</v>
      </c>
      <c r="E295">
        <v>0.6794</v>
      </c>
      <c r="F295">
        <v>320.43</v>
      </c>
      <c r="G295">
        <v>0</v>
      </c>
      <c r="H295">
        <v>8.34</v>
      </c>
      <c r="I295">
        <v>286.32</v>
      </c>
      <c r="J295">
        <v>704.15</v>
      </c>
      <c r="K295">
        <v>555.15</v>
      </c>
      <c r="L295">
        <v>247.1</v>
      </c>
      <c r="M295">
        <v>637.5</v>
      </c>
      <c r="N295">
        <v>630762</v>
      </c>
      <c r="O295" t="s">
        <v>474</v>
      </c>
      <c r="P295" t="s">
        <v>2462</v>
      </c>
      <c r="Q295" t="s">
        <v>2463</v>
      </c>
    </row>
    <row r="296" spans="1:17">
      <c r="A296">
        <v>590</v>
      </c>
      <c r="B296">
        <v>827</v>
      </c>
      <c r="C296">
        <v>1.67</v>
      </c>
      <c r="D296">
        <v>0.2482</v>
      </c>
      <c r="E296">
        <v>0.73219999999999996</v>
      </c>
      <c r="F296">
        <v>334.46</v>
      </c>
      <c r="G296">
        <v>0</v>
      </c>
      <c r="H296">
        <v>7.05</v>
      </c>
      <c r="I296">
        <v>345.63</v>
      </c>
      <c r="J296">
        <v>633.15</v>
      </c>
      <c r="K296">
        <v>487.65</v>
      </c>
      <c r="L296">
        <v>216</v>
      </c>
      <c r="M296">
        <v>619.29999999999995</v>
      </c>
      <c r="N296">
        <v>632508</v>
      </c>
      <c r="O296" t="s">
        <v>568</v>
      </c>
      <c r="P296" t="s">
        <v>2352</v>
      </c>
      <c r="Q296" t="s">
        <v>2353</v>
      </c>
    </row>
    <row r="297" spans="1:17">
      <c r="A297">
        <v>601</v>
      </c>
      <c r="B297">
        <v>636</v>
      </c>
      <c r="C297">
        <v>3.84</v>
      </c>
      <c r="D297">
        <v>0.26129999999999998</v>
      </c>
      <c r="E297">
        <v>0.29709999999999998</v>
      </c>
      <c r="F297">
        <v>104.15</v>
      </c>
      <c r="G297">
        <v>0</v>
      </c>
      <c r="H297">
        <v>9.3000000000000007</v>
      </c>
      <c r="I297">
        <v>115.67</v>
      </c>
      <c r="J297">
        <v>418.31</v>
      </c>
      <c r="K297">
        <v>242.54</v>
      </c>
      <c r="L297">
        <v>147.4</v>
      </c>
      <c r="M297">
        <v>213.8</v>
      </c>
      <c r="N297">
        <v>100425</v>
      </c>
      <c r="O297" t="s">
        <v>566</v>
      </c>
      <c r="P297" t="s">
        <v>1534</v>
      </c>
      <c r="Q297" t="s">
        <v>1535</v>
      </c>
    </row>
    <row r="298" spans="1:17">
      <c r="A298">
        <v>602</v>
      </c>
      <c r="B298">
        <v>659</v>
      </c>
      <c r="C298">
        <v>3.47</v>
      </c>
      <c r="D298">
        <v>0.2571</v>
      </c>
      <c r="E298">
        <v>0.3412</v>
      </c>
      <c r="F298">
        <v>118.18</v>
      </c>
      <c r="G298">
        <v>0</v>
      </c>
      <c r="H298">
        <v>9.27</v>
      </c>
      <c r="I298">
        <v>130.19999999999999</v>
      </c>
      <c r="J298">
        <v>442.95</v>
      </c>
      <c r="K298">
        <v>204.65</v>
      </c>
      <c r="L298">
        <v>118.4</v>
      </c>
      <c r="M298">
        <v>214.07</v>
      </c>
      <c r="N298">
        <v>611154</v>
      </c>
      <c r="O298" t="s">
        <v>474</v>
      </c>
      <c r="P298" t="s">
        <v>1661</v>
      </c>
      <c r="Q298" t="s">
        <v>1698</v>
      </c>
    </row>
    <row r="299" spans="1:17">
      <c r="A299">
        <v>603</v>
      </c>
      <c r="B299">
        <v>657</v>
      </c>
      <c r="C299">
        <v>3.29</v>
      </c>
      <c r="D299">
        <v>0.2452</v>
      </c>
      <c r="E299">
        <v>0.34870000000000001</v>
      </c>
      <c r="F299">
        <v>118.18</v>
      </c>
      <c r="G299">
        <v>0</v>
      </c>
      <c r="H299">
        <v>9.15</v>
      </c>
      <c r="I299">
        <v>130.21</v>
      </c>
      <c r="J299">
        <v>444.75</v>
      </c>
      <c r="K299">
        <v>186.81</v>
      </c>
      <c r="L299">
        <v>115.5</v>
      </c>
      <c r="M299">
        <v>209.3</v>
      </c>
      <c r="N299">
        <v>100801</v>
      </c>
      <c r="O299" t="s">
        <v>474</v>
      </c>
      <c r="P299" t="s">
        <v>1661</v>
      </c>
      <c r="Q299" t="s">
        <v>1679</v>
      </c>
    </row>
    <row r="300" spans="1:17">
      <c r="A300">
        <v>612</v>
      </c>
      <c r="B300">
        <v>665</v>
      </c>
      <c r="C300">
        <v>3.36</v>
      </c>
      <c r="D300">
        <v>0.2581</v>
      </c>
      <c r="E300">
        <v>0.3175</v>
      </c>
      <c r="F300">
        <v>118.18</v>
      </c>
      <c r="G300">
        <v>0</v>
      </c>
      <c r="H300">
        <v>9.25</v>
      </c>
      <c r="I300">
        <v>129.07</v>
      </c>
      <c r="J300">
        <v>445.95</v>
      </c>
      <c r="K300">
        <v>239</v>
      </c>
      <c r="L300">
        <v>114.64</v>
      </c>
      <c r="M300">
        <v>210.2</v>
      </c>
      <c r="N300">
        <v>622979</v>
      </c>
      <c r="O300" t="s">
        <v>474</v>
      </c>
      <c r="P300" t="s">
        <v>1661</v>
      </c>
      <c r="Q300" t="s">
        <v>1730</v>
      </c>
    </row>
    <row r="301" spans="1:17">
      <c r="A301">
        <v>613</v>
      </c>
      <c r="B301">
        <v>654</v>
      </c>
      <c r="C301">
        <v>3.36</v>
      </c>
      <c r="D301">
        <v>0.30869999999999997</v>
      </c>
      <c r="E301">
        <v>0.32300000000000001</v>
      </c>
      <c r="F301">
        <v>118.18</v>
      </c>
      <c r="G301">
        <v>0</v>
      </c>
      <c r="H301">
        <v>8.9600000000000009</v>
      </c>
      <c r="I301">
        <v>130.66</v>
      </c>
      <c r="J301">
        <v>438.65</v>
      </c>
      <c r="K301">
        <v>249.95</v>
      </c>
      <c r="L301">
        <v>113</v>
      </c>
      <c r="M301">
        <v>208.53</v>
      </c>
      <c r="N301">
        <v>98839</v>
      </c>
      <c r="O301" t="s">
        <v>1660</v>
      </c>
      <c r="P301" t="s">
        <v>1661</v>
      </c>
      <c r="Q301" t="s">
        <v>1662</v>
      </c>
    </row>
    <row r="302" spans="1:17">
      <c r="A302">
        <v>614</v>
      </c>
      <c r="B302">
        <v>692</v>
      </c>
      <c r="C302">
        <v>3.12</v>
      </c>
      <c r="D302">
        <v>0.25700000000000001</v>
      </c>
      <c r="E302">
        <v>0.37340000000000001</v>
      </c>
      <c r="F302">
        <v>130.19</v>
      </c>
      <c r="G302">
        <v>0</v>
      </c>
      <c r="H302">
        <v>9.17</v>
      </c>
      <c r="I302">
        <v>140.69</v>
      </c>
      <c r="J302">
        <v>472.65</v>
      </c>
      <c r="K302">
        <v>206.25</v>
      </c>
      <c r="L302">
        <v>212</v>
      </c>
      <c r="M302">
        <v>300.92</v>
      </c>
      <c r="N302">
        <v>108576</v>
      </c>
      <c r="O302" t="s">
        <v>568</v>
      </c>
      <c r="P302" t="s">
        <v>1850</v>
      </c>
      <c r="Q302" t="s">
        <v>1851</v>
      </c>
    </row>
    <row r="303" spans="1:17">
      <c r="A303">
        <v>615</v>
      </c>
      <c r="B303">
        <v>650</v>
      </c>
      <c r="C303">
        <v>4.28</v>
      </c>
      <c r="D303">
        <v>0.26290000000000002</v>
      </c>
      <c r="E303">
        <v>0.22639999999999999</v>
      </c>
      <c r="F303">
        <v>102.14</v>
      </c>
      <c r="G303">
        <v>0</v>
      </c>
      <c r="H303">
        <v>9.19</v>
      </c>
      <c r="I303">
        <v>110.53</v>
      </c>
      <c r="J303">
        <v>414.65</v>
      </c>
      <c r="K303">
        <v>228.35</v>
      </c>
      <c r="L303">
        <v>325.10000000000002</v>
      </c>
      <c r="M303">
        <v>361.9</v>
      </c>
      <c r="N303">
        <v>536743</v>
      </c>
      <c r="O303" t="s">
        <v>568</v>
      </c>
      <c r="P303" t="s">
        <v>1631</v>
      </c>
      <c r="Q303" t="s">
        <v>1632</v>
      </c>
    </row>
    <row r="304" spans="1:17">
      <c r="A304">
        <v>618</v>
      </c>
      <c r="B304">
        <v>671</v>
      </c>
      <c r="C304">
        <v>3.36</v>
      </c>
      <c r="D304">
        <v>0.24510000000000001</v>
      </c>
      <c r="E304">
        <v>0.34110000000000001</v>
      </c>
      <c r="F304">
        <v>118.18</v>
      </c>
      <c r="G304">
        <v>0</v>
      </c>
      <c r="H304">
        <v>9.26</v>
      </c>
      <c r="I304">
        <v>130.65</v>
      </c>
      <c r="J304">
        <v>452.03</v>
      </c>
      <c r="K304">
        <v>212.65</v>
      </c>
      <c r="L304">
        <v>121.3</v>
      </c>
      <c r="M304">
        <v>216.7</v>
      </c>
      <c r="N304">
        <v>766905</v>
      </c>
      <c r="O304" t="s">
        <v>568</v>
      </c>
      <c r="P304" t="s">
        <v>1661</v>
      </c>
      <c r="Q304" t="s">
        <v>1755</v>
      </c>
    </row>
    <row r="305" spans="1:17">
      <c r="A305">
        <v>619</v>
      </c>
      <c r="B305">
        <v>670</v>
      </c>
      <c r="C305">
        <v>3.36</v>
      </c>
      <c r="D305">
        <v>0.2455</v>
      </c>
      <c r="E305">
        <v>0.33929999999999999</v>
      </c>
      <c r="F305">
        <v>118.18</v>
      </c>
      <c r="G305">
        <v>0</v>
      </c>
      <c r="H305">
        <v>9.24</v>
      </c>
      <c r="I305">
        <v>130.74</v>
      </c>
      <c r="J305">
        <v>452.15</v>
      </c>
      <c r="K305">
        <v>246.05</v>
      </c>
      <c r="L305">
        <v>117.2</v>
      </c>
      <c r="M305">
        <v>214.1</v>
      </c>
      <c r="N305">
        <v>873665</v>
      </c>
      <c r="O305" t="s">
        <v>568</v>
      </c>
      <c r="P305" t="s">
        <v>1661</v>
      </c>
      <c r="Q305" t="s">
        <v>1747</v>
      </c>
    </row>
    <row r="306" spans="1:17">
      <c r="A306">
        <v>701</v>
      </c>
      <c r="B306">
        <v>748.4</v>
      </c>
      <c r="C306">
        <v>4.05</v>
      </c>
      <c r="D306">
        <v>0.2656</v>
      </c>
      <c r="E306">
        <v>0.30199999999999999</v>
      </c>
      <c r="F306">
        <v>128.16999999999999</v>
      </c>
      <c r="G306">
        <v>0</v>
      </c>
      <c r="H306">
        <v>9.51</v>
      </c>
      <c r="I306">
        <v>131.02000000000001</v>
      </c>
      <c r="J306">
        <v>491.14</v>
      </c>
      <c r="K306">
        <v>353.43</v>
      </c>
      <c r="L306">
        <v>150.58000000000001</v>
      </c>
      <c r="M306">
        <v>224.08</v>
      </c>
      <c r="N306">
        <v>91203</v>
      </c>
      <c r="O306" t="s">
        <v>491</v>
      </c>
      <c r="P306" t="s">
        <v>2104</v>
      </c>
      <c r="Q306" t="s">
        <v>2105</v>
      </c>
    </row>
    <row r="307" spans="1:17">
      <c r="A307">
        <v>702</v>
      </c>
      <c r="B307">
        <v>772</v>
      </c>
      <c r="C307">
        <v>3.6</v>
      </c>
      <c r="D307">
        <v>0.29820000000000002</v>
      </c>
      <c r="E307">
        <v>0.34160000000000001</v>
      </c>
      <c r="F307">
        <v>142.19999999999999</v>
      </c>
      <c r="G307">
        <v>0</v>
      </c>
      <c r="H307">
        <v>9.84</v>
      </c>
      <c r="I307">
        <v>139.9</v>
      </c>
      <c r="J307">
        <v>517.84</v>
      </c>
      <c r="K307">
        <v>242.67</v>
      </c>
      <c r="L307">
        <v>116.9</v>
      </c>
      <c r="M307">
        <v>217.9</v>
      </c>
      <c r="N307">
        <v>90120</v>
      </c>
      <c r="O307" t="s">
        <v>1465</v>
      </c>
      <c r="P307" t="s">
        <v>2144</v>
      </c>
      <c r="Q307" t="s">
        <v>2200</v>
      </c>
    </row>
    <row r="308" spans="1:17">
      <c r="A308">
        <v>703</v>
      </c>
      <c r="B308">
        <v>761</v>
      </c>
      <c r="C308">
        <v>3.5</v>
      </c>
      <c r="D308">
        <v>0.26040000000000002</v>
      </c>
      <c r="E308">
        <v>0.37809999999999999</v>
      </c>
      <c r="F308">
        <v>142.19999999999999</v>
      </c>
      <c r="G308">
        <v>0</v>
      </c>
      <c r="H308">
        <v>9.65</v>
      </c>
      <c r="I308">
        <v>143.11000000000001</v>
      </c>
      <c r="J308">
        <v>514.20000000000005</v>
      </c>
      <c r="K308">
        <v>307.73</v>
      </c>
      <c r="L308">
        <v>116.1</v>
      </c>
      <c r="M308">
        <v>216.28</v>
      </c>
      <c r="N308">
        <v>91576</v>
      </c>
      <c r="O308" t="s">
        <v>2143</v>
      </c>
      <c r="P308" t="s">
        <v>2144</v>
      </c>
      <c r="Q308" t="s">
        <v>2145</v>
      </c>
    </row>
    <row r="309" spans="1:17">
      <c r="A309">
        <v>704</v>
      </c>
      <c r="B309">
        <v>776</v>
      </c>
      <c r="C309">
        <v>3.32</v>
      </c>
      <c r="D309">
        <v>0.2487</v>
      </c>
      <c r="E309">
        <v>0.4073</v>
      </c>
      <c r="F309">
        <v>156.22999999999999</v>
      </c>
      <c r="G309">
        <v>0</v>
      </c>
      <c r="H309">
        <v>9.7100000000000009</v>
      </c>
      <c r="I309">
        <v>155.58000000000001</v>
      </c>
      <c r="J309">
        <v>531.48</v>
      </c>
      <c r="K309">
        <v>259.33999999999997</v>
      </c>
      <c r="L309">
        <v>96.9</v>
      </c>
      <c r="M309">
        <v>225.7</v>
      </c>
      <c r="N309">
        <v>1127760</v>
      </c>
      <c r="O309" t="s">
        <v>2215</v>
      </c>
      <c r="P309" t="s">
        <v>2210</v>
      </c>
      <c r="Q309" t="s">
        <v>2216</v>
      </c>
    </row>
    <row r="310" spans="1:17">
      <c r="A310">
        <v>706</v>
      </c>
      <c r="B310">
        <v>720</v>
      </c>
      <c r="C310">
        <v>3.65</v>
      </c>
      <c r="D310">
        <v>0.24310000000000001</v>
      </c>
      <c r="E310">
        <v>0.33529999999999999</v>
      </c>
      <c r="F310">
        <v>132.21</v>
      </c>
      <c r="G310">
        <v>0</v>
      </c>
      <c r="H310">
        <v>9.4600000000000009</v>
      </c>
      <c r="I310">
        <v>136.69999999999999</v>
      </c>
      <c r="J310">
        <v>480.8</v>
      </c>
      <c r="K310">
        <v>237.4</v>
      </c>
      <c r="L310">
        <v>26.61</v>
      </c>
      <c r="M310">
        <v>167.1</v>
      </c>
      <c r="N310">
        <v>119642</v>
      </c>
      <c r="O310" t="s">
        <v>1821</v>
      </c>
      <c r="P310" t="s">
        <v>1657</v>
      </c>
      <c r="Q310" t="s">
        <v>1982</v>
      </c>
    </row>
    <row r="311" spans="1:17">
      <c r="A311">
        <v>709</v>
      </c>
      <c r="B311">
        <v>777</v>
      </c>
      <c r="C311">
        <v>3.17</v>
      </c>
      <c r="D311">
        <v>0.24709999999999999</v>
      </c>
      <c r="E311">
        <v>0.41770000000000002</v>
      </c>
      <c r="F311">
        <v>156.22999999999999</v>
      </c>
      <c r="G311">
        <v>0</v>
      </c>
      <c r="H311">
        <v>8.82</v>
      </c>
      <c r="I311">
        <v>168.19</v>
      </c>
      <c r="J311">
        <v>535.15</v>
      </c>
      <c r="K311">
        <v>384.15</v>
      </c>
      <c r="L311">
        <v>-5.57</v>
      </c>
      <c r="M311">
        <v>30.96</v>
      </c>
      <c r="N311">
        <v>581420</v>
      </c>
      <c r="O311" t="s">
        <v>1824</v>
      </c>
      <c r="P311" t="s">
        <v>2210</v>
      </c>
      <c r="Q311" t="s">
        <v>2221</v>
      </c>
    </row>
    <row r="312" spans="1:17">
      <c r="A312">
        <v>710</v>
      </c>
      <c r="B312">
        <v>849</v>
      </c>
      <c r="C312">
        <v>2.63</v>
      </c>
      <c r="D312">
        <v>0.24440000000000001</v>
      </c>
      <c r="E312">
        <v>0.53090000000000004</v>
      </c>
      <c r="F312">
        <v>204.27</v>
      </c>
      <c r="G312">
        <v>0</v>
      </c>
      <c r="H312">
        <v>9.74</v>
      </c>
      <c r="I312">
        <v>189.93</v>
      </c>
      <c r="J312">
        <v>607.15</v>
      </c>
      <c r="K312">
        <v>318.14999999999998</v>
      </c>
      <c r="L312">
        <v>247</v>
      </c>
      <c r="M312">
        <v>371.11</v>
      </c>
      <c r="N312">
        <v>605027</v>
      </c>
      <c r="O312" t="s">
        <v>568</v>
      </c>
      <c r="P312" t="s">
        <v>2400</v>
      </c>
      <c r="Q312" t="s">
        <v>2401</v>
      </c>
    </row>
    <row r="313" spans="1:17">
      <c r="A313">
        <v>711</v>
      </c>
      <c r="B313">
        <v>835.1</v>
      </c>
      <c r="C313">
        <v>1.643</v>
      </c>
      <c r="D313">
        <v>0.21479999999999999</v>
      </c>
      <c r="E313">
        <v>0.72160000000000002</v>
      </c>
      <c r="F313">
        <v>254.42</v>
      </c>
      <c r="G313">
        <v>0</v>
      </c>
      <c r="H313">
        <v>8.51</v>
      </c>
      <c r="I313">
        <v>272.5</v>
      </c>
      <c r="J313">
        <v>639</v>
      </c>
      <c r="K313">
        <v>281.14999999999998</v>
      </c>
      <c r="L313">
        <v>-47.5</v>
      </c>
      <c r="M313">
        <v>283.29000000000002</v>
      </c>
      <c r="N313">
        <v>26438266</v>
      </c>
      <c r="O313" t="s">
        <v>474</v>
      </c>
      <c r="P313" t="s">
        <v>2375</v>
      </c>
      <c r="Q313" t="s">
        <v>2376</v>
      </c>
    </row>
    <row r="314" spans="1:17">
      <c r="A314">
        <v>712</v>
      </c>
      <c r="B314">
        <v>844</v>
      </c>
      <c r="C314">
        <v>1.5229999999999999</v>
      </c>
      <c r="D314">
        <v>0.23180000000000001</v>
      </c>
      <c r="E314">
        <v>0.74560000000000004</v>
      </c>
      <c r="F314">
        <v>268.44</v>
      </c>
      <c r="G314">
        <v>0</v>
      </c>
      <c r="H314">
        <v>8.41</v>
      </c>
      <c r="I314">
        <v>289.20999999999998</v>
      </c>
      <c r="J314">
        <v>652</v>
      </c>
      <c r="K314">
        <v>288.14999999999998</v>
      </c>
      <c r="L314">
        <v>-68.2</v>
      </c>
      <c r="M314">
        <v>291.60000000000002</v>
      </c>
      <c r="N314">
        <v>26438277</v>
      </c>
      <c r="O314" t="s">
        <v>474</v>
      </c>
      <c r="P314" t="s">
        <v>2390</v>
      </c>
      <c r="Q314" t="s">
        <v>2391</v>
      </c>
    </row>
    <row r="315" spans="1:17">
      <c r="A315">
        <v>713</v>
      </c>
      <c r="B315">
        <v>792</v>
      </c>
      <c r="C315">
        <v>2.68</v>
      </c>
      <c r="D315">
        <v>0.2399</v>
      </c>
      <c r="E315">
        <v>0.49509999999999998</v>
      </c>
      <c r="F315">
        <v>184.28</v>
      </c>
      <c r="G315">
        <v>0</v>
      </c>
      <c r="H315">
        <v>9.34</v>
      </c>
      <c r="I315">
        <v>189.36</v>
      </c>
      <c r="J315">
        <v>562.54</v>
      </c>
      <c r="K315">
        <v>253.43</v>
      </c>
      <c r="L315">
        <v>53.05</v>
      </c>
      <c r="M315">
        <v>240.1</v>
      </c>
      <c r="N315">
        <v>1634099</v>
      </c>
      <c r="O315" t="s">
        <v>1424</v>
      </c>
      <c r="P315" t="s">
        <v>2269</v>
      </c>
      <c r="Q315" t="s">
        <v>2270</v>
      </c>
    </row>
    <row r="316" spans="1:17">
      <c r="A316">
        <v>714</v>
      </c>
      <c r="B316">
        <v>813</v>
      </c>
      <c r="C316">
        <v>2.25</v>
      </c>
      <c r="D316">
        <v>0.22850000000000001</v>
      </c>
      <c r="E316">
        <v>0.58740000000000003</v>
      </c>
      <c r="F316">
        <v>212.34</v>
      </c>
      <c r="G316">
        <v>0</v>
      </c>
      <c r="H316">
        <v>9.15</v>
      </c>
      <c r="I316">
        <v>224.16</v>
      </c>
      <c r="J316">
        <v>595.15</v>
      </c>
      <c r="K316">
        <v>255.15</v>
      </c>
      <c r="L316">
        <v>14.4</v>
      </c>
      <c r="M316">
        <v>258.60000000000002</v>
      </c>
      <c r="N316">
        <v>2876531</v>
      </c>
      <c r="O316" t="s">
        <v>2209</v>
      </c>
      <c r="P316" t="s">
        <v>2311</v>
      </c>
      <c r="Q316" t="s">
        <v>2312</v>
      </c>
    </row>
    <row r="317" spans="1:17">
      <c r="A317">
        <v>715</v>
      </c>
      <c r="B317">
        <v>775</v>
      </c>
      <c r="C317">
        <v>3.23</v>
      </c>
      <c r="D317">
        <v>0.25290000000000001</v>
      </c>
      <c r="E317">
        <v>0.44769999999999999</v>
      </c>
      <c r="F317">
        <v>156.22999999999999</v>
      </c>
      <c r="G317">
        <v>0</v>
      </c>
      <c r="H317">
        <v>8.9499999999999993</v>
      </c>
      <c r="I317">
        <v>166.04</v>
      </c>
      <c r="J317">
        <v>535.15</v>
      </c>
      <c r="K317">
        <v>370.15</v>
      </c>
      <c r="L317">
        <v>-5.4</v>
      </c>
      <c r="M317">
        <v>214.7</v>
      </c>
      <c r="N317">
        <v>582161</v>
      </c>
      <c r="O317" t="s">
        <v>2209</v>
      </c>
      <c r="P317" t="s">
        <v>2210</v>
      </c>
      <c r="Q317" t="s">
        <v>2211</v>
      </c>
    </row>
    <row r="318" spans="1:17">
      <c r="A318">
        <v>716</v>
      </c>
      <c r="B318">
        <v>779</v>
      </c>
      <c r="C318">
        <v>1.89</v>
      </c>
      <c r="D318">
        <v>0.2429</v>
      </c>
      <c r="E318">
        <v>0.58879999999999999</v>
      </c>
      <c r="F318">
        <v>216.37</v>
      </c>
      <c r="G318">
        <v>0</v>
      </c>
      <c r="H318">
        <v>8.66</v>
      </c>
      <c r="I318">
        <v>235.79</v>
      </c>
      <c r="J318">
        <v>578.15</v>
      </c>
      <c r="K318">
        <v>-86</v>
      </c>
      <c r="L318">
        <v>-102.9</v>
      </c>
      <c r="M318">
        <v>214.3</v>
      </c>
      <c r="N318">
        <v>66325119</v>
      </c>
      <c r="O318" t="s">
        <v>568</v>
      </c>
      <c r="P318" t="s">
        <v>2227</v>
      </c>
      <c r="Q318" t="s">
        <v>2228</v>
      </c>
    </row>
    <row r="319" spans="1:17">
      <c r="A319">
        <v>717</v>
      </c>
      <c r="B319">
        <v>905</v>
      </c>
      <c r="C319">
        <v>2.61</v>
      </c>
      <c r="D319">
        <v>0.21279999999999999</v>
      </c>
      <c r="E319">
        <v>0.58750000000000002</v>
      </c>
      <c r="F319">
        <v>202.26</v>
      </c>
      <c r="G319">
        <v>0</v>
      </c>
      <c r="H319">
        <v>9.42</v>
      </c>
      <c r="I319">
        <v>184.69</v>
      </c>
      <c r="J319">
        <v>655.95</v>
      </c>
      <c r="K319">
        <v>383.33</v>
      </c>
      <c r="L319">
        <v>288.89999999999998</v>
      </c>
      <c r="M319">
        <v>386.2</v>
      </c>
      <c r="N319">
        <v>206440</v>
      </c>
      <c r="O319" t="s">
        <v>1209</v>
      </c>
      <c r="P319" t="s">
        <v>2442</v>
      </c>
      <c r="Q319" t="s">
        <v>2443</v>
      </c>
    </row>
    <row r="320" spans="1:17">
      <c r="A320">
        <v>723</v>
      </c>
      <c r="B320">
        <v>703</v>
      </c>
      <c r="C320">
        <v>3.46</v>
      </c>
      <c r="D320">
        <v>0.25019999999999998</v>
      </c>
      <c r="E320">
        <v>0.33489999999999998</v>
      </c>
      <c r="F320">
        <v>130.19</v>
      </c>
      <c r="G320">
        <v>0</v>
      </c>
      <c r="H320">
        <v>8.9499999999999993</v>
      </c>
      <c r="I320">
        <v>134.21</v>
      </c>
      <c r="J320">
        <v>471.65</v>
      </c>
      <c r="K320">
        <v>-86</v>
      </c>
      <c r="L320">
        <v>122</v>
      </c>
      <c r="M320">
        <v>228</v>
      </c>
      <c r="N320">
        <v>767599</v>
      </c>
      <c r="O320" t="s">
        <v>568</v>
      </c>
      <c r="P320" t="s">
        <v>1850</v>
      </c>
      <c r="Q320" t="s">
        <v>1918</v>
      </c>
    </row>
    <row r="321" spans="1:17">
      <c r="A321">
        <v>724</v>
      </c>
      <c r="B321">
        <v>711</v>
      </c>
      <c r="C321">
        <v>3.46</v>
      </c>
      <c r="D321">
        <v>0.25829999999999997</v>
      </c>
      <c r="E321">
        <v>0.3508</v>
      </c>
      <c r="F321">
        <v>130.19</v>
      </c>
      <c r="G321">
        <v>0</v>
      </c>
      <c r="H321">
        <v>8.6999999999999993</v>
      </c>
      <c r="I321">
        <v>133.66</v>
      </c>
      <c r="J321">
        <v>458</v>
      </c>
      <c r="K321">
        <v>353.15</v>
      </c>
      <c r="L321">
        <v>115</v>
      </c>
      <c r="M321">
        <v>219</v>
      </c>
      <c r="N321">
        <v>2177471</v>
      </c>
      <c r="O321" t="s">
        <v>568</v>
      </c>
      <c r="P321" t="s">
        <v>1850</v>
      </c>
      <c r="Q321" t="s">
        <v>1957</v>
      </c>
    </row>
    <row r="322" spans="1:17">
      <c r="A322">
        <v>725</v>
      </c>
      <c r="B322">
        <v>726</v>
      </c>
      <c r="C322">
        <v>2.77</v>
      </c>
      <c r="D322">
        <v>0.2336</v>
      </c>
      <c r="E322">
        <v>0.44190000000000002</v>
      </c>
      <c r="F322">
        <v>158.24</v>
      </c>
      <c r="G322">
        <v>0</v>
      </c>
      <c r="H322">
        <v>8.6300000000000008</v>
      </c>
      <c r="I322">
        <v>162.9</v>
      </c>
      <c r="J322">
        <v>508</v>
      </c>
      <c r="K322">
        <v>344.65</v>
      </c>
      <c r="L322">
        <v>51.7</v>
      </c>
      <c r="M322">
        <v>221</v>
      </c>
      <c r="N322">
        <v>4773835</v>
      </c>
      <c r="O322" t="s">
        <v>609</v>
      </c>
      <c r="P322" t="s">
        <v>2020</v>
      </c>
      <c r="Q322" t="s">
        <v>2021</v>
      </c>
    </row>
    <row r="323" spans="1:17">
      <c r="A323">
        <v>731</v>
      </c>
      <c r="B323">
        <v>908</v>
      </c>
      <c r="C323">
        <v>2.1</v>
      </c>
      <c r="D323">
        <v>0.22020000000000001</v>
      </c>
      <c r="E323">
        <v>0.5998</v>
      </c>
      <c r="F323">
        <v>256.35000000000002</v>
      </c>
      <c r="G323">
        <v>0</v>
      </c>
      <c r="H323">
        <v>9.1</v>
      </c>
      <c r="I323">
        <v>246.07</v>
      </c>
      <c r="J323">
        <v>669</v>
      </c>
      <c r="K323">
        <v>343.15</v>
      </c>
      <c r="L323">
        <v>340</v>
      </c>
      <c r="M323">
        <v>512</v>
      </c>
      <c r="N323">
        <v>58720</v>
      </c>
      <c r="O323" t="s">
        <v>2447</v>
      </c>
      <c r="P323" t="s">
        <v>2448</v>
      </c>
      <c r="Q323" t="s">
        <v>2449</v>
      </c>
    </row>
    <row r="324" spans="1:17">
      <c r="A324">
        <v>732</v>
      </c>
      <c r="B324">
        <v>996</v>
      </c>
      <c r="C324">
        <v>1.71</v>
      </c>
      <c r="D324">
        <v>0.20610000000000001</v>
      </c>
      <c r="E324">
        <v>0.72850000000000004</v>
      </c>
      <c r="F324">
        <v>332.45</v>
      </c>
      <c r="G324">
        <v>0</v>
      </c>
      <c r="H324">
        <v>8.89</v>
      </c>
      <c r="I324">
        <v>282.31</v>
      </c>
      <c r="J324">
        <v>693.15</v>
      </c>
      <c r="K324">
        <v>496.15</v>
      </c>
      <c r="L324">
        <v>438</v>
      </c>
      <c r="M324">
        <v>665</v>
      </c>
      <c r="N324">
        <v>632519</v>
      </c>
      <c r="O324" t="s">
        <v>609</v>
      </c>
      <c r="P324" t="s">
        <v>2464</v>
      </c>
      <c r="Q324" t="s">
        <v>2465</v>
      </c>
    </row>
    <row r="325" spans="1:17">
      <c r="A325">
        <v>735</v>
      </c>
      <c r="B325">
        <v>784</v>
      </c>
      <c r="C325">
        <v>2.74</v>
      </c>
      <c r="D325">
        <v>0.2404</v>
      </c>
      <c r="E325">
        <v>0.4758</v>
      </c>
      <c r="F325">
        <v>180.25</v>
      </c>
      <c r="G325">
        <v>0</v>
      </c>
      <c r="H325">
        <v>9.4</v>
      </c>
      <c r="I325">
        <v>178.34</v>
      </c>
      <c r="J325">
        <v>535</v>
      </c>
      <c r="K325">
        <v>278.64999999999998</v>
      </c>
      <c r="L325">
        <v>245.2</v>
      </c>
      <c r="M325">
        <v>375.6</v>
      </c>
      <c r="N325">
        <v>645498</v>
      </c>
      <c r="O325" t="s">
        <v>787</v>
      </c>
      <c r="P325" t="s">
        <v>2252</v>
      </c>
      <c r="Q325" t="s">
        <v>2253</v>
      </c>
    </row>
    <row r="326" spans="1:17">
      <c r="A326">
        <v>736</v>
      </c>
      <c r="B326">
        <v>820</v>
      </c>
      <c r="C326">
        <v>2.74</v>
      </c>
      <c r="D326">
        <v>0.24390000000000001</v>
      </c>
      <c r="E326">
        <v>0.4874</v>
      </c>
      <c r="F326">
        <v>180.25</v>
      </c>
      <c r="G326">
        <v>0</v>
      </c>
      <c r="H326">
        <v>9.1199999999999992</v>
      </c>
      <c r="I326">
        <v>188.68</v>
      </c>
      <c r="J326">
        <v>579.65</v>
      </c>
      <c r="K326">
        <v>397.35</v>
      </c>
      <c r="L326">
        <v>241</v>
      </c>
      <c r="M326">
        <v>356.8</v>
      </c>
      <c r="N326">
        <v>103300</v>
      </c>
      <c r="O326" t="s">
        <v>545</v>
      </c>
      <c r="P326" t="s">
        <v>2252</v>
      </c>
      <c r="Q326" t="s">
        <v>2327</v>
      </c>
    </row>
    <row r="327" spans="1:17">
      <c r="A327">
        <v>738</v>
      </c>
      <c r="B327">
        <v>826</v>
      </c>
      <c r="C327">
        <v>3</v>
      </c>
      <c r="D327">
        <v>0.16589999999999999</v>
      </c>
      <c r="E327">
        <v>0.4042</v>
      </c>
      <c r="F327">
        <v>166.22</v>
      </c>
      <c r="G327">
        <v>0</v>
      </c>
      <c r="H327">
        <v>10.58</v>
      </c>
      <c r="I327">
        <v>128.24</v>
      </c>
      <c r="J327">
        <v>570.44000000000005</v>
      </c>
      <c r="K327">
        <v>386.35</v>
      </c>
      <c r="L327">
        <v>186.9</v>
      </c>
      <c r="M327">
        <v>290.10000000000002</v>
      </c>
      <c r="N327">
        <v>86737</v>
      </c>
      <c r="O327" t="s">
        <v>2349</v>
      </c>
      <c r="P327" t="s">
        <v>2350</v>
      </c>
      <c r="Q327" t="s">
        <v>2351</v>
      </c>
    </row>
    <row r="328" spans="1:17">
      <c r="A328">
        <v>803</v>
      </c>
      <c r="B328">
        <v>687</v>
      </c>
      <c r="C328">
        <v>3.82</v>
      </c>
      <c r="D328">
        <v>0.24199999999999999</v>
      </c>
      <c r="E328">
        <v>0.33379999999999999</v>
      </c>
      <c r="F328">
        <v>116.16</v>
      </c>
      <c r="G328">
        <v>0</v>
      </c>
      <c r="H328">
        <v>9.93</v>
      </c>
      <c r="I328">
        <v>116.86</v>
      </c>
      <c r="J328">
        <v>455.59</v>
      </c>
      <c r="K328">
        <v>271.64999999999998</v>
      </c>
      <c r="L328">
        <v>163.28</v>
      </c>
      <c r="M328">
        <v>233.97</v>
      </c>
      <c r="N328">
        <v>95136</v>
      </c>
      <c r="O328" t="s">
        <v>1824</v>
      </c>
      <c r="P328" t="s">
        <v>1825</v>
      </c>
      <c r="Q328" t="s">
        <v>1826</v>
      </c>
    </row>
    <row r="329" spans="1:17">
      <c r="A329">
        <v>804</v>
      </c>
      <c r="B329">
        <v>873</v>
      </c>
      <c r="C329">
        <v>2.9</v>
      </c>
      <c r="D329">
        <v>0.25190000000000001</v>
      </c>
      <c r="E329">
        <v>0.48570000000000002</v>
      </c>
      <c r="F329">
        <v>178.23</v>
      </c>
      <c r="G329">
        <v>0</v>
      </c>
      <c r="H329">
        <v>8.68</v>
      </c>
      <c r="I329">
        <v>182.9</v>
      </c>
      <c r="J329">
        <v>615.17999999999995</v>
      </c>
      <c r="K329">
        <v>489.25</v>
      </c>
      <c r="L329">
        <v>230.9</v>
      </c>
      <c r="M329">
        <v>331.7</v>
      </c>
      <c r="N329">
        <v>120127</v>
      </c>
      <c r="O329" t="s">
        <v>2425</v>
      </c>
      <c r="P329" t="s">
        <v>2361</v>
      </c>
      <c r="Q329" t="s">
        <v>2426</v>
      </c>
    </row>
    <row r="330" spans="1:17">
      <c r="A330">
        <v>805</v>
      </c>
      <c r="B330">
        <v>869</v>
      </c>
      <c r="C330">
        <v>2.9</v>
      </c>
      <c r="D330">
        <v>0.2213</v>
      </c>
      <c r="E330">
        <v>0.47070000000000001</v>
      </c>
      <c r="F330">
        <v>178.23</v>
      </c>
      <c r="G330">
        <v>0</v>
      </c>
      <c r="H330">
        <v>9.81</v>
      </c>
      <c r="I330">
        <v>167.08</v>
      </c>
      <c r="J330">
        <v>612.54999999999995</v>
      </c>
      <c r="K330">
        <v>372.65</v>
      </c>
      <c r="L330">
        <v>207.1</v>
      </c>
      <c r="M330">
        <v>308.10000000000002</v>
      </c>
      <c r="N330">
        <v>85018</v>
      </c>
      <c r="O330" t="s">
        <v>2421</v>
      </c>
      <c r="P330" t="s">
        <v>2361</v>
      </c>
      <c r="Q330" t="s">
        <v>2422</v>
      </c>
    </row>
    <row r="331" spans="1:17">
      <c r="A331">
        <v>806</v>
      </c>
      <c r="B331">
        <v>979</v>
      </c>
      <c r="C331">
        <v>2.39</v>
      </c>
      <c r="D331">
        <v>0.20150000000000001</v>
      </c>
      <c r="E331">
        <v>0.60299999999999998</v>
      </c>
      <c r="F331">
        <v>228.29</v>
      </c>
      <c r="G331">
        <v>0</v>
      </c>
      <c r="H331">
        <v>9.25</v>
      </c>
      <c r="I331">
        <v>223.11</v>
      </c>
      <c r="J331">
        <v>714.15</v>
      </c>
      <c r="K331">
        <v>531.15</v>
      </c>
      <c r="L331">
        <v>262.89999999999998</v>
      </c>
      <c r="M331">
        <v>403</v>
      </c>
      <c r="N331">
        <v>218019</v>
      </c>
      <c r="O331" t="s">
        <v>2459</v>
      </c>
      <c r="P331" t="s">
        <v>2460</v>
      </c>
      <c r="Q331" t="s">
        <v>2461</v>
      </c>
    </row>
    <row r="332" spans="1:17">
      <c r="A332">
        <v>807</v>
      </c>
      <c r="B332">
        <v>936</v>
      </c>
      <c r="C332">
        <v>2.61</v>
      </c>
      <c r="D332">
        <v>0.21</v>
      </c>
      <c r="E332">
        <v>0.50739999999999996</v>
      </c>
      <c r="F332">
        <v>202.26</v>
      </c>
      <c r="G332">
        <v>0</v>
      </c>
      <c r="H332">
        <v>9.6</v>
      </c>
      <c r="I332">
        <v>185.56</v>
      </c>
      <c r="J332">
        <v>667.95</v>
      </c>
      <c r="K332">
        <v>423.35</v>
      </c>
      <c r="L332">
        <v>225</v>
      </c>
      <c r="M332">
        <v>327.2</v>
      </c>
      <c r="N332">
        <v>129000</v>
      </c>
      <c r="O332" t="s">
        <v>566</v>
      </c>
      <c r="P332" t="s">
        <v>2442</v>
      </c>
      <c r="Q332" t="s">
        <v>2453</v>
      </c>
    </row>
    <row r="333" spans="1:17">
      <c r="A333">
        <v>808</v>
      </c>
      <c r="B333">
        <v>803.15</v>
      </c>
      <c r="C333">
        <v>3.1</v>
      </c>
      <c r="D333">
        <v>0.2298</v>
      </c>
      <c r="E333">
        <v>0.38109999999999999</v>
      </c>
      <c r="F333">
        <v>154.21</v>
      </c>
      <c r="G333">
        <v>0</v>
      </c>
      <c r="H333">
        <v>9.52</v>
      </c>
      <c r="I333">
        <v>149.79</v>
      </c>
      <c r="J333">
        <v>550.54</v>
      </c>
      <c r="K333">
        <v>366.56</v>
      </c>
      <c r="L333">
        <v>155</v>
      </c>
      <c r="M333">
        <v>260.2</v>
      </c>
      <c r="N333">
        <v>83329</v>
      </c>
      <c r="O333" t="s">
        <v>2294</v>
      </c>
      <c r="P333" t="s">
        <v>2202</v>
      </c>
      <c r="Q333" t="s">
        <v>2295</v>
      </c>
    </row>
    <row r="334" spans="1:17">
      <c r="A334">
        <v>809</v>
      </c>
      <c r="B334">
        <v>792</v>
      </c>
      <c r="C334">
        <v>3.2</v>
      </c>
      <c r="D334">
        <v>0.23180000000000001</v>
      </c>
      <c r="E334">
        <v>0.3987</v>
      </c>
      <c r="F334">
        <v>152.19999999999999</v>
      </c>
      <c r="G334">
        <v>0</v>
      </c>
      <c r="H334">
        <v>8.93</v>
      </c>
      <c r="I334">
        <v>178.12</v>
      </c>
      <c r="J334">
        <v>553.15</v>
      </c>
      <c r="K334">
        <v>362.65</v>
      </c>
      <c r="L334">
        <v>186.6</v>
      </c>
      <c r="M334">
        <v>328</v>
      </c>
      <c r="N334">
        <v>208968</v>
      </c>
      <c r="O334" t="s">
        <v>2128</v>
      </c>
      <c r="P334" t="s">
        <v>2271</v>
      </c>
      <c r="Q334" t="s">
        <v>2272</v>
      </c>
    </row>
    <row r="335" spans="1:17">
      <c r="A335">
        <v>814</v>
      </c>
      <c r="B335">
        <v>708</v>
      </c>
      <c r="C335">
        <v>3</v>
      </c>
      <c r="D335">
        <v>0.28999999999999998</v>
      </c>
      <c r="E335">
        <v>0.29349999999999998</v>
      </c>
      <c r="F335">
        <v>164.29</v>
      </c>
      <c r="G335">
        <v>0</v>
      </c>
      <c r="H335">
        <v>7.74</v>
      </c>
      <c r="I335">
        <v>182.9</v>
      </c>
      <c r="J335">
        <v>476.44</v>
      </c>
      <c r="K335">
        <v>247.59</v>
      </c>
      <c r="L335">
        <v>-213</v>
      </c>
      <c r="M335">
        <v>82.97</v>
      </c>
      <c r="N335">
        <v>702794</v>
      </c>
      <c r="O335" t="s">
        <v>2802</v>
      </c>
      <c r="P335" t="s">
        <v>2806</v>
      </c>
      <c r="Q335" t="s">
        <v>2807</v>
      </c>
    </row>
    <row r="336" spans="1:17">
      <c r="A336">
        <v>820</v>
      </c>
      <c r="B336">
        <v>684.9</v>
      </c>
      <c r="C336">
        <v>3.95</v>
      </c>
      <c r="D336">
        <v>0.2747</v>
      </c>
      <c r="E336">
        <v>0.30499999999999999</v>
      </c>
      <c r="F336">
        <v>118.18</v>
      </c>
      <c r="G336">
        <v>0</v>
      </c>
      <c r="H336">
        <v>9.49</v>
      </c>
      <c r="I336">
        <v>123.12</v>
      </c>
      <c r="J336">
        <v>451</v>
      </c>
      <c r="K336">
        <v>221.74</v>
      </c>
      <c r="L336">
        <v>60.7</v>
      </c>
      <c r="M336">
        <v>201</v>
      </c>
      <c r="N336">
        <v>496117</v>
      </c>
      <c r="O336" t="s">
        <v>1235</v>
      </c>
      <c r="P336" t="s">
        <v>1661</v>
      </c>
      <c r="Q336" t="s">
        <v>2492</v>
      </c>
    </row>
    <row r="337" spans="1:17">
      <c r="A337">
        <v>821</v>
      </c>
      <c r="B337">
        <v>649</v>
      </c>
      <c r="C337">
        <v>2.8</v>
      </c>
      <c r="D337">
        <v>0.25259999999999999</v>
      </c>
      <c r="E337">
        <v>0.37209999999999999</v>
      </c>
      <c r="F337">
        <v>136.24</v>
      </c>
      <c r="G337">
        <v>0</v>
      </c>
      <c r="H337">
        <v>8.25</v>
      </c>
      <c r="I337">
        <v>164.06</v>
      </c>
      <c r="J337">
        <v>450.15</v>
      </c>
      <c r="K337">
        <v>-86</v>
      </c>
      <c r="L337">
        <v>-20.6</v>
      </c>
      <c r="M337">
        <v>178</v>
      </c>
      <c r="N337">
        <v>99865</v>
      </c>
      <c r="O337" t="s">
        <v>568</v>
      </c>
      <c r="P337" t="s">
        <v>1547</v>
      </c>
      <c r="Q337" t="s">
        <v>1620</v>
      </c>
    </row>
    <row r="338" spans="1:17">
      <c r="A338">
        <v>822</v>
      </c>
      <c r="B338">
        <v>661</v>
      </c>
      <c r="C338">
        <v>2.8</v>
      </c>
      <c r="D338">
        <v>0.24909999999999999</v>
      </c>
      <c r="E338">
        <v>0.37619999999999998</v>
      </c>
      <c r="F338">
        <v>136.24</v>
      </c>
      <c r="G338">
        <v>0</v>
      </c>
      <c r="H338">
        <v>8.44</v>
      </c>
      <c r="I338">
        <v>161.19</v>
      </c>
      <c r="J338">
        <v>455.15</v>
      </c>
      <c r="K338">
        <v>-86</v>
      </c>
      <c r="L338">
        <v>-8.11</v>
      </c>
      <c r="M338">
        <v>181</v>
      </c>
      <c r="N338">
        <v>99854</v>
      </c>
      <c r="O338" t="s">
        <v>568</v>
      </c>
      <c r="P338" t="s">
        <v>1547</v>
      </c>
      <c r="Q338" t="s">
        <v>1711</v>
      </c>
    </row>
    <row r="339" spans="1:17">
      <c r="A339">
        <v>823</v>
      </c>
      <c r="B339">
        <v>583</v>
      </c>
      <c r="C339">
        <v>3.93</v>
      </c>
      <c r="D339">
        <v>0.2732</v>
      </c>
      <c r="E339">
        <v>0.159</v>
      </c>
      <c r="F339">
        <v>94.16</v>
      </c>
      <c r="G339">
        <v>0</v>
      </c>
      <c r="H339">
        <v>7.74</v>
      </c>
      <c r="I339">
        <v>119.63</v>
      </c>
      <c r="J339">
        <v>369.15</v>
      </c>
      <c r="K339">
        <v>318.14999999999998</v>
      </c>
      <c r="L339">
        <v>90</v>
      </c>
      <c r="M339">
        <v>203</v>
      </c>
      <c r="N339">
        <v>498668</v>
      </c>
      <c r="O339" t="s">
        <v>787</v>
      </c>
      <c r="P339" t="s">
        <v>1238</v>
      </c>
      <c r="Q339" t="s">
        <v>1239</v>
      </c>
    </row>
    <row r="340" spans="1:17">
      <c r="A340">
        <v>839</v>
      </c>
      <c r="B340">
        <v>638</v>
      </c>
      <c r="C340">
        <v>2.75</v>
      </c>
      <c r="D340">
        <v>0.21310000000000001</v>
      </c>
      <c r="E340">
        <v>0.29570000000000002</v>
      </c>
      <c r="F340">
        <v>136.24</v>
      </c>
      <c r="G340">
        <v>0</v>
      </c>
      <c r="H340">
        <v>7.74</v>
      </c>
      <c r="I340">
        <v>160.72999999999999</v>
      </c>
      <c r="J340">
        <v>433.15</v>
      </c>
      <c r="K340">
        <v>320.14999999999998</v>
      </c>
      <c r="L340">
        <v>-28.6</v>
      </c>
      <c r="M340">
        <v>-86</v>
      </c>
      <c r="N340">
        <v>79925</v>
      </c>
      <c r="O340" t="s">
        <v>1219</v>
      </c>
      <c r="P340" t="s">
        <v>1547</v>
      </c>
      <c r="Q340" t="s">
        <v>1548</v>
      </c>
    </row>
    <row r="341" spans="1:17">
      <c r="A341">
        <v>840</v>
      </c>
      <c r="B341">
        <v>644</v>
      </c>
      <c r="C341">
        <v>2.76</v>
      </c>
      <c r="D341">
        <v>0.26469999999999999</v>
      </c>
      <c r="E341">
        <v>0.22090000000000001</v>
      </c>
      <c r="F341">
        <v>136.24</v>
      </c>
      <c r="G341">
        <v>0</v>
      </c>
      <c r="H341">
        <v>7.84</v>
      </c>
      <c r="I341">
        <v>158.96</v>
      </c>
      <c r="J341">
        <v>428.15</v>
      </c>
      <c r="K341">
        <v>218.15</v>
      </c>
      <c r="L341">
        <v>28.3</v>
      </c>
      <c r="M341">
        <v>216</v>
      </c>
      <c r="N341">
        <v>80568</v>
      </c>
      <c r="O341" t="s">
        <v>568</v>
      </c>
      <c r="P341" t="s">
        <v>1547</v>
      </c>
      <c r="Q341" t="s">
        <v>1583</v>
      </c>
    </row>
    <row r="342" spans="1:17">
      <c r="A342">
        <v>841</v>
      </c>
      <c r="B342">
        <v>643</v>
      </c>
      <c r="C342">
        <v>2.76</v>
      </c>
      <c r="D342">
        <v>0.26119999999999999</v>
      </c>
      <c r="E342">
        <v>0.32490000000000002</v>
      </c>
      <c r="F342">
        <v>136.24</v>
      </c>
      <c r="G342">
        <v>0</v>
      </c>
      <c r="H342">
        <v>8.2100000000000009</v>
      </c>
      <c r="I342">
        <v>157.05000000000001</v>
      </c>
      <c r="J342">
        <v>431.45</v>
      </c>
      <c r="K342">
        <v>211.61</v>
      </c>
      <c r="L342">
        <v>38.700000000000003</v>
      </c>
      <c r="M342">
        <v>247</v>
      </c>
      <c r="N342">
        <v>127913</v>
      </c>
      <c r="O342" t="s">
        <v>568</v>
      </c>
      <c r="P342" t="s">
        <v>1547</v>
      </c>
      <c r="Q342" t="s">
        <v>1576</v>
      </c>
    </row>
    <row r="343" spans="1:17">
      <c r="A343">
        <v>899</v>
      </c>
      <c r="B343">
        <v>309.57</v>
      </c>
      <c r="C343">
        <v>7.2450000000000001</v>
      </c>
      <c r="D343">
        <v>0.2742</v>
      </c>
      <c r="E343">
        <v>0.1409</v>
      </c>
      <c r="F343">
        <v>44.01</v>
      </c>
      <c r="G343">
        <v>0</v>
      </c>
      <c r="H343">
        <v>9.93</v>
      </c>
      <c r="I343">
        <v>36</v>
      </c>
      <c r="J343">
        <v>184.67</v>
      </c>
      <c r="K343">
        <v>182.25</v>
      </c>
      <c r="L343">
        <v>82.05</v>
      </c>
      <c r="M343">
        <v>104.2</v>
      </c>
      <c r="N343">
        <v>10024972</v>
      </c>
      <c r="O343" t="s">
        <v>435</v>
      </c>
      <c r="P343" t="s">
        <v>497</v>
      </c>
      <c r="Q343" t="s">
        <v>498</v>
      </c>
    </row>
    <row r="344" spans="1:17">
      <c r="A344">
        <v>900</v>
      </c>
      <c r="B344">
        <v>431.35</v>
      </c>
      <c r="C344">
        <v>10.132999999999999</v>
      </c>
      <c r="D344">
        <v>0.2331</v>
      </c>
      <c r="E344">
        <v>0.85109999999999997</v>
      </c>
      <c r="F344">
        <v>46.01</v>
      </c>
      <c r="G344">
        <v>0</v>
      </c>
      <c r="H344">
        <v>16.38</v>
      </c>
      <c r="I344">
        <v>31.79</v>
      </c>
      <c r="J344">
        <v>294</v>
      </c>
      <c r="K344">
        <v>261.95</v>
      </c>
      <c r="L344">
        <v>33.18</v>
      </c>
      <c r="M344">
        <v>51.3</v>
      </c>
      <c r="N344">
        <v>10102440</v>
      </c>
      <c r="O344" t="s">
        <v>2502</v>
      </c>
      <c r="P344" t="s">
        <v>2503</v>
      </c>
      <c r="Q344" t="s">
        <v>2504</v>
      </c>
    </row>
    <row r="345" spans="1:17">
      <c r="A345">
        <v>901</v>
      </c>
      <c r="B345">
        <v>154.58000000000001</v>
      </c>
      <c r="C345">
        <v>5.0430000000000001</v>
      </c>
      <c r="D345">
        <v>0.28799999999999998</v>
      </c>
      <c r="E345">
        <v>2.2200000000000001E-2</v>
      </c>
      <c r="F345">
        <v>32</v>
      </c>
      <c r="G345">
        <v>0</v>
      </c>
      <c r="H345">
        <v>4</v>
      </c>
      <c r="I345">
        <v>28.02</v>
      </c>
      <c r="J345">
        <v>90.17</v>
      </c>
      <c r="K345">
        <v>54.36</v>
      </c>
      <c r="L345">
        <v>0</v>
      </c>
      <c r="M345">
        <v>0</v>
      </c>
      <c r="N345">
        <v>7782447</v>
      </c>
      <c r="O345" t="s">
        <v>435</v>
      </c>
      <c r="P345" t="s">
        <v>445</v>
      </c>
      <c r="Q345" t="s">
        <v>446</v>
      </c>
    </row>
    <row r="346" spans="1:17">
      <c r="A346">
        <v>902</v>
      </c>
      <c r="B346">
        <v>33.19</v>
      </c>
      <c r="C346">
        <v>1.3129999999999999</v>
      </c>
      <c r="D346">
        <v>0.3054</v>
      </c>
      <c r="E346">
        <v>-0.216</v>
      </c>
      <c r="F346">
        <v>2.02</v>
      </c>
      <c r="G346">
        <v>0</v>
      </c>
      <c r="H346">
        <v>3.25</v>
      </c>
      <c r="I346">
        <v>28.57</v>
      </c>
      <c r="J346">
        <v>20.38</v>
      </c>
      <c r="K346">
        <v>13.95</v>
      </c>
      <c r="L346">
        <v>0</v>
      </c>
      <c r="M346">
        <v>0</v>
      </c>
      <c r="N346">
        <v>1333740</v>
      </c>
      <c r="O346" t="s">
        <v>426</v>
      </c>
      <c r="P346" t="s">
        <v>427</v>
      </c>
      <c r="Q346" t="s">
        <v>428</v>
      </c>
    </row>
    <row r="347" spans="1:17">
      <c r="A347">
        <v>904</v>
      </c>
      <c r="B347">
        <v>425</v>
      </c>
      <c r="C347">
        <v>6.99</v>
      </c>
      <c r="D347">
        <v>0.36349999999999999</v>
      </c>
      <c r="E347">
        <v>0.43120000000000003</v>
      </c>
      <c r="F347">
        <v>76.010000000000005</v>
      </c>
      <c r="G347">
        <v>0</v>
      </c>
      <c r="H347">
        <v>16.04</v>
      </c>
      <c r="I347">
        <v>52.31</v>
      </c>
      <c r="J347">
        <v>276.64999999999998</v>
      </c>
      <c r="K347">
        <v>171.15</v>
      </c>
      <c r="L347">
        <v>82.84</v>
      </c>
      <c r="M347">
        <v>139.72999999999999</v>
      </c>
      <c r="N347">
        <v>10544737</v>
      </c>
      <c r="O347" t="s">
        <v>609</v>
      </c>
      <c r="P347" t="s">
        <v>610</v>
      </c>
      <c r="Q347" t="s">
        <v>2808</v>
      </c>
    </row>
    <row r="348" spans="1:17">
      <c r="A348">
        <v>905</v>
      </c>
      <c r="B348">
        <v>126.2</v>
      </c>
      <c r="C348">
        <v>3.4</v>
      </c>
      <c r="D348">
        <v>0.29170000000000001</v>
      </c>
      <c r="E348">
        <v>3.7699999999999997E-2</v>
      </c>
      <c r="F348">
        <v>28.01</v>
      </c>
      <c r="G348">
        <v>0</v>
      </c>
      <c r="H348">
        <v>4.4400000000000004</v>
      </c>
      <c r="I348">
        <v>34.67</v>
      </c>
      <c r="J348">
        <v>77.349999999999994</v>
      </c>
      <c r="K348">
        <v>63.15</v>
      </c>
      <c r="L348">
        <v>0</v>
      </c>
      <c r="M348">
        <v>0</v>
      </c>
      <c r="N348">
        <v>7727379</v>
      </c>
      <c r="O348" t="s">
        <v>435</v>
      </c>
      <c r="P348" t="s">
        <v>436</v>
      </c>
      <c r="Q348" t="s">
        <v>437</v>
      </c>
    </row>
    <row r="349" spans="1:17">
      <c r="A349">
        <v>906</v>
      </c>
      <c r="B349">
        <v>431.15</v>
      </c>
      <c r="C349">
        <v>10.031000000000001</v>
      </c>
      <c r="D349">
        <v>0.23080000000000001</v>
      </c>
      <c r="E349">
        <v>1.0074000000000001</v>
      </c>
      <c r="F349">
        <v>92.01</v>
      </c>
      <c r="G349">
        <v>0</v>
      </c>
      <c r="H349">
        <v>-86</v>
      </c>
      <c r="I349">
        <v>64.069999999999993</v>
      </c>
      <c r="J349">
        <v>302.22000000000003</v>
      </c>
      <c r="K349">
        <v>263.01</v>
      </c>
      <c r="L349">
        <v>9.16</v>
      </c>
      <c r="M349">
        <v>97.85</v>
      </c>
      <c r="N349">
        <v>10544726</v>
      </c>
      <c r="O349" t="s">
        <v>2516</v>
      </c>
      <c r="P349" t="s">
        <v>2523</v>
      </c>
      <c r="Q349" t="s">
        <v>2524</v>
      </c>
    </row>
    <row r="350" spans="1:17">
      <c r="A350">
        <v>908</v>
      </c>
      <c r="B350">
        <v>132.91999999999999</v>
      </c>
      <c r="C350">
        <v>3.4990000000000001</v>
      </c>
      <c r="D350">
        <v>0.29480000000000001</v>
      </c>
      <c r="E350">
        <v>4.82E-2</v>
      </c>
      <c r="F350">
        <v>28.01</v>
      </c>
      <c r="G350">
        <v>0</v>
      </c>
      <c r="H350">
        <v>3.13</v>
      </c>
      <c r="I350">
        <v>35.44</v>
      </c>
      <c r="J350">
        <v>81.7</v>
      </c>
      <c r="K350">
        <v>68.150000000000006</v>
      </c>
      <c r="L350">
        <v>-110.53</v>
      </c>
      <c r="M350">
        <v>-137.16</v>
      </c>
      <c r="N350">
        <v>630080</v>
      </c>
      <c r="O350" t="s">
        <v>423</v>
      </c>
      <c r="P350" t="s">
        <v>438</v>
      </c>
      <c r="Q350" t="s">
        <v>2809</v>
      </c>
    </row>
    <row r="351" spans="1:17">
      <c r="A351">
        <v>909</v>
      </c>
      <c r="B351">
        <v>304.20999999999998</v>
      </c>
      <c r="C351">
        <v>7.383</v>
      </c>
      <c r="D351">
        <v>0.27439999999999998</v>
      </c>
      <c r="E351">
        <v>0.22359999999999999</v>
      </c>
      <c r="F351">
        <v>44.01</v>
      </c>
      <c r="G351">
        <v>0</v>
      </c>
      <c r="H351">
        <v>7.12</v>
      </c>
      <c r="I351">
        <v>37.270000000000003</v>
      </c>
      <c r="J351">
        <v>-86</v>
      </c>
      <c r="K351">
        <v>216.58</v>
      </c>
      <c r="L351">
        <v>-393.51</v>
      </c>
      <c r="M351">
        <v>-394.38</v>
      </c>
      <c r="N351">
        <v>124389</v>
      </c>
      <c r="O351" t="s">
        <v>423</v>
      </c>
      <c r="P351" t="s">
        <v>483</v>
      </c>
      <c r="Q351" t="s">
        <v>2810</v>
      </c>
    </row>
    <row r="352" spans="1:17">
      <c r="A352">
        <v>910</v>
      </c>
      <c r="B352">
        <v>430.75</v>
      </c>
      <c r="C352">
        <v>7.8840000000000003</v>
      </c>
      <c r="D352">
        <v>0.26860000000000001</v>
      </c>
      <c r="E352">
        <v>0.24540000000000001</v>
      </c>
      <c r="F352">
        <v>64.069999999999993</v>
      </c>
      <c r="G352">
        <v>0</v>
      </c>
      <c r="H352">
        <v>6</v>
      </c>
      <c r="I352">
        <v>43.82</v>
      </c>
      <c r="J352">
        <v>263.13</v>
      </c>
      <c r="K352">
        <v>200</v>
      </c>
      <c r="L352">
        <v>-296.83999999999997</v>
      </c>
      <c r="M352">
        <v>-300.14999999999998</v>
      </c>
      <c r="N352">
        <v>7446095</v>
      </c>
      <c r="O352" t="s">
        <v>435</v>
      </c>
      <c r="P352" t="s">
        <v>618</v>
      </c>
      <c r="Q352" t="s">
        <v>2811</v>
      </c>
    </row>
    <row r="353" spans="1:17">
      <c r="A353">
        <v>911</v>
      </c>
      <c r="B353">
        <v>490.85</v>
      </c>
      <c r="C353">
        <v>8.2100000000000009</v>
      </c>
      <c r="D353">
        <v>0.2555</v>
      </c>
      <c r="E353">
        <v>0.42399999999999999</v>
      </c>
      <c r="F353">
        <v>80.06</v>
      </c>
      <c r="G353">
        <v>0</v>
      </c>
      <c r="H353">
        <v>15.22</v>
      </c>
      <c r="I353">
        <v>42.09</v>
      </c>
      <c r="J353">
        <v>318</v>
      </c>
      <c r="K353">
        <v>289.95</v>
      </c>
      <c r="L353">
        <v>-395.76</v>
      </c>
      <c r="M353">
        <v>-370.95</v>
      </c>
      <c r="N353">
        <v>7446119</v>
      </c>
      <c r="O353" t="s">
        <v>435</v>
      </c>
      <c r="P353" t="s">
        <v>749</v>
      </c>
      <c r="Q353" t="s">
        <v>750</v>
      </c>
    </row>
    <row r="354" spans="1:17">
      <c r="A354">
        <v>912</v>
      </c>
      <c r="B354">
        <v>180.15</v>
      </c>
      <c r="C354">
        <v>6.48</v>
      </c>
      <c r="D354">
        <v>0.25090000000000001</v>
      </c>
      <c r="E354">
        <v>0.58289999999999997</v>
      </c>
      <c r="F354">
        <v>30.01</v>
      </c>
      <c r="G354">
        <v>0</v>
      </c>
      <c r="H354">
        <v>11.3</v>
      </c>
      <c r="I354">
        <v>23.43</v>
      </c>
      <c r="J354">
        <v>121.41</v>
      </c>
      <c r="K354">
        <v>112.15</v>
      </c>
      <c r="L354">
        <v>90.29</v>
      </c>
      <c r="M354">
        <v>86.57</v>
      </c>
      <c r="N354">
        <v>10102439</v>
      </c>
      <c r="O354" t="s">
        <v>435</v>
      </c>
      <c r="P354" t="s">
        <v>2500</v>
      </c>
      <c r="Q354" t="s">
        <v>2501</v>
      </c>
    </row>
    <row r="355" spans="1:17">
      <c r="A355">
        <v>913</v>
      </c>
      <c r="B355">
        <v>5.2</v>
      </c>
      <c r="C355">
        <v>0.22700000000000001</v>
      </c>
      <c r="D355">
        <v>0.3024</v>
      </c>
      <c r="E355">
        <v>-0.39</v>
      </c>
      <c r="F355">
        <v>4</v>
      </c>
      <c r="G355">
        <v>0</v>
      </c>
      <c r="H355">
        <v>0.6</v>
      </c>
      <c r="I355">
        <v>32.28</v>
      </c>
      <c r="J355">
        <v>4.2</v>
      </c>
      <c r="K355">
        <v>1.76</v>
      </c>
      <c r="L355">
        <v>0</v>
      </c>
      <c r="M355">
        <v>0</v>
      </c>
      <c r="N355">
        <v>7440597</v>
      </c>
      <c r="O355" t="s">
        <v>423</v>
      </c>
      <c r="P355" t="s">
        <v>424</v>
      </c>
      <c r="Q355" t="s">
        <v>425</v>
      </c>
    </row>
    <row r="356" spans="1:17">
      <c r="A356">
        <v>914</v>
      </c>
      <c r="B356">
        <v>150.86000000000001</v>
      </c>
      <c r="C356">
        <v>4.8979999999999997</v>
      </c>
      <c r="D356">
        <v>0.28949999999999998</v>
      </c>
      <c r="E356">
        <v>-4.3E-3</v>
      </c>
      <c r="F356">
        <v>39.950000000000003</v>
      </c>
      <c r="G356">
        <v>0</v>
      </c>
      <c r="H356">
        <v>6.91</v>
      </c>
      <c r="I356">
        <v>28.62</v>
      </c>
      <c r="J356">
        <v>87.28</v>
      </c>
      <c r="K356">
        <v>83.78</v>
      </c>
      <c r="L356">
        <v>0</v>
      </c>
      <c r="M356">
        <v>0</v>
      </c>
      <c r="N356">
        <v>7440371</v>
      </c>
      <c r="O356" t="s">
        <v>442</v>
      </c>
      <c r="P356" t="s">
        <v>443</v>
      </c>
      <c r="Q356" t="s">
        <v>444</v>
      </c>
    </row>
    <row r="357" spans="1:17">
      <c r="A357">
        <v>917</v>
      </c>
      <c r="B357">
        <v>144.12</v>
      </c>
      <c r="C357">
        <v>5.1719999999999997</v>
      </c>
      <c r="D357">
        <v>0.2878</v>
      </c>
      <c r="E357">
        <v>5.2999999999999999E-2</v>
      </c>
      <c r="F357">
        <v>38</v>
      </c>
      <c r="G357">
        <v>0</v>
      </c>
      <c r="H357">
        <v>7.44</v>
      </c>
      <c r="I357">
        <v>25.28</v>
      </c>
      <c r="J357">
        <v>84.95</v>
      </c>
      <c r="K357">
        <v>53.53</v>
      </c>
      <c r="L357">
        <v>0</v>
      </c>
      <c r="M357">
        <v>0</v>
      </c>
      <c r="N357">
        <v>7782414</v>
      </c>
      <c r="O357" t="s">
        <v>439</v>
      </c>
      <c r="P357" t="s">
        <v>440</v>
      </c>
      <c r="Q357" t="s">
        <v>441</v>
      </c>
    </row>
    <row r="358" spans="1:17">
      <c r="A358">
        <v>918</v>
      </c>
      <c r="B358">
        <v>417.15</v>
      </c>
      <c r="C358">
        <v>7.71</v>
      </c>
      <c r="D358">
        <v>0.2757</v>
      </c>
      <c r="E358">
        <v>6.88E-2</v>
      </c>
      <c r="F358">
        <v>70.91</v>
      </c>
      <c r="G358">
        <v>0</v>
      </c>
      <c r="H358">
        <v>9.84</v>
      </c>
      <c r="I358">
        <v>45.51</v>
      </c>
      <c r="J358">
        <v>239.12</v>
      </c>
      <c r="K358">
        <v>172.19</v>
      </c>
      <c r="L358">
        <v>0</v>
      </c>
      <c r="M358">
        <v>0</v>
      </c>
      <c r="N358">
        <v>7782505</v>
      </c>
      <c r="O358" t="s">
        <v>435</v>
      </c>
      <c r="P358" t="s">
        <v>595</v>
      </c>
      <c r="Q358" t="s">
        <v>596</v>
      </c>
    </row>
    <row r="359" spans="1:17">
      <c r="A359">
        <v>919</v>
      </c>
      <c r="B359">
        <v>44.4</v>
      </c>
      <c r="C359">
        <v>2.653</v>
      </c>
      <c r="D359">
        <v>0.31180000000000002</v>
      </c>
      <c r="E359">
        <v>-3.9600000000000003E-2</v>
      </c>
      <c r="F359">
        <v>20.18</v>
      </c>
      <c r="G359">
        <v>0</v>
      </c>
      <c r="H359">
        <v>4.62</v>
      </c>
      <c r="I359">
        <v>16.760000000000002</v>
      </c>
      <c r="J359">
        <v>27.06</v>
      </c>
      <c r="K359">
        <v>24.56</v>
      </c>
      <c r="L359">
        <v>0</v>
      </c>
      <c r="M359">
        <v>0</v>
      </c>
      <c r="N359">
        <v>7440019</v>
      </c>
      <c r="O359" t="s">
        <v>432</v>
      </c>
      <c r="P359" t="s">
        <v>433</v>
      </c>
      <c r="Q359" t="s">
        <v>434</v>
      </c>
    </row>
    <row r="360" spans="1:17">
      <c r="A360">
        <v>920</v>
      </c>
      <c r="B360">
        <v>209.35</v>
      </c>
      <c r="C360">
        <v>5.5019999999999998</v>
      </c>
      <c r="D360">
        <v>0.2883</v>
      </c>
      <c r="E360">
        <v>-1.2999999999999999E-3</v>
      </c>
      <c r="F360">
        <v>83.8</v>
      </c>
      <c r="G360">
        <v>0</v>
      </c>
      <c r="H360">
        <v>7.47</v>
      </c>
      <c r="I360">
        <v>34.65</v>
      </c>
      <c r="J360">
        <v>119.81</v>
      </c>
      <c r="K360">
        <v>115.77</v>
      </c>
      <c r="L360">
        <v>0</v>
      </c>
      <c r="M360">
        <v>0</v>
      </c>
      <c r="N360">
        <v>7439909</v>
      </c>
      <c r="O360" t="s">
        <v>435</v>
      </c>
      <c r="P360" t="s">
        <v>450</v>
      </c>
      <c r="Q360" t="s">
        <v>451</v>
      </c>
    </row>
    <row r="361" spans="1:17">
      <c r="A361">
        <v>922</v>
      </c>
      <c r="B361">
        <v>584.15</v>
      </c>
      <c r="C361">
        <v>10.3</v>
      </c>
      <c r="D361">
        <v>0.27350000000000002</v>
      </c>
      <c r="E361">
        <v>0.129</v>
      </c>
      <c r="F361">
        <v>159.81</v>
      </c>
      <c r="G361">
        <v>0</v>
      </c>
      <c r="H361">
        <v>11.53</v>
      </c>
      <c r="I361">
        <v>51.48</v>
      </c>
      <c r="J361">
        <v>331.9</v>
      </c>
      <c r="K361">
        <v>265.89999999999998</v>
      </c>
      <c r="L361">
        <v>30.91</v>
      </c>
      <c r="M361">
        <v>3.13</v>
      </c>
      <c r="N361">
        <v>7726956</v>
      </c>
      <c r="O361" t="s">
        <v>1244</v>
      </c>
      <c r="P361" t="s">
        <v>1245</v>
      </c>
      <c r="Q361" t="s">
        <v>1246</v>
      </c>
    </row>
    <row r="362" spans="1:17">
      <c r="A362">
        <v>923</v>
      </c>
      <c r="B362">
        <v>3.3</v>
      </c>
      <c r="C362">
        <v>0.12</v>
      </c>
      <c r="D362">
        <v>0.308</v>
      </c>
      <c r="E362">
        <v>-0.47149999999999997</v>
      </c>
      <c r="F362">
        <v>3.02</v>
      </c>
      <c r="G362">
        <v>0</v>
      </c>
      <c r="H362">
        <v>-86</v>
      </c>
      <c r="I362">
        <v>50.97</v>
      </c>
      <c r="J362">
        <v>3.18</v>
      </c>
      <c r="K362">
        <v>1.01</v>
      </c>
      <c r="L362">
        <v>0</v>
      </c>
      <c r="M362">
        <v>0</v>
      </c>
      <c r="N362">
        <v>14762551</v>
      </c>
      <c r="O362" t="s">
        <v>442</v>
      </c>
      <c r="P362" t="s">
        <v>424</v>
      </c>
      <c r="Q362" t="s">
        <v>2479</v>
      </c>
    </row>
    <row r="363" spans="1:17">
      <c r="A363">
        <v>924</v>
      </c>
      <c r="B363">
        <v>261</v>
      </c>
      <c r="C363">
        <v>5.57</v>
      </c>
      <c r="D363">
        <v>0.2281</v>
      </c>
      <c r="E363">
        <v>0.21190000000000001</v>
      </c>
      <c r="F363">
        <v>48</v>
      </c>
      <c r="G363">
        <v>0</v>
      </c>
      <c r="H363">
        <v>9.16</v>
      </c>
      <c r="I363">
        <v>35.58</v>
      </c>
      <c r="J363">
        <v>181.2</v>
      </c>
      <c r="K363">
        <v>22.15</v>
      </c>
      <c r="L363">
        <v>143.1</v>
      </c>
      <c r="M363">
        <v>163.16</v>
      </c>
      <c r="N363">
        <v>10028156</v>
      </c>
      <c r="O363" t="s">
        <v>457</v>
      </c>
      <c r="P363" t="s">
        <v>458</v>
      </c>
      <c r="Q363" t="s">
        <v>459</v>
      </c>
    </row>
    <row r="364" spans="1:17">
      <c r="A364">
        <v>925</v>
      </c>
      <c r="B364">
        <v>38.35</v>
      </c>
      <c r="C364">
        <v>1.6619999999999999</v>
      </c>
      <c r="D364">
        <v>0.31459999999999999</v>
      </c>
      <c r="E364">
        <v>-0.1449</v>
      </c>
      <c r="F364">
        <v>4.03</v>
      </c>
      <c r="G364">
        <v>0</v>
      </c>
      <c r="H364">
        <v>3.06</v>
      </c>
      <c r="I364">
        <v>25.11</v>
      </c>
      <c r="J364">
        <v>23.65</v>
      </c>
      <c r="K364">
        <v>18.73</v>
      </c>
      <c r="L364">
        <v>0</v>
      </c>
      <c r="M364">
        <v>-86</v>
      </c>
      <c r="N364">
        <v>7782390</v>
      </c>
      <c r="O364" t="s">
        <v>429</v>
      </c>
      <c r="P364" t="s">
        <v>430</v>
      </c>
      <c r="Q364" t="s">
        <v>431</v>
      </c>
    </row>
    <row r="365" spans="1:17">
      <c r="A365">
        <v>926</v>
      </c>
      <c r="B365">
        <v>373</v>
      </c>
      <c r="C365">
        <v>6.55</v>
      </c>
      <c r="D365">
        <v>0.20649999999999999</v>
      </c>
      <c r="E365">
        <v>1.0500000000000001E-2</v>
      </c>
      <c r="F365">
        <v>77.95</v>
      </c>
      <c r="G365">
        <v>0</v>
      </c>
      <c r="H365">
        <v>8.56</v>
      </c>
      <c r="I365">
        <v>48.1</v>
      </c>
      <c r="J365">
        <v>210.65</v>
      </c>
      <c r="K365">
        <v>156.85</v>
      </c>
      <c r="L365">
        <v>66.44</v>
      </c>
      <c r="M365">
        <v>68.91</v>
      </c>
      <c r="N365">
        <v>7784421</v>
      </c>
      <c r="O365" t="s">
        <v>540</v>
      </c>
      <c r="P365" t="s">
        <v>541</v>
      </c>
      <c r="Q365" t="s">
        <v>542</v>
      </c>
    </row>
    <row r="366" spans="1:17">
      <c r="A366">
        <v>959</v>
      </c>
      <c r="B366">
        <v>289.74</v>
      </c>
      <c r="C366">
        <v>5.84</v>
      </c>
      <c r="D366">
        <v>0.28610000000000002</v>
      </c>
      <c r="E366">
        <v>1.14E-2</v>
      </c>
      <c r="F366">
        <v>131.29</v>
      </c>
      <c r="G366">
        <v>0</v>
      </c>
      <c r="H366">
        <v>7.78</v>
      </c>
      <c r="I366">
        <v>44.45</v>
      </c>
      <c r="J366">
        <v>165.01</v>
      </c>
      <c r="K366">
        <v>161.25</v>
      </c>
      <c r="L366">
        <v>0</v>
      </c>
      <c r="M366">
        <v>-86</v>
      </c>
      <c r="N366">
        <v>7440633</v>
      </c>
      <c r="O366" t="s">
        <v>435</v>
      </c>
      <c r="P366" t="s">
        <v>466</v>
      </c>
      <c r="Q366" t="s">
        <v>467</v>
      </c>
    </row>
    <row r="367" spans="1:17">
      <c r="A367">
        <v>970</v>
      </c>
      <c r="B367">
        <v>377.5</v>
      </c>
      <c r="C367">
        <v>6.28</v>
      </c>
      <c r="D367">
        <v>0.27500000000000002</v>
      </c>
      <c r="E367">
        <v>-5.2499999999999998E-2</v>
      </c>
      <c r="F367">
        <v>222.02</v>
      </c>
      <c r="G367">
        <v>0</v>
      </c>
      <c r="H367">
        <v>6.05</v>
      </c>
      <c r="I367">
        <v>62.17</v>
      </c>
      <c r="J367">
        <v>211</v>
      </c>
      <c r="K367">
        <v>202</v>
      </c>
      <c r="L367">
        <v>0</v>
      </c>
      <c r="M367">
        <v>0</v>
      </c>
      <c r="N367">
        <v>10043922</v>
      </c>
      <c r="O367" t="s">
        <v>848</v>
      </c>
      <c r="P367" t="s">
        <v>2512</v>
      </c>
      <c r="Q367" t="s">
        <v>2513</v>
      </c>
    </row>
    <row r="368" spans="1:17">
      <c r="A368">
        <v>1001</v>
      </c>
      <c r="B368">
        <v>420</v>
      </c>
      <c r="C368">
        <v>6.59</v>
      </c>
      <c r="D368">
        <v>0.20399999999999999</v>
      </c>
      <c r="E368">
        <v>0.16789999999999999</v>
      </c>
      <c r="F368">
        <v>30.03</v>
      </c>
      <c r="G368">
        <v>0</v>
      </c>
      <c r="H368">
        <v>11.65</v>
      </c>
      <c r="I368">
        <v>36.909999999999997</v>
      </c>
      <c r="J368">
        <v>254.05</v>
      </c>
      <c r="K368">
        <v>181.15</v>
      </c>
      <c r="L368">
        <v>-115.9</v>
      </c>
      <c r="M368">
        <v>-109.9</v>
      </c>
      <c r="N368">
        <v>50000</v>
      </c>
      <c r="O368" t="s">
        <v>603</v>
      </c>
      <c r="P368" t="s">
        <v>49</v>
      </c>
      <c r="Q368" t="s">
        <v>604</v>
      </c>
    </row>
    <row r="369" spans="1:17">
      <c r="A369">
        <v>1002</v>
      </c>
      <c r="B369">
        <v>461</v>
      </c>
      <c r="C369">
        <v>5.55</v>
      </c>
      <c r="D369">
        <v>0.2273</v>
      </c>
      <c r="E369">
        <v>0.29070000000000001</v>
      </c>
      <c r="F369">
        <v>44.05</v>
      </c>
      <c r="G369">
        <v>0</v>
      </c>
      <c r="H369">
        <v>9.73</v>
      </c>
      <c r="I369">
        <v>56.48</v>
      </c>
      <c r="J369">
        <v>293.55</v>
      </c>
      <c r="K369">
        <v>150.15</v>
      </c>
      <c r="L369">
        <v>-166.2</v>
      </c>
      <c r="M369">
        <v>-128.9</v>
      </c>
      <c r="N369">
        <v>75070</v>
      </c>
      <c r="O369" t="s">
        <v>2486</v>
      </c>
      <c r="P369" t="s">
        <v>688</v>
      </c>
      <c r="Q369" t="s">
        <v>2487</v>
      </c>
    </row>
    <row r="370" spans="1:17">
      <c r="A370">
        <v>1003</v>
      </c>
      <c r="B370">
        <v>503.6</v>
      </c>
      <c r="C370">
        <v>5.0380000000000003</v>
      </c>
      <c r="D370">
        <v>0.25290000000000001</v>
      </c>
      <c r="E370">
        <v>0.28129999999999999</v>
      </c>
      <c r="F370">
        <v>58.08</v>
      </c>
      <c r="G370">
        <v>0</v>
      </c>
      <c r="H370">
        <v>9.44</v>
      </c>
      <c r="I370">
        <v>73.41</v>
      </c>
      <c r="J370">
        <v>321.14999999999998</v>
      </c>
      <c r="K370">
        <v>193.15</v>
      </c>
      <c r="L370">
        <v>-187.4</v>
      </c>
      <c r="M370">
        <v>-124.4</v>
      </c>
      <c r="N370">
        <v>123386</v>
      </c>
      <c r="O370" t="s">
        <v>647</v>
      </c>
      <c r="P370" t="s">
        <v>634</v>
      </c>
      <c r="Q370" t="s">
        <v>795</v>
      </c>
    </row>
    <row r="371" spans="1:17">
      <c r="A371">
        <v>1005</v>
      </c>
      <c r="B371">
        <v>537.20000000000005</v>
      </c>
      <c r="C371">
        <v>4.41</v>
      </c>
      <c r="D371">
        <v>0.24279999999999999</v>
      </c>
      <c r="E371">
        <v>0.28260000000000002</v>
      </c>
      <c r="F371">
        <v>72.11</v>
      </c>
      <c r="G371">
        <v>0</v>
      </c>
      <c r="H371">
        <v>9.1199999999999992</v>
      </c>
      <c r="I371">
        <v>90.43</v>
      </c>
      <c r="J371">
        <v>347.95</v>
      </c>
      <c r="K371">
        <v>176.75</v>
      </c>
      <c r="L371">
        <v>-207</v>
      </c>
      <c r="M371">
        <v>-115.39</v>
      </c>
      <c r="N371">
        <v>123728</v>
      </c>
      <c r="O371" t="s">
        <v>949</v>
      </c>
      <c r="P371" t="s">
        <v>706</v>
      </c>
      <c r="Q371" t="s">
        <v>950</v>
      </c>
    </row>
    <row r="372" spans="1:17">
      <c r="A372">
        <v>1006</v>
      </c>
      <c r="B372">
        <v>507</v>
      </c>
      <c r="C372">
        <v>4.0999999999999996</v>
      </c>
      <c r="D372">
        <v>0.25580000000000003</v>
      </c>
      <c r="E372">
        <v>0.36220000000000002</v>
      </c>
      <c r="F372">
        <v>72.11</v>
      </c>
      <c r="G372">
        <v>0</v>
      </c>
      <c r="H372">
        <v>9.02</v>
      </c>
      <c r="I372">
        <v>92.03</v>
      </c>
      <c r="J372">
        <v>337.25</v>
      </c>
      <c r="K372">
        <v>208.15</v>
      </c>
      <c r="L372">
        <v>-215.6</v>
      </c>
      <c r="M372">
        <v>-121.4</v>
      </c>
      <c r="N372">
        <v>78842</v>
      </c>
      <c r="O372" t="s">
        <v>633</v>
      </c>
      <c r="P372" t="s">
        <v>706</v>
      </c>
      <c r="Q372" t="s">
        <v>813</v>
      </c>
    </row>
    <row r="373" spans="1:17">
      <c r="A373">
        <v>1007</v>
      </c>
      <c r="B373">
        <v>566.1</v>
      </c>
      <c r="C373">
        <v>3.8450000000000002</v>
      </c>
      <c r="D373">
        <v>0.24010000000000001</v>
      </c>
      <c r="E373">
        <v>0.31319999999999998</v>
      </c>
      <c r="F373">
        <v>86.13</v>
      </c>
      <c r="G373">
        <v>0</v>
      </c>
      <c r="H373">
        <v>9.02</v>
      </c>
      <c r="I373">
        <v>107.03</v>
      </c>
      <c r="J373">
        <v>376.15</v>
      </c>
      <c r="K373">
        <v>190.15</v>
      </c>
      <c r="L373">
        <v>-226.69</v>
      </c>
      <c r="M373">
        <v>-107.11</v>
      </c>
      <c r="N373">
        <v>110623</v>
      </c>
      <c r="O373" t="s">
        <v>1139</v>
      </c>
      <c r="P373" t="s">
        <v>1046</v>
      </c>
      <c r="Q373" t="s">
        <v>1140</v>
      </c>
    </row>
    <row r="374" spans="1:17">
      <c r="A374">
        <v>1008</v>
      </c>
      <c r="B374">
        <v>620</v>
      </c>
      <c r="C374">
        <v>3.16</v>
      </c>
      <c r="D374">
        <v>0.2351</v>
      </c>
      <c r="E374">
        <v>0.40579999999999999</v>
      </c>
      <c r="F374">
        <v>114.19</v>
      </c>
      <c r="G374">
        <v>0</v>
      </c>
      <c r="H374">
        <v>8.7799999999999994</v>
      </c>
      <c r="I374">
        <v>140.30000000000001</v>
      </c>
      <c r="J374">
        <v>425.95</v>
      </c>
      <c r="K374">
        <v>230.15</v>
      </c>
      <c r="L374">
        <v>-264.01</v>
      </c>
      <c r="M374">
        <v>-86.53</v>
      </c>
      <c r="N374">
        <v>111717</v>
      </c>
      <c r="O374" t="s">
        <v>545</v>
      </c>
      <c r="P374" t="s">
        <v>1204</v>
      </c>
      <c r="Q374" t="s">
        <v>1456</v>
      </c>
    </row>
    <row r="375" spans="1:17">
      <c r="A375">
        <v>1009</v>
      </c>
      <c r="B375">
        <v>594</v>
      </c>
      <c r="C375">
        <v>3.46</v>
      </c>
      <c r="D375">
        <v>0.2384</v>
      </c>
      <c r="E375">
        <v>0.36180000000000001</v>
      </c>
      <c r="F375">
        <v>100.16</v>
      </c>
      <c r="G375">
        <v>0</v>
      </c>
      <c r="H375">
        <v>8.8699999999999992</v>
      </c>
      <c r="I375">
        <v>123.71</v>
      </c>
      <c r="J375">
        <v>401.45</v>
      </c>
      <c r="K375">
        <v>217.15</v>
      </c>
      <c r="L375">
        <v>-247.32</v>
      </c>
      <c r="M375">
        <v>-98.82</v>
      </c>
      <c r="N375">
        <v>66251</v>
      </c>
      <c r="O375" t="s">
        <v>568</v>
      </c>
      <c r="P375" t="s">
        <v>935</v>
      </c>
      <c r="Q375" t="s">
        <v>1301</v>
      </c>
    </row>
    <row r="376" spans="1:17">
      <c r="A376">
        <v>1010</v>
      </c>
      <c r="B376">
        <v>638.9</v>
      </c>
      <c r="C376">
        <v>2.96</v>
      </c>
      <c r="D376">
        <v>0.2341</v>
      </c>
      <c r="E376">
        <v>0.442</v>
      </c>
      <c r="F376">
        <v>128.21</v>
      </c>
      <c r="G376">
        <v>0</v>
      </c>
      <c r="H376">
        <v>8.76</v>
      </c>
      <c r="I376">
        <v>156.72999999999999</v>
      </c>
      <c r="J376">
        <v>445.93</v>
      </c>
      <c r="K376">
        <v>246</v>
      </c>
      <c r="L376">
        <v>-284.64</v>
      </c>
      <c r="M376">
        <v>-78.25</v>
      </c>
      <c r="N376">
        <v>124130</v>
      </c>
      <c r="O376" t="s">
        <v>568</v>
      </c>
      <c r="P376" t="s">
        <v>1452</v>
      </c>
      <c r="Q376" t="s">
        <v>1555</v>
      </c>
    </row>
    <row r="377" spans="1:17">
      <c r="A377">
        <v>1011</v>
      </c>
      <c r="B377">
        <v>658.5</v>
      </c>
      <c r="C377">
        <v>2.68</v>
      </c>
      <c r="D377">
        <v>0.23080000000000001</v>
      </c>
      <c r="E377">
        <v>0.4733</v>
      </c>
      <c r="F377">
        <v>142.24</v>
      </c>
      <c r="G377">
        <v>0</v>
      </c>
      <c r="H377">
        <v>8.68</v>
      </c>
      <c r="I377">
        <v>172.88</v>
      </c>
      <c r="J377">
        <v>468.15</v>
      </c>
      <c r="K377">
        <v>255.15</v>
      </c>
      <c r="L377">
        <v>-305.26</v>
      </c>
      <c r="M377">
        <v>-75.53</v>
      </c>
      <c r="N377">
        <v>124196</v>
      </c>
      <c r="O377" t="s">
        <v>568</v>
      </c>
      <c r="P377" t="s">
        <v>1411</v>
      </c>
      <c r="Q377" t="s">
        <v>1697</v>
      </c>
    </row>
    <row r="378" spans="1:17">
      <c r="A378">
        <v>1013</v>
      </c>
      <c r="B378">
        <v>619.20000000000005</v>
      </c>
      <c r="C378">
        <v>2.6789999999999998</v>
      </c>
      <c r="D378">
        <v>0.24229999999999999</v>
      </c>
      <c r="E378">
        <v>0.45390000000000003</v>
      </c>
      <c r="F378">
        <v>128.21</v>
      </c>
      <c r="G378">
        <v>0</v>
      </c>
      <c r="H378">
        <v>8.59</v>
      </c>
      <c r="I378">
        <v>156.80000000000001</v>
      </c>
      <c r="J378">
        <v>436.15</v>
      </c>
      <c r="K378">
        <v>-86</v>
      </c>
      <c r="L378">
        <v>-299.60000000000002</v>
      </c>
      <c r="M378">
        <v>-91.49</v>
      </c>
      <c r="N378">
        <v>123057</v>
      </c>
      <c r="O378" t="s">
        <v>708</v>
      </c>
      <c r="P378" t="s">
        <v>1452</v>
      </c>
      <c r="Q378" t="s">
        <v>1453</v>
      </c>
    </row>
    <row r="379" spans="1:17">
      <c r="A379">
        <v>1014</v>
      </c>
      <c r="B379">
        <v>495</v>
      </c>
      <c r="C379">
        <v>5.88</v>
      </c>
      <c r="D379">
        <v>0.23430000000000001</v>
      </c>
      <c r="E379">
        <v>0.4133</v>
      </c>
      <c r="F379">
        <v>58.04</v>
      </c>
      <c r="G379">
        <v>0</v>
      </c>
      <c r="H379">
        <v>12.17</v>
      </c>
      <c r="I379">
        <v>51.4</v>
      </c>
      <c r="J379">
        <v>323.55</v>
      </c>
      <c r="K379">
        <v>288.14999999999998</v>
      </c>
      <c r="L379">
        <v>-212</v>
      </c>
      <c r="M379">
        <v>-160</v>
      </c>
      <c r="N379">
        <v>107222</v>
      </c>
      <c r="O379" t="s">
        <v>2516</v>
      </c>
      <c r="P379" t="s">
        <v>2525</v>
      </c>
      <c r="Q379" t="s">
        <v>2526</v>
      </c>
    </row>
    <row r="380" spans="1:17">
      <c r="A380">
        <v>1016</v>
      </c>
      <c r="B380">
        <v>592</v>
      </c>
      <c r="C380">
        <v>2.85</v>
      </c>
      <c r="D380">
        <v>0.24379999999999999</v>
      </c>
      <c r="E380">
        <v>0.46089999999999998</v>
      </c>
      <c r="F380">
        <v>114.19</v>
      </c>
      <c r="G380">
        <v>0</v>
      </c>
      <c r="H380">
        <v>8.58</v>
      </c>
      <c r="I380">
        <v>142.80000000000001</v>
      </c>
      <c r="J380">
        <v>416</v>
      </c>
      <c r="K380">
        <v>230</v>
      </c>
      <c r="L380">
        <v>-271</v>
      </c>
      <c r="M380">
        <v>-90.1</v>
      </c>
      <c r="N380">
        <v>925542</v>
      </c>
      <c r="O380" t="s">
        <v>568</v>
      </c>
      <c r="P380" t="s">
        <v>1204</v>
      </c>
      <c r="Q380" t="s">
        <v>1288</v>
      </c>
    </row>
    <row r="381" spans="1:17">
      <c r="A381">
        <v>1017</v>
      </c>
      <c r="B381">
        <v>595</v>
      </c>
      <c r="C381">
        <v>2.85</v>
      </c>
      <c r="D381">
        <v>0.24249999999999999</v>
      </c>
      <c r="E381">
        <v>0.45700000000000002</v>
      </c>
      <c r="F381">
        <v>114.19</v>
      </c>
      <c r="G381">
        <v>0</v>
      </c>
      <c r="H381">
        <v>8.4499999999999993</v>
      </c>
      <c r="I381">
        <v>140.35</v>
      </c>
      <c r="J381">
        <v>416</v>
      </c>
      <c r="K381">
        <v>230</v>
      </c>
      <c r="L381">
        <v>-271</v>
      </c>
      <c r="M381">
        <v>-90.4</v>
      </c>
      <c r="N381">
        <v>19269284</v>
      </c>
      <c r="O381" t="s">
        <v>568</v>
      </c>
      <c r="P381" t="s">
        <v>1204</v>
      </c>
      <c r="Q381" t="s">
        <v>1309</v>
      </c>
    </row>
    <row r="382" spans="1:17">
      <c r="A382">
        <v>1020</v>
      </c>
      <c r="B382">
        <v>674</v>
      </c>
      <c r="C382">
        <v>2.6</v>
      </c>
      <c r="D382">
        <v>0.2283</v>
      </c>
      <c r="E382">
        <v>0.52010000000000001</v>
      </c>
      <c r="F382">
        <v>156.27000000000001</v>
      </c>
      <c r="G382">
        <v>0</v>
      </c>
      <c r="H382">
        <v>8.66</v>
      </c>
      <c r="I382">
        <v>190.27</v>
      </c>
      <c r="J382">
        <v>488.15</v>
      </c>
      <c r="K382">
        <v>267.14999999999998</v>
      </c>
      <c r="L382">
        <v>-325.89</v>
      </c>
      <c r="M382">
        <v>-67.39</v>
      </c>
      <c r="N382">
        <v>112312</v>
      </c>
      <c r="O382" t="s">
        <v>568</v>
      </c>
      <c r="P382" t="s">
        <v>1691</v>
      </c>
      <c r="Q382" t="s">
        <v>1761</v>
      </c>
    </row>
    <row r="383" spans="1:17">
      <c r="A383">
        <v>1021</v>
      </c>
      <c r="B383">
        <v>690</v>
      </c>
      <c r="C383">
        <v>2.3929999999999998</v>
      </c>
      <c r="D383">
        <v>0.22620000000000001</v>
      </c>
      <c r="E383">
        <v>0.63519999999999999</v>
      </c>
      <c r="F383">
        <v>170.3</v>
      </c>
      <c r="G383">
        <v>0</v>
      </c>
      <c r="H383">
        <v>8.6300000000000008</v>
      </c>
      <c r="I383">
        <v>206.85</v>
      </c>
      <c r="J383">
        <v>506.15</v>
      </c>
      <c r="K383">
        <v>273.14999999999998</v>
      </c>
      <c r="L383">
        <v>-351</v>
      </c>
      <c r="M383">
        <v>-58.96</v>
      </c>
      <c r="N383">
        <v>112447</v>
      </c>
      <c r="O383" t="s">
        <v>568</v>
      </c>
      <c r="P383" t="s">
        <v>1842</v>
      </c>
      <c r="Q383" t="s">
        <v>1843</v>
      </c>
    </row>
    <row r="384" spans="1:17">
      <c r="A384">
        <v>1025</v>
      </c>
      <c r="B384">
        <v>705.1</v>
      </c>
      <c r="C384">
        <v>2.3199999999999998</v>
      </c>
      <c r="D384">
        <v>0.22370000000000001</v>
      </c>
      <c r="E384">
        <v>0.68079999999999996</v>
      </c>
      <c r="F384">
        <v>184.32</v>
      </c>
      <c r="G384">
        <v>0</v>
      </c>
      <c r="H384">
        <v>8.6199999999999992</v>
      </c>
      <c r="I384">
        <v>223.46</v>
      </c>
      <c r="J384">
        <v>523.15</v>
      </c>
      <c r="K384">
        <v>285.14999999999998</v>
      </c>
      <c r="L384">
        <v>-374.3</v>
      </c>
      <c r="M384">
        <v>-51.11</v>
      </c>
      <c r="N384">
        <v>112549</v>
      </c>
      <c r="O384" t="s">
        <v>633</v>
      </c>
      <c r="P384" t="s">
        <v>1933</v>
      </c>
      <c r="Q384" t="s">
        <v>1934</v>
      </c>
    </row>
    <row r="385" spans="1:17">
      <c r="A385">
        <v>1026</v>
      </c>
      <c r="B385">
        <v>720</v>
      </c>
      <c r="C385">
        <v>2.238</v>
      </c>
      <c r="D385">
        <v>0.22059999999999999</v>
      </c>
      <c r="E385">
        <v>0.74519999999999997</v>
      </c>
      <c r="F385">
        <v>198.35</v>
      </c>
      <c r="G385">
        <v>0</v>
      </c>
      <c r="H385">
        <v>8.59</v>
      </c>
      <c r="I385">
        <v>239.99</v>
      </c>
      <c r="J385">
        <v>540.15</v>
      </c>
      <c r="K385">
        <v>288.14999999999998</v>
      </c>
      <c r="L385">
        <v>-392</v>
      </c>
      <c r="M385">
        <v>-42.98</v>
      </c>
      <c r="N385">
        <v>10486198</v>
      </c>
      <c r="O385" t="s">
        <v>568</v>
      </c>
      <c r="P385" t="s">
        <v>1983</v>
      </c>
      <c r="Q385" t="s">
        <v>1984</v>
      </c>
    </row>
    <row r="386" spans="1:17">
      <c r="A386">
        <v>1034</v>
      </c>
      <c r="B386">
        <v>506</v>
      </c>
      <c r="C386">
        <v>5</v>
      </c>
      <c r="D386">
        <v>0.22770000000000001</v>
      </c>
      <c r="E386">
        <v>0.31979999999999997</v>
      </c>
      <c r="F386">
        <v>56.06</v>
      </c>
      <c r="G386">
        <v>0</v>
      </c>
      <c r="H386">
        <v>9.8699999999999992</v>
      </c>
      <c r="I386">
        <v>67.19</v>
      </c>
      <c r="J386">
        <v>325.83999999999997</v>
      </c>
      <c r="K386">
        <v>185.15</v>
      </c>
      <c r="L386">
        <v>-81</v>
      </c>
      <c r="M386">
        <v>-56.8</v>
      </c>
      <c r="N386">
        <v>107028</v>
      </c>
      <c r="O386" t="s">
        <v>803</v>
      </c>
      <c r="P386" t="s">
        <v>804</v>
      </c>
      <c r="Q386" t="s">
        <v>805</v>
      </c>
    </row>
    <row r="387" spans="1:17">
      <c r="A387">
        <v>1036</v>
      </c>
      <c r="B387">
        <v>565</v>
      </c>
      <c r="C387">
        <v>3.87</v>
      </c>
      <c r="D387">
        <v>0.2306</v>
      </c>
      <c r="E387">
        <v>0.34350000000000003</v>
      </c>
      <c r="F387">
        <v>70.09</v>
      </c>
      <c r="G387">
        <v>0</v>
      </c>
      <c r="H387">
        <v>10.27</v>
      </c>
      <c r="I387">
        <v>82.75</v>
      </c>
      <c r="J387">
        <v>375.37</v>
      </c>
      <c r="K387">
        <v>198.15</v>
      </c>
      <c r="L387">
        <v>-100.5</v>
      </c>
      <c r="M387">
        <v>-41</v>
      </c>
      <c r="N387">
        <v>123739</v>
      </c>
      <c r="O387" t="s">
        <v>1124</v>
      </c>
      <c r="P387" t="s">
        <v>678</v>
      </c>
      <c r="Q387" t="s">
        <v>1125</v>
      </c>
    </row>
    <row r="388" spans="1:17">
      <c r="A388">
        <v>1037</v>
      </c>
      <c r="B388">
        <v>530</v>
      </c>
      <c r="C388">
        <v>4.25</v>
      </c>
      <c r="D388">
        <v>0.24110000000000001</v>
      </c>
      <c r="E388">
        <v>0.24560000000000001</v>
      </c>
      <c r="F388">
        <v>70.09</v>
      </c>
      <c r="G388">
        <v>0</v>
      </c>
      <c r="H388">
        <v>9.16</v>
      </c>
      <c r="I388">
        <v>84.23</v>
      </c>
      <c r="J388">
        <v>341.15</v>
      </c>
      <c r="K388">
        <v>192.15</v>
      </c>
      <c r="L388">
        <v>-113</v>
      </c>
      <c r="M388">
        <v>-57.8</v>
      </c>
      <c r="N388">
        <v>78853</v>
      </c>
      <c r="O388" t="s">
        <v>633</v>
      </c>
      <c r="P388" t="s">
        <v>678</v>
      </c>
      <c r="Q388" t="s">
        <v>906</v>
      </c>
    </row>
    <row r="389" spans="1:17">
      <c r="A389">
        <v>1040</v>
      </c>
      <c r="B389">
        <v>715.8</v>
      </c>
      <c r="C389">
        <v>3.9220000000000002</v>
      </c>
      <c r="D389">
        <v>0.2631</v>
      </c>
      <c r="E389">
        <v>0.38269999999999998</v>
      </c>
      <c r="F389">
        <v>120.15</v>
      </c>
      <c r="G389">
        <v>0</v>
      </c>
      <c r="H389">
        <v>10.44</v>
      </c>
      <c r="I389">
        <v>119.05</v>
      </c>
      <c r="J389">
        <v>477.15</v>
      </c>
      <c r="K389">
        <v>-86</v>
      </c>
      <c r="L389">
        <v>-70.7</v>
      </c>
      <c r="M389">
        <v>13.3</v>
      </c>
      <c r="N389">
        <v>104870</v>
      </c>
      <c r="O389" t="s">
        <v>633</v>
      </c>
      <c r="P389" t="s">
        <v>1949</v>
      </c>
      <c r="Q389" t="s">
        <v>1967</v>
      </c>
    </row>
    <row r="390" spans="1:17">
      <c r="A390">
        <v>1041</v>
      </c>
      <c r="B390">
        <v>695</v>
      </c>
      <c r="C390">
        <v>4.6500000000000004</v>
      </c>
      <c r="D390">
        <v>0.26069999999999999</v>
      </c>
      <c r="E390">
        <v>0.31269999999999998</v>
      </c>
      <c r="F390">
        <v>106.12</v>
      </c>
      <c r="G390">
        <v>0</v>
      </c>
      <c r="H390">
        <v>10.56</v>
      </c>
      <c r="I390">
        <v>101.89</v>
      </c>
      <c r="J390">
        <v>452.05</v>
      </c>
      <c r="K390">
        <v>247.15</v>
      </c>
      <c r="L390">
        <v>-37</v>
      </c>
      <c r="M390">
        <v>22.39</v>
      </c>
      <c r="N390">
        <v>100527</v>
      </c>
      <c r="O390" t="s">
        <v>1873</v>
      </c>
      <c r="P390" t="s">
        <v>1874</v>
      </c>
      <c r="Q390" t="s">
        <v>1875</v>
      </c>
    </row>
    <row r="391" spans="1:17">
      <c r="A391">
        <v>1042</v>
      </c>
      <c r="B391">
        <v>680</v>
      </c>
      <c r="C391">
        <v>4.99</v>
      </c>
      <c r="D391">
        <v>0.3019</v>
      </c>
      <c r="E391">
        <v>0.62450000000000006</v>
      </c>
      <c r="F391">
        <v>122.12</v>
      </c>
      <c r="G391">
        <v>0</v>
      </c>
      <c r="H391">
        <v>10.41</v>
      </c>
      <c r="I391">
        <v>106.28</v>
      </c>
      <c r="J391">
        <v>470.15</v>
      </c>
      <c r="K391">
        <v>266.14999999999998</v>
      </c>
      <c r="L391">
        <v>-213</v>
      </c>
      <c r="M391">
        <v>-140.72999999999999</v>
      </c>
      <c r="N391">
        <v>90028</v>
      </c>
      <c r="O391" t="s">
        <v>2516</v>
      </c>
      <c r="P391" t="s">
        <v>2108</v>
      </c>
      <c r="Q391" t="s">
        <v>2527</v>
      </c>
    </row>
    <row r="392" spans="1:17">
      <c r="A392">
        <v>1043</v>
      </c>
      <c r="B392">
        <v>844</v>
      </c>
      <c r="C392">
        <v>4.99</v>
      </c>
      <c r="D392">
        <v>0.25669999999999998</v>
      </c>
      <c r="E392">
        <v>0.61719999999999997</v>
      </c>
      <c r="F392">
        <v>122.12</v>
      </c>
      <c r="G392">
        <v>0</v>
      </c>
      <c r="H392">
        <v>12.25</v>
      </c>
      <c r="I392">
        <v>107.17</v>
      </c>
      <c r="J392">
        <v>583.15</v>
      </c>
      <c r="K392">
        <v>389.15</v>
      </c>
      <c r="L392">
        <v>-213</v>
      </c>
      <c r="M392">
        <v>-139</v>
      </c>
      <c r="N392">
        <v>123080</v>
      </c>
      <c r="O392" t="s">
        <v>545</v>
      </c>
      <c r="P392" t="s">
        <v>2108</v>
      </c>
      <c r="Q392" t="s">
        <v>2392</v>
      </c>
    </row>
    <row r="393" spans="1:17">
      <c r="A393">
        <v>1050</v>
      </c>
      <c r="B393">
        <v>579</v>
      </c>
      <c r="C393">
        <v>3.5</v>
      </c>
      <c r="D393">
        <v>0.26540000000000002</v>
      </c>
      <c r="E393">
        <v>0.43680000000000002</v>
      </c>
      <c r="F393">
        <v>132.16</v>
      </c>
      <c r="G393">
        <v>0</v>
      </c>
      <c r="H393">
        <v>8.67</v>
      </c>
      <c r="I393">
        <v>134.13999999999999</v>
      </c>
      <c r="J393">
        <v>397.02</v>
      </c>
      <c r="K393">
        <v>285.75</v>
      </c>
      <c r="L393">
        <v>-645.29999999999995</v>
      </c>
      <c r="M393">
        <v>-396.9</v>
      </c>
      <c r="N393">
        <v>123637</v>
      </c>
      <c r="O393" t="s">
        <v>1219</v>
      </c>
      <c r="P393" t="s">
        <v>1220</v>
      </c>
      <c r="Q393" t="s">
        <v>1221</v>
      </c>
    </row>
    <row r="394" spans="1:17">
      <c r="A394">
        <v>1051</v>
      </c>
      <c r="B394">
        <v>508.2</v>
      </c>
      <c r="C394">
        <v>4.7009999999999996</v>
      </c>
      <c r="D394">
        <v>0.23250000000000001</v>
      </c>
      <c r="E394">
        <v>0.30649999999999999</v>
      </c>
      <c r="F394">
        <v>58.08</v>
      </c>
      <c r="G394">
        <v>0</v>
      </c>
      <c r="H394">
        <v>9.65</v>
      </c>
      <c r="I394">
        <v>73.84</v>
      </c>
      <c r="J394">
        <v>329.44</v>
      </c>
      <c r="K394">
        <v>178.45</v>
      </c>
      <c r="L394">
        <v>-217.2</v>
      </c>
      <c r="M394">
        <v>-152.69999999999999</v>
      </c>
      <c r="N394">
        <v>67641</v>
      </c>
      <c r="O394" t="s">
        <v>423</v>
      </c>
      <c r="P394" t="s">
        <v>634</v>
      </c>
      <c r="Q394" t="s">
        <v>828</v>
      </c>
    </row>
    <row r="395" spans="1:17">
      <c r="A395">
        <v>1052</v>
      </c>
      <c r="B395">
        <v>535.5</v>
      </c>
      <c r="C395">
        <v>4.1500000000000004</v>
      </c>
      <c r="D395">
        <v>0.24890000000000001</v>
      </c>
      <c r="E395">
        <v>0.32340000000000002</v>
      </c>
      <c r="F395">
        <v>72.11</v>
      </c>
      <c r="G395">
        <v>0</v>
      </c>
      <c r="H395">
        <v>9.23</v>
      </c>
      <c r="I395">
        <v>90.19</v>
      </c>
      <c r="J395">
        <v>352.79</v>
      </c>
      <c r="K395">
        <v>186.48</v>
      </c>
      <c r="L395">
        <v>-238.6</v>
      </c>
      <c r="M395">
        <v>-146</v>
      </c>
      <c r="N395">
        <v>78933</v>
      </c>
      <c r="O395" t="s">
        <v>423</v>
      </c>
      <c r="P395" t="s">
        <v>706</v>
      </c>
      <c r="Q395" t="s">
        <v>930</v>
      </c>
    </row>
    <row r="396" spans="1:17">
      <c r="A396">
        <v>1053</v>
      </c>
      <c r="B396">
        <v>560.95000000000005</v>
      </c>
      <c r="C396">
        <v>3.74</v>
      </c>
      <c r="D396">
        <v>0.26939999999999997</v>
      </c>
      <c r="E396">
        <v>0.3448</v>
      </c>
      <c r="F396">
        <v>86.13</v>
      </c>
      <c r="G396">
        <v>0</v>
      </c>
      <c r="H396">
        <v>9</v>
      </c>
      <c r="I396">
        <v>106.41</v>
      </c>
      <c r="J396">
        <v>375.14</v>
      </c>
      <c r="K396">
        <v>234.18</v>
      </c>
      <c r="L396">
        <v>-258.39999999999998</v>
      </c>
      <c r="M396">
        <v>-134.4</v>
      </c>
      <c r="N396">
        <v>96220</v>
      </c>
      <c r="O396" t="s">
        <v>423</v>
      </c>
      <c r="P396" t="s">
        <v>1046</v>
      </c>
      <c r="Q396" t="s">
        <v>1096</v>
      </c>
    </row>
    <row r="397" spans="1:17">
      <c r="A397">
        <v>1054</v>
      </c>
      <c r="B397">
        <v>574.6</v>
      </c>
      <c r="C397">
        <v>3.27</v>
      </c>
      <c r="D397">
        <v>0.26290000000000002</v>
      </c>
      <c r="E397">
        <v>0.35570000000000002</v>
      </c>
      <c r="F397">
        <v>100.16</v>
      </c>
      <c r="G397">
        <v>0</v>
      </c>
      <c r="H397">
        <v>8.52</v>
      </c>
      <c r="I397">
        <v>125.8</v>
      </c>
      <c r="J397">
        <v>389.65</v>
      </c>
      <c r="K397">
        <v>189.15</v>
      </c>
      <c r="L397">
        <v>-288</v>
      </c>
      <c r="M397">
        <v>-135</v>
      </c>
      <c r="N397">
        <v>108101</v>
      </c>
      <c r="O397" t="s">
        <v>1199</v>
      </c>
      <c r="P397" t="s">
        <v>935</v>
      </c>
      <c r="Q397" t="s">
        <v>1200</v>
      </c>
    </row>
    <row r="398" spans="1:17">
      <c r="A398">
        <v>1055</v>
      </c>
      <c r="B398">
        <v>573</v>
      </c>
      <c r="C398">
        <v>3.32</v>
      </c>
      <c r="D398">
        <v>0.2828</v>
      </c>
      <c r="E398">
        <v>0.3886</v>
      </c>
      <c r="F398">
        <v>100.16</v>
      </c>
      <c r="G398">
        <v>0</v>
      </c>
      <c r="H398">
        <v>8.49</v>
      </c>
      <c r="I398">
        <v>124.05</v>
      </c>
      <c r="J398">
        <v>391.15</v>
      </c>
      <c r="K398">
        <v>167.15</v>
      </c>
      <c r="L398">
        <v>-282.2</v>
      </c>
      <c r="M398">
        <v>-130.5</v>
      </c>
      <c r="N398">
        <v>565617</v>
      </c>
      <c r="O398" t="s">
        <v>1190</v>
      </c>
      <c r="P398" t="s">
        <v>935</v>
      </c>
      <c r="Q398" t="s">
        <v>1191</v>
      </c>
    </row>
    <row r="399" spans="1:17">
      <c r="A399">
        <v>1057</v>
      </c>
      <c r="B399">
        <v>606.6</v>
      </c>
      <c r="C399">
        <v>2.92</v>
      </c>
      <c r="D399">
        <v>0.25190000000000001</v>
      </c>
      <c r="E399">
        <v>0.40760000000000002</v>
      </c>
      <c r="F399">
        <v>114.19</v>
      </c>
      <c r="G399">
        <v>0</v>
      </c>
      <c r="H399">
        <v>8.85</v>
      </c>
      <c r="I399">
        <v>140.18</v>
      </c>
      <c r="J399">
        <v>420.55</v>
      </c>
      <c r="K399">
        <v>234.15</v>
      </c>
      <c r="L399">
        <v>-301</v>
      </c>
      <c r="M399">
        <v>-119.6</v>
      </c>
      <c r="N399">
        <v>106354</v>
      </c>
      <c r="O399" t="s">
        <v>721</v>
      </c>
      <c r="P399" t="s">
        <v>1204</v>
      </c>
      <c r="Q399" t="s">
        <v>1373</v>
      </c>
    </row>
    <row r="400" spans="1:17">
      <c r="A400">
        <v>1058</v>
      </c>
      <c r="B400">
        <v>602</v>
      </c>
      <c r="C400">
        <v>2.92</v>
      </c>
      <c r="D400">
        <v>0.2485</v>
      </c>
      <c r="E400">
        <v>0.41199999999999998</v>
      </c>
      <c r="F400">
        <v>114.19</v>
      </c>
      <c r="G400">
        <v>0</v>
      </c>
      <c r="H400">
        <v>8.42</v>
      </c>
      <c r="I400">
        <v>140.19</v>
      </c>
      <c r="J400">
        <v>417.15</v>
      </c>
      <c r="K400">
        <v>240.65</v>
      </c>
      <c r="L400">
        <v>-301</v>
      </c>
      <c r="M400">
        <v>-119.6</v>
      </c>
      <c r="N400">
        <v>123193</v>
      </c>
      <c r="O400" t="s">
        <v>568</v>
      </c>
      <c r="P400" t="s">
        <v>1204</v>
      </c>
      <c r="Q400" t="s">
        <v>1343</v>
      </c>
    </row>
    <row r="401" spans="1:17">
      <c r="A401">
        <v>1059</v>
      </c>
      <c r="B401">
        <v>582.82000000000005</v>
      </c>
      <c r="C401">
        <v>3.32</v>
      </c>
      <c r="D401">
        <v>0.24940000000000001</v>
      </c>
      <c r="E401">
        <v>0.38009999999999999</v>
      </c>
      <c r="F401">
        <v>100.16</v>
      </c>
      <c r="G401">
        <v>0</v>
      </c>
      <c r="H401">
        <v>8.75</v>
      </c>
      <c r="I401">
        <v>123.64</v>
      </c>
      <c r="J401">
        <v>396.66</v>
      </c>
      <c r="K401">
        <v>215</v>
      </c>
      <c r="L401">
        <v>-277.7</v>
      </c>
      <c r="M401">
        <v>-125.3</v>
      </c>
      <c r="N401">
        <v>589388</v>
      </c>
      <c r="O401" t="s">
        <v>1235</v>
      </c>
      <c r="P401" t="s">
        <v>935</v>
      </c>
      <c r="Q401" t="s">
        <v>1236</v>
      </c>
    </row>
    <row r="402" spans="1:17">
      <c r="A402">
        <v>1060</v>
      </c>
      <c r="B402">
        <v>561.08000000000004</v>
      </c>
      <c r="C402">
        <v>3.694</v>
      </c>
      <c r="D402">
        <v>0.24979999999999999</v>
      </c>
      <c r="E402">
        <v>0.34329999999999999</v>
      </c>
      <c r="F402">
        <v>86.13</v>
      </c>
      <c r="G402">
        <v>0</v>
      </c>
      <c r="H402">
        <v>8.94</v>
      </c>
      <c r="I402">
        <v>107.25</v>
      </c>
      <c r="J402">
        <v>375.46</v>
      </c>
      <c r="K402">
        <v>196.29</v>
      </c>
      <c r="L402">
        <v>-259.2</v>
      </c>
      <c r="M402">
        <v>-138.4</v>
      </c>
      <c r="N402">
        <v>107879</v>
      </c>
      <c r="O402" t="s">
        <v>848</v>
      </c>
      <c r="P402" t="s">
        <v>1046</v>
      </c>
      <c r="Q402" t="s">
        <v>1103</v>
      </c>
    </row>
    <row r="403" spans="1:17">
      <c r="A403">
        <v>1061</v>
      </c>
      <c r="B403">
        <v>553.4</v>
      </c>
      <c r="C403">
        <v>3.8</v>
      </c>
      <c r="D403">
        <v>0.2596</v>
      </c>
      <c r="E403">
        <v>0.32079999999999997</v>
      </c>
      <c r="F403">
        <v>86.13</v>
      </c>
      <c r="G403">
        <v>0</v>
      </c>
      <c r="H403">
        <v>8.92</v>
      </c>
      <c r="I403">
        <v>106.97</v>
      </c>
      <c r="J403">
        <v>367.55</v>
      </c>
      <c r="K403">
        <v>181.15</v>
      </c>
      <c r="L403">
        <v>-262.39999999999998</v>
      </c>
      <c r="M403">
        <v>-139</v>
      </c>
      <c r="N403">
        <v>563804</v>
      </c>
      <c r="O403" t="s">
        <v>423</v>
      </c>
      <c r="P403" t="s">
        <v>1046</v>
      </c>
      <c r="Q403" t="s">
        <v>1047</v>
      </c>
    </row>
    <row r="404" spans="1:17">
      <c r="A404">
        <v>1062</v>
      </c>
      <c r="B404">
        <v>587.61</v>
      </c>
      <c r="C404">
        <v>3.2869999999999999</v>
      </c>
      <c r="D404">
        <v>0.25130000000000002</v>
      </c>
      <c r="E404">
        <v>0.3846</v>
      </c>
      <c r="F404">
        <v>100.16</v>
      </c>
      <c r="G404">
        <v>0</v>
      </c>
      <c r="H404">
        <v>8.8699999999999992</v>
      </c>
      <c r="I404">
        <v>124.12</v>
      </c>
      <c r="J404">
        <v>400.85</v>
      </c>
      <c r="K404">
        <v>217.35</v>
      </c>
      <c r="L404">
        <v>-279.83</v>
      </c>
      <c r="M404">
        <v>-130.08000000000001</v>
      </c>
      <c r="N404">
        <v>591786</v>
      </c>
      <c r="O404" t="s">
        <v>1235</v>
      </c>
      <c r="P404" t="s">
        <v>935</v>
      </c>
      <c r="Q404" t="s">
        <v>1263</v>
      </c>
    </row>
    <row r="405" spans="1:17">
      <c r="A405">
        <v>1063</v>
      </c>
      <c r="B405">
        <v>611.4</v>
      </c>
      <c r="C405">
        <v>2.94</v>
      </c>
      <c r="D405">
        <v>0.24179999999999999</v>
      </c>
      <c r="E405">
        <v>0.41899999999999998</v>
      </c>
      <c r="F405">
        <v>114.19</v>
      </c>
      <c r="G405">
        <v>0</v>
      </c>
      <c r="H405">
        <v>8.74</v>
      </c>
      <c r="I405">
        <v>140.78</v>
      </c>
      <c r="J405">
        <v>424.05</v>
      </c>
      <c r="K405">
        <v>238.15</v>
      </c>
      <c r="L405">
        <v>-300.45</v>
      </c>
      <c r="M405">
        <v>-121.8</v>
      </c>
      <c r="N405">
        <v>110430</v>
      </c>
      <c r="O405" t="s">
        <v>1402</v>
      </c>
      <c r="P405" t="s">
        <v>1204</v>
      </c>
      <c r="Q405" t="s">
        <v>1403</v>
      </c>
    </row>
    <row r="406" spans="1:17">
      <c r="A406">
        <v>1064</v>
      </c>
      <c r="B406">
        <v>601</v>
      </c>
      <c r="C406">
        <v>2.97</v>
      </c>
      <c r="D406">
        <v>0.25019999999999998</v>
      </c>
      <c r="E406">
        <v>0.43440000000000001</v>
      </c>
      <c r="F406">
        <v>114.19</v>
      </c>
      <c r="G406">
        <v>0</v>
      </c>
      <c r="H406">
        <v>8.67</v>
      </c>
      <c r="I406">
        <v>141.30000000000001</v>
      </c>
      <c r="J406">
        <v>417.95</v>
      </c>
      <c r="K406">
        <v>199.25</v>
      </c>
      <c r="L406">
        <v>-304</v>
      </c>
      <c r="M406">
        <v>-122</v>
      </c>
      <c r="N406">
        <v>110123</v>
      </c>
      <c r="O406" t="s">
        <v>568</v>
      </c>
      <c r="P406" t="s">
        <v>1204</v>
      </c>
      <c r="Q406" t="s">
        <v>1336</v>
      </c>
    </row>
    <row r="407" spans="1:17">
      <c r="A407">
        <v>1065</v>
      </c>
      <c r="B407">
        <v>600</v>
      </c>
      <c r="C407">
        <v>3.41</v>
      </c>
      <c r="D407">
        <v>0.2427</v>
      </c>
      <c r="E407">
        <v>0.32540000000000002</v>
      </c>
      <c r="F407">
        <v>98.15</v>
      </c>
      <c r="G407">
        <v>0</v>
      </c>
      <c r="H407">
        <v>9.1199999999999992</v>
      </c>
      <c r="I407">
        <v>115.17</v>
      </c>
      <c r="J407">
        <v>402.95</v>
      </c>
      <c r="K407">
        <v>226.75</v>
      </c>
      <c r="L407">
        <v>-195.6</v>
      </c>
      <c r="M407">
        <v>-78.81</v>
      </c>
      <c r="N407">
        <v>141797</v>
      </c>
      <c r="O407" t="s">
        <v>368</v>
      </c>
      <c r="P407" t="s">
        <v>1325</v>
      </c>
      <c r="Q407" t="s">
        <v>1326</v>
      </c>
    </row>
    <row r="408" spans="1:17">
      <c r="A408">
        <v>1066</v>
      </c>
      <c r="B408">
        <v>564</v>
      </c>
      <c r="C408">
        <v>3.32</v>
      </c>
      <c r="D408">
        <v>0.27089999999999997</v>
      </c>
      <c r="E408">
        <v>0.32729999999999998</v>
      </c>
      <c r="F408">
        <v>100.16</v>
      </c>
      <c r="G408">
        <v>0</v>
      </c>
      <c r="H408">
        <v>8.27</v>
      </c>
      <c r="I408">
        <v>124.87</v>
      </c>
      <c r="J408">
        <v>379.45</v>
      </c>
      <c r="K408">
        <v>221.15</v>
      </c>
      <c r="L408">
        <v>-290.5</v>
      </c>
      <c r="M408">
        <v>-130.69999999999999</v>
      </c>
      <c r="N408">
        <v>75978</v>
      </c>
      <c r="O408" t="s">
        <v>566</v>
      </c>
      <c r="P408" t="s">
        <v>935</v>
      </c>
      <c r="Q408" t="s">
        <v>1121</v>
      </c>
    </row>
    <row r="409" spans="1:17">
      <c r="A409">
        <v>1068</v>
      </c>
      <c r="B409">
        <v>615</v>
      </c>
      <c r="C409">
        <v>2.48</v>
      </c>
      <c r="D409">
        <v>0.25619999999999998</v>
      </c>
      <c r="E409">
        <v>0.51160000000000005</v>
      </c>
      <c r="F409">
        <v>142.24</v>
      </c>
      <c r="G409">
        <v>0</v>
      </c>
      <c r="H409">
        <v>8.0399999999999991</v>
      </c>
      <c r="I409">
        <v>177.42</v>
      </c>
      <c r="J409">
        <v>441.4</v>
      </c>
      <c r="K409">
        <v>227</v>
      </c>
      <c r="L409">
        <v>-357.6</v>
      </c>
      <c r="M409">
        <v>-113</v>
      </c>
      <c r="N409">
        <v>108838</v>
      </c>
      <c r="O409" t="s">
        <v>721</v>
      </c>
      <c r="P409" t="s">
        <v>1411</v>
      </c>
      <c r="Q409" t="s">
        <v>1412</v>
      </c>
    </row>
    <row r="410" spans="1:17">
      <c r="A410">
        <v>1069</v>
      </c>
      <c r="B410">
        <v>576</v>
      </c>
      <c r="C410">
        <v>3.02</v>
      </c>
      <c r="D410">
        <v>0.29060000000000002</v>
      </c>
      <c r="E410">
        <v>0.40439999999999998</v>
      </c>
      <c r="F410">
        <v>114.19</v>
      </c>
      <c r="G410">
        <v>0</v>
      </c>
      <c r="H410">
        <v>8.74</v>
      </c>
      <c r="I410">
        <v>125.22</v>
      </c>
      <c r="J410">
        <v>397.5</v>
      </c>
      <c r="K410">
        <v>204</v>
      </c>
      <c r="L410">
        <v>-316</v>
      </c>
      <c r="M410">
        <v>-132</v>
      </c>
      <c r="N410">
        <v>565800</v>
      </c>
      <c r="O410" t="s">
        <v>1190</v>
      </c>
      <c r="P410" t="s">
        <v>1204</v>
      </c>
      <c r="Q410" t="s">
        <v>1205</v>
      </c>
    </row>
    <row r="411" spans="1:17">
      <c r="A411">
        <v>1070</v>
      </c>
      <c r="B411">
        <v>802</v>
      </c>
      <c r="C411">
        <v>6.17</v>
      </c>
      <c r="D411">
        <v>0.24740000000000001</v>
      </c>
      <c r="E411">
        <v>0.43240000000000001</v>
      </c>
      <c r="F411">
        <v>85.11</v>
      </c>
      <c r="G411">
        <v>0</v>
      </c>
      <c r="H411">
        <v>14.08</v>
      </c>
      <c r="I411">
        <v>76.83</v>
      </c>
      <c r="J411">
        <v>518.15</v>
      </c>
      <c r="K411">
        <v>298.14999999999998</v>
      </c>
      <c r="L411">
        <v>-197.15</v>
      </c>
      <c r="M411">
        <v>-84.73</v>
      </c>
      <c r="N411">
        <v>616455</v>
      </c>
      <c r="O411" t="s">
        <v>368</v>
      </c>
      <c r="P411" t="s">
        <v>1460</v>
      </c>
      <c r="Q411" t="s">
        <v>2293</v>
      </c>
    </row>
    <row r="412" spans="1:17">
      <c r="A412">
        <v>1071</v>
      </c>
      <c r="B412">
        <v>721.6</v>
      </c>
      <c r="C412">
        <v>4.5199999999999996</v>
      </c>
      <c r="D412">
        <v>0.25019999999999998</v>
      </c>
      <c r="E412">
        <v>0.37319999999999998</v>
      </c>
      <c r="F412">
        <v>99.13</v>
      </c>
      <c r="G412">
        <v>0</v>
      </c>
      <c r="H412">
        <v>11.4</v>
      </c>
      <c r="I412">
        <v>96.61</v>
      </c>
      <c r="J412">
        <v>475.15</v>
      </c>
      <c r="K412">
        <v>249.15</v>
      </c>
      <c r="L412">
        <v>-195</v>
      </c>
      <c r="M412">
        <v>-65.12</v>
      </c>
      <c r="N412">
        <v>872504</v>
      </c>
      <c r="O412" t="s">
        <v>368</v>
      </c>
      <c r="P412" t="s">
        <v>1154</v>
      </c>
      <c r="Q412" t="s">
        <v>1997</v>
      </c>
    </row>
    <row r="413" spans="1:17">
      <c r="A413">
        <v>1073</v>
      </c>
      <c r="B413">
        <v>640</v>
      </c>
      <c r="C413">
        <v>2.3199999999999998</v>
      </c>
      <c r="D413">
        <v>0.22969999999999999</v>
      </c>
      <c r="E413">
        <v>0.51370000000000005</v>
      </c>
      <c r="F413">
        <v>142.24</v>
      </c>
      <c r="G413">
        <v>0</v>
      </c>
      <c r="H413">
        <v>8.48</v>
      </c>
      <c r="I413">
        <v>173.99</v>
      </c>
      <c r="J413">
        <v>459.15</v>
      </c>
      <c r="K413">
        <v>268.14999999999998</v>
      </c>
      <c r="L413">
        <v>-344.9</v>
      </c>
      <c r="M413">
        <v>-105.4</v>
      </c>
      <c r="N413">
        <v>502567</v>
      </c>
      <c r="O413" t="s">
        <v>1564</v>
      </c>
      <c r="P413" t="s">
        <v>1411</v>
      </c>
      <c r="Q413" t="s">
        <v>1565</v>
      </c>
    </row>
    <row r="414" spans="1:17">
      <c r="A414">
        <v>1074</v>
      </c>
      <c r="B414">
        <v>652.5</v>
      </c>
      <c r="C414">
        <v>2.41</v>
      </c>
      <c r="D414">
        <v>0.22950000000000001</v>
      </c>
      <c r="E414">
        <v>0.49790000000000001</v>
      </c>
      <c r="F414">
        <v>142.24</v>
      </c>
      <c r="G414">
        <v>0</v>
      </c>
      <c r="H414">
        <v>8.6</v>
      </c>
      <c r="I414">
        <v>173.98</v>
      </c>
      <c r="J414">
        <v>467.45</v>
      </c>
      <c r="K414">
        <v>265.64999999999998</v>
      </c>
      <c r="L414">
        <v>-340.8</v>
      </c>
      <c r="M414">
        <v>-104.1</v>
      </c>
      <c r="N414">
        <v>821556</v>
      </c>
      <c r="O414" t="s">
        <v>721</v>
      </c>
      <c r="P414" t="s">
        <v>1411</v>
      </c>
      <c r="Q414" t="s">
        <v>1645</v>
      </c>
    </row>
    <row r="415" spans="1:17">
      <c r="A415">
        <v>1075</v>
      </c>
      <c r="B415">
        <v>900</v>
      </c>
      <c r="C415">
        <v>3.15</v>
      </c>
      <c r="D415">
        <v>0.2442</v>
      </c>
      <c r="E415">
        <v>0.68069999999999997</v>
      </c>
      <c r="F415">
        <v>208.22</v>
      </c>
      <c r="G415">
        <v>0</v>
      </c>
      <c r="H415">
        <v>8.69</v>
      </c>
      <c r="I415">
        <v>194.15</v>
      </c>
      <c r="J415">
        <v>652.95000000000005</v>
      </c>
      <c r="K415">
        <v>555.15</v>
      </c>
      <c r="L415">
        <v>-95.2</v>
      </c>
      <c r="M415">
        <v>-86</v>
      </c>
      <c r="N415">
        <v>84651</v>
      </c>
      <c r="O415" t="s">
        <v>568</v>
      </c>
      <c r="P415" t="s">
        <v>2438</v>
      </c>
      <c r="Q415" t="s">
        <v>2439</v>
      </c>
    </row>
    <row r="416" spans="1:17">
      <c r="A416">
        <v>1076</v>
      </c>
      <c r="B416">
        <v>601.15</v>
      </c>
      <c r="C416">
        <v>3.9</v>
      </c>
      <c r="D416">
        <v>0.252</v>
      </c>
      <c r="E416">
        <v>0.21099999999999999</v>
      </c>
      <c r="F416">
        <v>100.12</v>
      </c>
      <c r="G416">
        <v>0</v>
      </c>
      <c r="H416">
        <v>9.5500000000000007</v>
      </c>
      <c r="I416">
        <v>103.12</v>
      </c>
      <c r="J416">
        <v>413.55</v>
      </c>
      <c r="K416">
        <v>249.65</v>
      </c>
      <c r="L416">
        <v>-380</v>
      </c>
      <c r="M416">
        <v>-275</v>
      </c>
      <c r="N416">
        <v>123546</v>
      </c>
      <c r="O416" t="s">
        <v>2516</v>
      </c>
      <c r="P416" t="s">
        <v>1004</v>
      </c>
      <c r="Q416" t="s">
        <v>2528</v>
      </c>
    </row>
    <row r="417" spans="1:17">
      <c r="A417">
        <v>1077</v>
      </c>
      <c r="B417">
        <v>707.6</v>
      </c>
      <c r="C417">
        <v>3.09</v>
      </c>
      <c r="D417">
        <v>0.25309999999999999</v>
      </c>
      <c r="E417">
        <v>0.41649999999999998</v>
      </c>
      <c r="F417">
        <v>138.21</v>
      </c>
      <c r="G417">
        <v>0</v>
      </c>
      <c r="H417">
        <v>8.73</v>
      </c>
      <c r="I417">
        <v>150.29</v>
      </c>
      <c r="J417">
        <v>488.35</v>
      </c>
      <c r="K417">
        <v>265.05</v>
      </c>
      <c r="L417">
        <v>-251</v>
      </c>
      <c r="M417">
        <v>-58.3</v>
      </c>
      <c r="N417">
        <v>78591</v>
      </c>
      <c r="O417" t="s">
        <v>1172</v>
      </c>
      <c r="P417" t="s">
        <v>1941</v>
      </c>
      <c r="Q417" t="s">
        <v>1942</v>
      </c>
    </row>
    <row r="418" spans="1:17">
      <c r="A418">
        <v>1079</v>
      </c>
      <c r="B418">
        <v>624.5</v>
      </c>
      <c r="C418">
        <v>4.5999999999999996</v>
      </c>
      <c r="D418">
        <v>0.28999999999999998</v>
      </c>
      <c r="E418">
        <v>0.28760000000000002</v>
      </c>
      <c r="F418">
        <v>84.12</v>
      </c>
      <c r="G418">
        <v>0</v>
      </c>
      <c r="H418">
        <v>10.26</v>
      </c>
      <c r="I418">
        <v>89.06</v>
      </c>
      <c r="J418">
        <v>403.15</v>
      </c>
      <c r="K418">
        <v>215.15</v>
      </c>
      <c r="L418">
        <v>-194.14</v>
      </c>
      <c r="M418">
        <v>-96.2</v>
      </c>
      <c r="N418">
        <v>120923</v>
      </c>
      <c r="O418" t="s">
        <v>660</v>
      </c>
      <c r="P418" t="s">
        <v>1135</v>
      </c>
      <c r="Q418" t="s">
        <v>1492</v>
      </c>
    </row>
    <row r="419" spans="1:17">
      <c r="A419">
        <v>1080</v>
      </c>
      <c r="B419">
        <v>653</v>
      </c>
      <c r="C419">
        <v>4</v>
      </c>
      <c r="D419">
        <v>0.22900000000000001</v>
      </c>
      <c r="E419">
        <v>0.29899999999999999</v>
      </c>
      <c r="F419">
        <v>98.15</v>
      </c>
      <c r="G419">
        <v>0</v>
      </c>
      <c r="H419">
        <v>9.85</v>
      </c>
      <c r="I419">
        <v>104.17</v>
      </c>
      <c r="J419">
        <v>428.9</v>
      </c>
      <c r="K419">
        <v>242</v>
      </c>
      <c r="L419">
        <v>-226.23</v>
      </c>
      <c r="M419">
        <v>-90.75</v>
      </c>
      <c r="N419">
        <v>108941</v>
      </c>
      <c r="O419" t="s">
        <v>1646</v>
      </c>
      <c r="P419" t="s">
        <v>1325</v>
      </c>
      <c r="Q419" t="s">
        <v>1647</v>
      </c>
    </row>
    <row r="420" spans="1:17">
      <c r="A420">
        <v>1083</v>
      </c>
      <c r="B420">
        <v>632.70000000000005</v>
      </c>
      <c r="C420">
        <v>2.64</v>
      </c>
      <c r="D420">
        <v>0.23499999999999999</v>
      </c>
      <c r="E420">
        <v>0.45490000000000003</v>
      </c>
      <c r="F420">
        <v>128.21</v>
      </c>
      <c r="G420">
        <v>0</v>
      </c>
      <c r="H420">
        <v>9.36</v>
      </c>
      <c r="I420">
        <v>157.38999999999999</v>
      </c>
      <c r="J420">
        <v>445.75</v>
      </c>
      <c r="K420">
        <v>252.85</v>
      </c>
      <c r="L420">
        <v>-321.60000000000002</v>
      </c>
      <c r="M420">
        <v>-113.8</v>
      </c>
      <c r="N420">
        <v>111137</v>
      </c>
      <c r="O420" t="s">
        <v>721</v>
      </c>
      <c r="P420" t="s">
        <v>1452</v>
      </c>
      <c r="Q420" t="s">
        <v>1528</v>
      </c>
    </row>
    <row r="421" spans="1:17">
      <c r="A421">
        <v>1085</v>
      </c>
      <c r="B421">
        <v>830</v>
      </c>
      <c r="C421">
        <v>3.3519999999999999</v>
      </c>
      <c r="D421">
        <v>0.24049999999999999</v>
      </c>
      <c r="E421">
        <v>0.50190000000000001</v>
      </c>
      <c r="F421">
        <v>182.22</v>
      </c>
      <c r="G421">
        <v>0</v>
      </c>
      <c r="H421">
        <v>9.61</v>
      </c>
      <c r="I421">
        <v>167.92</v>
      </c>
      <c r="J421">
        <v>578.54999999999995</v>
      </c>
      <c r="K421">
        <v>321.64999999999998</v>
      </c>
      <c r="L421">
        <v>59</v>
      </c>
      <c r="M421">
        <v>175</v>
      </c>
      <c r="N421">
        <v>119619</v>
      </c>
      <c r="O421" t="s">
        <v>633</v>
      </c>
      <c r="P421" t="s">
        <v>2355</v>
      </c>
      <c r="Q421" t="s">
        <v>2356</v>
      </c>
    </row>
    <row r="422" spans="1:17">
      <c r="A422">
        <v>1090</v>
      </c>
      <c r="B422">
        <v>709.6</v>
      </c>
      <c r="C422">
        <v>4.01</v>
      </c>
      <c r="D422">
        <v>0.2477</v>
      </c>
      <c r="E422">
        <v>0.38300000000000001</v>
      </c>
      <c r="F422">
        <v>120.15</v>
      </c>
      <c r="G422">
        <v>0</v>
      </c>
      <c r="H422">
        <v>10.23</v>
      </c>
      <c r="I422">
        <v>117.36</v>
      </c>
      <c r="J422">
        <v>475.15</v>
      </c>
      <c r="K422">
        <v>293.64999999999998</v>
      </c>
      <c r="L422">
        <v>-86.6</v>
      </c>
      <c r="M422">
        <v>-1.36</v>
      </c>
      <c r="N422">
        <v>98862</v>
      </c>
      <c r="O422" t="s">
        <v>537</v>
      </c>
      <c r="P422" t="s">
        <v>1949</v>
      </c>
      <c r="Q422" t="s">
        <v>1950</v>
      </c>
    </row>
    <row r="423" spans="1:17">
      <c r="A423">
        <v>1091</v>
      </c>
      <c r="B423">
        <v>686</v>
      </c>
      <c r="C423">
        <v>6.91</v>
      </c>
      <c r="D423">
        <v>0.23619999999999999</v>
      </c>
      <c r="E423">
        <v>0.35770000000000002</v>
      </c>
      <c r="F423">
        <v>72.06</v>
      </c>
      <c r="G423">
        <v>0</v>
      </c>
      <c r="H423">
        <v>12.99</v>
      </c>
      <c r="I423">
        <v>63.08</v>
      </c>
      <c r="J423">
        <v>435.15</v>
      </c>
      <c r="K423">
        <v>239.75</v>
      </c>
      <c r="L423">
        <v>-282.89999999999998</v>
      </c>
      <c r="M423">
        <v>-224.1</v>
      </c>
      <c r="N423">
        <v>57578</v>
      </c>
      <c r="O423" t="s">
        <v>2804</v>
      </c>
      <c r="P423" t="s">
        <v>362</v>
      </c>
      <c r="Q423" t="s">
        <v>2529</v>
      </c>
    </row>
    <row r="424" spans="1:17">
      <c r="A424">
        <v>1092</v>
      </c>
      <c r="B424">
        <v>731</v>
      </c>
      <c r="C424">
        <v>5.13</v>
      </c>
      <c r="D424">
        <v>0.15490000000000001</v>
      </c>
      <c r="E424">
        <v>0.36030000000000001</v>
      </c>
      <c r="F424">
        <v>86.09</v>
      </c>
      <c r="G424">
        <v>0</v>
      </c>
      <c r="H424">
        <v>12.55</v>
      </c>
      <c r="I424">
        <v>76.540000000000006</v>
      </c>
      <c r="J424">
        <v>479.15</v>
      </c>
      <c r="K424">
        <v>229.15</v>
      </c>
      <c r="L424">
        <v>-379</v>
      </c>
      <c r="M424">
        <v>-285.29000000000002</v>
      </c>
      <c r="N424">
        <v>96480</v>
      </c>
      <c r="O424" t="s">
        <v>1172</v>
      </c>
      <c r="P424" t="s">
        <v>872</v>
      </c>
      <c r="Q424" t="s">
        <v>2040</v>
      </c>
    </row>
    <row r="425" spans="1:17">
      <c r="A425">
        <v>1093</v>
      </c>
      <c r="B425">
        <v>771</v>
      </c>
      <c r="C425">
        <v>4.63</v>
      </c>
      <c r="D425">
        <v>0.23910000000000001</v>
      </c>
      <c r="E425">
        <v>0.44030000000000002</v>
      </c>
      <c r="F425">
        <v>114.14</v>
      </c>
      <c r="G425">
        <v>0</v>
      </c>
      <c r="H425">
        <v>10.47</v>
      </c>
      <c r="I425">
        <v>106.84</v>
      </c>
      <c r="J425">
        <v>497.15</v>
      </c>
      <c r="K425">
        <v>278.14999999999998</v>
      </c>
      <c r="L425">
        <v>-425.9</v>
      </c>
      <c r="M425">
        <v>-267.8</v>
      </c>
      <c r="N425">
        <v>502443</v>
      </c>
      <c r="O425" t="s">
        <v>2516</v>
      </c>
      <c r="P425" t="s">
        <v>1165</v>
      </c>
      <c r="Q425" t="s">
        <v>2530</v>
      </c>
    </row>
    <row r="426" spans="1:17">
      <c r="A426">
        <v>1094</v>
      </c>
      <c r="B426">
        <v>727</v>
      </c>
      <c r="C426">
        <v>4.84</v>
      </c>
      <c r="D426">
        <v>0.22339999999999999</v>
      </c>
      <c r="E426">
        <v>0.40300000000000002</v>
      </c>
      <c r="F426">
        <v>100.12</v>
      </c>
      <c r="G426">
        <v>0</v>
      </c>
      <c r="H426">
        <v>11.19</v>
      </c>
      <c r="I426">
        <v>95.43</v>
      </c>
      <c r="J426">
        <v>480.65</v>
      </c>
      <c r="K426">
        <v>242.15</v>
      </c>
      <c r="L426">
        <v>-418</v>
      </c>
      <c r="M426">
        <v>-297</v>
      </c>
      <c r="N426">
        <v>108292</v>
      </c>
      <c r="O426" t="s">
        <v>787</v>
      </c>
      <c r="P426" t="s">
        <v>1004</v>
      </c>
      <c r="Q426" t="s">
        <v>2024</v>
      </c>
    </row>
    <row r="427" spans="1:17">
      <c r="A427">
        <v>1095</v>
      </c>
      <c r="B427">
        <v>567</v>
      </c>
      <c r="C427">
        <v>3.32</v>
      </c>
      <c r="D427">
        <v>0.25990000000000002</v>
      </c>
      <c r="E427">
        <v>0.3891</v>
      </c>
      <c r="F427">
        <v>100.16</v>
      </c>
      <c r="G427">
        <v>0</v>
      </c>
      <c r="H427">
        <v>8.4700000000000006</v>
      </c>
      <c r="I427">
        <v>124.31</v>
      </c>
      <c r="J427">
        <v>387.15</v>
      </c>
      <c r="K427">
        <v>-86</v>
      </c>
      <c r="L427">
        <v>-286.10000000000002</v>
      </c>
      <c r="M427">
        <v>-133</v>
      </c>
      <c r="N427">
        <v>565695</v>
      </c>
      <c r="O427" t="s">
        <v>568</v>
      </c>
      <c r="P427" t="s">
        <v>935</v>
      </c>
      <c r="Q427" t="s">
        <v>1143</v>
      </c>
    </row>
    <row r="428" spans="1:17">
      <c r="A428">
        <v>1096</v>
      </c>
      <c r="B428">
        <v>566</v>
      </c>
      <c r="C428">
        <v>3.89</v>
      </c>
      <c r="D428">
        <v>0.24959999999999999</v>
      </c>
      <c r="E428">
        <v>0.28620000000000001</v>
      </c>
      <c r="F428">
        <v>84.12</v>
      </c>
      <c r="G428">
        <v>0</v>
      </c>
      <c r="H428">
        <v>9.08</v>
      </c>
      <c r="I428">
        <v>99.4</v>
      </c>
      <c r="J428">
        <v>371.15</v>
      </c>
      <c r="K428">
        <v>219.15</v>
      </c>
      <c r="L428">
        <v>-180</v>
      </c>
      <c r="M428">
        <v>-92.5</v>
      </c>
      <c r="N428">
        <v>814788</v>
      </c>
      <c r="O428" t="s">
        <v>568</v>
      </c>
      <c r="P428" t="s">
        <v>1135</v>
      </c>
      <c r="Q428" t="s">
        <v>1136</v>
      </c>
    </row>
    <row r="429" spans="1:17">
      <c r="A429">
        <v>1097</v>
      </c>
      <c r="B429">
        <v>756</v>
      </c>
      <c r="C429">
        <v>2.74</v>
      </c>
      <c r="D429">
        <v>0.248</v>
      </c>
      <c r="E429">
        <v>0.51160000000000005</v>
      </c>
      <c r="F429">
        <v>180.29</v>
      </c>
      <c r="G429">
        <v>0</v>
      </c>
      <c r="H429">
        <v>9.18</v>
      </c>
      <c r="I429">
        <v>185.02</v>
      </c>
      <c r="J429">
        <v>537.15</v>
      </c>
      <c r="K429">
        <v>241.15</v>
      </c>
      <c r="L429">
        <v>-322.17</v>
      </c>
      <c r="M429">
        <v>-16.2</v>
      </c>
      <c r="N429">
        <v>90426</v>
      </c>
      <c r="O429" t="s">
        <v>2516</v>
      </c>
      <c r="P429" t="s">
        <v>2531</v>
      </c>
      <c r="Q429" t="s">
        <v>2532</v>
      </c>
    </row>
    <row r="430" spans="1:17">
      <c r="A430">
        <v>1098</v>
      </c>
      <c r="B430">
        <v>683</v>
      </c>
      <c r="C430">
        <v>5.96</v>
      </c>
      <c r="D430">
        <v>0.2671</v>
      </c>
      <c r="E430">
        <v>0.4945</v>
      </c>
      <c r="F430">
        <v>108.1</v>
      </c>
      <c r="G430">
        <v>0</v>
      </c>
      <c r="H430">
        <v>10.61</v>
      </c>
      <c r="I430">
        <v>99.19</v>
      </c>
      <c r="J430">
        <v>519</v>
      </c>
      <c r="K430">
        <v>387.15</v>
      </c>
      <c r="L430">
        <v>-122.9</v>
      </c>
      <c r="M430">
        <v>-69.2</v>
      </c>
      <c r="N430">
        <v>106514</v>
      </c>
      <c r="O430" t="s">
        <v>1799</v>
      </c>
      <c r="P430" t="s">
        <v>1800</v>
      </c>
      <c r="Q430" t="s">
        <v>1801</v>
      </c>
    </row>
    <row r="431" spans="1:17">
      <c r="A431">
        <v>1099</v>
      </c>
      <c r="B431">
        <v>616</v>
      </c>
      <c r="C431">
        <v>5.96</v>
      </c>
      <c r="D431">
        <v>0.2777</v>
      </c>
      <c r="E431">
        <v>0.3821</v>
      </c>
      <c r="F431">
        <v>84.08</v>
      </c>
      <c r="G431">
        <v>0</v>
      </c>
      <c r="H431">
        <v>11</v>
      </c>
      <c r="I431">
        <v>80.09</v>
      </c>
      <c r="J431">
        <v>399.2</v>
      </c>
      <c r="K431">
        <v>266.64999999999998</v>
      </c>
      <c r="L431">
        <v>-250.2</v>
      </c>
      <c r="M431">
        <v>-136</v>
      </c>
      <c r="N431">
        <v>674828</v>
      </c>
      <c r="O431" t="s">
        <v>1424</v>
      </c>
      <c r="P431" t="s">
        <v>1425</v>
      </c>
      <c r="Q431" t="s">
        <v>1426</v>
      </c>
    </row>
    <row r="432" spans="1:17">
      <c r="A432">
        <v>1100</v>
      </c>
      <c r="B432">
        <v>370</v>
      </c>
      <c r="C432">
        <v>5.81</v>
      </c>
      <c r="D432">
        <v>0.27200000000000002</v>
      </c>
      <c r="E432">
        <v>0.12570000000000001</v>
      </c>
      <c r="F432">
        <v>42.04</v>
      </c>
      <c r="G432">
        <v>0</v>
      </c>
      <c r="H432">
        <v>8.83</v>
      </c>
      <c r="I432">
        <v>53.01</v>
      </c>
      <c r="J432">
        <v>217.15</v>
      </c>
      <c r="K432">
        <v>122.15</v>
      </c>
      <c r="L432">
        <v>-61.1</v>
      </c>
      <c r="M432">
        <v>-60.29</v>
      </c>
      <c r="N432">
        <v>463514</v>
      </c>
      <c r="O432" t="s">
        <v>537</v>
      </c>
      <c r="P432" t="s">
        <v>538</v>
      </c>
      <c r="Q432" t="s">
        <v>539</v>
      </c>
    </row>
    <row r="433" spans="1:17">
      <c r="A433">
        <v>1101</v>
      </c>
      <c r="B433">
        <v>512.5</v>
      </c>
      <c r="C433">
        <v>8.0839999999999996</v>
      </c>
      <c r="D433">
        <v>0.22420000000000001</v>
      </c>
      <c r="E433">
        <v>0.56579999999999997</v>
      </c>
      <c r="F433">
        <v>32.04</v>
      </c>
      <c r="G433">
        <v>1</v>
      </c>
      <c r="H433">
        <v>14.47</v>
      </c>
      <c r="I433">
        <v>40.58</v>
      </c>
      <c r="J433">
        <v>337.85</v>
      </c>
      <c r="K433">
        <v>178.25</v>
      </c>
      <c r="L433">
        <v>-201.08</v>
      </c>
      <c r="M433">
        <v>-162.41999999999999</v>
      </c>
      <c r="N433">
        <v>67561</v>
      </c>
      <c r="O433" t="s">
        <v>423</v>
      </c>
      <c r="P433" t="s">
        <v>842</v>
      </c>
      <c r="Q433" t="s">
        <v>843</v>
      </c>
    </row>
    <row r="434" spans="1:17">
      <c r="A434">
        <v>1102</v>
      </c>
      <c r="B434">
        <v>514</v>
      </c>
      <c r="C434">
        <v>6.1369999999999996</v>
      </c>
      <c r="D434">
        <v>0.2482</v>
      </c>
      <c r="E434">
        <v>0.64359999999999995</v>
      </c>
      <c r="F434">
        <v>46.07</v>
      </c>
      <c r="G434">
        <v>1</v>
      </c>
      <c r="H434">
        <v>12.78</v>
      </c>
      <c r="I434">
        <v>58.62</v>
      </c>
      <c r="J434">
        <v>351.44</v>
      </c>
      <c r="K434">
        <v>159.05000000000001</v>
      </c>
      <c r="L434">
        <v>-234.43</v>
      </c>
      <c r="M434">
        <v>-167.9</v>
      </c>
      <c r="N434">
        <v>64175</v>
      </c>
      <c r="O434" t="s">
        <v>848</v>
      </c>
      <c r="P434" t="s">
        <v>577</v>
      </c>
      <c r="Q434" t="s">
        <v>849</v>
      </c>
    </row>
    <row r="435" spans="1:17">
      <c r="A435">
        <v>1103</v>
      </c>
      <c r="B435">
        <v>536.79999999999995</v>
      </c>
      <c r="C435">
        <v>5.1689999999999996</v>
      </c>
      <c r="D435">
        <v>0.25369999999999998</v>
      </c>
      <c r="E435">
        <v>0.62090000000000001</v>
      </c>
      <c r="F435">
        <v>60.1</v>
      </c>
      <c r="G435">
        <v>1</v>
      </c>
      <c r="H435">
        <v>11.95</v>
      </c>
      <c r="I435">
        <v>75.09</v>
      </c>
      <c r="J435">
        <v>370.35</v>
      </c>
      <c r="K435">
        <v>147</v>
      </c>
      <c r="L435">
        <v>-256.39999999999998</v>
      </c>
      <c r="M435">
        <v>-159.9</v>
      </c>
      <c r="N435">
        <v>71238</v>
      </c>
      <c r="O435" t="s">
        <v>423</v>
      </c>
      <c r="P435" t="s">
        <v>639</v>
      </c>
      <c r="Q435" t="s">
        <v>945</v>
      </c>
    </row>
    <row r="436" spans="1:17">
      <c r="A436">
        <v>1104</v>
      </c>
      <c r="B436">
        <v>508.3</v>
      </c>
      <c r="C436">
        <v>4.7649999999999997</v>
      </c>
      <c r="D436">
        <v>0.248</v>
      </c>
      <c r="E436">
        <v>0.66300000000000003</v>
      </c>
      <c r="F436">
        <v>60.1</v>
      </c>
      <c r="G436">
        <v>1</v>
      </c>
      <c r="H436">
        <v>11.44</v>
      </c>
      <c r="I436">
        <v>76.900000000000006</v>
      </c>
      <c r="J436">
        <v>355.41</v>
      </c>
      <c r="K436">
        <v>184.65</v>
      </c>
      <c r="L436">
        <v>-272.39999999999998</v>
      </c>
      <c r="M436">
        <v>-173.39</v>
      </c>
      <c r="N436">
        <v>67630</v>
      </c>
      <c r="O436" t="s">
        <v>423</v>
      </c>
      <c r="P436" t="s">
        <v>639</v>
      </c>
      <c r="Q436" t="s">
        <v>829</v>
      </c>
    </row>
    <row r="437" spans="1:17">
      <c r="A437">
        <v>1105</v>
      </c>
      <c r="B437">
        <v>563.1</v>
      </c>
      <c r="C437">
        <v>4.4139999999999997</v>
      </c>
      <c r="D437">
        <v>0.25829999999999997</v>
      </c>
      <c r="E437">
        <v>0.58830000000000005</v>
      </c>
      <c r="F437">
        <v>74.12</v>
      </c>
      <c r="G437">
        <v>1</v>
      </c>
      <c r="H437">
        <v>11.42</v>
      </c>
      <c r="I437">
        <v>91.99</v>
      </c>
      <c r="J437">
        <v>390.81</v>
      </c>
      <c r="K437">
        <v>184.51</v>
      </c>
      <c r="L437">
        <v>-274.67</v>
      </c>
      <c r="M437">
        <v>-150.30000000000001</v>
      </c>
      <c r="N437">
        <v>71363</v>
      </c>
      <c r="O437" t="s">
        <v>1112</v>
      </c>
      <c r="P437" t="s">
        <v>684</v>
      </c>
      <c r="Q437" t="s">
        <v>1113</v>
      </c>
    </row>
    <row r="438" spans="1:17">
      <c r="A438">
        <v>1106</v>
      </c>
      <c r="B438">
        <v>547.79999999999995</v>
      </c>
      <c r="C438">
        <v>4.2949999999999999</v>
      </c>
      <c r="D438">
        <v>0.25779999999999997</v>
      </c>
      <c r="E438">
        <v>0.5857</v>
      </c>
      <c r="F438">
        <v>74.12</v>
      </c>
      <c r="G438">
        <v>1</v>
      </c>
      <c r="H438">
        <v>11.2</v>
      </c>
      <c r="I438">
        <v>92.91</v>
      </c>
      <c r="J438">
        <v>381.04</v>
      </c>
      <c r="K438">
        <v>165.15</v>
      </c>
      <c r="L438">
        <v>-282.89999999999998</v>
      </c>
      <c r="M438">
        <v>-154.9</v>
      </c>
      <c r="N438">
        <v>78831</v>
      </c>
      <c r="O438" t="s">
        <v>1016</v>
      </c>
      <c r="P438" t="s">
        <v>684</v>
      </c>
      <c r="Q438" t="s">
        <v>1017</v>
      </c>
    </row>
    <row r="439" spans="1:17">
      <c r="A439">
        <v>1107</v>
      </c>
      <c r="B439">
        <v>535.9</v>
      </c>
      <c r="C439">
        <v>4.1890000000000001</v>
      </c>
      <c r="D439">
        <v>0.25130000000000002</v>
      </c>
      <c r="E439">
        <v>0.58079999999999998</v>
      </c>
      <c r="F439">
        <v>74.12</v>
      </c>
      <c r="G439">
        <v>1</v>
      </c>
      <c r="H439">
        <v>11.02</v>
      </c>
      <c r="I439">
        <v>92.02</v>
      </c>
      <c r="J439">
        <v>372.7</v>
      </c>
      <c r="K439">
        <v>158.44999999999999</v>
      </c>
      <c r="L439">
        <v>-292.89999999999998</v>
      </c>
      <c r="M439">
        <v>-169.6</v>
      </c>
      <c r="N439">
        <v>78922</v>
      </c>
      <c r="O439" t="s">
        <v>423</v>
      </c>
      <c r="P439" t="s">
        <v>684</v>
      </c>
      <c r="Q439" t="s">
        <v>932</v>
      </c>
    </row>
    <row r="440" spans="1:17">
      <c r="A440">
        <v>1108</v>
      </c>
      <c r="B440">
        <v>506.2</v>
      </c>
      <c r="C440">
        <v>3.972</v>
      </c>
      <c r="D440">
        <v>0.2596</v>
      </c>
      <c r="E440">
        <v>0.61519999999999997</v>
      </c>
      <c r="F440">
        <v>74.12</v>
      </c>
      <c r="G440">
        <v>1</v>
      </c>
      <c r="H440">
        <v>10.56</v>
      </c>
      <c r="I440">
        <v>94.74</v>
      </c>
      <c r="J440">
        <v>355.57</v>
      </c>
      <c r="K440">
        <v>298.81</v>
      </c>
      <c r="L440">
        <v>-312.39999999999998</v>
      </c>
      <c r="M440">
        <v>-177.7</v>
      </c>
      <c r="N440">
        <v>75650</v>
      </c>
      <c r="O440" t="s">
        <v>432</v>
      </c>
      <c r="P440" t="s">
        <v>684</v>
      </c>
      <c r="Q440" t="s">
        <v>806</v>
      </c>
    </row>
    <row r="441" spans="1:17">
      <c r="A441">
        <v>1109</v>
      </c>
      <c r="B441">
        <v>588.1</v>
      </c>
      <c r="C441">
        <v>3.8969999999999998</v>
      </c>
      <c r="D441">
        <v>0.26390000000000002</v>
      </c>
      <c r="E441">
        <v>0.57479999999999998</v>
      </c>
      <c r="F441">
        <v>88.15</v>
      </c>
      <c r="G441">
        <v>1</v>
      </c>
      <c r="H441">
        <v>11.04</v>
      </c>
      <c r="I441">
        <v>108.53</v>
      </c>
      <c r="J441">
        <v>410.95</v>
      </c>
      <c r="K441">
        <v>194.95</v>
      </c>
      <c r="L441">
        <v>-300.16000000000003</v>
      </c>
      <c r="M441">
        <v>-146.02000000000001</v>
      </c>
      <c r="N441">
        <v>71410</v>
      </c>
      <c r="O441" t="s">
        <v>1270</v>
      </c>
      <c r="P441" t="s">
        <v>765</v>
      </c>
      <c r="Q441" t="s">
        <v>1271</v>
      </c>
    </row>
    <row r="442" spans="1:17">
      <c r="A442">
        <v>1110</v>
      </c>
      <c r="B442">
        <v>561</v>
      </c>
      <c r="C442">
        <v>3.7</v>
      </c>
      <c r="D442">
        <v>0.27639999999999998</v>
      </c>
      <c r="E442">
        <v>0.55500000000000005</v>
      </c>
      <c r="F442">
        <v>88.15</v>
      </c>
      <c r="G442">
        <v>1</v>
      </c>
      <c r="H442">
        <v>10.61</v>
      </c>
      <c r="I442">
        <v>109.58</v>
      </c>
      <c r="J442">
        <v>392.15</v>
      </c>
      <c r="K442">
        <v>200</v>
      </c>
      <c r="L442">
        <v>-313.8</v>
      </c>
      <c r="M442">
        <v>-159.30000000000001</v>
      </c>
      <c r="N442">
        <v>6032297</v>
      </c>
      <c r="O442" t="s">
        <v>537</v>
      </c>
      <c r="P442" t="s">
        <v>765</v>
      </c>
      <c r="Q442" t="s">
        <v>1099</v>
      </c>
    </row>
    <row r="443" spans="1:17">
      <c r="A443">
        <v>1111</v>
      </c>
      <c r="B443">
        <v>543.70000000000005</v>
      </c>
      <c r="C443">
        <v>3.71</v>
      </c>
      <c r="D443">
        <v>0.27989999999999998</v>
      </c>
      <c r="E443">
        <v>0.48199999999999998</v>
      </c>
      <c r="F443">
        <v>88.15</v>
      </c>
      <c r="G443">
        <v>1</v>
      </c>
      <c r="H443">
        <v>10.19</v>
      </c>
      <c r="I443">
        <v>109.59</v>
      </c>
      <c r="J443">
        <v>375.15</v>
      </c>
      <c r="K443">
        <v>264.35000000000002</v>
      </c>
      <c r="L443">
        <v>-329.3</v>
      </c>
      <c r="M443">
        <v>-165.3</v>
      </c>
      <c r="N443">
        <v>75854</v>
      </c>
      <c r="O443" t="s">
        <v>980</v>
      </c>
      <c r="P443" t="s">
        <v>765</v>
      </c>
      <c r="Q443" t="s">
        <v>981</v>
      </c>
    </row>
    <row r="444" spans="1:17">
      <c r="A444">
        <v>1112</v>
      </c>
      <c r="B444">
        <v>575.4</v>
      </c>
      <c r="C444">
        <v>3.94</v>
      </c>
      <c r="D444">
        <v>0.27010000000000001</v>
      </c>
      <c r="E444">
        <v>0.5877</v>
      </c>
      <c r="F444">
        <v>88.15</v>
      </c>
      <c r="G444">
        <v>1</v>
      </c>
      <c r="H444">
        <v>10.81</v>
      </c>
      <c r="I444">
        <v>108.27</v>
      </c>
      <c r="J444">
        <v>401.85</v>
      </c>
      <c r="K444">
        <v>-86</v>
      </c>
      <c r="L444">
        <v>-302.08999999999997</v>
      </c>
      <c r="M444">
        <v>-146.71</v>
      </c>
      <c r="N444">
        <v>137326</v>
      </c>
      <c r="O444" t="s">
        <v>660</v>
      </c>
      <c r="P444" t="s">
        <v>765</v>
      </c>
      <c r="Q444" t="s">
        <v>1201</v>
      </c>
    </row>
    <row r="445" spans="1:17">
      <c r="A445">
        <v>1113</v>
      </c>
      <c r="B445">
        <v>552.70000000000005</v>
      </c>
      <c r="C445">
        <v>4.0780000000000003</v>
      </c>
      <c r="D445">
        <v>0.27750000000000002</v>
      </c>
      <c r="E445">
        <v>0.59499999999999997</v>
      </c>
      <c r="F445">
        <v>88.15</v>
      </c>
      <c r="G445">
        <v>1</v>
      </c>
      <c r="H445">
        <v>9.42</v>
      </c>
      <c r="I445">
        <v>121.1</v>
      </c>
      <c r="J445">
        <v>386.25</v>
      </c>
      <c r="K445">
        <v>327.14999999999998</v>
      </c>
      <c r="L445">
        <v>-319.07</v>
      </c>
      <c r="M445">
        <v>-155.38</v>
      </c>
      <c r="N445">
        <v>75843</v>
      </c>
      <c r="O445" t="s">
        <v>537</v>
      </c>
      <c r="P445" t="s">
        <v>765</v>
      </c>
      <c r="Q445" t="s">
        <v>1039</v>
      </c>
    </row>
    <row r="446" spans="1:17">
      <c r="A446">
        <v>1114</v>
      </c>
      <c r="B446">
        <v>611.29999999999995</v>
      </c>
      <c r="C446">
        <v>3.4460000000000002</v>
      </c>
      <c r="D446">
        <v>0.2636</v>
      </c>
      <c r="E446">
        <v>0.55859999999999999</v>
      </c>
      <c r="F446">
        <v>102.18</v>
      </c>
      <c r="G446">
        <v>1</v>
      </c>
      <c r="H446">
        <v>10.57</v>
      </c>
      <c r="I446">
        <v>125.24</v>
      </c>
      <c r="J446">
        <v>430.15</v>
      </c>
      <c r="K446">
        <v>228.55</v>
      </c>
      <c r="L446">
        <v>-318</v>
      </c>
      <c r="M446">
        <v>-134.4</v>
      </c>
      <c r="N446">
        <v>111273</v>
      </c>
      <c r="O446" t="s">
        <v>423</v>
      </c>
      <c r="P446" t="s">
        <v>785</v>
      </c>
      <c r="Q446" t="s">
        <v>1401</v>
      </c>
    </row>
    <row r="447" spans="1:17">
      <c r="A447">
        <v>1115</v>
      </c>
      <c r="B447">
        <v>585.29999999999995</v>
      </c>
      <c r="C447">
        <v>3.3109999999999999</v>
      </c>
      <c r="D447">
        <v>0.26519999999999999</v>
      </c>
      <c r="E447">
        <v>0.55300000000000005</v>
      </c>
      <c r="F447">
        <v>102.18</v>
      </c>
      <c r="G447">
        <v>1</v>
      </c>
      <c r="H447">
        <v>10.32</v>
      </c>
      <c r="I447">
        <v>126.07</v>
      </c>
      <c r="J447">
        <v>413</v>
      </c>
      <c r="K447">
        <v>223</v>
      </c>
      <c r="L447">
        <v>-333.5</v>
      </c>
      <c r="M447">
        <v>-150.19999999999999</v>
      </c>
      <c r="N447">
        <v>626937</v>
      </c>
      <c r="O447" t="s">
        <v>1249</v>
      </c>
      <c r="P447" t="s">
        <v>785</v>
      </c>
      <c r="Q447" t="s">
        <v>1250</v>
      </c>
    </row>
    <row r="448" spans="1:17">
      <c r="A448">
        <v>1116</v>
      </c>
      <c r="B448">
        <v>582.4</v>
      </c>
      <c r="C448">
        <v>3.36</v>
      </c>
      <c r="D448">
        <v>0.26600000000000001</v>
      </c>
      <c r="E448">
        <v>0.4975</v>
      </c>
      <c r="F448">
        <v>102.18</v>
      </c>
      <c r="G448">
        <v>1</v>
      </c>
      <c r="H448">
        <v>10.16</v>
      </c>
      <c r="I448">
        <v>125.7</v>
      </c>
      <c r="J448">
        <v>406.15</v>
      </c>
      <c r="K448">
        <v>208.5</v>
      </c>
      <c r="L448">
        <v>-331.8</v>
      </c>
      <c r="M448">
        <v>-147.1</v>
      </c>
      <c r="N448">
        <v>623370</v>
      </c>
      <c r="O448" t="s">
        <v>423</v>
      </c>
      <c r="P448" t="s">
        <v>785</v>
      </c>
      <c r="Q448" t="s">
        <v>2812</v>
      </c>
    </row>
    <row r="449" spans="1:17">
      <c r="A449">
        <v>1117</v>
      </c>
      <c r="B449">
        <v>604.4</v>
      </c>
      <c r="C449">
        <v>3.45</v>
      </c>
      <c r="D449">
        <v>0.26700000000000002</v>
      </c>
      <c r="E449">
        <v>0.51</v>
      </c>
      <c r="F449">
        <v>102.18</v>
      </c>
      <c r="G449">
        <v>1</v>
      </c>
      <c r="H449">
        <v>10.29</v>
      </c>
      <c r="I449">
        <v>123.5</v>
      </c>
      <c r="J449">
        <v>421.15</v>
      </c>
      <c r="K449">
        <v>-86</v>
      </c>
      <c r="L449">
        <v>-327.14999999999998</v>
      </c>
      <c r="M449">
        <v>-143</v>
      </c>
      <c r="N449">
        <v>105306</v>
      </c>
      <c r="O449" t="s">
        <v>537</v>
      </c>
      <c r="P449" t="s">
        <v>785</v>
      </c>
      <c r="Q449" t="s">
        <v>1362</v>
      </c>
    </row>
    <row r="450" spans="1:17">
      <c r="A450">
        <v>1118</v>
      </c>
      <c r="B450">
        <v>588</v>
      </c>
      <c r="C450">
        <v>3.4</v>
      </c>
      <c r="D450">
        <v>0.26400000000000001</v>
      </c>
      <c r="E450">
        <v>0.72299999999999998</v>
      </c>
      <c r="F450">
        <v>102.17</v>
      </c>
      <c r="G450">
        <v>1</v>
      </c>
      <c r="H450">
        <v>10.87</v>
      </c>
      <c r="I450">
        <v>124.61</v>
      </c>
      <c r="J450">
        <v>425.55</v>
      </c>
      <c r="K450">
        <v>208</v>
      </c>
      <c r="L450">
        <v>-321.39999999999998</v>
      </c>
      <c r="M450">
        <v>-136.80000000000001</v>
      </c>
      <c r="N450">
        <v>589355</v>
      </c>
      <c r="O450" t="s">
        <v>568</v>
      </c>
      <c r="P450" t="s">
        <v>785</v>
      </c>
      <c r="Q450" t="s">
        <v>2813</v>
      </c>
    </row>
    <row r="451" spans="1:17">
      <c r="A451">
        <v>1120</v>
      </c>
      <c r="B451">
        <v>559.6</v>
      </c>
      <c r="C451">
        <v>3.714</v>
      </c>
      <c r="D451">
        <v>0.27900000000000003</v>
      </c>
      <c r="E451">
        <v>0.51429999999999998</v>
      </c>
      <c r="F451">
        <v>88.15</v>
      </c>
      <c r="G451">
        <v>1</v>
      </c>
      <c r="H451">
        <v>10.33</v>
      </c>
      <c r="I451">
        <v>108.01</v>
      </c>
      <c r="J451">
        <v>388.45</v>
      </c>
      <c r="K451">
        <v>204.15</v>
      </c>
      <c r="L451">
        <v>-317.14999999999998</v>
      </c>
      <c r="M451">
        <v>-158.16</v>
      </c>
      <c r="N451">
        <v>584021</v>
      </c>
      <c r="O451" t="s">
        <v>537</v>
      </c>
      <c r="P451" t="s">
        <v>765</v>
      </c>
      <c r="Q451" t="s">
        <v>1083</v>
      </c>
    </row>
    <row r="452" spans="1:17">
      <c r="A452">
        <v>1121</v>
      </c>
      <c r="B452">
        <v>640.4</v>
      </c>
      <c r="C452">
        <v>2.7559999999999998</v>
      </c>
      <c r="D452">
        <v>0.2487</v>
      </c>
      <c r="E452">
        <v>0.54979999999999996</v>
      </c>
      <c r="F452">
        <v>130.22999999999999</v>
      </c>
      <c r="G452">
        <v>1</v>
      </c>
      <c r="H452">
        <v>9.8000000000000007</v>
      </c>
      <c r="I452">
        <v>156.97</v>
      </c>
      <c r="J452">
        <v>457.75</v>
      </c>
      <c r="K452">
        <v>203.15</v>
      </c>
      <c r="L452">
        <v>-365.3</v>
      </c>
      <c r="M452">
        <v>-118.9</v>
      </c>
      <c r="N452">
        <v>104767</v>
      </c>
      <c r="O452" t="s">
        <v>1196</v>
      </c>
      <c r="P452" t="s">
        <v>1025</v>
      </c>
      <c r="Q452" t="s">
        <v>1569</v>
      </c>
    </row>
    <row r="453" spans="1:17">
      <c r="A453">
        <v>1123</v>
      </c>
      <c r="B453">
        <v>577.20000000000005</v>
      </c>
      <c r="C453">
        <v>3.93</v>
      </c>
      <c r="D453">
        <v>0.26340000000000002</v>
      </c>
      <c r="E453">
        <v>0.59</v>
      </c>
      <c r="F453">
        <v>88.15</v>
      </c>
      <c r="G453">
        <v>1</v>
      </c>
      <c r="H453">
        <v>10.83</v>
      </c>
      <c r="I453">
        <v>109.25</v>
      </c>
      <c r="J453">
        <v>403.65</v>
      </c>
      <c r="K453">
        <v>155.94999999999999</v>
      </c>
      <c r="L453">
        <v>-301.3</v>
      </c>
      <c r="M453">
        <v>-145</v>
      </c>
      <c r="N453">
        <v>123513</v>
      </c>
      <c r="O453" t="s">
        <v>980</v>
      </c>
      <c r="P453" t="s">
        <v>765</v>
      </c>
      <c r="Q453" t="s">
        <v>1212</v>
      </c>
    </row>
    <row r="454" spans="1:17">
      <c r="A454">
        <v>1124</v>
      </c>
      <c r="B454">
        <v>556.1</v>
      </c>
      <c r="C454">
        <v>3.87</v>
      </c>
      <c r="D454">
        <v>0.27129999999999999</v>
      </c>
      <c r="E454">
        <v>0.50160000000000005</v>
      </c>
      <c r="F454">
        <v>88.15</v>
      </c>
      <c r="G454">
        <v>1</v>
      </c>
      <c r="H454">
        <v>10.56</v>
      </c>
      <c r="I454">
        <v>108.31</v>
      </c>
      <c r="J454">
        <v>384.65</v>
      </c>
      <c r="K454">
        <v>-86</v>
      </c>
      <c r="L454">
        <v>-314.55</v>
      </c>
      <c r="M454">
        <v>-156.36000000000001</v>
      </c>
      <c r="N454">
        <v>598754</v>
      </c>
      <c r="O454" t="s">
        <v>537</v>
      </c>
      <c r="P454" t="s">
        <v>765</v>
      </c>
      <c r="Q454" t="s">
        <v>1069</v>
      </c>
    </row>
    <row r="455" spans="1:17">
      <c r="A455">
        <v>1125</v>
      </c>
      <c r="B455">
        <v>632.29999999999995</v>
      </c>
      <c r="C455">
        <v>3.085</v>
      </c>
      <c r="D455">
        <v>0.26079999999999998</v>
      </c>
      <c r="E455">
        <v>0.56210000000000004</v>
      </c>
      <c r="F455">
        <v>116.2</v>
      </c>
      <c r="G455">
        <v>1</v>
      </c>
      <c r="H455">
        <v>10.45</v>
      </c>
      <c r="I455">
        <v>141.80000000000001</v>
      </c>
      <c r="J455">
        <v>449.4</v>
      </c>
      <c r="K455">
        <v>239.15</v>
      </c>
      <c r="L455">
        <v>-332</v>
      </c>
      <c r="M455">
        <v>-125.3</v>
      </c>
      <c r="N455">
        <v>111706</v>
      </c>
      <c r="O455" t="s">
        <v>423</v>
      </c>
      <c r="P455" t="s">
        <v>1006</v>
      </c>
      <c r="Q455" t="s">
        <v>1525</v>
      </c>
    </row>
    <row r="456" spans="1:17">
      <c r="A456">
        <v>1126</v>
      </c>
      <c r="B456">
        <v>608.29999999999995</v>
      </c>
      <c r="C456">
        <v>3</v>
      </c>
      <c r="D456">
        <v>0.26769999999999999</v>
      </c>
      <c r="E456">
        <v>0.56769999999999998</v>
      </c>
      <c r="F456">
        <v>116.2</v>
      </c>
      <c r="G456">
        <v>1</v>
      </c>
      <c r="H456">
        <v>8.8000000000000007</v>
      </c>
      <c r="I456">
        <v>142.74</v>
      </c>
      <c r="J456">
        <v>432.85</v>
      </c>
      <c r="K456">
        <v>243</v>
      </c>
      <c r="L456">
        <v>-355</v>
      </c>
      <c r="M456">
        <v>-143</v>
      </c>
      <c r="N456">
        <v>543497</v>
      </c>
      <c r="O456" t="s">
        <v>537</v>
      </c>
      <c r="P456" t="s">
        <v>1006</v>
      </c>
      <c r="Q456" t="s">
        <v>1386</v>
      </c>
    </row>
    <row r="457" spans="1:17">
      <c r="A457">
        <v>1129</v>
      </c>
      <c r="B457">
        <v>605</v>
      </c>
      <c r="C457">
        <v>3.03</v>
      </c>
      <c r="D457">
        <v>0.26019999999999999</v>
      </c>
      <c r="E457">
        <v>0.78069999999999995</v>
      </c>
      <c r="F457">
        <v>116.2</v>
      </c>
      <c r="G457">
        <v>1</v>
      </c>
      <c r="H457">
        <v>10</v>
      </c>
      <c r="I457">
        <v>143.1</v>
      </c>
      <c r="J457">
        <v>445.15</v>
      </c>
      <c r="K457">
        <v>-86</v>
      </c>
      <c r="L457">
        <v>-342</v>
      </c>
      <c r="M457">
        <v>-127</v>
      </c>
      <c r="N457">
        <v>627985</v>
      </c>
      <c r="O457" t="s">
        <v>545</v>
      </c>
      <c r="P457" t="s">
        <v>1006</v>
      </c>
      <c r="Q457" t="s">
        <v>1363</v>
      </c>
    </row>
    <row r="458" spans="1:17">
      <c r="A458">
        <v>1130</v>
      </c>
      <c r="B458">
        <v>574.4</v>
      </c>
      <c r="C458">
        <v>3.47</v>
      </c>
      <c r="D458">
        <v>0.27610000000000001</v>
      </c>
      <c r="E458">
        <v>0.57299999999999995</v>
      </c>
      <c r="F458">
        <v>102.18</v>
      </c>
      <c r="G458">
        <v>1</v>
      </c>
      <c r="H458">
        <v>9.43</v>
      </c>
      <c r="I458">
        <v>127.18</v>
      </c>
      <c r="J458">
        <v>404.85</v>
      </c>
      <c r="K458">
        <v>-86</v>
      </c>
      <c r="L458">
        <v>-342.4</v>
      </c>
      <c r="M458">
        <v>-158.19999999999999</v>
      </c>
      <c r="N458">
        <v>108112</v>
      </c>
      <c r="O458" t="s">
        <v>1196</v>
      </c>
      <c r="P458" t="s">
        <v>785</v>
      </c>
      <c r="Q458" t="s">
        <v>1197</v>
      </c>
    </row>
    <row r="459" spans="1:17">
      <c r="A459">
        <v>1132</v>
      </c>
      <c r="B459">
        <v>652.29999999999995</v>
      </c>
      <c r="C459">
        <v>2.7829999999999999</v>
      </c>
      <c r="D459">
        <v>0.25829999999999997</v>
      </c>
      <c r="E459">
        <v>0.56969999999999998</v>
      </c>
      <c r="F459">
        <v>130.22999999999999</v>
      </c>
      <c r="G459">
        <v>1</v>
      </c>
      <c r="H459">
        <v>10.199999999999999</v>
      </c>
      <c r="I459">
        <v>158.22999999999999</v>
      </c>
      <c r="J459">
        <v>468.35</v>
      </c>
      <c r="K459">
        <v>256.64999999999998</v>
      </c>
      <c r="L459">
        <v>-356.9</v>
      </c>
      <c r="M459">
        <v>-115.5</v>
      </c>
      <c r="N459">
        <v>111875</v>
      </c>
      <c r="O459" t="s">
        <v>848</v>
      </c>
      <c r="P459" t="s">
        <v>1025</v>
      </c>
      <c r="Q459" t="s">
        <v>1644</v>
      </c>
    </row>
    <row r="460" spans="1:17">
      <c r="A460">
        <v>1133</v>
      </c>
      <c r="B460">
        <v>629.79999999999995</v>
      </c>
      <c r="C460">
        <v>2.7490000000000001</v>
      </c>
      <c r="D460">
        <v>0.2417</v>
      </c>
      <c r="E460">
        <v>0.58809999999999996</v>
      </c>
      <c r="F460">
        <v>130.22999999999999</v>
      </c>
      <c r="G460">
        <v>1</v>
      </c>
      <c r="H460">
        <v>9.83</v>
      </c>
      <c r="I460">
        <v>159.38999999999999</v>
      </c>
      <c r="J460">
        <v>452.65</v>
      </c>
      <c r="K460">
        <v>241.55</v>
      </c>
      <c r="L460">
        <v>-376</v>
      </c>
      <c r="M460">
        <v>-135</v>
      </c>
      <c r="N460">
        <v>123966</v>
      </c>
      <c r="O460" t="s">
        <v>850</v>
      </c>
      <c r="P460" t="s">
        <v>1025</v>
      </c>
      <c r="Q460" t="s">
        <v>1512</v>
      </c>
    </row>
    <row r="461" spans="1:17">
      <c r="A461">
        <v>1134</v>
      </c>
      <c r="B461">
        <v>670.9</v>
      </c>
      <c r="C461">
        <v>2.5270000000000001</v>
      </c>
      <c r="D461">
        <v>0.25430000000000003</v>
      </c>
      <c r="E461">
        <v>0.58409999999999995</v>
      </c>
      <c r="F461">
        <v>144.26</v>
      </c>
      <c r="G461">
        <v>1</v>
      </c>
      <c r="H461">
        <v>10.38</v>
      </c>
      <c r="I461">
        <v>174.93</v>
      </c>
      <c r="J461">
        <v>486.25</v>
      </c>
      <c r="K461">
        <v>268.14999999999998</v>
      </c>
      <c r="L461">
        <v>-382</v>
      </c>
      <c r="M461">
        <v>-112.2</v>
      </c>
      <c r="N461">
        <v>143088</v>
      </c>
      <c r="O461" t="s">
        <v>1752</v>
      </c>
      <c r="P461" t="s">
        <v>1351</v>
      </c>
      <c r="Q461" t="s">
        <v>1753</v>
      </c>
    </row>
    <row r="462" spans="1:17">
      <c r="A462">
        <v>1135</v>
      </c>
      <c r="B462">
        <v>649.5</v>
      </c>
      <c r="C462">
        <v>2.5409999999999999</v>
      </c>
      <c r="D462">
        <v>0.2576</v>
      </c>
      <c r="E462">
        <v>0.60919999999999996</v>
      </c>
      <c r="F462">
        <v>144.26</v>
      </c>
      <c r="G462">
        <v>1</v>
      </c>
      <c r="H462">
        <v>9.57</v>
      </c>
      <c r="I462">
        <v>176.01</v>
      </c>
      <c r="J462">
        <v>471.65</v>
      </c>
      <c r="K462">
        <v>238.15</v>
      </c>
      <c r="L462">
        <v>-398</v>
      </c>
      <c r="M462">
        <v>-126</v>
      </c>
      <c r="N462">
        <v>70419066</v>
      </c>
      <c r="O462" t="s">
        <v>545</v>
      </c>
      <c r="P462" t="s">
        <v>1351</v>
      </c>
      <c r="Q462" t="s">
        <v>1623</v>
      </c>
    </row>
    <row r="463" spans="1:17">
      <c r="A463">
        <v>1136</v>
      </c>
      <c r="B463">
        <v>688</v>
      </c>
      <c r="C463">
        <v>2.3079999999999998</v>
      </c>
      <c r="D463">
        <v>0.24959999999999999</v>
      </c>
      <c r="E463">
        <v>0.60699999999999998</v>
      </c>
      <c r="F463">
        <v>158.28</v>
      </c>
      <c r="G463">
        <v>1</v>
      </c>
      <c r="H463">
        <v>10.050000000000001</v>
      </c>
      <c r="I463">
        <v>191.83</v>
      </c>
      <c r="J463">
        <v>502.95</v>
      </c>
      <c r="K463">
        <v>280.05</v>
      </c>
      <c r="L463">
        <v>-394</v>
      </c>
      <c r="M463">
        <v>-98.79</v>
      </c>
      <c r="N463">
        <v>112301</v>
      </c>
      <c r="O463" t="s">
        <v>1831</v>
      </c>
      <c r="P463" t="s">
        <v>1473</v>
      </c>
      <c r="Q463" t="s">
        <v>1832</v>
      </c>
    </row>
    <row r="464" spans="1:17">
      <c r="A464">
        <v>1137</v>
      </c>
      <c r="B464">
        <v>703.9</v>
      </c>
      <c r="C464">
        <v>2.1190000000000002</v>
      </c>
      <c r="D464">
        <v>0.24709999999999999</v>
      </c>
      <c r="E464">
        <v>0.62360000000000004</v>
      </c>
      <c r="F464">
        <v>172.31</v>
      </c>
      <c r="G464">
        <v>1</v>
      </c>
      <c r="H464">
        <v>10.11</v>
      </c>
      <c r="I464">
        <v>207.66</v>
      </c>
      <c r="J464">
        <v>518.15</v>
      </c>
      <c r="K464">
        <v>289.05</v>
      </c>
      <c r="L464">
        <v>-413.5</v>
      </c>
      <c r="M464">
        <v>-91.53</v>
      </c>
      <c r="N464">
        <v>112425</v>
      </c>
      <c r="O464" t="s">
        <v>1922</v>
      </c>
      <c r="P464" t="s">
        <v>1923</v>
      </c>
      <c r="Q464" t="s">
        <v>1924</v>
      </c>
    </row>
    <row r="465" spans="1:17">
      <c r="A465">
        <v>1139</v>
      </c>
      <c r="B465">
        <v>676.7</v>
      </c>
      <c r="C465">
        <v>2.3929999999999998</v>
      </c>
      <c r="D465">
        <v>0.25169999999999998</v>
      </c>
      <c r="E465">
        <v>0.61070000000000002</v>
      </c>
      <c r="F465">
        <v>158.28</v>
      </c>
      <c r="G465">
        <v>1</v>
      </c>
      <c r="H465">
        <v>9.51</v>
      </c>
      <c r="I465">
        <v>189.22</v>
      </c>
      <c r="J465">
        <v>493</v>
      </c>
      <c r="K465">
        <v>213.15</v>
      </c>
      <c r="L465">
        <v>-409</v>
      </c>
      <c r="M465">
        <v>-108</v>
      </c>
      <c r="N465">
        <v>55505265</v>
      </c>
      <c r="O465" t="s">
        <v>660</v>
      </c>
      <c r="P465" t="s">
        <v>1473</v>
      </c>
      <c r="Q465" t="s">
        <v>1778</v>
      </c>
    </row>
    <row r="466" spans="1:17">
      <c r="A466">
        <v>1140</v>
      </c>
      <c r="B466">
        <v>718.7</v>
      </c>
      <c r="C466">
        <v>1.954</v>
      </c>
      <c r="D466">
        <v>0.23730000000000001</v>
      </c>
      <c r="E466">
        <v>0.65559999999999996</v>
      </c>
      <c r="F466">
        <v>186.34</v>
      </c>
      <c r="G466">
        <v>1</v>
      </c>
      <c r="H466">
        <v>9.91</v>
      </c>
      <c r="I466">
        <v>224.32</v>
      </c>
      <c r="J466">
        <v>533.15</v>
      </c>
      <c r="K466">
        <v>297</v>
      </c>
      <c r="L466">
        <v>-436.5</v>
      </c>
      <c r="M466">
        <v>-80.819999999999993</v>
      </c>
      <c r="N466">
        <v>112538</v>
      </c>
      <c r="O466" t="s">
        <v>1980</v>
      </c>
      <c r="P466" t="s">
        <v>1693</v>
      </c>
      <c r="Q466" t="s">
        <v>1981</v>
      </c>
    </row>
    <row r="467" spans="1:17">
      <c r="A467">
        <v>1141</v>
      </c>
      <c r="B467">
        <v>732.4</v>
      </c>
      <c r="C467">
        <v>1.81</v>
      </c>
      <c r="D467">
        <v>0.23599999999999999</v>
      </c>
      <c r="E467">
        <v>0.68810000000000004</v>
      </c>
      <c r="F467">
        <v>200.37</v>
      </c>
      <c r="G467">
        <v>1</v>
      </c>
      <c r="H467">
        <v>9.66</v>
      </c>
      <c r="I467">
        <v>241.53</v>
      </c>
      <c r="J467">
        <v>547.15</v>
      </c>
      <c r="K467">
        <v>303.75</v>
      </c>
      <c r="L467">
        <v>-463.46</v>
      </c>
      <c r="M467">
        <v>-75.2</v>
      </c>
      <c r="N467">
        <v>112709</v>
      </c>
      <c r="O467" t="s">
        <v>568</v>
      </c>
      <c r="P467" t="s">
        <v>2046</v>
      </c>
      <c r="Q467" t="s">
        <v>2047</v>
      </c>
    </row>
    <row r="468" spans="1:17">
      <c r="A468">
        <v>1142</v>
      </c>
      <c r="B468">
        <v>745</v>
      </c>
      <c r="C468">
        <v>1.68</v>
      </c>
      <c r="D468">
        <v>0.23350000000000001</v>
      </c>
      <c r="E468">
        <v>0.71679999999999999</v>
      </c>
      <c r="F468">
        <v>214.39</v>
      </c>
      <c r="G468">
        <v>1</v>
      </c>
      <c r="H468">
        <v>9.5</v>
      </c>
      <c r="I468">
        <v>260.43</v>
      </c>
      <c r="J468">
        <v>560.15</v>
      </c>
      <c r="K468">
        <v>310.64999999999998</v>
      </c>
      <c r="L468">
        <v>-475.9</v>
      </c>
      <c r="M468">
        <v>-66.900000000000006</v>
      </c>
      <c r="N468">
        <v>112721</v>
      </c>
      <c r="O468" t="s">
        <v>545</v>
      </c>
      <c r="P468" t="s">
        <v>2505</v>
      </c>
      <c r="Q468" t="s">
        <v>2506</v>
      </c>
    </row>
    <row r="469" spans="1:17">
      <c r="A469">
        <v>1143</v>
      </c>
      <c r="B469">
        <v>757.3</v>
      </c>
      <c r="C469">
        <v>1.569</v>
      </c>
      <c r="D469">
        <v>0.2203</v>
      </c>
      <c r="E469">
        <v>0.75070000000000003</v>
      </c>
      <c r="F469">
        <v>228.42</v>
      </c>
      <c r="G469">
        <v>1</v>
      </c>
      <c r="H469">
        <v>9.32</v>
      </c>
      <c r="I469">
        <v>277.45</v>
      </c>
      <c r="J469">
        <v>543.15</v>
      </c>
      <c r="K469">
        <v>318.64999999999998</v>
      </c>
      <c r="L469">
        <v>-497.2</v>
      </c>
      <c r="M469">
        <v>-58.7</v>
      </c>
      <c r="N469">
        <v>629765</v>
      </c>
      <c r="O469" t="s">
        <v>2128</v>
      </c>
      <c r="P469" t="s">
        <v>2129</v>
      </c>
      <c r="Q469" t="s">
        <v>2130</v>
      </c>
    </row>
    <row r="470" spans="1:17">
      <c r="A470">
        <v>1144</v>
      </c>
      <c r="B470">
        <v>768.6</v>
      </c>
      <c r="C470">
        <v>1.468</v>
      </c>
      <c r="D470">
        <v>0.22720000000000001</v>
      </c>
      <c r="E470">
        <v>0.77880000000000005</v>
      </c>
      <c r="F470">
        <v>242.45</v>
      </c>
      <c r="G470">
        <v>1</v>
      </c>
      <c r="H470">
        <v>9.23</v>
      </c>
      <c r="I470">
        <v>296.41000000000003</v>
      </c>
      <c r="J470">
        <v>585.15</v>
      </c>
      <c r="K470">
        <v>321.8</v>
      </c>
      <c r="L470">
        <v>-514.20000000000005</v>
      </c>
      <c r="M470">
        <v>-50.4</v>
      </c>
      <c r="N470">
        <v>36653824</v>
      </c>
      <c r="O470" t="s">
        <v>568</v>
      </c>
      <c r="P470" t="s">
        <v>1936</v>
      </c>
      <c r="Q470" t="s">
        <v>2185</v>
      </c>
    </row>
    <row r="471" spans="1:17">
      <c r="A471">
        <v>1145</v>
      </c>
      <c r="B471">
        <v>779.2</v>
      </c>
      <c r="C471">
        <v>1.377</v>
      </c>
      <c r="D471">
        <v>0.2243</v>
      </c>
      <c r="E471">
        <v>0.81230000000000002</v>
      </c>
      <c r="F471">
        <v>256.47000000000003</v>
      </c>
      <c r="G471">
        <v>1</v>
      </c>
      <c r="H471">
        <v>8.9700000000000006</v>
      </c>
      <c r="I471">
        <v>313.04000000000002</v>
      </c>
      <c r="J471">
        <v>597.15</v>
      </c>
      <c r="K471">
        <v>327.05</v>
      </c>
      <c r="L471">
        <v>-545.89</v>
      </c>
      <c r="M471">
        <v>-42</v>
      </c>
      <c r="N471">
        <v>1454859</v>
      </c>
      <c r="O471" t="s">
        <v>568</v>
      </c>
      <c r="P471" t="s">
        <v>2229</v>
      </c>
      <c r="Q471" t="s">
        <v>2230</v>
      </c>
    </row>
    <row r="472" spans="1:17">
      <c r="A472">
        <v>1146</v>
      </c>
      <c r="B472">
        <v>789.3</v>
      </c>
      <c r="C472">
        <v>1.2949999999999999</v>
      </c>
      <c r="D472">
        <v>0.22120000000000001</v>
      </c>
      <c r="E472">
        <v>0.83220000000000005</v>
      </c>
      <c r="F472">
        <v>270.5</v>
      </c>
      <c r="G472">
        <v>1</v>
      </c>
      <c r="H472">
        <v>8.92</v>
      </c>
      <c r="I472">
        <v>333.05</v>
      </c>
      <c r="J472">
        <v>608.15</v>
      </c>
      <c r="K472">
        <v>331.15</v>
      </c>
      <c r="L472">
        <v>-566.47</v>
      </c>
      <c r="M472">
        <v>-34.35</v>
      </c>
      <c r="N472">
        <v>112925</v>
      </c>
      <c r="O472" t="s">
        <v>2263</v>
      </c>
      <c r="P472" t="s">
        <v>2060</v>
      </c>
      <c r="Q472" t="s">
        <v>2264</v>
      </c>
    </row>
    <row r="473" spans="1:17">
      <c r="A473">
        <v>1147</v>
      </c>
      <c r="B473">
        <v>591.20000000000005</v>
      </c>
      <c r="C473">
        <v>3.5350000000000001</v>
      </c>
      <c r="D473">
        <v>0.371</v>
      </c>
      <c r="E473">
        <v>0.63300000000000001</v>
      </c>
      <c r="F473">
        <v>102.18</v>
      </c>
      <c r="G473">
        <v>1</v>
      </c>
      <c r="H473">
        <v>10.220000000000001</v>
      </c>
      <c r="I473">
        <v>123.27</v>
      </c>
      <c r="J473">
        <v>419.65</v>
      </c>
      <c r="K473">
        <v>158.75</v>
      </c>
      <c r="L473">
        <v>-326.10000000000002</v>
      </c>
      <c r="M473">
        <v>-140.11000000000001</v>
      </c>
      <c r="N473">
        <v>97950</v>
      </c>
      <c r="O473" t="s">
        <v>1284</v>
      </c>
      <c r="P473" t="s">
        <v>785</v>
      </c>
      <c r="Q473" t="s">
        <v>1285</v>
      </c>
    </row>
    <row r="474" spans="1:17">
      <c r="A474">
        <v>1148</v>
      </c>
      <c r="B474">
        <v>807.7</v>
      </c>
      <c r="C474">
        <v>1.1539999999999999</v>
      </c>
      <c r="D474">
        <v>0.21690000000000001</v>
      </c>
      <c r="E474">
        <v>0.87890000000000001</v>
      </c>
      <c r="F474">
        <v>298.55</v>
      </c>
      <c r="G474">
        <v>1</v>
      </c>
      <c r="H474">
        <v>8.83</v>
      </c>
      <c r="I474">
        <v>367.46</v>
      </c>
      <c r="J474">
        <v>629.15</v>
      </c>
      <c r="K474">
        <v>338.55</v>
      </c>
      <c r="L474">
        <v>-607.73</v>
      </c>
      <c r="M474">
        <v>-17.87</v>
      </c>
      <c r="N474">
        <v>629969</v>
      </c>
      <c r="O474" t="s">
        <v>568</v>
      </c>
      <c r="P474" t="s">
        <v>2306</v>
      </c>
      <c r="Q474" t="s">
        <v>2307</v>
      </c>
    </row>
    <row r="475" spans="1:17">
      <c r="A475">
        <v>1149</v>
      </c>
      <c r="B475">
        <v>798.8</v>
      </c>
      <c r="C475">
        <v>1.22</v>
      </c>
      <c r="D475">
        <v>0.19500000000000001</v>
      </c>
      <c r="E475">
        <v>0.85819999999999996</v>
      </c>
      <c r="F475">
        <v>284.52999999999997</v>
      </c>
      <c r="G475">
        <v>1</v>
      </c>
      <c r="H475">
        <v>8.82</v>
      </c>
      <c r="I475">
        <v>349.13</v>
      </c>
      <c r="J475">
        <v>618.15</v>
      </c>
      <c r="K475">
        <v>333.65</v>
      </c>
      <c r="L475">
        <v>-584.5</v>
      </c>
      <c r="M475">
        <v>-25.5</v>
      </c>
      <c r="N475">
        <v>1454848</v>
      </c>
      <c r="O475" t="s">
        <v>566</v>
      </c>
      <c r="P475" t="s">
        <v>2286</v>
      </c>
      <c r="Q475" t="s">
        <v>2287</v>
      </c>
    </row>
    <row r="476" spans="1:17">
      <c r="A476">
        <v>1151</v>
      </c>
      <c r="B476">
        <v>650.1</v>
      </c>
      <c r="C476">
        <v>4.26</v>
      </c>
      <c r="D476">
        <v>0.23230000000000001</v>
      </c>
      <c r="E476">
        <v>0.36899999999999999</v>
      </c>
      <c r="F476">
        <v>100.16</v>
      </c>
      <c r="G476">
        <v>1</v>
      </c>
      <c r="H476">
        <v>11.61</v>
      </c>
      <c r="I476">
        <v>105.75</v>
      </c>
      <c r="J476">
        <v>434</v>
      </c>
      <c r="K476">
        <v>298.3</v>
      </c>
      <c r="L476">
        <v>-286.10000000000002</v>
      </c>
      <c r="M476">
        <v>-117.9</v>
      </c>
      <c r="N476">
        <v>108930</v>
      </c>
      <c r="O476" t="s">
        <v>1633</v>
      </c>
      <c r="P476" t="s">
        <v>935</v>
      </c>
      <c r="Q476" t="s">
        <v>1634</v>
      </c>
    </row>
    <row r="477" spans="1:17">
      <c r="A477">
        <v>1152</v>
      </c>
      <c r="B477">
        <v>613</v>
      </c>
      <c r="C477">
        <v>4</v>
      </c>
      <c r="D477">
        <v>0.29349999999999998</v>
      </c>
      <c r="E477">
        <v>0.6089</v>
      </c>
      <c r="F477">
        <v>114.19</v>
      </c>
      <c r="G477">
        <v>1</v>
      </c>
      <c r="H477">
        <v>10.119999999999999</v>
      </c>
      <c r="I477">
        <v>123.87</v>
      </c>
      <c r="J477">
        <v>430.15</v>
      </c>
      <c r="K477">
        <v>299.14999999999998</v>
      </c>
      <c r="L477">
        <v>-332</v>
      </c>
      <c r="M477">
        <v>-128.76</v>
      </c>
      <c r="N477">
        <v>590670</v>
      </c>
      <c r="O477" t="s">
        <v>2516</v>
      </c>
      <c r="P477" t="s">
        <v>1204</v>
      </c>
      <c r="Q477" t="s">
        <v>2533</v>
      </c>
    </row>
    <row r="478" spans="1:17">
      <c r="A478">
        <v>1153</v>
      </c>
      <c r="B478">
        <v>614</v>
      </c>
      <c r="C478">
        <v>3.79</v>
      </c>
      <c r="D478">
        <v>0.2777</v>
      </c>
      <c r="E478">
        <v>0.68049999999999999</v>
      </c>
      <c r="F478">
        <v>114.19</v>
      </c>
      <c r="G478">
        <v>1</v>
      </c>
      <c r="H478">
        <v>10.44</v>
      </c>
      <c r="I478">
        <v>122.54</v>
      </c>
      <c r="J478">
        <v>438.15</v>
      </c>
      <c r="K478">
        <v>280.14999999999998</v>
      </c>
      <c r="L478">
        <v>-327</v>
      </c>
      <c r="M478">
        <v>-128.53</v>
      </c>
      <c r="N478">
        <v>7443701</v>
      </c>
      <c r="O478" t="s">
        <v>633</v>
      </c>
      <c r="P478" t="s">
        <v>1204</v>
      </c>
      <c r="Q478" t="s">
        <v>1408</v>
      </c>
    </row>
    <row r="479" spans="1:17">
      <c r="A479">
        <v>1154</v>
      </c>
      <c r="B479">
        <v>617</v>
      </c>
      <c r="C479">
        <v>3.79</v>
      </c>
      <c r="D479">
        <v>0.27629999999999999</v>
      </c>
      <c r="E479">
        <v>0.67900000000000005</v>
      </c>
      <c r="F479">
        <v>114.19</v>
      </c>
      <c r="G479">
        <v>1</v>
      </c>
      <c r="H479">
        <v>10.5</v>
      </c>
      <c r="I479">
        <v>123.97</v>
      </c>
      <c r="J479">
        <v>439.65</v>
      </c>
      <c r="K479">
        <v>269.14999999999998</v>
      </c>
      <c r="L479">
        <v>-352.6</v>
      </c>
      <c r="M479">
        <v>-152.4</v>
      </c>
      <c r="N479">
        <v>7443529</v>
      </c>
      <c r="O479" t="s">
        <v>2516</v>
      </c>
      <c r="P479" t="s">
        <v>1204</v>
      </c>
      <c r="Q479" t="s">
        <v>2534</v>
      </c>
    </row>
    <row r="480" spans="1:17">
      <c r="A480">
        <v>1155</v>
      </c>
      <c r="B480">
        <v>625</v>
      </c>
      <c r="C480">
        <v>3.79</v>
      </c>
      <c r="D480">
        <v>0.27279999999999999</v>
      </c>
      <c r="E480">
        <v>0.69430000000000003</v>
      </c>
      <c r="F480">
        <v>114.19</v>
      </c>
      <c r="G480">
        <v>1</v>
      </c>
      <c r="H480">
        <v>10.56</v>
      </c>
      <c r="I480">
        <v>125.3</v>
      </c>
      <c r="J480">
        <v>441.15</v>
      </c>
      <c r="K480">
        <v>267.64999999999998</v>
      </c>
      <c r="L480">
        <v>-350.9</v>
      </c>
      <c r="M480">
        <v>-150.69999999999999</v>
      </c>
      <c r="N480">
        <v>5454795</v>
      </c>
      <c r="O480" t="s">
        <v>633</v>
      </c>
      <c r="P480" t="s">
        <v>1204</v>
      </c>
      <c r="Q480" t="s">
        <v>1493</v>
      </c>
    </row>
    <row r="481" spans="1:17">
      <c r="A481">
        <v>1156</v>
      </c>
      <c r="B481">
        <v>627</v>
      </c>
      <c r="C481">
        <v>3.79</v>
      </c>
      <c r="D481">
        <v>0.27189999999999998</v>
      </c>
      <c r="E481">
        <v>0.68059999999999998</v>
      </c>
      <c r="F481">
        <v>114.19</v>
      </c>
      <c r="G481">
        <v>1</v>
      </c>
      <c r="H481">
        <v>10.57</v>
      </c>
      <c r="I481">
        <v>124.43</v>
      </c>
      <c r="J481">
        <v>441.15</v>
      </c>
      <c r="K481">
        <v>272.64999999999998</v>
      </c>
      <c r="L481">
        <v>-329.1</v>
      </c>
      <c r="M481">
        <v>-128.9</v>
      </c>
      <c r="N481">
        <v>7443552</v>
      </c>
      <c r="O481" t="s">
        <v>633</v>
      </c>
      <c r="P481" t="s">
        <v>1204</v>
      </c>
      <c r="Q481" t="s">
        <v>1496</v>
      </c>
    </row>
    <row r="482" spans="1:17">
      <c r="A482">
        <v>1157</v>
      </c>
      <c r="B482">
        <v>622</v>
      </c>
      <c r="C482">
        <v>3.79</v>
      </c>
      <c r="D482">
        <v>0.27410000000000001</v>
      </c>
      <c r="E482">
        <v>0.68799999999999994</v>
      </c>
      <c r="F482">
        <v>114.19</v>
      </c>
      <c r="G482">
        <v>1</v>
      </c>
      <c r="H482">
        <v>10.8</v>
      </c>
      <c r="I482">
        <v>125.13</v>
      </c>
      <c r="J482">
        <v>444.15</v>
      </c>
      <c r="K482">
        <v>-86</v>
      </c>
      <c r="L482">
        <v>-347.5</v>
      </c>
      <c r="M482">
        <v>-145.75</v>
      </c>
      <c r="N482">
        <v>7731284</v>
      </c>
      <c r="O482" t="s">
        <v>1470</v>
      </c>
      <c r="P482" t="s">
        <v>1204</v>
      </c>
      <c r="Q482" t="s">
        <v>1471</v>
      </c>
    </row>
    <row r="483" spans="1:17">
      <c r="A483">
        <v>1158</v>
      </c>
      <c r="B483">
        <v>622</v>
      </c>
      <c r="C483">
        <v>3.79</v>
      </c>
      <c r="D483">
        <v>0.27410000000000001</v>
      </c>
      <c r="E483">
        <v>0.69399999999999995</v>
      </c>
      <c r="F483">
        <v>114.19</v>
      </c>
      <c r="G483">
        <v>1</v>
      </c>
      <c r="H483">
        <v>10.7</v>
      </c>
      <c r="I483">
        <v>125.74</v>
      </c>
      <c r="J483">
        <v>444.15</v>
      </c>
      <c r="K483">
        <v>-86</v>
      </c>
      <c r="L483">
        <v>-367.2</v>
      </c>
      <c r="M483">
        <v>-165.45</v>
      </c>
      <c r="N483">
        <v>7731295</v>
      </c>
      <c r="O483" t="s">
        <v>633</v>
      </c>
      <c r="P483" t="s">
        <v>1204</v>
      </c>
      <c r="Q483" t="s">
        <v>1472</v>
      </c>
    </row>
    <row r="484" spans="1:17">
      <c r="A484">
        <v>1159</v>
      </c>
      <c r="B484">
        <v>658</v>
      </c>
      <c r="C484">
        <v>2.71</v>
      </c>
      <c r="D484">
        <v>0.25030000000000002</v>
      </c>
      <c r="E484">
        <v>0.77959999999999996</v>
      </c>
      <c r="F484">
        <v>156.27000000000001</v>
      </c>
      <c r="G484">
        <v>1</v>
      </c>
      <c r="H484">
        <v>8.7100000000000009</v>
      </c>
      <c r="I484">
        <v>177.49</v>
      </c>
      <c r="J484">
        <v>485.15</v>
      </c>
      <c r="K484">
        <v>316.64999999999998</v>
      </c>
      <c r="L484">
        <v>-393</v>
      </c>
      <c r="M484">
        <v>-97.5</v>
      </c>
      <c r="N484">
        <v>2216515</v>
      </c>
      <c r="O484" t="s">
        <v>1690</v>
      </c>
      <c r="P484" t="s">
        <v>1691</v>
      </c>
      <c r="Q484" t="s">
        <v>1692</v>
      </c>
    </row>
    <row r="485" spans="1:17">
      <c r="A485">
        <v>1166</v>
      </c>
      <c r="B485">
        <v>639</v>
      </c>
      <c r="C485">
        <v>4.66</v>
      </c>
      <c r="D485">
        <v>0.25440000000000002</v>
      </c>
      <c r="E485">
        <v>0.70250000000000001</v>
      </c>
      <c r="F485">
        <v>102.13</v>
      </c>
      <c r="G485">
        <v>1</v>
      </c>
      <c r="H485">
        <v>11.21</v>
      </c>
      <c r="I485">
        <v>97.43</v>
      </c>
      <c r="J485">
        <v>451.15</v>
      </c>
      <c r="K485">
        <v>-86</v>
      </c>
      <c r="L485">
        <v>-369.2</v>
      </c>
      <c r="M485">
        <v>-216</v>
      </c>
      <c r="N485">
        <v>97994</v>
      </c>
      <c r="O485" t="s">
        <v>2516</v>
      </c>
      <c r="P485" t="s">
        <v>369</v>
      </c>
      <c r="Q485" t="s">
        <v>2535</v>
      </c>
    </row>
    <row r="486" spans="1:17">
      <c r="A486">
        <v>1167</v>
      </c>
      <c r="B486">
        <v>545.1</v>
      </c>
      <c r="C486">
        <v>5.62</v>
      </c>
      <c r="D486">
        <v>0.25890000000000002</v>
      </c>
      <c r="E486">
        <v>0.56969999999999998</v>
      </c>
      <c r="F486">
        <v>58.08</v>
      </c>
      <c r="G486">
        <v>1</v>
      </c>
      <c r="H486">
        <v>12.06</v>
      </c>
      <c r="I486">
        <v>68.53</v>
      </c>
      <c r="J486">
        <v>370.15</v>
      </c>
      <c r="K486">
        <v>144.15</v>
      </c>
      <c r="L486">
        <v>-124.2</v>
      </c>
      <c r="M486">
        <v>-63.72</v>
      </c>
      <c r="N486">
        <v>107186</v>
      </c>
      <c r="O486" t="s">
        <v>998</v>
      </c>
      <c r="P486" t="s">
        <v>634</v>
      </c>
      <c r="Q486" t="s">
        <v>999</v>
      </c>
    </row>
    <row r="487" spans="1:17">
      <c r="A487">
        <v>1168</v>
      </c>
      <c r="B487">
        <v>660</v>
      </c>
      <c r="C487">
        <v>3.49</v>
      </c>
      <c r="D487">
        <v>0.27979999999999999</v>
      </c>
      <c r="E487">
        <v>0.69240000000000002</v>
      </c>
      <c r="F487">
        <v>136.19</v>
      </c>
      <c r="G487">
        <v>1</v>
      </c>
      <c r="H487">
        <v>9.69</v>
      </c>
      <c r="I487">
        <v>138.75</v>
      </c>
      <c r="J487">
        <v>465.78</v>
      </c>
      <c r="K487">
        <v>309.14999999999998</v>
      </c>
      <c r="L487">
        <v>-305</v>
      </c>
      <c r="M487">
        <v>-231</v>
      </c>
      <c r="N487">
        <v>617947</v>
      </c>
      <c r="O487" t="s">
        <v>545</v>
      </c>
      <c r="P487" t="s">
        <v>1701</v>
      </c>
      <c r="Q487" t="s">
        <v>1702</v>
      </c>
    </row>
    <row r="488" spans="1:17">
      <c r="A488">
        <v>1170</v>
      </c>
      <c r="B488">
        <v>722.95</v>
      </c>
      <c r="C488">
        <v>4.9000000000000004</v>
      </c>
      <c r="D488">
        <v>0.38030000000000003</v>
      </c>
      <c r="E488">
        <v>0.51570000000000005</v>
      </c>
      <c r="F488">
        <v>122.17</v>
      </c>
      <c r="G488">
        <v>1</v>
      </c>
      <c r="H488">
        <v>10.15</v>
      </c>
      <c r="I488">
        <v>129.69</v>
      </c>
      <c r="J488">
        <v>490.02</v>
      </c>
      <c r="K488">
        <v>345.72</v>
      </c>
      <c r="L488">
        <v>-157.19</v>
      </c>
      <c r="M488">
        <v>-33.549999999999997</v>
      </c>
      <c r="N488">
        <v>526750</v>
      </c>
      <c r="O488" t="s">
        <v>1905</v>
      </c>
      <c r="P488" t="s">
        <v>1610</v>
      </c>
      <c r="Q488" t="s">
        <v>2005</v>
      </c>
    </row>
    <row r="489" spans="1:17">
      <c r="A489">
        <v>1172</v>
      </c>
      <c r="B489">
        <v>707.65</v>
      </c>
      <c r="C489">
        <v>4.4000000000000004</v>
      </c>
      <c r="D489">
        <v>0.37769999999999998</v>
      </c>
      <c r="E489">
        <v>0.51359999999999995</v>
      </c>
      <c r="F489">
        <v>122.17</v>
      </c>
      <c r="G489">
        <v>1</v>
      </c>
      <c r="H489">
        <v>10.82</v>
      </c>
      <c r="I489">
        <v>120.43</v>
      </c>
      <c r="J489">
        <v>484.08</v>
      </c>
      <c r="K489">
        <v>297.69</v>
      </c>
      <c r="L489">
        <v>-162.88</v>
      </c>
      <c r="M489">
        <v>-42.56</v>
      </c>
      <c r="N489">
        <v>105679</v>
      </c>
      <c r="O489" t="s">
        <v>1905</v>
      </c>
      <c r="P489" t="s">
        <v>1610</v>
      </c>
      <c r="Q489" t="s">
        <v>1943</v>
      </c>
    </row>
    <row r="490" spans="1:17">
      <c r="A490">
        <v>1174</v>
      </c>
      <c r="B490">
        <v>707.05</v>
      </c>
      <c r="C490">
        <v>4.9000000000000004</v>
      </c>
      <c r="D490">
        <v>0.38019999999999998</v>
      </c>
      <c r="E490">
        <v>0.56379999999999997</v>
      </c>
      <c r="F490">
        <v>122.17</v>
      </c>
      <c r="G490">
        <v>1</v>
      </c>
      <c r="H490">
        <v>10.220000000000001</v>
      </c>
      <c r="I490">
        <v>125.34</v>
      </c>
      <c r="J490">
        <v>484.28</v>
      </c>
      <c r="K490">
        <v>348</v>
      </c>
      <c r="L490">
        <v>-161.63</v>
      </c>
      <c r="M490">
        <v>-39.67</v>
      </c>
      <c r="N490">
        <v>95874</v>
      </c>
      <c r="O490" t="s">
        <v>1939</v>
      </c>
      <c r="P490" t="s">
        <v>1610</v>
      </c>
      <c r="Q490" t="s">
        <v>1940</v>
      </c>
    </row>
    <row r="491" spans="1:17">
      <c r="A491">
        <v>1176</v>
      </c>
      <c r="B491">
        <v>701.05</v>
      </c>
      <c r="C491">
        <v>4.3</v>
      </c>
      <c r="D491">
        <v>0.37969999999999998</v>
      </c>
      <c r="E491">
        <v>0.45540000000000003</v>
      </c>
      <c r="F491">
        <v>122.17</v>
      </c>
      <c r="G491">
        <v>1</v>
      </c>
      <c r="H491">
        <v>9.57</v>
      </c>
      <c r="I491">
        <v>137.06</v>
      </c>
      <c r="J491">
        <v>474.18</v>
      </c>
      <c r="K491">
        <v>318.77</v>
      </c>
      <c r="L491">
        <v>-161.75</v>
      </c>
      <c r="M491">
        <v>-39.04</v>
      </c>
      <c r="N491">
        <v>576261</v>
      </c>
      <c r="O491" t="s">
        <v>1905</v>
      </c>
      <c r="P491" t="s">
        <v>1610</v>
      </c>
      <c r="Q491" t="s">
        <v>1906</v>
      </c>
    </row>
    <row r="492" spans="1:17">
      <c r="A492">
        <v>1177</v>
      </c>
      <c r="B492">
        <v>729.95</v>
      </c>
      <c r="C492">
        <v>5</v>
      </c>
      <c r="D492">
        <v>0.37640000000000001</v>
      </c>
      <c r="E492">
        <v>0.57630000000000003</v>
      </c>
      <c r="F492">
        <v>122.17</v>
      </c>
      <c r="G492">
        <v>1</v>
      </c>
      <c r="H492">
        <v>10.92</v>
      </c>
      <c r="I492">
        <v>122.48</v>
      </c>
      <c r="J492">
        <v>500.1</v>
      </c>
      <c r="K492">
        <v>338.26</v>
      </c>
      <c r="L492">
        <v>-156.56</v>
      </c>
      <c r="M492">
        <v>-34.28</v>
      </c>
      <c r="N492">
        <v>95658</v>
      </c>
      <c r="O492" t="s">
        <v>2032</v>
      </c>
      <c r="P492" t="s">
        <v>1610</v>
      </c>
      <c r="Q492" t="s">
        <v>2033</v>
      </c>
    </row>
    <row r="493" spans="1:17">
      <c r="A493">
        <v>1178</v>
      </c>
      <c r="B493">
        <v>715.65</v>
      </c>
      <c r="C493">
        <v>3.6</v>
      </c>
      <c r="D493">
        <v>0.374</v>
      </c>
      <c r="E493">
        <v>0.48520000000000002</v>
      </c>
      <c r="F493">
        <v>122.17</v>
      </c>
      <c r="G493">
        <v>1</v>
      </c>
      <c r="H493">
        <v>10.85</v>
      </c>
      <c r="I493">
        <v>124.14</v>
      </c>
      <c r="J493">
        <v>494.84</v>
      </c>
      <c r="K493">
        <v>336.42</v>
      </c>
      <c r="L493">
        <v>-161.54</v>
      </c>
      <c r="M493">
        <v>-39.409999999999997</v>
      </c>
      <c r="N493">
        <v>108689</v>
      </c>
      <c r="O493" t="s">
        <v>1905</v>
      </c>
      <c r="P493" t="s">
        <v>1610</v>
      </c>
      <c r="Q493" t="s">
        <v>1966</v>
      </c>
    </row>
    <row r="494" spans="1:17">
      <c r="A494">
        <v>1179</v>
      </c>
      <c r="B494">
        <v>588.79999999999995</v>
      </c>
      <c r="C494">
        <v>6.19</v>
      </c>
      <c r="D494">
        <v>0.23830000000000001</v>
      </c>
      <c r="E494">
        <v>0.45669999999999999</v>
      </c>
      <c r="F494">
        <v>56.06</v>
      </c>
      <c r="G494">
        <v>1</v>
      </c>
      <c r="H494">
        <v>13.75</v>
      </c>
      <c r="I494">
        <v>59.33</v>
      </c>
      <c r="J494">
        <v>386.75</v>
      </c>
      <c r="K494">
        <v>221.35</v>
      </c>
      <c r="L494">
        <v>42.2</v>
      </c>
      <c r="M494">
        <v>68.400000000000006</v>
      </c>
      <c r="N494">
        <v>107197</v>
      </c>
      <c r="O494" t="s">
        <v>787</v>
      </c>
      <c r="P494" t="s">
        <v>804</v>
      </c>
      <c r="Q494" t="s">
        <v>1274</v>
      </c>
    </row>
    <row r="495" spans="1:17">
      <c r="A495">
        <v>1180</v>
      </c>
      <c r="B495">
        <v>720.15</v>
      </c>
      <c r="C495">
        <v>4.3739999999999997</v>
      </c>
      <c r="D495">
        <v>0.27079999999999999</v>
      </c>
      <c r="E495">
        <v>0.36309999999999998</v>
      </c>
      <c r="F495">
        <v>108.14</v>
      </c>
      <c r="G495">
        <v>1</v>
      </c>
      <c r="H495">
        <v>12.08</v>
      </c>
      <c r="I495">
        <v>103.82</v>
      </c>
      <c r="J495">
        <v>478.6</v>
      </c>
      <c r="K495">
        <v>257.85000000000002</v>
      </c>
      <c r="L495">
        <v>-100.4</v>
      </c>
      <c r="M495">
        <v>-11.1</v>
      </c>
      <c r="N495">
        <v>100516</v>
      </c>
      <c r="O495" t="s">
        <v>621</v>
      </c>
      <c r="P495" t="s">
        <v>1594</v>
      </c>
      <c r="Q495" t="s">
        <v>1992</v>
      </c>
    </row>
    <row r="496" spans="1:17">
      <c r="A496">
        <v>1181</v>
      </c>
      <c r="B496">
        <v>694.25</v>
      </c>
      <c r="C496">
        <v>6.13</v>
      </c>
      <c r="D496">
        <v>0.2432</v>
      </c>
      <c r="E496">
        <v>0.44350000000000001</v>
      </c>
      <c r="F496">
        <v>94.11</v>
      </c>
      <c r="G496">
        <v>1</v>
      </c>
      <c r="H496">
        <v>12.04</v>
      </c>
      <c r="I496">
        <v>88.94</v>
      </c>
      <c r="J496">
        <v>454.99</v>
      </c>
      <c r="K496">
        <v>314.05</v>
      </c>
      <c r="L496">
        <v>-96.4</v>
      </c>
      <c r="M496">
        <v>-32.630000000000003</v>
      </c>
      <c r="N496">
        <v>108952</v>
      </c>
      <c r="O496" t="s">
        <v>423</v>
      </c>
      <c r="P496" t="s">
        <v>1869</v>
      </c>
      <c r="Q496" t="s">
        <v>1870</v>
      </c>
    </row>
    <row r="497" spans="1:17">
      <c r="A497">
        <v>1182</v>
      </c>
      <c r="B497">
        <v>697.55</v>
      </c>
      <c r="C497">
        <v>5.01</v>
      </c>
      <c r="D497">
        <v>0.24360000000000001</v>
      </c>
      <c r="E497">
        <v>0.43390000000000001</v>
      </c>
      <c r="F497">
        <v>108.14</v>
      </c>
      <c r="G497">
        <v>1</v>
      </c>
      <c r="H497">
        <v>11.18</v>
      </c>
      <c r="I497">
        <v>104.44</v>
      </c>
      <c r="J497">
        <v>464.15</v>
      </c>
      <c r="K497">
        <v>304.08999999999997</v>
      </c>
      <c r="L497">
        <v>-128.6</v>
      </c>
      <c r="M497">
        <v>-35.43</v>
      </c>
      <c r="N497">
        <v>95487</v>
      </c>
      <c r="O497" t="s">
        <v>423</v>
      </c>
      <c r="P497" t="s">
        <v>1594</v>
      </c>
      <c r="Q497" t="s">
        <v>1890</v>
      </c>
    </row>
    <row r="498" spans="1:17">
      <c r="A498">
        <v>1183</v>
      </c>
      <c r="B498">
        <v>705.85</v>
      </c>
      <c r="C498">
        <v>4.5599999999999996</v>
      </c>
      <c r="D498">
        <v>0.24249999999999999</v>
      </c>
      <c r="E498">
        <v>0.44800000000000001</v>
      </c>
      <c r="F498">
        <v>108.14</v>
      </c>
      <c r="G498">
        <v>1</v>
      </c>
      <c r="H498">
        <v>11.68</v>
      </c>
      <c r="I498">
        <v>105</v>
      </c>
      <c r="J498">
        <v>475.38</v>
      </c>
      <c r="K498">
        <v>285.37</v>
      </c>
      <c r="L498">
        <v>-132.30000000000001</v>
      </c>
      <c r="M498">
        <v>-40.19</v>
      </c>
      <c r="N498">
        <v>108394</v>
      </c>
      <c r="O498" t="s">
        <v>423</v>
      </c>
      <c r="P498" t="s">
        <v>1594</v>
      </c>
      <c r="Q498" t="s">
        <v>1935</v>
      </c>
    </row>
    <row r="499" spans="1:17">
      <c r="A499">
        <v>1184</v>
      </c>
      <c r="B499">
        <v>704.65</v>
      </c>
      <c r="C499">
        <v>5.15</v>
      </c>
      <c r="D499">
        <v>0.24349999999999999</v>
      </c>
      <c r="E499">
        <v>0.50719999999999998</v>
      </c>
      <c r="F499">
        <v>108.14</v>
      </c>
      <c r="G499">
        <v>1</v>
      </c>
      <c r="H499">
        <v>11.75</v>
      </c>
      <c r="I499">
        <v>105.83</v>
      </c>
      <c r="J499">
        <v>475.09</v>
      </c>
      <c r="K499">
        <v>307.89</v>
      </c>
      <c r="L499">
        <v>-125.4</v>
      </c>
      <c r="M499">
        <v>-31.66</v>
      </c>
      <c r="N499">
        <v>106445</v>
      </c>
      <c r="O499" t="s">
        <v>423</v>
      </c>
      <c r="P499" t="s">
        <v>1594</v>
      </c>
      <c r="Q499" t="s">
        <v>1926</v>
      </c>
    </row>
    <row r="500" spans="1:17">
      <c r="A500">
        <v>1185</v>
      </c>
      <c r="B500">
        <v>703</v>
      </c>
      <c r="C500">
        <v>4.29</v>
      </c>
      <c r="D500">
        <v>0.23699999999999999</v>
      </c>
      <c r="E500">
        <v>0.4763</v>
      </c>
      <c r="F500">
        <v>151.19999999999999</v>
      </c>
      <c r="G500">
        <v>1</v>
      </c>
      <c r="H500">
        <v>12.4</v>
      </c>
      <c r="I500">
        <v>145.1</v>
      </c>
      <c r="J500">
        <v>560.20000000000005</v>
      </c>
      <c r="K500">
        <v>41</v>
      </c>
      <c r="L500">
        <v>-264.60000000000002</v>
      </c>
      <c r="M500">
        <v>-103.2</v>
      </c>
      <c r="N500">
        <v>103902</v>
      </c>
      <c r="O500" t="s">
        <v>368</v>
      </c>
      <c r="P500" t="s">
        <v>1919</v>
      </c>
      <c r="Q500" t="s">
        <v>1920</v>
      </c>
    </row>
    <row r="501" spans="1:17">
      <c r="A501">
        <v>1186</v>
      </c>
      <c r="B501">
        <v>838.8</v>
      </c>
      <c r="C501">
        <v>5.891</v>
      </c>
      <c r="D501">
        <v>0.32700000000000001</v>
      </c>
      <c r="E501">
        <v>0.48580000000000001</v>
      </c>
      <c r="F501">
        <v>110.11</v>
      </c>
      <c r="G501">
        <v>1</v>
      </c>
      <c r="H501">
        <v>11.61</v>
      </c>
      <c r="I501">
        <v>122.59</v>
      </c>
      <c r="J501">
        <v>558.15</v>
      </c>
      <c r="K501">
        <v>444.65</v>
      </c>
      <c r="L501">
        <v>-261.70999999999998</v>
      </c>
      <c r="M501">
        <v>-176.13</v>
      </c>
      <c r="N501">
        <v>123319</v>
      </c>
      <c r="O501" t="s">
        <v>609</v>
      </c>
      <c r="P501" t="s">
        <v>2160</v>
      </c>
      <c r="Q501" t="s">
        <v>2379</v>
      </c>
    </row>
    <row r="502" spans="1:17">
      <c r="A502">
        <v>1187</v>
      </c>
      <c r="B502">
        <v>716.45</v>
      </c>
      <c r="C502">
        <v>4.29</v>
      </c>
      <c r="D502">
        <v>0.2787</v>
      </c>
      <c r="E502">
        <v>0.51539999999999997</v>
      </c>
      <c r="F502">
        <v>122.17</v>
      </c>
      <c r="G502">
        <v>1</v>
      </c>
      <c r="H502">
        <v>10.75</v>
      </c>
      <c r="I502">
        <v>123.32</v>
      </c>
      <c r="J502">
        <v>491.14</v>
      </c>
      <c r="K502">
        <v>318.23</v>
      </c>
      <c r="L502">
        <v>-144.05000000000001</v>
      </c>
      <c r="M502">
        <v>-21.58</v>
      </c>
      <c r="N502">
        <v>123079</v>
      </c>
      <c r="O502" t="s">
        <v>1465</v>
      </c>
      <c r="P502" t="s">
        <v>1610</v>
      </c>
      <c r="Q502" t="s">
        <v>1970</v>
      </c>
    </row>
    <row r="503" spans="1:17">
      <c r="A503">
        <v>1197</v>
      </c>
      <c r="B503">
        <v>734</v>
      </c>
      <c r="C503">
        <v>3.34</v>
      </c>
      <c r="D503">
        <v>0.26979999999999998</v>
      </c>
      <c r="E503">
        <v>0.50939999999999996</v>
      </c>
      <c r="F503">
        <v>150.22</v>
      </c>
      <c r="G503">
        <v>1</v>
      </c>
      <c r="H503">
        <v>9.32</v>
      </c>
      <c r="I503">
        <v>163.41</v>
      </c>
      <c r="J503">
        <v>512.88</v>
      </c>
      <c r="K503">
        <v>371.56</v>
      </c>
      <c r="L503">
        <v>-200</v>
      </c>
      <c r="M503">
        <v>-13.1</v>
      </c>
      <c r="N503">
        <v>98544</v>
      </c>
      <c r="O503" t="s">
        <v>568</v>
      </c>
      <c r="P503" t="s">
        <v>2050</v>
      </c>
      <c r="Q503" t="s">
        <v>2051</v>
      </c>
    </row>
    <row r="504" spans="1:17">
      <c r="A504">
        <v>1198</v>
      </c>
      <c r="B504">
        <v>849</v>
      </c>
      <c r="C504">
        <v>2.9369999999999998</v>
      </c>
      <c r="D504">
        <v>0.28170000000000001</v>
      </c>
      <c r="E504">
        <v>0.94550000000000001</v>
      </c>
      <c r="F504">
        <v>228.29</v>
      </c>
      <c r="G504">
        <v>1</v>
      </c>
      <c r="H504">
        <v>11.53</v>
      </c>
      <c r="I504">
        <v>215.37</v>
      </c>
      <c r="J504">
        <v>633.65</v>
      </c>
      <c r="K504">
        <v>425.65</v>
      </c>
      <c r="L504">
        <v>-246</v>
      </c>
      <c r="M504">
        <v>-9.9600000000000009</v>
      </c>
      <c r="N504">
        <v>80057</v>
      </c>
      <c r="O504" t="s">
        <v>2516</v>
      </c>
      <c r="P504" t="s">
        <v>2536</v>
      </c>
      <c r="Q504" t="s">
        <v>2537</v>
      </c>
    </row>
    <row r="505" spans="1:17">
      <c r="A505">
        <v>1199</v>
      </c>
      <c r="B505">
        <v>770</v>
      </c>
      <c r="C505">
        <v>2.0699999999999998</v>
      </c>
      <c r="D505">
        <v>0.25369999999999998</v>
      </c>
      <c r="E505">
        <v>0.87949999999999995</v>
      </c>
      <c r="F505">
        <v>220.36</v>
      </c>
      <c r="G505">
        <v>1</v>
      </c>
      <c r="H505">
        <v>9.51</v>
      </c>
      <c r="I505">
        <v>232.2</v>
      </c>
      <c r="J505">
        <v>581</v>
      </c>
      <c r="K505">
        <v>-86</v>
      </c>
      <c r="L505">
        <v>-291</v>
      </c>
      <c r="M505">
        <v>31.7</v>
      </c>
      <c r="N505">
        <v>25154523</v>
      </c>
      <c r="O505" t="s">
        <v>2188</v>
      </c>
      <c r="P505" t="s">
        <v>2189</v>
      </c>
      <c r="Q505" t="s">
        <v>2190</v>
      </c>
    </row>
    <row r="506" spans="1:17">
      <c r="A506">
        <v>1201</v>
      </c>
      <c r="B506">
        <v>720</v>
      </c>
      <c r="C506">
        <v>8.1999999999999993</v>
      </c>
      <c r="D506">
        <v>0.2671</v>
      </c>
      <c r="E506">
        <v>0.50680000000000003</v>
      </c>
      <c r="F506">
        <v>62.07</v>
      </c>
      <c r="G506">
        <v>2</v>
      </c>
      <c r="H506">
        <v>16.48</v>
      </c>
      <c r="I506">
        <v>55.91</v>
      </c>
      <c r="J506">
        <v>470.45</v>
      </c>
      <c r="K506">
        <v>260.14999999999998</v>
      </c>
      <c r="L506">
        <v>-389.32</v>
      </c>
      <c r="M506">
        <v>-304.47000000000003</v>
      </c>
      <c r="N506">
        <v>107211</v>
      </c>
      <c r="O506" t="s">
        <v>1985</v>
      </c>
      <c r="P506" t="s">
        <v>1986</v>
      </c>
      <c r="Q506" t="s">
        <v>1987</v>
      </c>
    </row>
    <row r="507" spans="1:17">
      <c r="A507">
        <v>1202</v>
      </c>
      <c r="B507">
        <v>744.6</v>
      </c>
      <c r="C507">
        <v>4.5999999999999996</v>
      </c>
      <c r="D507">
        <v>0.25700000000000001</v>
      </c>
      <c r="E507">
        <v>0.62209999999999999</v>
      </c>
      <c r="F507">
        <v>106.12</v>
      </c>
      <c r="G507">
        <v>2</v>
      </c>
      <c r="H507">
        <v>13.58</v>
      </c>
      <c r="I507">
        <v>95.27</v>
      </c>
      <c r="J507">
        <v>517.95000000000005</v>
      </c>
      <c r="K507">
        <v>262.7</v>
      </c>
      <c r="L507">
        <v>-571.1</v>
      </c>
      <c r="M507">
        <v>-409</v>
      </c>
      <c r="N507">
        <v>111466</v>
      </c>
      <c r="O507" t="s">
        <v>2088</v>
      </c>
      <c r="P507" t="s">
        <v>2089</v>
      </c>
      <c r="Q507" t="s">
        <v>2090</v>
      </c>
    </row>
    <row r="508" spans="1:17">
      <c r="A508">
        <v>1203</v>
      </c>
      <c r="B508">
        <v>710</v>
      </c>
      <c r="C508">
        <v>3.32</v>
      </c>
      <c r="D508">
        <v>0.25080000000000002</v>
      </c>
      <c r="E508">
        <v>0.75870000000000004</v>
      </c>
      <c r="F508">
        <v>150.18</v>
      </c>
      <c r="G508">
        <v>2</v>
      </c>
      <c r="H508">
        <v>12.21</v>
      </c>
      <c r="I508">
        <v>134.19</v>
      </c>
      <c r="J508">
        <v>551</v>
      </c>
      <c r="K508">
        <v>265.8</v>
      </c>
      <c r="L508">
        <v>-725.1</v>
      </c>
      <c r="M508">
        <v>-486</v>
      </c>
      <c r="N508">
        <v>112276</v>
      </c>
      <c r="O508" t="s">
        <v>2516</v>
      </c>
      <c r="P508" t="s">
        <v>2538</v>
      </c>
      <c r="Q508" t="s">
        <v>2539</v>
      </c>
    </row>
    <row r="509" spans="1:17">
      <c r="A509">
        <v>1204</v>
      </c>
      <c r="B509">
        <v>795</v>
      </c>
      <c r="C509">
        <v>2.59</v>
      </c>
      <c r="D509">
        <v>0.24329999999999999</v>
      </c>
      <c r="E509">
        <v>0.91739999999999999</v>
      </c>
      <c r="F509">
        <v>194.23</v>
      </c>
      <c r="G509">
        <v>2</v>
      </c>
      <c r="H509">
        <v>11.58</v>
      </c>
      <c r="I509">
        <v>172.86</v>
      </c>
      <c r="J509">
        <v>581</v>
      </c>
      <c r="K509">
        <v>268.14999999999998</v>
      </c>
      <c r="L509">
        <v>-882.3</v>
      </c>
      <c r="M509">
        <v>-559.9</v>
      </c>
      <c r="N509">
        <v>112607</v>
      </c>
      <c r="O509" t="s">
        <v>368</v>
      </c>
      <c r="P509" t="s">
        <v>2280</v>
      </c>
      <c r="Q509" t="s">
        <v>2281</v>
      </c>
    </row>
    <row r="510" spans="1:17">
      <c r="A510">
        <v>1211</v>
      </c>
      <c r="B510">
        <v>624.15</v>
      </c>
      <c r="C510">
        <v>6.09</v>
      </c>
      <c r="D510">
        <v>0.27810000000000001</v>
      </c>
      <c r="E510">
        <v>1.1065</v>
      </c>
      <c r="F510">
        <v>76.099999999999994</v>
      </c>
      <c r="G510">
        <v>2</v>
      </c>
      <c r="H510">
        <v>14.43</v>
      </c>
      <c r="I510">
        <v>73.69</v>
      </c>
      <c r="J510">
        <v>460.75</v>
      </c>
      <c r="K510">
        <v>213.15</v>
      </c>
      <c r="L510">
        <v>-421.5</v>
      </c>
      <c r="M510">
        <v>-304</v>
      </c>
      <c r="N510">
        <v>57556</v>
      </c>
      <c r="O510" t="s">
        <v>2516</v>
      </c>
      <c r="P510" t="s">
        <v>725</v>
      </c>
      <c r="Q510" t="s">
        <v>2540</v>
      </c>
    </row>
    <row r="511" spans="1:17">
      <c r="A511">
        <v>1212</v>
      </c>
      <c r="B511">
        <v>718.2</v>
      </c>
      <c r="C511">
        <v>6.55</v>
      </c>
      <c r="D511">
        <v>0.23480000000000001</v>
      </c>
      <c r="E511">
        <v>0.62419999999999998</v>
      </c>
      <c r="F511">
        <v>76.099999999999994</v>
      </c>
      <c r="G511">
        <v>2</v>
      </c>
      <c r="H511">
        <v>15.05</v>
      </c>
      <c r="I511">
        <v>72.47</v>
      </c>
      <c r="J511">
        <v>487.55</v>
      </c>
      <c r="K511">
        <v>246.45</v>
      </c>
      <c r="L511">
        <v>-392.1</v>
      </c>
      <c r="M511">
        <v>-277</v>
      </c>
      <c r="N511">
        <v>504632</v>
      </c>
      <c r="O511" t="s">
        <v>368</v>
      </c>
      <c r="P511" t="s">
        <v>725</v>
      </c>
      <c r="Q511" t="s">
        <v>2011</v>
      </c>
    </row>
    <row r="512" spans="1:17">
      <c r="A512">
        <v>1213</v>
      </c>
      <c r="B512">
        <v>654</v>
      </c>
      <c r="C512">
        <v>3.58</v>
      </c>
      <c r="D512">
        <v>0.2732</v>
      </c>
      <c r="E512">
        <v>1.1977</v>
      </c>
      <c r="F512">
        <v>134.18</v>
      </c>
      <c r="G512">
        <v>2</v>
      </c>
      <c r="H512">
        <v>12.63</v>
      </c>
      <c r="I512">
        <v>131.84</v>
      </c>
      <c r="J512">
        <v>504</v>
      </c>
      <c r="K512">
        <v>233</v>
      </c>
      <c r="L512">
        <v>-628</v>
      </c>
      <c r="M512">
        <v>-406</v>
      </c>
      <c r="N512">
        <v>25265718</v>
      </c>
      <c r="O512" t="s">
        <v>2516</v>
      </c>
      <c r="P512" t="s">
        <v>1382</v>
      </c>
      <c r="Q512" t="s">
        <v>2541</v>
      </c>
    </row>
    <row r="513" spans="1:17">
      <c r="A513">
        <v>1214</v>
      </c>
      <c r="B513">
        <v>643</v>
      </c>
      <c r="C513">
        <v>4.24</v>
      </c>
      <c r="D513">
        <v>0.27360000000000001</v>
      </c>
      <c r="E513">
        <v>1.1431</v>
      </c>
      <c r="F513">
        <v>104.15</v>
      </c>
      <c r="G513">
        <v>2</v>
      </c>
      <c r="H513">
        <v>11.24</v>
      </c>
      <c r="I513">
        <v>130.15</v>
      </c>
      <c r="J513">
        <v>483</v>
      </c>
      <c r="K513">
        <v>403.6</v>
      </c>
      <c r="L513">
        <v>-447</v>
      </c>
      <c r="M513">
        <v>-264</v>
      </c>
      <c r="N513">
        <v>126307</v>
      </c>
      <c r="O513" t="s">
        <v>2516</v>
      </c>
      <c r="P513" t="s">
        <v>1759</v>
      </c>
      <c r="Q513" t="s">
        <v>2542</v>
      </c>
    </row>
    <row r="514" spans="1:17">
      <c r="A514">
        <v>1215</v>
      </c>
      <c r="B514">
        <v>695</v>
      </c>
      <c r="C514">
        <v>5.86</v>
      </c>
      <c r="D514">
        <v>0.2596</v>
      </c>
      <c r="E514">
        <v>1.1343000000000001</v>
      </c>
      <c r="F514">
        <v>86.09</v>
      </c>
      <c r="G514">
        <v>2</v>
      </c>
      <c r="H514">
        <v>15.71</v>
      </c>
      <c r="I514">
        <v>83.67</v>
      </c>
      <c r="J514">
        <v>511.15</v>
      </c>
      <c r="K514">
        <v>323.14999999999998</v>
      </c>
      <c r="L514">
        <v>-155</v>
      </c>
      <c r="M514">
        <v>-77</v>
      </c>
      <c r="N514">
        <v>110656</v>
      </c>
      <c r="O514" t="s">
        <v>2516</v>
      </c>
      <c r="P514" t="s">
        <v>872</v>
      </c>
      <c r="Q514" t="s">
        <v>2543</v>
      </c>
    </row>
    <row r="515" spans="1:17">
      <c r="A515">
        <v>1216</v>
      </c>
      <c r="B515">
        <v>677</v>
      </c>
      <c r="C515">
        <v>2.54</v>
      </c>
      <c r="D515">
        <v>0.26889999999999997</v>
      </c>
      <c r="E515">
        <v>1.2566999999999999</v>
      </c>
      <c r="F515">
        <v>192.26</v>
      </c>
      <c r="G515">
        <v>2</v>
      </c>
      <c r="H515">
        <v>10.63</v>
      </c>
      <c r="I515">
        <v>188.73</v>
      </c>
      <c r="J515">
        <v>546.15</v>
      </c>
      <c r="K515">
        <v>228.15</v>
      </c>
      <c r="L515">
        <v>-829.7</v>
      </c>
      <c r="M515">
        <v>-503.5</v>
      </c>
      <c r="N515">
        <v>24800440</v>
      </c>
      <c r="O515" t="s">
        <v>2516</v>
      </c>
      <c r="P515" t="s">
        <v>2544</v>
      </c>
      <c r="Q515" t="s">
        <v>2545</v>
      </c>
    </row>
    <row r="516" spans="1:17">
      <c r="A516">
        <v>1220</v>
      </c>
      <c r="B516">
        <v>680</v>
      </c>
      <c r="C516">
        <v>5.21</v>
      </c>
      <c r="D516">
        <v>0.28100000000000003</v>
      </c>
      <c r="E516">
        <v>0.63049999999999995</v>
      </c>
      <c r="F516">
        <v>90.12</v>
      </c>
      <c r="G516">
        <v>2</v>
      </c>
      <c r="H516">
        <v>13.32</v>
      </c>
      <c r="I516">
        <v>90.24</v>
      </c>
      <c r="J516">
        <v>464.15</v>
      </c>
      <c r="K516">
        <v>-86</v>
      </c>
      <c r="L516">
        <v>-444.76</v>
      </c>
      <c r="M516">
        <v>-293</v>
      </c>
      <c r="N516">
        <v>584032</v>
      </c>
      <c r="O516" t="s">
        <v>568</v>
      </c>
      <c r="P516" t="s">
        <v>938</v>
      </c>
      <c r="Q516" t="s">
        <v>1790</v>
      </c>
    </row>
    <row r="517" spans="1:17">
      <c r="A517">
        <v>1221</v>
      </c>
      <c r="B517">
        <v>676</v>
      </c>
      <c r="C517">
        <v>4.0199999999999996</v>
      </c>
      <c r="D517">
        <v>0.27360000000000001</v>
      </c>
      <c r="E517">
        <v>0.70430000000000004</v>
      </c>
      <c r="F517">
        <v>90.12</v>
      </c>
      <c r="G517">
        <v>2</v>
      </c>
      <c r="H517">
        <v>13.43</v>
      </c>
      <c r="I517">
        <v>90</v>
      </c>
      <c r="J517">
        <v>480.15</v>
      </c>
      <c r="K517">
        <v>196.15</v>
      </c>
      <c r="L517">
        <v>-434.6</v>
      </c>
      <c r="M517">
        <v>-290.3</v>
      </c>
      <c r="N517">
        <v>107880</v>
      </c>
      <c r="O517" t="s">
        <v>1776</v>
      </c>
      <c r="P517" t="s">
        <v>938</v>
      </c>
      <c r="Q517" t="s">
        <v>1777</v>
      </c>
    </row>
    <row r="518" spans="1:17">
      <c r="A518">
        <v>1222</v>
      </c>
      <c r="B518">
        <v>621</v>
      </c>
      <c r="C518">
        <v>4.01</v>
      </c>
      <c r="D518">
        <v>0.30909999999999999</v>
      </c>
      <c r="E518">
        <v>1.1579999999999999</v>
      </c>
      <c r="F518">
        <v>118.18</v>
      </c>
      <c r="G518">
        <v>2</v>
      </c>
      <c r="H518">
        <v>11.05</v>
      </c>
      <c r="I518">
        <v>128.53</v>
      </c>
      <c r="J518">
        <v>470.65</v>
      </c>
      <c r="K518">
        <v>223.15</v>
      </c>
      <c r="L518">
        <v>-534.79999999999995</v>
      </c>
      <c r="M518">
        <v>-312.7</v>
      </c>
      <c r="N518">
        <v>107415</v>
      </c>
      <c r="O518" t="s">
        <v>2516</v>
      </c>
      <c r="P518" t="s">
        <v>958</v>
      </c>
      <c r="Q518" t="s">
        <v>2546</v>
      </c>
    </row>
    <row r="519" spans="1:17">
      <c r="A519">
        <v>1231</v>
      </c>
      <c r="B519">
        <v>850</v>
      </c>
      <c r="C519">
        <v>7.5</v>
      </c>
      <c r="D519">
        <v>0.28000000000000003</v>
      </c>
      <c r="E519">
        <v>0.51270000000000004</v>
      </c>
      <c r="F519">
        <v>92.1</v>
      </c>
      <c r="G519">
        <v>2</v>
      </c>
      <c r="H519">
        <v>16.68</v>
      </c>
      <c r="I519">
        <v>73.37</v>
      </c>
      <c r="J519">
        <v>563.15</v>
      </c>
      <c r="K519">
        <v>291.14999999999998</v>
      </c>
      <c r="L519">
        <v>-582.79999999999995</v>
      </c>
      <c r="M519">
        <v>-448</v>
      </c>
      <c r="N519">
        <v>56815</v>
      </c>
      <c r="O519" t="s">
        <v>2480</v>
      </c>
      <c r="P519" t="s">
        <v>2481</v>
      </c>
      <c r="Q519" t="s">
        <v>2482</v>
      </c>
    </row>
    <row r="520" spans="1:17">
      <c r="A520">
        <v>1235</v>
      </c>
      <c r="B520">
        <v>776</v>
      </c>
      <c r="C520">
        <v>3.77</v>
      </c>
      <c r="D520">
        <v>0.29859999999999998</v>
      </c>
      <c r="E520">
        <v>0.73440000000000005</v>
      </c>
      <c r="F520">
        <v>166.22</v>
      </c>
      <c r="G520">
        <v>2</v>
      </c>
      <c r="H520">
        <v>10.91</v>
      </c>
      <c r="I520">
        <v>158.22</v>
      </c>
      <c r="J520">
        <v>558</v>
      </c>
      <c r="K520">
        <v>327</v>
      </c>
      <c r="L520">
        <v>-376</v>
      </c>
      <c r="M520">
        <v>-168</v>
      </c>
      <c r="N520">
        <v>98293</v>
      </c>
      <c r="O520" t="s">
        <v>568</v>
      </c>
      <c r="P520" t="s">
        <v>2217</v>
      </c>
      <c r="Q520" t="s">
        <v>2218</v>
      </c>
    </row>
    <row r="521" spans="1:17">
      <c r="A521">
        <v>1238</v>
      </c>
      <c r="B521">
        <v>611</v>
      </c>
      <c r="C521">
        <v>5.13</v>
      </c>
      <c r="D521">
        <v>0.2949</v>
      </c>
      <c r="E521">
        <v>1.1054999999999999</v>
      </c>
      <c r="F521">
        <v>90.12</v>
      </c>
      <c r="G521">
        <v>2</v>
      </c>
      <c r="H521">
        <v>12.69</v>
      </c>
      <c r="I521">
        <v>90.63</v>
      </c>
      <c r="J521">
        <v>453.85</v>
      </c>
      <c r="K521">
        <v>280.75</v>
      </c>
      <c r="L521">
        <v>-462</v>
      </c>
      <c r="M521">
        <v>-339</v>
      </c>
      <c r="N521">
        <v>6982258</v>
      </c>
      <c r="O521" t="s">
        <v>2516</v>
      </c>
      <c r="P521" t="s">
        <v>938</v>
      </c>
      <c r="Q521" t="s">
        <v>2547</v>
      </c>
    </row>
    <row r="522" spans="1:17">
      <c r="A522">
        <v>1239</v>
      </c>
      <c r="B522">
        <v>677.88</v>
      </c>
      <c r="C522">
        <v>5.2</v>
      </c>
      <c r="D522">
        <v>0.25740000000000002</v>
      </c>
      <c r="E522">
        <v>1.1738999999999999</v>
      </c>
      <c r="F522">
        <v>88.11</v>
      </c>
      <c r="G522">
        <v>2</v>
      </c>
      <c r="H522">
        <v>14.4</v>
      </c>
      <c r="I522">
        <v>82.35</v>
      </c>
      <c r="J522">
        <v>508.15</v>
      </c>
      <c r="K522">
        <v>284.14999999999998</v>
      </c>
      <c r="L522">
        <v>-295</v>
      </c>
      <c r="M522">
        <v>-186.69</v>
      </c>
      <c r="N522">
        <v>6117802</v>
      </c>
      <c r="O522" t="s">
        <v>2516</v>
      </c>
      <c r="P522" t="s">
        <v>887</v>
      </c>
      <c r="Q522" t="s">
        <v>2548</v>
      </c>
    </row>
    <row r="523" spans="1:17">
      <c r="A523">
        <v>1240</v>
      </c>
      <c r="B523">
        <v>681</v>
      </c>
      <c r="C523">
        <v>5.2</v>
      </c>
      <c r="D523">
        <v>0.25619999999999998</v>
      </c>
      <c r="E523">
        <v>1.1736</v>
      </c>
      <c r="F523">
        <v>88.11</v>
      </c>
      <c r="G523">
        <v>2</v>
      </c>
      <c r="H523">
        <v>14.23</v>
      </c>
      <c r="I523">
        <v>82.7</v>
      </c>
      <c r="J523">
        <v>510</v>
      </c>
      <c r="K523">
        <v>300.45</v>
      </c>
      <c r="L523">
        <v>-300</v>
      </c>
      <c r="M523">
        <v>-191.69</v>
      </c>
      <c r="N523">
        <v>821114</v>
      </c>
      <c r="O523" t="s">
        <v>2516</v>
      </c>
      <c r="P523" t="s">
        <v>887</v>
      </c>
      <c r="Q523" t="s">
        <v>2549</v>
      </c>
    </row>
    <row r="524" spans="1:17">
      <c r="A524">
        <v>1241</v>
      </c>
      <c r="B524">
        <v>667</v>
      </c>
      <c r="C524">
        <v>4.88</v>
      </c>
      <c r="D524">
        <v>0.26140000000000002</v>
      </c>
      <c r="E524">
        <v>1.177</v>
      </c>
      <c r="F524">
        <v>90.12</v>
      </c>
      <c r="G524">
        <v>2</v>
      </c>
      <c r="H524">
        <v>14.11</v>
      </c>
      <c r="I524">
        <v>88.85</v>
      </c>
      <c r="J524">
        <v>501.15</v>
      </c>
      <c r="K524">
        <v>293.05</v>
      </c>
      <c r="L524">
        <v>-426.7</v>
      </c>
      <c r="M524">
        <v>-278</v>
      </c>
      <c r="N524">
        <v>110634</v>
      </c>
      <c r="O524" t="s">
        <v>2516</v>
      </c>
      <c r="P524" t="s">
        <v>938</v>
      </c>
      <c r="Q524" t="s">
        <v>2550</v>
      </c>
    </row>
    <row r="525" spans="1:17">
      <c r="A525">
        <v>1242</v>
      </c>
      <c r="B525">
        <v>673</v>
      </c>
      <c r="C525">
        <v>4.1500000000000004</v>
      </c>
      <c r="D525">
        <v>0.25590000000000002</v>
      </c>
      <c r="E525">
        <v>1.2216</v>
      </c>
      <c r="F525">
        <v>104.15</v>
      </c>
      <c r="G525">
        <v>2</v>
      </c>
      <c r="H525">
        <v>12.93</v>
      </c>
      <c r="I525">
        <v>105.3</v>
      </c>
      <c r="J525">
        <v>512.15</v>
      </c>
      <c r="K525">
        <v>257.14999999999998</v>
      </c>
      <c r="L525">
        <v>-449</v>
      </c>
      <c r="M525">
        <v>-275</v>
      </c>
      <c r="N525">
        <v>111295</v>
      </c>
      <c r="O525" t="s">
        <v>708</v>
      </c>
      <c r="P525" t="s">
        <v>1759</v>
      </c>
      <c r="Q525" t="s">
        <v>1760</v>
      </c>
    </row>
    <row r="526" spans="1:17">
      <c r="A526">
        <v>1243</v>
      </c>
      <c r="B526">
        <v>683</v>
      </c>
      <c r="C526">
        <v>3.61</v>
      </c>
      <c r="D526">
        <v>0.25790000000000002</v>
      </c>
      <c r="E526">
        <v>1.2161999999999999</v>
      </c>
      <c r="F526">
        <v>118.18</v>
      </c>
      <c r="G526">
        <v>2</v>
      </c>
      <c r="H526">
        <v>12.3</v>
      </c>
      <c r="I526">
        <v>123.07</v>
      </c>
      <c r="J526">
        <v>516.15</v>
      </c>
      <c r="K526">
        <v>315.14999999999998</v>
      </c>
      <c r="L526">
        <v>-470</v>
      </c>
      <c r="M526">
        <v>-258</v>
      </c>
      <c r="N526">
        <v>629118</v>
      </c>
      <c r="O526" t="s">
        <v>2804</v>
      </c>
      <c r="P526" t="s">
        <v>958</v>
      </c>
      <c r="Q526" t="s">
        <v>2551</v>
      </c>
    </row>
    <row r="527" spans="1:17">
      <c r="A527">
        <v>1244</v>
      </c>
      <c r="B527">
        <v>764</v>
      </c>
      <c r="C527">
        <v>7.49</v>
      </c>
      <c r="D527">
        <v>0.35370000000000001</v>
      </c>
      <c r="E527">
        <v>0.69369999999999998</v>
      </c>
      <c r="F527">
        <v>110.11</v>
      </c>
      <c r="G527">
        <v>2</v>
      </c>
      <c r="H527">
        <v>11.88</v>
      </c>
      <c r="I527">
        <v>95.26</v>
      </c>
      <c r="J527">
        <v>518.15</v>
      </c>
      <c r="K527">
        <v>378.15</v>
      </c>
      <c r="L527">
        <v>-272</v>
      </c>
      <c r="M527">
        <v>-187</v>
      </c>
      <c r="N527">
        <v>120809</v>
      </c>
      <c r="O527" t="s">
        <v>787</v>
      </c>
      <c r="P527" t="s">
        <v>2160</v>
      </c>
      <c r="Q527" t="s">
        <v>2161</v>
      </c>
    </row>
    <row r="528" spans="1:17">
      <c r="A528">
        <v>1245</v>
      </c>
      <c r="B528">
        <v>810</v>
      </c>
      <c r="C528">
        <v>7.49</v>
      </c>
      <c r="D528">
        <v>0.3337</v>
      </c>
      <c r="E528">
        <v>0.67669999999999997</v>
      </c>
      <c r="F528">
        <v>110.11</v>
      </c>
      <c r="G528">
        <v>2</v>
      </c>
      <c r="H528">
        <v>13.85</v>
      </c>
      <c r="I528">
        <v>93.58</v>
      </c>
      <c r="J528">
        <v>549</v>
      </c>
      <c r="K528">
        <v>382</v>
      </c>
      <c r="L528">
        <v>-266.10000000000002</v>
      </c>
      <c r="M528">
        <v>-172.38</v>
      </c>
      <c r="N528">
        <v>108463</v>
      </c>
      <c r="O528" t="s">
        <v>545</v>
      </c>
      <c r="P528" t="s">
        <v>2160</v>
      </c>
      <c r="Q528" t="s">
        <v>2308</v>
      </c>
    </row>
    <row r="529" spans="1:17">
      <c r="A529">
        <v>1246</v>
      </c>
      <c r="B529">
        <v>780</v>
      </c>
      <c r="C529">
        <v>4.78</v>
      </c>
      <c r="D529">
        <v>0.28079999999999999</v>
      </c>
      <c r="E529">
        <v>2.1728000000000001</v>
      </c>
      <c r="F529">
        <v>136.15</v>
      </c>
      <c r="G529">
        <v>2</v>
      </c>
      <c r="H529">
        <v>13.56</v>
      </c>
      <c r="I529">
        <v>154.47999999999999</v>
      </c>
      <c r="J529">
        <v>631</v>
      </c>
      <c r="K529">
        <v>534.15</v>
      </c>
      <c r="L529">
        <v>-776.7</v>
      </c>
      <c r="M529">
        <v>-542.70000000000005</v>
      </c>
      <c r="N529">
        <v>115775</v>
      </c>
      <c r="O529" t="s">
        <v>2516</v>
      </c>
      <c r="P529" t="s">
        <v>2552</v>
      </c>
      <c r="Q529" t="s">
        <v>2553</v>
      </c>
    </row>
    <row r="530" spans="1:17">
      <c r="A530">
        <v>1247</v>
      </c>
      <c r="B530">
        <v>989.65</v>
      </c>
      <c r="C530">
        <v>3.9009999999999998</v>
      </c>
      <c r="D530">
        <v>0.19719999999999999</v>
      </c>
      <c r="E530">
        <v>1.5430999999999999</v>
      </c>
      <c r="F530">
        <v>134.18</v>
      </c>
      <c r="G530">
        <v>3</v>
      </c>
      <c r="H530">
        <v>12.74</v>
      </c>
      <c r="I530">
        <v>122.37</v>
      </c>
      <c r="J530">
        <v>562.04</v>
      </c>
      <c r="K530">
        <v>331.15</v>
      </c>
      <c r="L530">
        <v>-640.19000000000005</v>
      </c>
      <c r="M530">
        <v>-411.31</v>
      </c>
      <c r="N530">
        <v>77996</v>
      </c>
      <c r="O530" t="s">
        <v>2516</v>
      </c>
      <c r="P530" t="s">
        <v>1382</v>
      </c>
      <c r="Q530" t="s">
        <v>2554</v>
      </c>
    </row>
    <row r="531" spans="1:17">
      <c r="A531">
        <v>1248</v>
      </c>
      <c r="B531">
        <v>830</v>
      </c>
      <c r="C531">
        <v>8.81</v>
      </c>
      <c r="D531">
        <v>0.40600000000000003</v>
      </c>
      <c r="E531">
        <v>0.94520000000000004</v>
      </c>
      <c r="F531">
        <v>126.11</v>
      </c>
      <c r="G531">
        <v>3</v>
      </c>
      <c r="H531">
        <v>10.72</v>
      </c>
      <c r="I531">
        <v>150.53</v>
      </c>
      <c r="J531">
        <v>582.15</v>
      </c>
      <c r="K531">
        <v>405</v>
      </c>
      <c r="L531">
        <v>-446</v>
      </c>
      <c r="M531">
        <v>-341</v>
      </c>
      <c r="N531">
        <v>87661</v>
      </c>
      <c r="O531" t="s">
        <v>568</v>
      </c>
      <c r="P531" t="s">
        <v>2357</v>
      </c>
      <c r="Q531" t="s">
        <v>2358</v>
      </c>
    </row>
    <row r="532" spans="1:17">
      <c r="A532">
        <v>1249</v>
      </c>
      <c r="B532">
        <v>1074</v>
      </c>
      <c r="C532">
        <v>5.32</v>
      </c>
      <c r="D532">
        <v>0.2455</v>
      </c>
      <c r="E532">
        <v>2.371</v>
      </c>
      <c r="F532">
        <v>180.16</v>
      </c>
      <c r="G532">
        <v>3</v>
      </c>
      <c r="H532">
        <v>-86</v>
      </c>
      <c r="I532">
        <v>120.48</v>
      </c>
      <c r="J532">
        <v>873</v>
      </c>
      <c r="K532">
        <v>497.65</v>
      </c>
      <c r="L532">
        <v>-1321</v>
      </c>
      <c r="M532">
        <v>-832</v>
      </c>
      <c r="N532">
        <v>87898</v>
      </c>
      <c r="O532" t="s">
        <v>2516</v>
      </c>
      <c r="P532" t="s">
        <v>2555</v>
      </c>
      <c r="Q532" t="s">
        <v>2556</v>
      </c>
    </row>
    <row r="533" spans="1:17">
      <c r="A533">
        <v>1250</v>
      </c>
      <c r="B533">
        <v>868</v>
      </c>
      <c r="C533">
        <v>4.6399999999999997</v>
      </c>
      <c r="D533">
        <v>0.3105</v>
      </c>
      <c r="E533">
        <v>2.2130999999999998</v>
      </c>
      <c r="F533">
        <v>182.17</v>
      </c>
      <c r="G533">
        <v>3</v>
      </c>
      <c r="H533">
        <v>17.79</v>
      </c>
      <c r="I533">
        <v>129.74</v>
      </c>
      <c r="J533">
        <v>777</v>
      </c>
      <c r="K533">
        <v>370.85</v>
      </c>
      <c r="L533">
        <v>-1140</v>
      </c>
      <c r="M533">
        <v>-866</v>
      </c>
      <c r="N533">
        <v>50704</v>
      </c>
      <c r="O533" t="s">
        <v>2516</v>
      </c>
      <c r="P533" t="s">
        <v>2557</v>
      </c>
      <c r="Q533" t="s">
        <v>2558</v>
      </c>
    </row>
    <row r="534" spans="1:17">
      <c r="A534">
        <v>1251</v>
      </c>
      <c r="B534">
        <v>588</v>
      </c>
      <c r="C534">
        <v>5.81</v>
      </c>
      <c r="D534">
        <v>0.22040000000000001</v>
      </c>
      <c r="E534">
        <v>0.3125</v>
      </c>
      <c r="F534">
        <v>46.03</v>
      </c>
      <c r="G534">
        <v>0</v>
      </c>
      <c r="H534">
        <v>10.49</v>
      </c>
      <c r="I534">
        <v>37.92</v>
      </c>
      <c r="J534">
        <v>373.71</v>
      </c>
      <c r="K534">
        <v>281.55</v>
      </c>
      <c r="L534">
        <v>-378.6</v>
      </c>
      <c r="M534">
        <v>-351</v>
      </c>
      <c r="N534">
        <v>64186</v>
      </c>
      <c r="O534" t="s">
        <v>1267</v>
      </c>
      <c r="P534" t="s">
        <v>1268</v>
      </c>
      <c r="Q534" t="s">
        <v>1269</v>
      </c>
    </row>
    <row r="535" spans="1:17">
      <c r="A535">
        <v>1252</v>
      </c>
      <c r="B535">
        <v>591.95000000000005</v>
      </c>
      <c r="C535">
        <v>5.7859999999999996</v>
      </c>
      <c r="D535">
        <v>0.20080000000000001</v>
      </c>
      <c r="E535">
        <v>0.46650000000000003</v>
      </c>
      <c r="F535">
        <v>60.05</v>
      </c>
      <c r="G535">
        <v>0</v>
      </c>
      <c r="H535">
        <v>9.3000000000000007</v>
      </c>
      <c r="I535">
        <v>57.58</v>
      </c>
      <c r="J535">
        <v>391.05</v>
      </c>
      <c r="K535">
        <v>289.81</v>
      </c>
      <c r="L535">
        <v>-432.25</v>
      </c>
      <c r="M535">
        <v>-374.05</v>
      </c>
      <c r="N535">
        <v>64197</v>
      </c>
      <c r="O535" t="s">
        <v>761</v>
      </c>
      <c r="P535" t="s">
        <v>124</v>
      </c>
      <c r="Q535" t="s">
        <v>2485</v>
      </c>
    </row>
    <row r="536" spans="1:17">
      <c r="A536">
        <v>1253</v>
      </c>
      <c r="B536">
        <v>600.80999999999995</v>
      </c>
      <c r="C536">
        <v>4.6680000000000001</v>
      </c>
      <c r="D536">
        <v>0.2427</v>
      </c>
      <c r="E536">
        <v>0.5796</v>
      </c>
      <c r="F536">
        <v>74.08</v>
      </c>
      <c r="G536">
        <v>0</v>
      </c>
      <c r="H536">
        <v>9.51</v>
      </c>
      <c r="I536">
        <v>74.959999999999994</v>
      </c>
      <c r="J536">
        <v>413.98</v>
      </c>
      <c r="K536">
        <v>252.45</v>
      </c>
      <c r="L536">
        <v>-453.5</v>
      </c>
      <c r="M536">
        <v>-366.7</v>
      </c>
      <c r="N536">
        <v>79094</v>
      </c>
      <c r="O536" t="s">
        <v>1334</v>
      </c>
      <c r="P536" t="s">
        <v>807</v>
      </c>
      <c r="Q536" t="s">
        <v>1335</v>
      </c>
    </row>
    <row r="537" spans="1:17">
      <c r="A537">
        <v>1254</v>
      </c>
      <c r="B537">
        <v>722</v>
      </c>
      <c r="C537">
        <v>2.2799999999999998</v>
      </c>
      <c r="D537">
        <v>0.22770000000000001</v>
      </c>
      <c r="E537">
        <v>0.81369999999999998</v>
      </c>
      <c r="F537">
        <v>172.27</v>
      </c>
      <c r="G537">
        <v>0</v>
      </c>
      <c r="H537">
        <v>10.43</v>
      </c>
      <c r="I537">
        <v>194.24</v>
      </c>
      <c r="J537">
        <v>543.15</v>
      </c>
      <c r="K537">
        <v>304.75</v>
      </c>
      <c r="L537">
        <v>-594.29999999999995</v>
      </c>
      <c r="M537">
        <v>-305</v>
      </c>
      <c r="N537">
        <v>334485</v>
      </c>
      <c r="O537" t="s">
        <v>1953</v>
      </c>
      <c r="P537" t="s">
        <v>1539</v>
      </c>
      <c r="Q537" t="s">
        <v>2491</v>
      </c>
    </row>
    <row r="538" spans="1:17">
      <c r="A538">
        <v>1255</v>
      </c>
      <c r="B538">
        <v>804</v>
      </c>
      <c r="C538">
        <v>7.02</v>
      </c>
      <c r="D538">
        <v>0.21529999999999999</v>
      </c>
      <c r="E538">
        <v>0.91759999999999997</v>
      </c>
      <c r="F538">
        <v>90.04</v>
      </c>
      <c r="G538">
        <v>0</v>
      </c>
      <c r="H538">
        <v>17.59</v>
      </c>
      <c r="I538">
        <v>61.46</v>
      </c>
      <c r="J538">
        <v>569</v>
      </c>
      <c r="K538">
        <v>462.65</v>
      </c>
      <c r="L538">
        <v>-733.8</v>
      </c>
      <c r="M538">
        <v>-661.4</v>
      </c>
      <c r="N538">
        <v>144627</v>
      </c>
      <c r="O538" t="s">
        <v>2516</v>
      </c>
      <c r="P538" t="s">
        <v>2559</v>
      </c>
      <c r="Q538" t="s">
        <v>2560</v>
      </c>
    </row>
    <row r="539" spans="1:17">
      <c r="A539">
        <v>1256</v>
      </c>
      <c r="B539">
        <v>615.70000000000005</v>
      </c>
      <c r="C539">
        <v>4.0599999999999996</v>
      </c>
      <c r="D539">
        <v>0.29470000000000002</v>
      </c>
      <c r="E539">
        <v>0.67500000000000004</v>
      </c>
      <c r="F539">
        <v>88.11</v>
      </c>
      <c r="G539">
        <v>0</v>
      </c>
      <c r="H539">
        <v>9.9600000000000009</v>
      </c>
      <c r="I539">
        <v>92.55</v>
      </c>
      <c r="J539">
        <v>436.42</v>
      </c>
      <c r="K539">
        <v>267.95</v>
      </c>
      <c r="L539">
        <v>-470.3</v>
      </c>
      <c r="M539">
        <v>-360</v>
      </c>
      <c r="N539">
        <v>107926</v>
      </c>
      <c r="O539" t="s">
        <v>1422</v>
      </c>
      <c r="P539" t="s">
        <v>887</v>
      </c>
      <c r="Q539" t="s">
        <v>1423</v>
      </c>
    </row>
    <row r="540" spans="1:17">
      <c r="A540">
        <v>1257</v>
      </c>
      <c r="B540">
        <v>643</v>
      </c>
      <c r="C540">
        <v>3.89</v>
      </c>
      <c r="D540">
        <v>0.24299999999999999</v>
      </c>
      <c r="E540">
        <v>0.58940000000000003</v>
      </c>
      <c r="F540">
        <v>102.13</v>
      </c>
      <c r="G540">
        <v>0</v>
      </c>
      <c r="H540">
        <v>11.06</v>
      </c>
      <c r="I540">
        <v>109.62</v>
      </c>
      <c r="J540">
        <v>450.15</v>
      </c>
      <c r="K540">
        <v>-86</v>
      </c>
      <c r="L540">
        <v>-498</v>
      </c>
      <c r="M540">
        <v>-349.9</v>
      </c>
      <c r="N540">
        <v>600077</v>
      </c>
      <c r="O540" t="s">
        <v>1024</v>
      </c>
      <c r="P540" t="s">
        <v>369</v>
      </c>
      <c r="Q540" t="s">
        <v>1577</v>
      </c>
    </row>
    <row r="541" spans="1:17">
      <c r="A541">
        <v>1258</v>
      </c>
      <c r="B541">
        <v>639.16</v>
      </c>
      <c r="C541">
        <v>3.63</v>
      </c>
      <c r="D541">
        <v>0.25030000000000002</v>
      </c>
      <c r="E541">
        <v>0.70660000000000001</v>
      </c>
      <c r="F541">
        <v>102.13</v>
      </c>
      <c r="G541">
        <v>0</v>
      </c>
      <c r="H541">
        <v>10.82</v>
      </c>
      <c r="I541">
        <v>109.44</v>
      </c>
      <c r="J541">
        <v>458.75</v>
      </c>
      <c r="K541">
        <v>239.15</v>
      </c>
      <c r="L541">
        <v>-490.1</v>
      </c>
      <c r="M541">
        <v>-345.6</v>
      </c>
      <c r="N541">
        <v>109524</v>
      </c>
      <c r="O541" t="s">
        <v>1561</v>
      </c>
      <c r="P541" t="s">
        <v>369</v>
      </c>
      <c r="Q541" t="s">
        <v>1562</v>
      </c>
    </row>
    <row r="542" spans="1:17">
      <c r="A542">
        <v>1259</v>
      </c>
      <c r="B542">
        <v>710.7</v>
      </c>
      <c r="C542">
        <v>2.5139999999999998</v>
      </c>
      <c r="D542">
        <v>0.2293</v>
      </c>
      <c r="E542">
        <v>0.77869999999999995</v>
      </c>
      <c r="F542">
        <v>158.24</v>
      </c>
      <c r="G542">
        <v>0</v>
      </c>
      <c r="H542">
        <v>10.63</v>
      </c>
      <c r="I542">
        <v>175.46</v>
      </c>
      <c r="J542">
        <v>528.75</v>
      </c>
      <c r="K542">
        <v>285.55</v>
      </c>
      <c r="L542">
        <v>-575.4</v>
      </c>
      <c r="M542">
        <v>-317</v>
      </c>
      <c r="N542">
        <v>112050</v>
      </c>
      <c r="O542" t="s">
        <v>1953</v>
      </c>
      <c r="P542" t="s">
        <v>1508</v>
      </c>
      <c r="Q542" t="s">
        <v>1954</v>
      </c>
    </row>
    <row r="543" spans="1:17">
      <c r="A543">
        <v>1260</v>
      </c>
      <c r="B543">
        <v>605</v>
      </c>
      <c r="C543">
        <v>3.7</v>
      </c>
      <c r="D543">
        <v>0.23369999999999999</v>
      </c>
      <c r="E543">
        <v>0.61399999999999999</v>
      </c>
      <c r="F543">
        <v>88.11</v>
      </c>
      <c r="G543">
        <v>0</v>
      </c>
      <c r="H543">
        <v>9.24</v>
      </c>
      <c r="I543">
        <v>93.33</v>
      </c>
      <c r="J543">
        <v>427.85</v>
      </c>
      <c r="K543">
        <v>227.05</v>
      </c>
      <c r="L543">
        <v>-484.1</v>
      </c>
      <c r="M543">
        <v>-362.1</v>
      </c>
      <c r="N543">
        <v>79312</v>
      </c>
      <c r="O543" t="s">
        <v>638</v>
      </c>
      <c r="P543" t="s">
        <v>887</v>
      </c>
      <c r="Q543" t="s">
        <v>1364</v>
      </c>
    </row>
    <row r="544" spans="1:17">
      <c r="A544">
        <v>1261</v>
      </c>
      <c r="B544">
        <v>629.09</v>
      </c>
      <c r="C544">
        <v>3.6880000000000002</v>
      </c>
      <c r="D544">
        <v>0.248</v>
      </c>
      <c r="E544">
        <v>0.68179999999999996</v>
      </c>
      <c r="F544">
        <v>102.13</v>
      </c>
      <c r="G544">
        <v>0</v>
      </c>
      <c r="H544">
        <v>9.86</v>
      </c>
      <c r="I544">
        <v>110.25</v>
      </c>
      <c r="J544">
        <v>449.7</v>
      </c>
      <c r="K544">
        <v>235.55</v>
      </c>
      <c r="L544">
        <v>-514.70000000000005</v>
      </c>
      <c r="M544">
        <v>-367</v>
      </c>
      <c r="N544">
        <v>503742</v>
      </c>
      <c r="O544" t="s">
        <v>1510</v>
      </c>
      <c r="P544" t="s">
        <v>369</v>
      </c>
      <c r="Q544" t="s">
        <v>1511</v>
      </c>
    </row>
    <row r="545" spans="1:17">
      <c r="A545">
        <v>1262</v>
      </c>
      <c r="B545">
        <v>660.2</v>
      </c>
      <c r="C545">
        <v>3.3079999999999998</v>
      </c>
      <c r="D545">
        <v>0.23499999999999999</v>
      </c>
      <c r="E545">
        <v>0.73299999999999998</v>
      </c>
      <c r="F545">
        <v>116.16</v>
      </c>
      <c r="G545">
        <v>0</v>
      </c>
      <c r="H545">
        <v>10.85</v>
      </c>
      <c r="I545">
        <v>126.23</v>
      </c>
      <c r="J545">
        <v>478.45</v>
      </c>
      <c r="K545">
        <v>269.14999999999998</v>
      </c>
      <c r="L545">
        <v>-513.6</v>
      </c>
      <c r="M545">
        <v>-338</v>
      </c>
      <c r="N545">
        <v>142621</v>
      </c>
      <c r="O545" t="s">
        <v>1708</v>
      </c>
      <c r="P545" t="s">
        <v>996</v>
      </c>
      <c r="Q545" t="s">
        <v>1709</v>
      </c>
    </row>
    <row r="546" spans="1:17">
      <c r="A546">
        <v>1264</v>
      </c>
      <c r="B546">
        <v>819.8</v>
      </c>
      <c r="C546">
        <v>3.7360000000000002</v>
      </c>
      <c r="D546">
        <v>0.2147</v>
      </c>
      <c r="E546">
        <v>1.0049999999999999</v>
      </c>
      <c r="F546">
        <v>172.18</v>
      </c>
      <c r="G546">
        <v>0</v>
      </c>
      <c r="H546">
        <v>11.7</v>
      </c>
      <c r="I546">
        <v>150.02000000000001</v>
      </c>
      <c r="J546">
        <v>669</v>
      </c>
      <c r="K546">
        <v>585.65</v>
      </c>
      <c r="L546">
        <v>-877</v>
      </c>
      <c r="M546">
        <v>-643</v>
      </c>
      <c r="N546">
        <v>619829</v>
      </c>
      <c r="O546" t="s">
        <v>1861</v>
      </c>
      <c r="P546" t="s">
        <v>1793</v>
      </c>
      <c r="Q546" t="s">
        <v>2326</v>
      </c>
    </row>
    <row r="547" spans="1:17">
      <c r="A547">
        <v>1265</v>
      </c>
      <c r="B547">
        <v>694.26</v>
      </c>
      <c r="C547">
        <v>2.7789999999999999</v>
      </c>
      <c r="D547">
        <v>0.23100000000000001</v>
      </c>
      <c r="E547">
        <v>0.77339999999999998</v>
      </c>
      <c r="F547">
        <v>144.21</v>
      </c>
      <c r="G547">
        <v>0</v>
      </c>
      <c r="H547">
        <v>10.89</v>
      </c>
      <c r="I547">
        <v>159.44</v>
      </c>
      <c r="J547">
        <v>513.04999999999995</v>
      </c>
      <c r="K547">
        <v>289.64999999999998</v>
      </c>
      <c r="L547">
        <v>-556</v>
      </c>
      <c r="M547">
        <v>-325</v>
      </c>
      <c r="N547">
        <v>124072</v>
      </c>
      <c r="O547" t="s">
        <v>1871</v>
      </c>
      <c r="P547" t="s">
        <v>1340</v>
      </c>
      <c r="Q547" t="s">
        <v>1872</v>
      </c>
    </row>
    <row r="548" spans="1:17">
      <c r="A548">
        <v>1269</v>
      </c>
      <c r="B548">
        <v>743</v>
      </c>
      <c r="C548">
        <v>1.93</v>
      </c>
      <c r="D548">
        <v>0.22409999999999999</v>
      </c>
      <c r="E548">
        <v>0.89829999999999999</v>
      </c>
      <c r="F548">
        <v>200.32</v>
      </c>
      <c r="G548">
        <v>0</v>
      </c>
      <c r="H548">
        <v>10.09</v>
      </c>
      <c r="I548">
        <v>229.51</v>
      </c>
      <c r="J548">
        <v>571.85</v>
      </c>
      <c r="K548">
        <v>317.14999999999998</v>
      </c>
      <c r="L548">
        <v>-642</v>
      </c>
      <c r="M548">
        <v>-296.8</v>
      </c>
      <c r="N548">
        <v>143077</v>
      </c>
      <c r="O548" t="s">
        <v>660</v>
      </c>
      <c r="P548" t="s">
        <v>2080</v>
      </c>
      <c r="Q548" t="s">
        <v>2081</v>
      </c>
    </row>
    <row r="549" spans="1:17">
      <c r="A549">
        <v>1270</v>
      </c>
      <c r="B549">
        <v>754</v>
      </c>
      <c r="C549">
        <v>1.79</v>
      </c>
      <c r="D549">
        <v>0.2135</v>
      </c>
      <c r="E549">
        <v>0.91339999999999999</v>
      </c>
      <c r="F549">
        <v>214.35</v>
      </c>
      <c r="G549">
        <v>0</v>
      </c>
      <c r="H549">
        <v>9.4</v>
      </c>
      <c r="I549">
        <v>245.02</v>
      </c>
      <c r="J549">
        <v>585.25</v>
      </c>
      <c r="K549">
        <v>315.01</v>
      </c>
      <c r="L549">
        <v>-660.2</v>
      </c>
      <c r="M549">
        <v>-284.5</v>
      </c>
      <c r="N549">
        <v>638539</v>
      </c>
      <c r="O549" t="s">
        <v>507</v>
      </c>
      <c r="P549" t="s">
        <v>1958</v>
      </c>
      <c r="Q549" t="s">
        <v>2119</v>
      </c>
    </row>
    <row r="550" spans="1:17">
      <c r="A550">
        <v>1271</v>
      </c>
      <c r="B550">
        <v>763</v>
      </c>
      <c r="C550">
        <v>1.64</v>
      </c>
      <c r="D550">
        <v>0.21929999999999999</v>
      </c>
      <c r="E550">
        <v>0.95350000000000001</v>
      </c>
      <c r="F550">
        <v>228.38</v>
      </c>
      <c r="G550">
        <v>0</v>
      </c>
      <c r="H550">
        <v>9.33</v>
      </c>
      <c r="I550">
        <v>265.67</v>
      </c>
      <c r="J550">
        <v>599.35</v>
      </c>
      <c r="K550">
        <v>327.55</v>
      </c>
      <c r="L550">
        <v>-693.8</v>
      </c>
      <c r="M550">
        <v>-278</v>
      </c>
      <c r="N550">
        <v>544638</v>
      </c>
      <c r="O550" t="s">
        <v>660</v>
      </c>
      <c r="P550" t="s">
        <v>2154</v>
      </c>
      <c r="Q550" t="s">
        <v>2155</v>
      </c>
    </row>
    <row r="551" spans="1:17">
      <c r="A551">
        <v>1272</v>
      </c>
      <c r="B551">
        <v>785</v>
      </c>
      <c r="C551">
        <v>1.49</v>
      </c>
      <c r="D551">
        <v>0.21460000000000001</v>
      </c>
      <c r="E551">
        <v>0.9919</v>
      </c>
      <c r="F551">
        <v>256.43</v>
      </c>
      <c r="G551">
        <v>0</v>
      </c>
      <c r="H551">
        <v>8.7799999999999994</v>
      </c>
      <c r="I551">
        <v>300.86</v>
      </c>
      <c r="J551">
        <v>624.15</v>
      </c>
      <c r="K551">
        <v>335.95</v>
      </c>
      <c r="L551">
        <v>-737</v>
      </c>
      <c r="M551">
        <v>-262</v>
      </c>
      <c r="N551">
        <v>57103</v>
      </c>
      <c r="O551" t="s">
        <v>660</v>
      </c>
      <c r="P551" t="s">
        <v>2254</v>
      </c>
      <c r="Q551" t="s">
        <v>2255</v>
      </c>
    </row>
    <row r="552" spans="1:17">
      <c r="A552">
        <v>1273</v>
      </c>
      <c r="B552">
        <v>647</v>
      </c>
      <c r="C552">
        <v>4.7</v>
      </c>
      <c r="D552">
        <v>0.2359</v>
      </c>
      <c r="E552">
        <v>0.57230000000000003</v>
      </c>
      <c r="F552">
        <v>86.09</v>
      </c>
      <c r="G552">
        <v>0</v>
      </c>
      <c r="H552">
        <v>12.62</v>
      </c>
      <c r="I552">
        <v>84.17</v>
      </c>
      <c r="J552">
        <v>445.05</v>
      </c>
      <c r="K552">
        <v>288.64999999999998</v>
      </c>
      <c r="L552">
        <v>-359</v>
      </c>
      <c r="M552">
        <v>-279</v>
      </c>
      <c r="N552">
        <v>503640</v>
      </c>
      <c r="O552" t="s">
        <v>787</v>
      </c>
      <c r="P552" t="s">
        <v>872</v>
      </c>
      <c r="Q552" t="s">
        <v>1606</v>
      </c>
    </row>
    <row r="553" spans="1:17">
      <c r="A553">
        <v>1274</v>
      </c>
      <c r="B553">
        <v>666</v>
      </c>
      <c r="C553">
        <v>4.7</v>
      </c>
      <c r="D553">
        <v>0.22919999999999999</v>
      </c>
      <c r="E553">
        <v>0.57079999999999997</v>
      </c>
      <c r="F553">
        <v>86.09</v>
      </c>
      <c r="G553">
        <v>0</v>
      </c>
      <c r="H553">
        <v>12.39</v>
      </c>
      <c r="I553">
        <v>88.42</v>
      </c>
      <c r="J553">
        <v>458.15</v>
      </c>
      <c r="K553">
        <v>344.55</v>
      </c>
      <c r="L553">
        <v>-368.7</v>
      </c>
      <c r="M553">
        <v>-290.3</v>
      </c>
      <c r="N553">
        <v>107937</v>
      </c>
      <c r="O553" t="s">
        <v>568</v>
      </c>
      <c r="P553" t="s">
        <v>872</v>
      </c>
      <c r="Q553" t="s">
        <v>1735</v>
      </c>
    </row>
    <row r="554" spans="1:17">
      <c r="A554">
        <v>1276</v>
      </c>
      <c r="B554">
        <v>803</v>
      </c>
      <c r="C554">
        <v>1.33</v>
      </c>
      <c r="D554">
        <v>0.20699999999999999</v>
      </c>
      <c r="E554">
        <v>1.04</v>
      </c>
      <c r="F554">
        <v>284.48</v>
      </c>
      <c r="G554">
        <v>0</v>
      </c>
      <c r="H554">
        <v>9.31</v>
      </c>
      <c r="I554">
        <v>336.53</v>
      </c>
      <c r="J554">
        <v>648.35</v>
      </c>
      <c r="K554">
        <v>342.75</v>
      </c>
      <c r="L554">
        <v>-495.8</v>
      </c>
      <c r="M554">
        <v>-244.4</v>
      </c>
      <c r="N554">
        <v>57114</v>
      </c>
      <c r="O554" t="s">
        <v>1953</v>
      </c>
      <c r="P554" t="s">
        <v>2483</v>
      </c>
      <c r="Q554" t="s">
        <v>2484</v>
      </c>
    </row>
    <row r="555" spans="1:17">
      <c r="A555">
        <v>1277</v>
      </c>
      <c r="B555">
        <v>615</v>
      </c>
      <c r="C555">
        <v>5.66</v>
      </c>
      <c r="D555">
        <v>0.21940000000000001</v>
      </c>
      <c r="E555">
        <v>0.5383</v>
      </c>
      <c r="F555">
        <v>72.06</v>
      </c>
      <c r="G555">
        <v>0</v>
      </c>
      <c r="H555">
        <v>9.01</v>
      </c>
      <c r="I555">
        <v>68.930000000000007</v>
      </c>
      <c r="J555">
        <v>414.15</v>
      </c>
      <c r="K555">
        <v>286.14999999999998</v>
      </c>
      <c r="L555">
        <v>-337.1</v>
      </c>
      <c r="M555">
        <v>-286.10000000000002</v>
      </c>
      <c r="N555">
        <v>79107</v>
      </c>
      <c r="O555" t="s">
        <v>1097</v>
      </c>
      <c r="P555" t="s">
        <v>362</v>
      </c>
      <c r="Q555" t="s">
        <v>1413</v>
      </c>
    </row>
    <row r="556" spans="1:17">
      <c r="A556">
        <v>1278</v>
      </c>
      <c r="B556">
        <v>643</v>
      </c>
      <c r="C556">
        <v>4.7</v>
      </c>
      <c r="D556">
        <v>0.2374</v>
      </c>
      <c r="E556">
        <v>0.33179999999999998</v>
      </c>
      <c r="F556">
        <v>86.09</v>
      </c>
      <c r="G556">
        <v>0</v>
      </c>
      <c r="H556">
        <v>10.27</v>
      </c>
      <c r="I556">
        <v>85.28</v>
      </c>
      <c r="J556">
        <v>433.65</v>
      </c>
      <c r="K556">
        <v>288.14999999999998</v>
      </c>
      <c r="L556">
        <v>-368</v>
      </c>
      <c r="M556">
        <v>-288</v>
      </c>
      <c r="N556">
        <v>79414</v>
      </c>
      <c r="O556" t="s">
        <v>2516</v>
      </c>
      <c r="P556" t="s">
        <v>872</v>
      </c>
      <c r="Q556" t="s">
        <v>2561</v>
      </c>
    </row>
    <row r="557" spans="1:17">
      <c r="A557">
        <v>1279</v>
      </c>
      <c r="B557">
        <v>781</v>
      </c>
      <c r="C557">
        <v>1.39</v>
      </c>
      <c r="D557">
        <v>0.21410000000000001</v>
      </c>
      <c r="E557">
        <v>1.1821999999999999</v>
      </c>
      <c r="F557">
        <v>282.47000000000003</v>
      </c>
      <c r="G557">
        <v>0</v>
      </c>
      <c r="H557">
        <v>9</v>
      </c>
      <c r="I557">
        <v>319.68</v>
      </c>
      <c r="J557">
        <v>633</v>
      </c>
      <c r="K557">
        <v>287.14999999999998</v>
      </c>
      <c r="L557">
        <v>-649.70000000000005</v>
      </c>
      <c r="M557">
        <v>-155.4</v>
      </c>
      <c r="N557">
        <v>112801</v>
      </c>
      <c r="O557" t="s">
        <v>787</v>
      </c>
      <c r="P557" t="s">
        <v>2236</v>
      </c>
      <c r="Q557" t="s">
        <v>2237</v>
      </c>
    </row>
    <row r="558" spans="1:17">
      <c r="A558">
        <v>1280</v>
      </c>
      <c r="B558">
        <v>775</v>
      </c>
      <c r="C558">
        <v>1.41</v>
      </c>
      <c r="D558">
        <v>0.21659999999999999</v>
      </c>
      <c r="E558">
        <v>1.1800999999999999</v>
      </c>
      <c r="F558">
        <v>280.45</v>
      </c>
      <c r="G558">
        <v>0</v>
      </c>
      <c r="H558">
        <v>9.1199999999999992</v>
      </c>
      <c r="I558">
        <v>311.87</v>
      </c>
      <c r="J558">
        <v>628</v>
      </c>
      <c r="K558">
        <v>268.14999999999998</v>
      </c>
      <c r="L558">
        <v>-539.9</v>
      </c>
      <c r="M558">
        <v>-93.96</v>
      </c>
      <c r="N558">
        <v>60333</v>
      </c>
      <c r="O558" t="s">
        <v>609</v>
      </c>
      <c r="P558" t="s">
        <v>2212</v>
      </c>
      <c r="Q558" t="s">
        <v>2213</v>
      </c>
    </row>
    <row r="559" spans="1:17">
      <c r="A559">
        <v>1281</v>
      </c>
      <c r="B559">
        <v>751</v>
      </c>
      <c r="C559">
        <v>4.47</v>
      </c>
      <c r="D559">
        <v>0.24629999999999999</v>
      </c>
      <c r="E559">
        <v>0.6028</v>
      </c>
      <c r="F559">
        <v>122.12</v>
      </c>
      <c r="G559">
        <v>0</v>
      </c>
      <c r="H559">
        <v>12.02</v>
      </c>
      <c r="I559">
        <v>112.44</v>
      </c>
      <c r="J559">
        <v>523.15</v>
      </c>
      <c r="K559">
        <v>395.55</v>
      </c>
      <c r="L559">
        <v>-290.2</v>
      </c>
      <c r="M559">
        <v>-214.2</v>
      </c>
      <c r="N559">
        <v>65850</v>
      </c>
      <c r="O559" t="s">
        <v>660</v>
      </c>
      <c r="P559" t="s">
        <v>2108</v>
      </c>
      <c r="Q559" t="s">
        <v>2109</v>
      </c>
    </row>
    <row r="560" spans="1:17">
      <c r="A560">
        <v>1282</v>
      </c>
      <c r="B560">
        <v>751</v>
      </c>
      <c r="C560">
        <v>3.86</v>
      </c>
      <c r="D560">
        <v>0.24540000000000001</v>
      </c>
      <c r="E560">
        <v>0.65720000000000001</v>
      </c>
      <c r="F560">
        <v>136.15</v>
      </c>
      <c r="G560">
        <v>0</v>
      </c>
      <c r="H560">
        <v>11.21</v>
      </c>
      <c r="I560">
        <v>126.89</v>
      </c>
      <c r="J560">
        <v>532</v>
      </c>
      <c r="K560">
        <v>376.85</v>
      </c>
      <c r="L560">
        <v>-322.8</v>
      </c>
      <c r="M560">
        <v>-213.35</v>
      </c>
      <c r="N560">
        <v>118901</v>
      </c>
      <c r="O560" t="s">
        <v>787</v>
      </c>
      <c r="P560" t="s">
        <v>1859</v>
      </c>
      <c r="Q560" t="s">
        <v>2110</v>
      </c>
    </row>
    <row r="561" spans="1:17">
      <c r="A561">
        <v>1283</v>
      </c>
      <c r="B561">
        <v>775</v>
      </c>
      <c r="C561">
        <v>3.8</v>
      </c>
      <c r="D561">
        <v>0.2384</v>
      </c>
      <c r="E561">
        <v>0.62909999999999999</v>
      </c>
      <c r="F561">
        <v>136.15</v>
      </c>
      <c r="G561">
        <v>0</v>
      </c>
      <c r="H561">
        <v>10.78</v>
      </c>
      <c r="I561">
        <v>129.82</v>
      </c>
      <c r="J561">
        <v>548.15</v>
      </c>
      <c r="K561">
        <v>452.75</v>
      </c>
      <c r="L561">
        <v>-322.8</v>
      </c>
      <c r="M561">
        <v>-213.35</v>
      </c>
      <c r="N561">
        <v>99945</v>
      </c>
      <c r="O561" t="s">
        <v>787</v>
      </c>
      <c r="P561" t="s">
        <v>1859</v>
      </c>
      <c r="Q561" t="s">
        <v>2214</v>
      </c>
    </row>
    <row r="562" spans="1:17">
      <c r="A562">
        <v>1284</v>
      </c>
      <c r="B562">
        <v>739</v>
      </c>
      <c r="C562">
        <v>5.18</v>
      </c>
      <c r="D562">
        <v>0.30690000000000001</v>
      </c>
      <c r="E562">
        <v>0.85119999999999996</v>
      </c>
      <c r="F562">
        <v>138.12</v>
      </c>
      <c r="G562">
        <v>0</v>
      </c>
      <c r="H562">
        <v>11.84</v>
      </c>
      <c r="I562">
        <v>119.59</v>
      </c>
      <c r="J562">
        <v>529</v>
      </c>
      <c r="K562">
        <v>431.75</v>
      </c>
      <c r="L562">
        <v>-494.8</v>
      </c>
      <c r="M562">
        <v>-395.4</v>
      </c>
      <c r="N562">
        <v>69727</v>
      </c>
      <c r="O562" t="s">
        <v>609</v>
      </c>
      <c r="P562" t="s">
        <v>2069</v>
      </c>
      <c r="Q562" t="s">
        <v>2070</v>
      </c>
    </row>
    <row r="563" spans="1:17">
      <c r="A563">
        <v>1285</v>
      </c>
      <c r="B563">
        <v>841</v>
      </c>
      <c r="C563">
        <v>3.7</v>
      </c>
      <c r="D563">
        <v>0.2099</v>
      </c>
      <c r="E563">
        <v>0.77780000000000005</v>
      </c>
      <c r="F563">
        <v>146.13999999999999</v>
      </c>
      <c r="G563">
        <v>0</v>
      </c>
      <c r="H563">
        <v>12.4</v>
      </c>
      <c r="I563">
        <v>133.94</v>
      </c>
      <c r="J563">
        <v>611</v>
      </c>
      <c r="K563">
        <v>426.15</v>
      </c>
      <c r="L563">
        <v>-865</v>
      </c>
      <c r="M563">
        <v>-682</v>
      </c>
      <c r="N563">
        <v>124049</v>
      </c>
      <c r="O563" t="s">
        <v>2384</v>
      </c>
      <c r="P563" t="s">
        <v>1499</v>
      </c>
      <c r="Q563" t="s">
        <v>2385</v>
      </c>
    </row>
    <row r="564" spans="1:17">
      <c r="A564">
        <v>1286</v>
      </c>
      <c r="B564">
        <v>773</v>
      </c>
      <c r="C564">
        <v>4.99</v>
      </c>
      <c r="D564">
        <v>0.2306</v>
      </c>
      <c r="E564">
        <v>0.99760000000000004</v>
      </c>
      <c r="F564">
        <v>116.07</v>
      </c>
      <c r="G564">
        <v>0</v>
      </c>
      <c r="H564">
        <v>14.91</v>
      </c>
      <c r="I564">
        <v>91.15</v>
      </c>
      <c r="J564">
        <v>411</v>
      </c>
      <c r="K564">
        <v>403.45</v>
      </c>
      <c r="L564">
        <v>-679.4</v>
      </c>
      <c r="M564">
        <v>-596</v>
      </c>
      <c r="N564">
        <v>110167</v>
      </c>
      <c r="O564" t="s">
        <v>609</v>
      </c>
      <c r="P564" t="s">
        <v>2195</v>
      </c>
      <c r="Q564" t="s">
        <v>2204</v>
      </c>
    </row>
    <row r="565" spans="1:17">
      <c r="A565">
        <v>1287</v>
      </c>
      <c r="B565">
        <v>800</v>
      </c>
      <c r="C565">
        <v>3.95</v>
      </c>
      <c r="D565">
        <v>0.1447</v>
      </c>
      <c r="E565">
        <v>1.0585</v>
      </c>
      <c r="F565">
        <v>166.13</v>
      </c>
      <c r="G565">
        <v>0</v>
      </c>
      <c r="H565">
        <v>11.91</v>
      </c>
      <c r="I565">
        <v>144.74</v>
      </c>
      <c r="J565">
        <v>1040</v>
      </c>
      <c r="K565">
        <v>464.15</v>
      </c>
      <c r="L565">
        <v>-782</v>
      </c>
      <c r="M565">
        <v>-542</v>
      </c>
      <c r="N565">
        <v>88993</v>
      </c>
      <c r="O565" t="s">
        <v>2288</v>
      </c>
      <c r="P565" t="s">
        <v>2289</v>
      </c>
      <c r="Q565" t="s">
        <v>2290</v>
      </c>
    </row>
    <row r="566" spans="1:17">
      <c r="A566">
        <v>1288</v>
      </c>
      <c r="B566">
        <v>1007</v>
      </c>
      <c r="C566">
        <v>3.95</v>
      </c>
      <c r="D566">
        <v>0.1447</v>
      </c>
      <c r="E566">
        <v>1.0612999999999999</v>
      </c>
      <c r="F566">
        <v>166.13</v>
      </c>
      <c r="G566">
        <v>0</v>
      </c>
      <c r="H566">
        <v>14.14</v>
      </c>
      <c r="I566">
        <v>124.48</v>
      </c>
      <c r="J566">
        <v>1040</v>
      </c>
      <c r="K566">
        <v>619.15</v>
      </c>
      <c r="L566">
        <v>-696.3</v>
      </c>
      <c r="M566">
        <v>-575</v>
      </c>
      <c r="N566">
        <v>121915</v>
      </c>
      <c r="O566" t="s">
        <v>1799</v>
      </c>
      <c r="P566" t="s">
        <v>2289</v>
      </c>
      <c r="Q566" t="s">
        <v>2466</v>
      </c>
    </row>
    <row r="567" spans="1:17">
      <c r="A567">
        <v>1289</v>
      </c>
      <c r="B567">
        <v>883.6</v>
      </c>
      <c r="C567">
        <v>3.4860000000000002</v>
      </c>
      <c r="D567">
        <v>0.1447</v>
      </c>
      <c r="E567">
        <v>0.94689999999999996</v>
      </c>
      <c r="F567">
        <v>166.13</v>
      </c>
      <c r="G567">
        <v>0</v>
      </c>
      <c r="H567">
        <v>-86</v>
      </c>
      <c r="I567">
        <v>117.02</v>
      </c>
      <c r="J567">
        <v>1040</v>
      </c>
      <c r="K567">
        <v>700.15</v>
      </c>
      <c r="L567">
        <v>-717.9</v>
      </c>
      <c r="M567">
        <v>-599</v>
      </c>
      <c r="N567">
        <v>100210</v>
      </c>
      <c r="O567" t="s">
        <v>1799</v>
      </c>
      <c r="P567" t="s">
        <v>2289</v>
      </c>
      <c r="Q567" t="s">
        <v>2431</v>
      </c>
    </row>
    <row r="568" spans="1:17">
      <c r="A568">
        <v>1290</v>
      </c>
      <c r="B568">
        <v>552</v>
      </c>
      <c r="C568">
        <v>6.4039999999999999</v>
      </c>
      <c r="D568">
        <v>0.27629999999999999</v>
      </c>
      <c r="E568">
        <v>0.75229999999999997</v>
      </c>
      <c r="F568">
        <v>76.05</v>
      </c>
      <c r="G568">
        <v>0</v>
      </c>
      <c r="H568">
        <v>12.92</v>
      </c>
      <c r="I568">
        <v>62.73</v>
      </c>
      <c r="J568">
        <v>383</v>
      </c>
      <c r="K568">
        <v>272.95</v>
      </c>
      <c r="L568">
        <v>-339</v>
      </c>
      <c r="M568">
        <v>-262</v>
      </c>
      <c r="N568">
        <v>79210</v>
      </c>
      <c r="O568" t="s">
        <v>2516</v>
      </c>
      <c r="P568" t="s">
        <v>1428</v>
      </c>
      <c r="Q568" t="s">
        <v>2562</v>
      </c>
    </row>
    <row r="569" spans="1:17">
      <c r="A569">
        <v>1291</v>
      </c>
      <c r="B569">
        <v>606</v>
      </c>
      <c r="C569">
        <v>4</v>
      </c>
      <c r="D569">
        <v>0.26229999999999998</v>
      </c>
      <c r="E569">
        <v>0.45529999999999998</v>
      </c>
      <c r="F569">
        <v>102.09</v>
      </c>
      <c r="G569">
        <v>0</v>
      </c>
      <c r="H569">
        <v>10.76</v>
      </c>
      <c r="I569">
        <v>94.96</v>
      </c>
      <c r="J569">
        <v>413.15</v>
      </c>
      <c r="K569">
        <v>200.15</v>
      </c>
      <c r="L569">
        <v>-573.5</v>
      </c>
      <c r="M569">
        <v>-476.7</v>
      </c>
      <c r="N569">
        <v>108247</v>
      </c>
      <c r="O569" t="s">
        <v>1366</v>
      </c>
      <c r="P569" t="s">
        <v>1367</v>
      </c>
      <c r="Q569" t="s">
        <v>1368</v>
      </c>
    </row>
    <row r="570" spans="1:17">
      <c r="A570">
        <v>1292</v>
      </c>
      <c r="B570">
        <v>623</v>
      </c>
      <c r="C570">
        <v>3.27</v>
      </c>
      <c r="D570">
        <v>0.25</v>
      </c>
      <c r="E570">
        <v>0.55989999999999995</v>
      </c>
      <c r="F570">
        <v>130.13999999999999</v>
      </c>
      <c r="G570">
        <v>0</v>
      </c>
      <c r="H570">
        <v>9.56</v>
      </c>
      <c r="I570">
        <v>129.41</v>
      </c>
      <c r="J570">
        <v>442.04</v>
      </c>
      <c r="K570">
        <v>228.15</v>
      </c>
      <c r="L570">
        <v>-626.5</v>
      </c>
      <c r="M570">
        <v>-470</v>
      </c>
      <c r="N570">
        <v>123626</v>
      </c>
      <c r="O570" t="s">
        <v>368</v>
      </c>
      <c r="P570" t="s">
        <v>1477</v>
      </c>
      <c r="Q570" t="s">
        <v>1478</v>
      </c>
    </row>
    <row r="571" spans="1:17">
      <c r="A571">
        <v>1293</v>
      </c>
      <c r="B571">
        <v>644</v>
      </c>
      <c r="C571">
        <v>2.64</v>
      </c>
      <c r="D571">
        <v>0.247</v>
      </c>
      <c r="E571">
        <v>0.65449999999999997</v>
      </c>
      <c r="F571">
        <v>158.19999999999999</v>
      </c>
      <c r="G571">
        <v>0</v>
      </c>
      <c r="H571">
        <v>8.99</v>
      </c>
      <c r="I571">
        <v>164.44</v>
      </c>
      <c r="J571">
        <v>470.93</v>
      </c>
      <c r="K571">
        <v>207.45</v>
      </c>
      <c r="L571">
        <v>-658</v>
      </c>
      <c r="M571">
        <v>-447</v>
      </c>
      <c r="N571">
        <v>106310</v>
      </c>
      <c r="O571" t="s">
        <v>2516</v>
      </c>
      <c r="P571" t="s">
        <v>2563</v>
      </c>
      <c r="Q571" t="s">
        <v>2564</v>
      </c>
    </row>
    <row r="572" spans="1:17">
      <c r="A572">
        <v>1295</v>
      </c>
      <c r="B572">
        <v>811</v>
      </c>
      <c r="C572">
        <v>6.73</v>
      </c>
      <c r="D572">
        <v>0.22259999999999999</v>
      </c>
      <c r="E572">
        <v>0.53220000000000001</v>
      </c>
      <c r="F572">
        <v>100.07</v>
      </c>
      <c r="G572">
        <v>0</v>
      </c>
      <c r="H572">
        <v>14.56</v>
      </c>
      <c r="I572">
        <v>64.55</v>
      </c>
      <c r="J572">
        <v>534</v>
      </c>
      <c r="K572">
        <v>392</v>
      </c>
      <c r="L572">
        <v>-507</v>
      </c>
      <c r="M572">
        <v>-448</v>
      </c>
      <c r="N572">
        <v>108305</v>
      </c>
      <c r="O572" t="s">
        <v>545</v>
      </c>
      <c r="P572" t="s">
        <v>2309</v>
      </c>
      <c r="Q572" t="s">
        <v>2310</v>
      </c>
    </row>
    <row r="573" spans="1:17">
      <c r="A573">
        <v>1296</v>
      </c>
      <c r="B573">
        <v>838</v>
      </c>
      <c r="C573">
        <v>5.8</v>
      </c>
      <c r="D573">
        <v>0.22889999999999999</v>
      </c>
      <c r="E573">
        <v>0.53720000000000001</v>
      </c>
      <c r="F573">
        <v>114.1</v>
      </c>
      <c r="G573">
        <v>0</v>
      </c>
      <c r="H573">
        <v>13.1</v>
      </c>
      <c r="I573">
        <v>91.75</v>
      </c>
      <c r="J573">
        <v>560.15</v>
      </c>
      <c r="K573">
        <v>328</v>
      </c>
      <c r="L573">
        <v>-349</v>
      </c>
      <c r="M573">
        <v>-237</v>
      </c>
      <c r="N573">
        <v>108554</v>
      </c>
      <c r="O573" t="s">
        <v>568</v>
      </c>
      <c r="P573" t="s">
        <v>2377</v>
      </c>
      <c r="Q573" t="s">
        <v>2378</v>
      </c>
    </row>
    <row r="574" spans="1:17">
      <c r="A574">
        <v>1297</v>
      </c>
      <c r="B574">
        <v>791</v>
      </c>
      <c r="C574">
        <v>4.72</v>
      </c>
      <c r="D574">
        <v>0.30209999999999998</v>
      </c>
      <c r="E574">
        <v>0.70250000000000001</v>
      </c>
      <c r="F574">
        <v>148.12</v>
      </c>
      <c r="G574">
        <v>0</v>
      </c>
      <c r="H574">
        <v>10.64</v>
      </c>
      <c r="I574">
        <v>121.63</v>
      </c>
      <c r="J574">
        <v>557.65</v>
      </c>
      <c r="K574">
        <v>400.93</v>
      </c>
      <c r="L574">
        <v>-393</v>
      </c>
      <c r="M574">
        <v>-307</v>
      </c>
      <c r="N574">
        <v>85449</v>
      </c>
      <c r="O574" t="s">
        <v>2516</v>
      </c>
      <c r="P574" t="s">
        <v>2565</v>
      </c>
      <c r="Q574" t="s">
        <v>2566</v>
      </c>
    </row>
    <row r="575" spans="1:17">
      <c r="A575">
        <v>1298</v>
      </c>
      <c r="B575">
        <v>721</v>
      </c>
      <c r="C575">
        <v>7.28</v>
      </c>
      <c r="D575">
        <v>0.26600000000000001</v>
      </c>
      <c r="E575">
        <v>0.54630000000000001</v>
      </c>
      <c r="F575">
        <v>98.06</v>
      </c>
      <c r="G575">
        <v>0</v>
      </c>
      <c r="H575">
        <v>12.65</v>
      </c>
      <c r="I575">
        <v>74.12</v>
      </c>
      <c r="J575">
        <v>473.15</v>
      </c>
      <c r="K575">
        <v>325.93</v>
      </c>
      <c r="L575">
        <v>-416.7</v>
      </c>
      <c r="M575">
        <v>-355</v>
      </c>
      <c r="N575">
        <v>108316</v>
      </c>
      <c r="O575" t="s">
        <v>2516</v>
      </c>
      <c r="P575" t="s">
        <v>2567</v>
      </c>
      <c r="Q575" t="s">
        <v>2568</v>
      </c>
    </row>
    <row r="576" spans="1:17">
      <c r="A576">
        <v>1299</v>
      </c>
      <c r="B576">
        <v>890</v>
      </c>
      <c r="C576">
        <v>4.08</v>
      </c>
      <c r="D576">
        <v>0.25469999999999998</v>
      </c>
      <c r="E576">
        <v>0.997</v>
      </c>
      <c r="F576">
        <v>192.13</v>
      </c>
      <c r="G576">
        <v>0</v>
      </c>
      <c r="H576">
        <v>11.65</v>
      </c>
      <c r="I576">
        <v>141.15</v>
      </c>
      <c r="J576">
        <v>663</v>
      </c>
      <c r="K576">
        <v>441.18</v>
      </c>
      <c r="L576">
        <v>-778</v>
      </c>
      <c r="M576">
        <v>-636</v>
      </c>
      <c r="N576">
        <v>552307</v>
      </c>
      <c r="O576" t="s">
        <v>2516</v>
      </c>
      <c r="P576" t="s">
        <v>2569</v>
      </c>
      <c r="Q576" t="s">
        <v>2570</v>
      </c>
    </row>
    <row r="577" spans="1:17">
      <c r="A577">
        <v>1301</v>
      </c>
      <c r="B577">
        <v>487.2</v>
      </c>
      <c r="C577">
        <v>6</v>
      </c>
      <c r="D577">
        <v>0.25480000000000003</v>
      </c>
      <c r="E577">
        <v>0.25559999999999999</v>
      </c>
      <c r="F577">
        <v>60.05</v>
      </c>
      <c r="G577">
        <v>0</v>
      </c>
      <c r="H577">
        <v>10.02</v>
      </c>
      <c r="I577">
        <v>62.1</v>
      </c>
      <c r="J577">
        <v>304.85000000000002</v>
      </c>
      <c r="K577">
        <v>183.15</v>
      </c>
      <c r="L577">
        <v>-352.4</v>
      </c>
      <c r="M577">
        <v>-295</v>
      </c>
      <c r="N577">
        <v>107313</v>
      </c>
      <c r="O577" t="s">
        <v>423</v>
      </c>
      <c r="P577" t="s">
        <v>124</v>
      </c>
      <c r="Q577" t="s">
        <v>2814</v>
      </c>
    </row>
    <row r="578" spans="1:17">
      <c r="A578">
        <v>1302</v>
      </c>
      <c r="B578">
        <v>508.4</v>
      </c>
      <c r="C578">
        <v>4.74</v>
      </c>
      <c r="D578">
        <v>0.25679999999999997</v>
      </c>
      <c r="E578">
        <v>0.28470000000000001</v>
      </c>
      <c r="F578">
        <v>74.08</v>
      </c>
      <c r="G578">
        <v>0</v>
      </c>
      <c r="H578">
        <v>9.32</v>
      </c>
      <c r="I578">
        <v>80.91</v>
      </c>
      <c r="J578">
        <v>327.45999999999998</v>
      </c>
      <c r="K578">
        <v>193.55</v>
      </c>
      <c r="L578">
        <v>-371.3</v>
      </c>
      <c r="M578">
        <v>-303.10000000000002</v>
      </c>
      <c r="N578">
        <v>109944</v>
      </c>
      <c r="O578" t="s">
        <v>423</v>
      </c>
      <c r="P578" t="s">
        <v>807</v>
      </c>
      <c r="Q578" t="s">
        <v>830</v>
      </c>
    </row>
    <row r="579" spans="1:17">
      <c r="A579">
        <v>1303</v>
      </c>
      <c r="B579">
        <v>538</v>
      </c>
      <c r="C579">
        <v>4.0199999999999996</v>
      </c>
      <c r="D579">
        <v>0.25869999999999999</v>
      </c>
      <c r="E579">
        <v>0.30880000000000002</v>
      </c>
      <c r="F579">
        <v>88.11</v>
      </c>
      <c r="G579">
        <v>0</v>
      </c>
      <c r="H579">
        <v>9.0299999999999994</v>
      </c>
      <c r="I579">
        <v>97.94</v>
      </c>
      <c r="J579">
        <v>353.97</v>
      </c>
      <c r="K579">
        <v>180.25</v>
      </c>
      <c r="L579">
        <v>-404</v>
      </c>
      <c r="M579">
        <v>-293.60000000000002</v>
      </c>
      <c r="N579">
        <v>110747</v>
      </c>
      <c r="O579" t="s">
        <v>423</v>
      </c>
      <c r="P579" t="s">
        <v>887</v>
      </c>
      <c r="Q579" t="s">
        <v>956</v>
      </c>
    </row>
    <row r="580" spans="1:17">
      <c r="A580">
        <v>1304</v>
      </c>
      <c r="B580">
        <v>559</v>
      </c>
      <c r="C580">
        <v>3.51</v>
      </c>
      <c r="D580">
        <v>0.25380000000000003</v>
      </c>
      <c r="E580">
        <v>0.38779999999999998</v>
      </c>
      <c r="F580">
        <v>102.13</v>
      </c>
      <c r="G580">
        <v>0</v>
      </c>
      <c r="H580">
        <v>8.91</v>
      </c>
      <c r="I580">
        <v>115.16</v>
      </c>
      <c r="J580">
        <v>379.75</v>
      </c>
      <c r="K580">
        <v>183.15</v>
      </c>
      <c r="L580">
        <v>-425</v>
      </c>
      <c r="M580">
        <v>-284.39999999999998</v>
      </c>
      <c r="N580">
        <v>592847</v>
      </c>
      <c r="O580" t="s">
        <v>1078</v>
      </c>
      <c r="P580" t="s">
        <v>369</v>
      </c>
      <c r="Q580" t="s">
        <v>1079</v>
      </c>
    </row>
    <row r="581" spans="1:17">
      <c r="A581">
        <v>1305</v>
      </c>
      <c r="B581">
        <v>551.35</v>
      </c>
      <c r="C581">
        <v>3.8809999999999998</v>
      </c>
      <c r="D581">
        <v>0.29809999999999998</v>
      </c>
      <c r="E581">
        <v>0.3896</v>
      </c>
      <c r="F581">
        <v>102.13</v>
      </c>
      <c r="G581">
        <v>0</v>
      </c>
      <c r="H581">
        <v>8.7100000000000009</v>
      </c>
      <c r="I581">
        <v>116.76</v>
      </c>
      <c r="J581">
        <v>371.22</v>
      </c>
      <c r="K581">
        <v>177.35</v>
      </c>
      <c r="L581">
        <v>-436.3</v>
      </c>
      <c r="M581">
        <v>-293.2</v>
      </c>
      <c r="N581">
        <v>542552</v>
      </c>
      <c r="O581" t="s">
        <v>1032</v>
      </c>
      <c r="P581" t="s">
        <v>369</v>
      </c>
      <c r="Q581" t="s">
        <v>1033</v>
      </c>
    </row>
    <row r="582" spans="1:17">
      <c r="A582">
        <v>1306</v>
      </c>
      <c r="B582">
        <v>576</v>
      </c>
      <c r="C582">
        <v>3.125</v>
      </c>
      <c r="D582">
        <v>0.28100000000000003</v>
      </c>
      <c r="E582">
        <v>0.51549999999999996</v>
      </c>
      <c r="F582">
        <v>116.16</v>
      </c>
      <c r="G582">
        <v>0</v>
      </c>
      <c r="H582">
        <v>8.7899999999999991</v>
      </c>
      <c r="I582">
        <v>131.81</v>
      </c>
      <c r="J582">
        <v>405.45</v>
      </c>
      <c r="K582">
        <v>199.65</v>
      </c>
      <c r="L582">
        <v>-448.2</v>
      </c>
      <c r="M582">
        <v>-276.60000000000002</v>
      </c>
      <c r="N582">
        <v>638493</v>
      </c>
      <c r="O582" t="s">
        <v>2496</v>
      </c>
      <c r="P582" t="s">
        <v>996</v>
      </c>
      <c r="Q582" t="s">
        <v>2497</v>
      </c>
    </row>
    <row r="583" spans="1:17">
      <c r="A583">
        <v>1308</v>
      </c>
      <c r="B583">
        <v>645</v>
      </c>
      <c r="C583">
        <v>2.33</v>
      </c>
      <c r="D583">
        <v>0.2301</v>
      </c>
      <c r="E583">
        <v>0.58709999999999996</v>
      </c>
      <c r="F583">
        <v>158.24</v>
      </c>
      <c r="G583">
        <v>0</v>
      </c>
      <c r="H583">
        <v>8.3800000000000008</v>
      </c>
      <c r="I583">
        <v>181.86</v>
      </c>
      <c r="J583">
        <v>471.95</v>
      </c>
      <c r="K583">
        <v>234.05</v>
      </c>
      <c r="L583">
        <v>-510.6</v>
      </c>
      <c r="M583">
        <v>-252.1</v>
      </c>
      <c r="N583">
        <v>112323</v>
      </c>
      <c r="O583" t="s">
        <v>721</v>
      </c>
      <c r="P583" t="s">
        <v>1508</v>
      </c>
      <c r="Q583" t="s">
        <v>1588</v>
      </c>
    </row>
    <row r="584" spans="1:17">
      <c r="A584">
        <v>1309</v>
      </c>
      <c r="B584">
        <v>656</v>
      </c>
      <c r="C584">
        <v>2.14</v>
      </c>
      <c r="D584">
        <v>0.2364</v>
      </c>
      <c r="E584">
        <v>0.65039999999999998</v>
      </c>
      <c r="F584">
        <v>172.27</v>
      </c>
      <c r="G584">
        <v>0</v>
      </c>
      <c r="H584">
        <v>8.1300000000000008</v>
      </c>
      <c r="I584">
        <v>199.62</v>
      </c>
      <c r="J584">
        <v>487</v>
      </c>
      <c r="K584">
        <v>241.15</v>
      </c>
      <c r="L584">
        <v>-531.29999999999995</v>
      </c>
      <c r="M584">
        <v>-243.8</v>
      </c>
      <c r="N584">
        <v>5451923</v>
      </c>
      <c r="O584" t="s">
        <v>566</v>
      </c>
      <c r="P584" t="s">
        <v>1539</v>
      </c>
      <c r="Q584" t="s">
        <v>1674</v>
      </c>
    </row>
    <row r="585" spans="1:17">
      <c r="A585">
        <v>1310</v>
      </c>
      <c r="B585">
        <v>672</v>
      </c>
      <c r="C585">
        <v>1.99</v>
      </c>
      <c r="D585">
        <v>0.23019999999999999</v>
      </c>
      <c r="E585">
        <v>0.71179999999999999</v>
      </c>
      <c r="F585">
        <v>186.29</v>
      </c>
      <c r="G585">
        <v>0</v>
      </c>
      <c r="H585">
        <v>8.1300000000000008</v>
      </c>
      <c r="I585">
        <v>214.29</v>
      </c>
      <c r="J585">
        <v>506</v>
      </c>
      <c r="K585">
        <v>254.15</v>
      </c>
      <c r="L585">
        <v>-552</v>
      </c>
      <c r="M585">
        <v>-235.6</v>
      </c>
      <c r="N585">
        <v>5451525</v>
      </c>
      <c r="O585" t="s">
        <v>566</v>
      </c>
      <c r="P585" t="s">
        <v>1712</v>
      </c>
      <c r="Q585" t="s">
        <v>1758</v>
      </c>
    </row>
    <row r="586" spans="1:17">
      <c r="A586">
        <v>1311</v>
      </c>
      <c r="B586">
        <v>498</v>
      </c>
      <c r="C586">
        <v>5.0199999999999996</v>
      </c>
      <c r="D586">
        <v>0.26340000000000002</v>
      </c>
      <c r="E586">
        <v>0.28489999999999999</v>
      </c>
      <c r="F586">
        <v>72.06</v>
      </c>
      <c r="G586">
        <v>0</v>
      </c>
      <c r="H586">
        <v>9.56</v>
      </c>
      <c r="I586">
        <v>75.55</v>
      </c>
      <c r="J586">
        <v>320</v>
      </c>
      <c r="K586">
        <v>-86</v>
      </c>
      <c r="L586">
        <v>-271</v>
      </c>
      <c r="M586">
        <v>-219</v>
      </c>
      <c r="N586">
        <v>692455</v>
      </c>
      <c r="O586" t="s">
        <v>773</v>
      </c>
      <c r="P586" t="s">
        <v>362</v>
      </c>
      <c r="Q586" t="s">
        <v>774</v>
      </c>
    </row>
    <row r="587" spans="1:17">
      <c r="A587">
        <v>1312</v>
      </c>
      <c r="B587">
        <v>506.55</v>
      </c>
      <c r="C587">
        <v>4.75</v>
      </c>
      <c r="D587">
        <v>0.25380000000000003</v>
      </c>
      <c r="E587">
        <v>0.33129999999999998</v>
      </c>
      <c r="F587">
        <v>74.08</v>
      </c>
      <c r="G587">
        <v>0</v>
      </c>
      <c r="H587">
        <v>9.4600000000000009</v>
      </c>
      <c r="I587">
        <v>79.819999999999993</v>
      </c>
      <c r="J587">
        <v>330.09</v>
      </c>
      <c r="K587">
        <v>175.15</v>
      </c>
      <c r="L587">
        <v>-408.8</v>
      </c>
      <c r="M587">
        <v>-324.2</v>
      </c>
      <c r="N587">
        <v>79209</v>
      </c>
      <c r="O587" t="s">
        <v>423</v>
      </c>
      <c r="P587" t="s">
        <v>807</v>
      </c>
      <c r="Q587" t="s">
        <v>808</v>
      </c>
    </row>
    <row r="588" spans="1:17">
      <c r="A588">
        <v>1313</v>
      </c>
      <c r="B588">
        <v>523.29999999999995</v>
      </c>
      <c r="C588">
        <v>3.88</v>
      </c>
      <c r="D588">
        <v>0.25509999999999999</v>
      </c>
      <c r="E588">
        <v>0.3664</v>
      </c>
      <c r="F588">
        <v>88.11</v>
      </c>
      <c r="G588">
        <v>0</v>
      </c>
      <c r="H588">
        <v>8.9700000000000006</v>
      </c>
      <c r="I588">
        <v>98.59</v>
      </c>
      <c r="J588">
        <v>350.21</v>
      </c>
      <c r="K588">
        <v>189.6</v>
      </c>
      <c r="L588">
        <v>-444.5</v>
      </c>
      <c r="M588">
        <v>-328.1</v>
      </c>
      <c r="N588">
        <v>141786</v>
      </c>
      <c r="O588" t="s">
        <v>580</v>
      </c>
      <c r="P588" t="s">
        <v>887</v>
      </c>
      <c r="Q588" t="s">
        <v>888</v>
      </c>
    </row>
    <row r="589" spans="1:17">
      <c r="A589">
        <v>1314</v>
      </c>
      <c r="B589">
        <v>549.73</v>
      </c>
      <c r="C589">
        <v>3.36</v>
      </c>
      <c r="D589">
        <v>0.25380000000000003</v>
      </c>
      <c r="E589">
        <v>0.38890000000000002</v>
      </c>
      <c r="F589">
        <v>102.13</v>
      </c>
      <c r="G589">
        <v>0</v>
      </c>
      <c r="H589">
        <v>8.75</v>
      </c>
      <c r="I589">
        <v>115.76</v>
      </c>
      <c r="J589">
        <v>374.7</v>
      </c>
      <c r="K589">
        <v>180.65</v>
      </c>
      <c r="L589">
        <v>-464</v>
      </c>
      <c r="M589">
        <v>-320.39999999999998</v>
      </c>
      <c r="N589">
        <v>109604</v>
      </c>
      <c r="O589" t="s">
        <v>638</v>
      </c>
      <c r="P589" t="s">
        <v>369</v>
      </c>
      <c r="Q589" t="s">
        <v>1019</v>
      </c>
    </row>
    <row r="590" spans="1:17">
      <c r="A590">
        <v>1315</v>
      </c>
      <c r="B590">
        <v>575.4</v>
      </c>
      <c r="C590">
        <v>3.09</v>
      </c>
      <c r="D590">
        <v>0.26329999999999998</v>
      </c>
      <c r="E590">
        <v>0.43940000000000001</v>
      </c>
      <c r="F590">
        <v>116.16</v>
      </c>
      <c r="G590">
        <v>0</v>
      </c>
      <c r="H590">
        <v>8.6</v>
      </c>
      <c r="I590">
        <v>132.59</v>
      </c>
      <c r="J590">
        <v>398.75</v>
      </c>
      <c r="K590">
        <v>199.65</v>
      </c>
      <c r="L590">
        <v>-485.6</v>
      </c>
      <c r="M590">
        <v>-312.3</v>
      </c>
      <c r="N590">
        <v>123864</v>
      </c>
      <c r="O590" t="s">
        <v>1202</v>
      </c>
      <c r="P590" t="s">
        <v>996</v>
      </c>
      <c r="Q590" t="s">
        <v>1203</v>
      </c>
    </row>
    <row r="591" spans="1:17">
      <c r="A591">
        <v>1316</v>
      </c>
      <c r="B591">
        <v>560.79999999999995</v>
      </c>
      <c r="C591">
        <v>3.01</v>
      </c>
      <c r="D591">
        <v>0.27860000000000001</v>
      </c>
      <c r="E591">
        <v>0.434</v>
      </c>
      <c r="F591">
        <v>116.16</v>
      </c>
      <c r="G591">
        <v>0</v>
      </c>
      <c r="H591">
        <v>8.33</v>
      </c>
      <c r="I591">
        <v>133.81</v>
      </c>
      <c r="J591">
        <v>390.25</v>
      </c>
      <c r="K591">
        <v>174.3</v>
      </c>
      <c r="L591">
        <v>-493</v>
      </c>
      <c r="M591">
        <v>-322.2</v>
      </c>
      <c r="N591">
        <v>110190</v>
      </c>
      <c r="O591" t="s">
        <v>1094</v>
      </c>
      <c r="P591" t="s">
        <v>996</v>
      </c>
      <c r="Q591" t="s">
        <v>1095</v>
      </c>
    </row>
    <row r="592" spans="1:17">
      <c r="A592">
        <v>1317</v>
      </c>
      <c r="B592">
        <v>586.1</v>
      </c>
      <c r="C592">
        <v>2.76</v>
      </c>
      <c r="D592">
        <v>0.25209999999999999</v>
      </c>
      <c r="E592">
        <v>0.48859999999999998</v>
      </c>
      <c r="F592">
        <v>130.19</v>
      </c>
      <c r="G592">
        <v>0</v>
      </c>
      <c r="H592">
        <v>8.2799999999999994</v>
      </c>
      <c r="I592">
        <v>150.22999999999999</v>
      </c>
      <c r="J592">
        <v>415.25</v>
      </c>
      <c r="K592">
        <v>194.65</v>
      </c>
      <c r="L592">
        <v>-511.9</v>
      </c>
      <c r="M592">
        <v>-308.3</v>
      </c>
      <c r="N592">
        <v>123922</v>
      </c>
      <c r="O592" t="s">
        <v>1339</v>
      </c>
      <c r="P592" t="s">
        <v>1226</v>
      </c>
      <c r="Q592" t="s">
        <v>2490</v>
      </c>
    </row>
    <row r="593" spans="1:17">
      <c r="A593">
        <v>1318</v>
      </c>
      <c r="B593">
        <v>559</v>
      </c>
      <c r="C593">
        <v>3.68</v>
      </c>
      <c r="D593">
        <v>0.25569999999999998</v>
      </c>
      <c r="E593">
        <v>0.38790000000000002</v>
      </c>
      <c r="F593">
        <v>100.12</v>
      </c>
      <c r="G593">
        <v>0</v>
      </c>
      <c r="H593">
        <v>8.77</v>
      </c>
      <c r="I593">
        <v>108.54</v>
      </c>
      <c r="J593">
        <v>377.15</v>
      </c>
      <c r="K593">
        <v>138</v>
      </c>
      <c r="L593">
        <v>-334</v>
      </c>
      <c r="M593">
        <v>-229</v>
      </c>
      <c r="N593">
        <v>591877</v>
      </c>
      <c r="O593" t="s">
        <v>757</v>
      </c>
      <c r="P593" t="s">
        <v>1004</v>
      </c>
      <c r="Q593" t="s">
        <v>1080</v>
      </c>
    </row>
    <row r="594" spans="1:17">
      <c r="A594">
        <v>1319</v>
      </c>
      <c r="B594">
        <v>532</v>
      </c>
      <c r="C594">
        <v>3.29</v>
      </c>
      <c r="D594">
        <v>0.28010000000000002</v>
      </c>
      <c r="E594">
        <v>0.36780000000000002</v>
      </c>
      <c r="F594">
        <v>102.13</v>
      </c>
      <c r="G594">
        <v>0</v>
      </c>
      <c r="H594">
        <v>8.39</v>
      </c>
      <c r="I594">
        <v>117.58</v>
      </c>
      <c r="J594">
        <v>361.65</v>
      </c>
      <c r="K594">
        <v>199.75</v>
      </c>
      <c r="L594">
        <v>-481.7</v>
      </c>
      <c r="M594">
        <v>-333.7</v>
      </c>
      <c r="N594">
        <v>108214</v>
      </c>
      <c r="O594" t="s">
        <v>917</v>
      </c>
      <c r="P594" t="s">
        <v>369</v>
      </c>
      <c r="Q594" t="s">
        <v>918</v>
      </c>
    </row>
    <row r="595" spans="1:17">
      <c r="A595">
        <v>1320</v>
      </c>
      <c r="B595">
        <v>561</v>
      </c>
      <c r="C595">
        <v>3.17</v>
      </c>
      <c r="D595">
        <v>0.26440000000000002</v>
      </c>
      <c r="E595">
        <v>0.39539999999999997</v>
      </c>
      <c r="F595">
        <v>116.16</v>
      </c>
      <c r="G595">
        <v>0</v>
      </c>
      <c r="H595">
        <v>8.1999999999999993</v>
      </c>
      <c r="I595">
        <v>134.07</v>
      </c>
      <c r="J595">
        <v>385.15</v>
      </c>
      <c r="K595">
        <v>174.15</v>
      </c>
      <c r="L595">
        <v>-503.8</v>
      </c>
      <c r="M595">
        <v>-329.7</v>
      </c>
      <c r="N595">
        <v>105464</v>
      </c>
      <c r="O595" t="s">
        <v>1100</v>
      </c>
      <c r="P595" t="s">
        <v>996</v>
      </c>
      <c r="Q595" t="s">
        <v>1101</v>
      </c>
    </row>
    <row r="596" spans="1:17">
      <c r="A596">
        <v>1321</v>
      </c>
      <c r="B596">
        <v>519.13</v>
      </c>
      <c r="C596">
        <v>3.9580000000000002</v>
      </c>
      <c r="D596">
        <v>0.26479999999999998</v>
      </c>
      <c r="E596">
        <v>0.3513</v>
      </c>
      <c r="F596">
        <v>86.09</v>
      </c>
      <c r="G596">
        <v>0</v>
      </c>
      <c r="H596">
        <v>9.09</v>
      </c>
      <c r="I596">
        <v>92.95</v>
      </c>
      <c r="J596">
        <v>345.65</v>
      </c>
      <c r="K596">
        <v>180.35</v>
      </c>
      <c r="L596">
        <v>-315.7</v>
      </c>
      <c r="M596">
        <v>-228.7</v>
      </c>
      <c r="N596">
        <v>108054</v>
      </c>
      <c r="O596" t="s">
        <v>871</v>
      </c>
      <c r="P596" t="s">
        <v>872</v>
      </c>
      <c r="Q596" t="s">
        <v>873</v>
      </c>
    </row>
    <row r="597" spans="1:17">
      <c r="A597">
        <v>1322</v>
      </c>
      <c r="B597">
        <v>530.6</v>
      </c>
      <c r="C597">
        <v>4.0039999999999996</v>
      </c>
      <c r="D597">
        <v>0.25590000000000002</v>
      </c>
      <c r="E597">
        <v>0.34660000000000002</v>
      </c>
      <c r="F597">
        <v>88.11</v>
      </c>
      <c r="G597">
        <v>0</v>
      </c>
      <c r="H597">
        <v>9.11</v>
      </c>
      <c r="I597">
        <v>96.96</v>
      </c>
      <c r="J597">
        <v>352.6</v>
      </c>
      <c r="K597">
        <v>185.65</v>
      </c>
      <c r="L597">
        <v>-431</v>
      </c>
      <c r="M597">
        <v>-311</v>
      </c>
      <c r="N597">
        <v>554121</v>
      </c>
      <c r="O597" t="s">
        <v>423</v>
      </c>
      <c r="P597" t="s">
        <v>887</v>
      </c>
      <c r="Q597" t="s">
        <v>910</v>
      </c>
    </row>
    <row r="598" spans="1:17">
      <c r="A598">
        <v>1323</v>
      </c>
      <c r="B598">
        <v>546</v>
      </c>
      <c r="C598">
        <v>3.3620000000000001</v>
      </c>
      <c r="D598">
        <v>0.25469999999999998</v>
      </c>
      <c r="E598">
        <v>0.39439999999999997</v>
      </c>
      <c r="F598">
        <v>102.13</v>
      </c>
      <c r="G598">
        <v>0</v>
      </c>
      <c r="H598">
        <v>8.67</v>
      </c>
      <c r="I598">
        <v>115.62</v>
      </c>
      <c r="J598">
        <v>372.25</v>
      </c>
      <c r="K598">
        <v>199.25</v>
      </c>
      <c r="L598">
        <v>-463.6</v>
      </c>
      <c r="M598">
        <v>-319.3</v>
      </c>
      <c r="N598">
        <v>105373</v>
      </c>
      <c r="O598" t="s">
        <v>423</v>
      </c>
      <c r="P598" t="s">
        <v>369</v>
      </c>
      <c r="Q598" t="s">
        <v>1003</v>
      </c>
    </row>
    <row r="599" spans="1:17">
      <c r="A599">
        <v>1324</v>
      </c>
      <c r="B599">
        <v>568.6</v>
      </c>
      <c r="C599">
        <v>3.06</v>
      </c>
      <c r="D599">
        <v>0.25169999999999998</v>
      </c>
      <c r="E599">
        <v>0.44869999999999999</v>
      </c>
      <c r="F599">
        <v>116.16</v>
      </c>
      <c r="G599">
        <v>0</v>
      </c>
      <c r="H599">
        <v>8.59</v>
      </c>
      <c r="I599">
        <v>132.47</v>
      </c>
      <c r="J599">
        <v>395.65</v>
      </c>
      <c r="K599">
        <v>197.25</v>
      </c>
      <c r="L599">
        <v>-483.1</v>
      </c>
      <c r="M599">
        <v>-309.89999999999998</v>
      </c>
      <c r="N599">
        <v>106365</v>
      </c>
      <c r="O599" t="s">
        <v>1158</v>
      </c>
      <c r="P599" t="s">
        <v>996</v>
      </c>
      <c r="Q599" t="s">
        <v>1159</v>
      </c>
    </row>
    <row r="600" spans="1:17">
      <c r="A600">
        <v>1326</v>
      </c>
      <c r="B600">
        <v>594.6</v>
      </c>
      <c r="C600">
        <v>2.8</v>
      </c>
      <c r="D600">
        <v>0.25059999999999999</v>
      </c>
      <c r="E600">
        <v>0.46439999999999998</v>
      </c>
      <c r="F600">
        <v>130.19</v>
      </c>
      <c r="G600">
        <v>0</v>
      </c>
      <c r="H600">
        <v>8.5</v>
      </c>
      <c r="I600">
        <v>149.32</v>
      </c>
      <c r="J600">
        <v>419.75</v>
      </c>
      <c r="K600">
        <v>183.63</v>
      </c>
      <c r="L600">
        <v>-502.6</v>
      </c>
      <c r="M600">
        <v>-300.5</v>
      </c>
      <c r="N600">
        <v>590012</v>
      </c>
      <c r="O600" t="s">
        <v>811</v>
      </c>
      <c r="P600" t="s">
        <v>1226</v>
      </c>
      <c r="Q600" t="s">
        <v>1308</v>
      </c>
    </row>
    <row r="601" spans="1:17">
      <c r="A601">
        <v>1327</v>
      </c>
      <c r="B601">
        <v>593.70000000000005</v>
      </c>
      <c r="C601">
        <v>2.72</v>
      </c>
      <c r="D601">
        <v>0.24809999999999999</v>
      </c>
      <c r="E601">
        <v>0.4335</v>
      </c>
      <c r="F601">
        <v>130.19</v>
      </c>
      <c r="G601">
        <v>0</v>
      </c>
      <c r="H601">
        <v>8.23</v>
      </c>
      <c r="I601">
        <v>149.97999999999999</v>
      </c>
      <c r="J601">
        <v>416.45</v>
      </c>
      <c r="K601">
        <v>177.95</v>
      </c>
      <c r="L601">
        <v>-505.3</v>
      </c>
      <c r="M601">
        <v>-303.2</v>
      </c>
      <c r="N601">
        <v>105668</v>
      </c>
      <c r="O601" t="s">
        <v>1299</v>
      </c>
      <c r="P601" t="s">
        <v>1226</v>
      </c>
      <c r="Q601" t="s">
        <v>1300</v>
      </c>
    </row>
    <row r="602" spans="1:17">
      <c r="A602">
        <v>1331</v>
      </c>
      <c r="B602">
        <v>546</v>
      </c>
      <c r="C602">
        <v>3.68</v>
      </c>
      <c r="D602">
        <v>0.26179999999999998</v>
      </c>
      <c r="E602">
        <v>0.38019999999999998</v>
      </c>
      <c r="F602">
        <v>100.12</v>
      </c>
      <c r="G602">
        <v>0</v>
      </c>
      <c r="H602">
        <v>8.86</v>
      </c>
      <c r="I602">
        <v>109.64</v>
      </c>
      <c r="J602">
        <v>368.15</v>
      </c>
      <c r="K602">
        <v>192.05</v>
      </c>
      <c r="L602">
        <v>-347</v>
      </c>
      <c r="M602">
        <v>-236</v>
      </c>
      <c r="N602">
        <v>105384</v>
      </c>
      <c r="O602" t="s">
        <v>633</v>
      </c>
      <c r="P602" t="s">
        <v>1004</v>
      </c>
      <c r="Q602" t="s">
        <v>1005</v>
      </c>
    </row>
    <row r="603" spans="1:17">
      <c r="A603">
        <v>1332</v>
      </c>
      <c r="B603">
        <v>554.5</v>
      </c>
      <c r="C603">
        <v>3.4729999999999999</v>
      </c>
      <c r="D603">
        <v>0.25609999999999999</v>
      </c>
      <c r="E603">
        <v>0.3775</v>
      </c>
      <c r="F603">
        <v>102.13</v>
      </c>
      <c r="G603">
        <v>0</v>
      </c>
      <c r="H603">
        <v>8.81</v>
      </c>
      <c r="I603">
        <v>114.38</v>
      </c>
      <c r="J603">
        <v>375.9</v>
      </c>
      <c r="K603">
        <v>187.35</v>
      </c>
      <c r="L603">
        <v>-450.7</v>
      </c>
      <c r="M603">
        <v>-305.3</v>
      </c>
      <c r="N603">
        <v>623427</v>
      </c>
      <c r="O603" t="s">
        <v>423</v>
      </c>
      <c r="P603" t="s">
        <v>369</v>
      </c>
      <c r="Q603" t="s">
        <v>1059</v>
      </c>
    </row>
    <row r="604" spans="1:17">
      <c r="A604">
        <v>1333</v>
      </c>
      <c r="B604">
        <v>571</v>
      </c>
      <c r="C604">
        <v>2.95</v>
      </c>
      <c r="D604">
        <v>0.27379999999999999</v>
      </c>
      <c r="E604">
        <v>0.40110000000000001</v>
      </c>
      <c r="F604">
        <v>116.16</v>
      </c>
      <c r="G604">
        <v>0</v>
      </c>
      <c r="H604">
        <v>8.5</v>
      </c>
      <c r="I604">
        <v>132.91999999999999</v>
      </c>
      <c r="J604">
        <v>394.65</v>
      </c>
      <c r="K604">
        <v>175.15</v>
      </c>
      <c r="L604">
        <v>-485.5</v>
      </c>
      <c r="M604">
        <v>-312.2</v>
      </c>
      <c r="N604">
        <v>105544</v>
      </c>
      <c r="O604" t="s">
        <v>1175</v>
      </c>
      <c r="P604" t="s">
        <v>996</v>
      </c>
      <c r="Q604" t="s">
        <v>1176</v>
      </c>
    </row>
    <row r="605" spans="1:17">
      <c r="A605">
        <v>1336</v>
      </c>
      <c r="B605">
        <v>579.4</v>
      </c>
      <c r="C605">
        <v>2.84</v>
      </c>
      <c r="D605">
        <v>0.25629999999999997</v>
      </c>
      <c r="E605">
        <v>0.48380000000000001</v>
      </c>
      <c r="F605">
        <v>130.19</v>
      </c>
      <c r="G605">
        <v>0</v>
      </c>
      <c r="H605">
        <v>8.08</v>
      </c>
      <c r="I605">
        <v>151.41999999999999</v>
      </c>
      <c r="J605">
        <v>408.65</v>
      </c>
      <c r="K605">
        <v>-86</v>
      </c>
      <c r="L605">
        <v>-515.4</v>
      </c>
      <c r="M605">
        <v>-314.10000000000002</v>
      </c>
      <c r="N605">
        <v>644495</v>
      </c>
      <c r="O605" t="s">
        <v>1225</v>
      </c>
      <c r="P605" t="s">
        <v>1226</v>
      </c>
      <c r="Q605" t="s">
        <v>1227</v>
      </c>
    </row>
    <row r="606" spans="1:17">
      <c r="A606">
        <v>1341</v>
      </c>
      <c r="B606">
        <v>536</v>
      </c>
      <c r="C606">
        <v>4.25</v>
      </c>
      <c r="D606">
        <v>0.25469999999999998</v>
      </c>
      <c r="E606">
        <v>0.34229999999999999</v>
      </c>
      <c r="F606">
        <v>86.09</v>
      </c>
      <c r="G606">
        <v>0</v>
      </c>
      <c r="H606">
        <v>9.2899999999999991</v>
      </c>
      <c r="I606">
        <v>90.74</v>
      </c>
      <c r="J606">
        <v>352.75</v>
      </c>
      <c r="K606">
        <v>196.21</v>
      </c>
      <c r="L606">
        <v>-333</v>
      </c>
      <c r="M606">
        <v>-257</v>
      </c>
      <c r="N606">
        <v>96333</v>
      </c>
      <c r="O606" t="s">
        <v>933</v>
      </c>
      <c r="P606" t="s">
        <v>872</v>
      </c>
      <c r="Q606" t="s">
        <v>934</v>
      </c>
    </row>
    <row r="607" spans="1:17">
      <c r="A607">
        <v>1342</v>
      </c>
      <c r="B607">
        <v>553</v>
      </c>
      <c r="C607">
        <v>3.68</v>
      </c>
      <c r="D607">
        <v>0.22819999999999999</v>
      </c>
      <c r="E607">
        <v>0.37180000000000002</v>
      </c>
      <c r="F607">
        <v>100.12</v>
      </c>
      <c r="G607">
        <v>0</v>
      </c>
      <c r="H607">
        <v>8.89</v>
      </c>
      <c r="I607">
        <v>109.23</v>
      </c>
      <c r="J607">
        <v>372.45</v>
      </c>
      <c r="K607">
        <v>201.95</v>
      </c>
      <c r="L607">
        <v>-350</v>
      </c>
      <c r="M607">
        <v>-237</v>
      </c>
      <c r="N607">
        <v>140885</v>
      </c>
      <c r="O607" t="s">
        <v>1041</v>
      </c>
      <c r="P607" t="s">
        <v>1004</v>
      </c>
      <c r="Q607" t="s">
        <v>1042</v>
      </c>
    </row>
    <row r="608" spans="1:17">
      <c r="A608">
        <v>1343</v>
      </c>
      <c r="B608">
        <v>569</v>
      </c>
      <c r="C608">
        <v>3.25</v>
      </c>
      <c r="D608">
        <v>0.25829999999999997</v>
      </c>
      <c r="E608">
        <v>0.43149999999999999</v>
      </c>
      <c r="F608">
        <v>114.14</v>
      </c>
      <c r="G608">
        <v>0</v>
      </c>
      <c r="H608">
        <v>8.75</v>
      </c>
      <c r="I608">
        <v>127.02</v>
      </c>
      <c r="J608">
        <v>392.15</v>
      </c>
      <c r="K608">
        <v>205</v>
      </c>
      <c r="L608">
        <v>-364</v>
      </c>
      <c r="M608">
        <v>-231</v>
      </c>
      <c r="N608">
        <v>925600</v>
      </c>
      <c r="O608" t="s">
        <v>1100</v>
      </c>
      <c r="P608" t="s">
        <v>1165</v>
      </c>
      <c r="Q608" t="s">
        <v>1166</v>
      </c>
    </row>
    <row r="609" spans="1:17">
      <c r="A609">
        <v>1344</v>
      </c>
      <c r="B609">
        <v>598</v>
      </c>
      <c r="C609">
        <v>2.91</v>
      </c>
      <c r="D609">
        <v>0.2505</v>
      </c>
      <c r="E609">
        <v>0.48170000000000002</v>
      </c>
      <c r="F609">
        <v>128.16999999999999</v>
      </c>
      <c r="G609">
        <v>0</v>
      </c>
      <c r="H609">
        <v>8.76</v>
      </c>
      <c r="I609">
        <v>143.22</v>
      </c>
      <c r="J609">
        <v>420.55</v>
      </c>
      <c r="K609">
        <v>208.55</v>
      </c>
      <c r="L609">
        <v>-395</v>
      </c>
      <c r="M609">
        <v>-223</v>
      </c>
      <c r="N609">
        <v>141322</v>
      </c>
      <c r="O609" t="s">
        <v>1100</v>
      </c>
      <c r="P609" t="s">
        <v>1261</v>
      </c>
      <c r="Q609" t="s">
        <v>1316</v>
      </c>
    </row>
    <row r="610" spans="1:17">
      <c r="A610">
        <v>1345</v>
      </c>
      <c r="B610">
        <v>674</v>
      </c>
      <c r="C610">
        <v>1.74</v>
      </c>
      <c r="D610">
        <v>0.19400000000000001</v>
      </c>
      <c r="E610">
        <v>0.72770000000000001</v>
      </c>
      <c r="F610">
        <v>214.35</v>
      </c>
      <c r="G610">
        <v>0</v>
      </c>
      <c r="H610">
        <v>8.09</v>
      </c>
      <c r="I610">
        <v>251.83</v>
      </c>
      <c r="J610">
        <v>533</v>
      </c>
      <c r="K610">
        <v>236.15</v>
      </c>
      <c r="L610">
        <v>-627.4</v>
      </c>
      <c r="M610">
        <v>-251.9</v>
      </c>
      <c r="N610">
        <v>50623579</v>
      </c>
      <c r="O610" t="s">
        <v>2804</v>
      </c>
      <c r="P610" t="s">
        <v>1958</v>
      </c>
      <c r="Q610" t="s">
        <v>2571</v>
      </c>
    </row>
    <row r="611" spans="1:17">
      <c r="A611">
        <v>1346</v>
      </c>
      <c r="B611">
        <v>629</v>
      </c>
      <c r="C611">
        <v>2.33</v>
      </c>
      <c r="D611">
        <v>0.2457</v>
      </c>
      <c r="E611">
        <v>0.59550000000000003</v>
      </c>
      <c r="F611">
        <v>158.24</v>
      </c>
      <c r="G611">
        <v>0</v>
      </c>
      <c r="H611">
        <v>8.19</v>
      </c>
      <c r="I611">
        <v>183.33</v>
      </c>
      <c r="J611">
        <v>458.95</v>
      </c>
      <c r="K611">
        <v>180.35</v>
      </c>
      <c r="L611">
        <v>-545.20000000000005</v>
      </c>
      <c r="M611">
        <v>-285.5</v>
      </c>
      <c r="N611">
        <v>591684</v>
      </c>
      <c r="O611" t="s">
        <v>566</v>
      </c>
      <c r="P611" t="s">
        <v>1508</v>
      </c>
      <c r="Q611" t="s">
        <v>1509</v>
      </c>
    </row>
    <row r="612" spans="1:17">
      <c r="A612">
        <v>1347</v>
      </c>
      <c r="B612">
        <v>587.95000000000005</v>
      </c>
      <c r="C612">
        <v>2.84</v>
      </c>
      <c r="D612">
        <v>0.25669999999999998</v>
      </c>
      <c r="E612">
        <v>0.4</v>
      </c>
      <c r="F612">
        <v>130.19</v>
      </c>
      <c r="G612">
        <v>0</v>
      </c>
      <c r="H612">
        <v>8.08</v>
      </c>
      <c r="I612">
        <v>150.49</v>
      </c>
      <c r="J612">
        <v>408.2</v>
      </c>
      <c r="K612">
        <v>173.85</v>
      </c>
      <c r="L612">
        <v>-527</v>
      </c>
      <c r="M612">
        <v>-325</v>
      </c>
      <c r="N612">
        <v>108645</v>
      </c>
      <c r="O612" t="s">
        <v>881</v>
      </c>
      <c r="P612" t="s">
        <v>1226</v>
      </c>
      <c r="Q612" t="s">
        <v>1266</v>
      </c>
    </row>
    <row r="613" spans="1:17">
      <c r="A613">
        <v>1351</v>
      </c>
      <c r="B613">
        <v>566</v>
      </c>
      <c r="C613">
        <v>3.68</v>
      </c>
      <c r="D613">
        <v>0.254</v>
      </c>
      <c r="E613">
        <v>0.2802</v>
      </c>
      <c r="F613">
        <v>100.12</v>
      </c>
      <c r="G613">
        <v>0</v>
      </c>
      <c r="H613">
        <v>9.06</v>
      </c>
      <c r="I613">
        <v>106.74</v>
      </c>
      <c r="J613">
        <v>374.15</v>
      </c>
      <c r="K613">
        <v>225.15</v>
      </c>
      <c r="L613">
        <v>-360</v>
      </c>
      <c r="M613">
        <v>-254</v>
      </c>
      <c r="N613">
        <v>80626</v>
      </c>
      <c r="O613" t="s">
        <v>1137</v>
      </c>
      <c r="P613" t="s">
        <v>1004</v>
      </c>
      <c r="Q613" t="s">
        <v>1138</v>
      </c>
    </row>
    <row r="614" spans="1:17">
      <c r="A614">
        <v>1352</v>
      </c>
      <c r="B614">
        <v>577</v>
      </c>
      <c r="C614">
        <v>3.25</v>
      </c>
      <c r="D614">
        <v>0.254</v>
      </c>
      <c r="E614">
        <v>0.34320000000000001</v>
      </c>
      <c r="F614">
        <v>114.14</v>
      </c>
      <c r="G614">
        <v>0</v>
      </c>
      <c r="H614">
        <v>8.48</v>
      </c>
      <c r="I614">
        <v>125.71</v>
      </c>
      <c r="J614">
        <v>390.15</v>
      </c>
      <c r="K614">
        <v>-86</v>
      </c>
      <c r="L614">
        <v>-381</v>
      </c>
      <c r="M614">
        <v>-247</v>
      </c>
      <c r="N614">
        <v>97632</v>
      </c>
      <c r="O614" t="s">
        <v>1100</v>
      </c>
      <c r="P614" t="s">
        <v>1165</v>
      </c>
      <c r="Q614" t="s">
        <v>1211</v>
      </c>
    </row>
    <row r="615" spans="1:17">
      <c r="A615">
        <v>1353</v>
      </c>
      <c r="B615">
        <v>599</v>
      </c>
      <c r="C615">
        <v>2.91</v>
      </c>
      <c r="D615">
        <v>0.25009999999999999</v>
      </c>
      <c r="E615">
        <v>0.39660000000000001</v>
      </c>
      <c r="F615">
        <v>128.16999999999999</v>
      </c>
      <c r="G615">
        <v>0</v>
      </c>
      <c r="H615">
        <v>8.4</v>
      </c>
      <c r="I615">
        <v>142.86000000000001</v>
      </c>
      <c r="J615">
        <v>414</v>
      </c>
      <c r="K615">
        <v>-86</v>
      </c>
      <c r="L615">
        <v>-402</v>
      </c>
      <c r="M615">
        <v>-239</v>
      </c>
      <c r="N615">
        <v>2210288</v>
      </c>
      <c r="O615" t="s">
        <v>811</v>
      </c>
      <c r="P615" t="s">
        <v>1261</v>
      </c>
      <c r="Q615" t="s">
        <v>1320</v>
      </c>
    </row>
    <row r="616" spans="1:17">
      <c r="A616">
        <v>1354</v>
      </c>
      <c r="B616">
        <v>806</v>
      </c>
      <c r="C616">
        <v>1.18</v>
      </c>
      <c r="D616">
        <v>0.22359999999999999</v>
      </c>
      <c r="E616">
        <v>1.1419999999999999</v>
      </c>
      <c r="F616">
        <v>390.56</v>
      </c>
      <c r="G616">
        <v>0</v>
      </c>
      <c r="H616">
        <v>8.3000000000000007</v>
      </c>
      <c r="I616">
        <v>398.54</v>
      </c>
      <c r="J616">
        <v>658.15</v>
      </c>
      <c r="K616">
        <v>223.15</v>
      </c>
      <c r="L616">
        <v>-977.3</v>
      </c>
      <c r="M616">
        <v>-406.3</v>
      </c>
      <c r="N616">
        <v>117817</v>
      </c>
      <c r="O616" t="s">
        <v>2516</v>
      </c>
      <c r="P616" t="s">
        <v>2402</v>
      </c>
      <c r="Q616" t="s">
        <v>2572</v>
      </c>
    </row>
    <row r="617" spans="1:17">
      <c r="A617">
        <v>1355</v>
      </c>
      <c r="B617">
        <v>851</v>
      </c>
      <c r="C617">
        <v>1.18</v>
      </c>
      <c r="D617">
        <v>0.20680000000000001</v>
      </c>
      <c r="E617">
        <v>1.0880000000000001</v>
      </c>
      <c r="F617">
        <v>390.56</v>
      </c>
      <c r="G617">
        <v>0</v>
      </c>
      <c r="H617">
        <v>8.42</v>
      </c>
      <c r="I617">
        <v>397.2</v>
      </c>
      <c r="J617">
        <v>694</v>
      </c>
      <c r="K617">
        <v>-86</v>
      </c>
      <c r="L617">
        <v>-967</v>
      </c>
      <c r="M617">
        <v>-371</v>
      </c>
      <c r="N617">
        <v>27554263</v>
      </c>
      <c r="O617" t="s">
        <v>545</v>
      </c>
      <c r="P617" t="s">
        <v>2402</v>
      </c>
      <c r="Q617" t="s">
        <v>2403</v>
      </c>
    </row>
    <row r="618" spans="1:17">
      <c r="A618">
        <v>1356</v>
      </c>
      <c r="B618">
        <v>841</v>
      </c>
      <c r="C618">
        <v>1.1599999999999999</v>
      </c>
      <c r="D618">
        <v>0.21099999999999999</v>
      </c>
      <c r="E618">
        <v>1.0944</v>
      </c>
      <c r="F618">
        <v>390.56</v>
      </c>
      <c r="G618">
        <v>0</v>
      </c>
      <c r="H618">
        <v>8.39</v>
      </c>
      <c r="I618">
        <v>398</v>
      </c>
      <c r="J618">
        <v>687</v>
      </c>
      <c r="K618">
        <v>240</v>
      </c>
      <c r="L618">
        <v>-1085</v>
      </c>
      <c r="M618">
        <v>-446</v>
      </c>
      <c r="N618">
        <v>19295819</v>
      </c>
      <c r="O618" t="s">
        <v>368</v>
      </c>
      <c r="P618" t="s">
        <v>2386</v>
      </c>
      <c r="Q618" t="s">
        <v>2387</v>
      </c>
    </row>
    <row r="619" spans="1:17">
      <c r="A619">
        <v>1357</v>
      </c>
      <c r="B619">
        <v>599.9</v>
      </c>
      <c r="C619">
        <v>2.77</v>
      </c>
      <c r="D619">
        <v>0.246</v>
      </c>
      <c r="E619">
        <v>0.44779999999999998</v>
      </c>
      <c r="F619">
        <v>130.19</v>
      </c>
      <c r="G619">
        <v>0</v>
      </c>
      <c r="H619">
        <v>8.61</v>
      </c>
      <c r="I619">
        <v>149.28</v>
      </c>
      <c r="J619">
        <v>422.15</v>
      </c>
      <c r="K619">
        <v>202.35</v>
      </c>
      <c r="L619">
        <v>-505.5</v>
      </c>
      <c r="M619">
        <v>-303.5</v>
      </c>
      <c r="N619">
        <v>628637</v>
      </c>
      <c r="O619" t="s">
        <v>1323</v>
      </c>
      <c r="P619" t="s">
        <v>1226</v>
      </c>
      <c r="Q619" t="s">
        <v>1324</v>
      </c>
    </row>
    <row r="620" spans="1:17">
      <c r="A620">
        <v>1358</v>
      </c>
      <c r="B620">
        <v>642.4</v>
      </c>
      <c r="C620">
        <v>2.17</v>
      </c>
      <c r="D620">
        <v>0.24510000000000001</v>
      </c>
      <c r="E620">
        <v>0.59919999999999995</v>
      </c>
      <c r="F620">
        <v>172.27</v>
      </c>
      <c r="G620">
        <v>0</v>
      </c>
      <c r="H620">
        <v>8.41</v>
      </c>
      <c r="I620">
        <v>198.28</v>
      </c>
      <c r="J620">
        <v>471.75</v>
      </c>
      <c r="K620">
        <v>180.15</v>
      </c>
      <c r="L620">
        <v>-570</v>
      </c>
      <c r="M620">
        <v>-283</v>
      </c>
      <c r="N620">
        <v>103093</v>
      </c>
      <c r="O620" t="s">
        <v>2804</v>
      </c>
      <c r="P620" t="s">
        <v>1539</v>
      </c>
      <c r="Q620" t="s">
        <v>2573</v>
      </c>
    </row>
    <row r="621" spans="1:17">
      <c r="A621">
        <v>1359</v>
      </c>
      <c r="B621">
        <v>699</v>
      </c>
      <c r="C621">
        <v>3.18</v>
      </c>
      <c r="D621">
        <v>0.2457</v>
      </c>
      <c r="E621">
        <v>0.4733</v>
      </c>
      <c r="F621">
        <v>150.18</v>
      </c>
      <c r="G621">
        <v>0</v>
      </c>
      <c r="H621">
        <v>9.75</v>
      </c>
      <c r="I621">
        <v>143.69999999999999</v>
      </c>
      <c r="J621">
        <v>488.65</v>
      </c>
      <c r="K621">
        <v>221.65</v>
      </c>
      <c r="L621">
        <v>-309.16000000000003</v>
      </c>
      <c r="M621">
        <v>-174.82</v>
      </c>
      <c r="N621">
        <v>140114</v>
      </c>
      <c r="O621" t="s">
        <v>1100</v>
      </c>
      <c r="P621" t="s">
        <v>1893</v>
      </c>
      <c r="Q621" t="s">
        <v>1900</v>
      </c>
    </row>
    <row r="622" spans="1:17">
      <c r="A622">
        <v>1360</v>
      </c>
      <c r="B622">
        <v>601.89</v>
      </c>
      <c r="C622">
        <v>2.61</v>
      </c>
      <c r="D622">
        <v>0.2576</v>
      </c>
      <c r="E622">
        <v>0.40060000000000001</v>
      </c>
      <c r="F622">
        <v>144.21</v>
      </c>
      <c r="G622">
        <v>0</v>
      </c>
      <c r="H622">
        <v>7.92</v>
      </c>
      <c r="I622">
        <v>169.78</v>
      </c>
      <c r="J622">
        <v>421.8</v>
      </c>
      <c r="K622">
        <v>192.45</v>
      </c>
      <c r="L622">
        <v>-547</v>
      </c>
      <c r="M622">
        <v>-313</v>
      </c>
      <c r="N622">
        <v>97858</v>
      </c>
      <c r="O622" t="s">
        <v>1339</v>
      </c>
      <c r="P622" t="s">
        <v>1340</v>
      </c>
      <c r="Q622" t="s">
        <v>1341</v>
      </c>
    </row>
    <row r="623" spans="1:17">
      <c r="A623">
        <v>1361</v>
      </c>
      <c r="B623">
        <v>637</v>
      </c>
      <c r="C623">
        <v>2.2000000000000002</v>
      </c>
      <c r="D623">
        <v>0.2492</v>
      </c>
      <c r="E623">
        <v>0.57850000000000001</v>
      </c>
      <c r="F623">
        <v>172.27</v>
      </c>
      <c r="G623">
        <v>0</v>
      </c>
      <c r="H623">
        <v>8.06</v>
      </c>
      <c r="I623">
        <v>201.7</v>
      </c>
      <c r="J623">
        <v>467.15</v>
      </c>
      <c r="K623">
        <v>215</v>
      </c>
      <c r="L623">
        <v>-583</v>
      </c>
      <c r="M623">
        <v>-291</v>
      </c>
      <c r="N623">
        <v>659701</v>
      </c>
      <c r="O623" t="s">
        <v>633</v>
      </c>
      <c r="P623" t="s">
        <v>1539</v>
      </c>
      <c r="Q623" t="s">
        <v>1540</v>
      </c>
    </row>
    <row r="624" spans="1:17">
      <c r="A624">
        <v>1362</v>
      </c>
      <c r="B624">
        <v>764</v>
      </c>
      <c r="C624">
        <v>1.28</v>
      </c>
      <c r="D624">
        <v>0.21360000000000001</v>
      </c>
      <c r="E624">
        <v>1.0494000000000001</v>
      </c>
      <c r="F624">
        <v>296.49</v>
      </c>
      <c r="G624">
        <v>0</v>
      </c>
      <c r="H624">
        <v>8.2899999999999991</v>
      </c>
      <c r="I624">
        <v>340.71</v>
      </c>
      <c r="J624">
        <v>617</v>
      </c>
      <c r="K624">
        <v>293.05</v>
      </c>
      <c r="L624">
        <v>-629</v>
      </c>
      <c r="M624">
        <v>-117</v>
      </c>
      <c r="N624">
        <v>112629</v>
      </c>
      <c r="O624" t="s">
        <v>545</v>
      </c>
      <c r="P624" t="s">
        <v>2162</v>
      </c>
      <c r="Q624" t="s">
        <v>2163</v>
      </c>
    </row>
    <row r="625" spans="1:17">
      <c r="A625">
        <v>1363</v>
      </c>
      <c r="B625">
        <v>618</v>
      </c>
      <c r="C625">
        <v>2.54</v>
      </c>
      <c r="D625">
        <v>0.24129999999999999</v>
      </c>
      <c r="E625">
        <v>0.53959999999999997</v>
      </c>
      <c r="F625">
        <v>144.21</v>
      </c>
      <c r="G625">
        <v>0</v>
      </c>
      <c r="H625">
        <v>8.41</v>
      </c>
      <c r="I625">
        <v>166.1</v>
      </c>
      <c r="J625">
        <v>444.65</v>
      </c>
      <c r="K625">
        <v>192.25</v>
      </c>
      <c r="L625">
        <v>-526.29999999999995</v>
      </c>
      <c r="M625">
        <v>-295.39999999999998</v>
      </c>
      <c r="N625">
        <v>142927</v>
      </c>
      <c r="O625" t="s">
        <v>566</v>
      </c>
      <c r="P625" t="s">
        <v>1340</v>
      </c>
      <c r="Q625" t="s">
        <v>1442</v>
      </c>
    </row>
    <row r="626" spans="1:17">
      <c r="A626">
        <v>1364</v>
      </c>
      <c r="B626">
        <v>820</v>
      </c>
      <c r="C626">
        <v>2.58</v>
      </c>
      <c r="D626">
        <v>0.2626</v>
      </c>
      <c r="E626">
        <v>0.62250000000000005</v>
      </c>
      <c r="F626">
        <v>212.25</v>
      </c>
      <c r="G626">
        <v>0</v>
      </c>
      <c r="H626">
        <v>10</v>
      </c>
      <c r="I626">
        <v>190.35</v>
      </c>
      <c r="J626">
        <v>596.15</v>
      </c>
      <c r="K626">
        <v>294.14999999999998</v>
      </c>
      <c r="L626">
        <v>-191</v>
      </c>
      <c r="M626">
        <v>-34.799999999999997</v>
      </c>
      <c r="N626">
        <v>120514</v>
      </c>
      <c r="O626" t="s">
        <v>2516</v>
      </c>
      <c r="P626" t="s">
        <v>2574</v>
      </c>
      <c r="Q626" t="s">
        <v>2575</v>
      </c>
    </row>
    <row r="627" spans="1:17">
      <c r="A627">
        <v>1365</v>
      </c>
      <c r="B627">
        <v>724</v>
      </c>
      <c r="C627">
        <v>2.59</v>
      </c>
      <c r="D627">
        <v>0.23880000000000001</v>
      </c>
      <c r="E627">
        <v>0.57669999999999999</v>
      </c>
      <c r="F627">
        <v>178.23</v>
      </c>
      <c r="G627">
        <v>0</v>
      </c>
      <c r="H627">
        <v>8.94</v>
      </c>
      <c r="I627">
        <v>178.11</v>
      </c>
      <c r="J627">
        <v>522.15</v>
      </c>
      <c r="K627">
        <v>251.15</v>
      </c>
      <c r="L627">
        <v>-367</v>
      </c>
      <c r="M627">
        <v>-175</v>
      </c>
      <c r="N627">
        <v>136607</v>
      </c>
      <c r="O627" t="s">
        <v>545</v>
      </c>
      <c r="P627" t="s">
        <v>2012</v>
      </c>
      <c r="Q627" t="s">
        <v>2013</v>
      </c>
    </row>
    <row r="628" spans="1:17">
      <c r="A628">
        <v>1366</v>
      </c>
      <c r="B628">
        <v>806</v>
      </c>
      <c r="C628">
        <v>6.77</v>
      </c>
      <c r="D628">
        <v>0.19889999999999999</v>
      </c>
      <c r="E628">
        <v>0.44230000000000003</v>
      </c>
      <c r="F628">
        <v>88.06</v>
      </c>
      <c r="G628">
        <v>0</v>
      </c>
      <c r="H628">
        <v>14.68</v>
      </c>
      <c r="I628">
        <v>65.959999999999994</v>
      </c>
      <c r="J628">
        <v>521.15</v>
      </c>
      <c r="K628">
        <v>309.14999999999998</v>
      </c>
      <c r="L628">
        <v>-506.9</v>
      </c>
      <c r="M628">
        <v>-410</v>
      </c>
      <c r="N628">
        <v>96491</v>
      </c>
      <c r="O628" t="s">
        <v>609</v>
      </c>
      <c r="P628" t="s">
        <v>2304</v>
      </c>
      <c r="Q628" t="s">
        <v>2305</v>
      </c>
    </row>
    <row r="629" spans="1:17">
      <c r="A629">
        <v>1367</v>
      </c>
      <c r="B629">
        <v>637</v>
      </c>
      <c r="C629">
        <v>2.33</v>
      </c>
      <c r="D629">
        <v>0.24060000000000001</v>
      </c>
      <c r="E629">
        <v>0.59430000000000005</v>
      </c>
      <c r="F629">
        <v>158.24</v>
      </c>
      <c r="G629">
        <v>0</v>
      </c>
      <c r="H629">
        <v>8.3800000000000008</v>
      </c>
      <c r="I629">
        <v>182.73</v>
      </c>
      <c r="J629">
        <v>465.55</v>
      </c>
      <c r="K629">
        <v>222.95</v>
      </c>
      <c r="L629">
        <v>-547.1</v>
      </c>
      <c r="M629">
        <v>-287.2</v>
      </c>
      <c r="N629">
        <v>112061</v>
      </c>
      <c r="O629" t="s">
        <v>568</v>
      </c>
      <c r="P629" t="s">
        <v>1508</v>
      </c>
      <c r="Q629" t="s">
        <v>1541</v>
      </c>
    </row>
    <row r="630" spans="1:17">
      <c r="A630">
        <v>1368</v>
      </c>
      <c r="B630">
        <v>652</v>
      </c>
      <c r="C630">
        <v>2.15</v>
      </c>
      <c r="D630">
        <v>0.23799999999999999</v>
      </c>
      <c r="E630">
        <v>0.65580000000000005</v>
      </c>
      <c r="F630">
        <v>172.27</v>
      </c>
      <c r="G630">
        <v>0</v>
      </c>
      <c r="H630">
        <v>8.3800000000000008</v>
      </c>
      <c r="I630">
        <v>199.27</v>
      </c>
      <c r="J630">
        <v>484.45</v>
      </c>
      <c r="K630">
        <v>234.65</v>
      </c>
      <c r="L630">
        <v>-567.9</v>
      </c>
      <c r="M630">
        <v>-279</v>
      </c>
      <c r="N630">
        <v>112141</v>
      </c>
      <c r="O630" t="s">
        <v>568</v>
      </c>
      <c r="P630" t="s">
        <v>1539</v>
      </c>
      <c r="Q630" t="s">
        <v>1641</v>
      </c>
    </row>
    <row r="631" spans="1:17">
      <c r="A631">
        <v>1369</v>
      </c>
      <c r="B631">
        <v>661</v>
      </c>
      <c r="C631">
        <v>1.99</v>
      </c>
      <c r="D631">
        <v>0.23019999999999999</v>
      </c>
      <c r="E631">
        <v>0.7036</v>
      </c>
      <c r="F631">
        <v>186.29</v>
      </c>
      <c r="G631">
        <v>0</v>
      </c>
      <c r="H631">
        <v>8.39</v>
      </c>
      <c r="I631">
        <v>216.31</v>
      </c>
      <c r="J631">
        <v>497.1</v>
      </c>
      <c r="K631">
        <v>247.15</v>
      </c>
      <c r="L631">
        <v>-590.4</v>
      </c>
      <c r="M631">
        <v>-276</v>
      </c>
      <c r="N631">
        <v>143135</v>
      </c>
      <c r="O631" t="s">
        <v>507</v>
      </c>
      <c r="P631" t="s">
        <v>1712</v>
      </c>
      <c r="Q631" t="s">
        <v>1713</v>
      </c>
    </row>
    <row r="632" spans="1:17">
      <c r="A632">
        <v>1370</v>
      </c>
      <c r="B632">
        <v>678</v>
      </c>
      <c r="C632">
        <v>1.86</v>
      </c>
      <c r="D632">
        <v>0.2326</v>
      </c>
      <c r="E632">
        <v>0.75019999999999998</v>
      </c>
      <c r="F632">
        <v>200.32</v>
      </c>
      <c r="G632">
        <v>0</v>
      </c>
      <c r="H632">
        <v>8.3699999999999992</v>
      </c>
      <c r="I632">
        <v>232.47</v>
      </c>
      <c r="J632">
        <v>517.15</v>
      </c>
      <c r="K632">
        <v>258.12</v>
      </c>
      <c r="L632">
        <v>-609.29999999999995</v>
      </c>
      <c r="M632">
        <v>-262.5</v>
      </c>
      <c r="N632">
        <v>112174</v>
      </c>
      <c r="O632" t="s">
        <v>2516</v>
      </c>
      <c r="P632" t="s">
        <v>2080</v>
      </c>
      <c r="Q632" t="s">
        <v>2576</v>
      </c>
    </row>
    <row r="633" spans="1:17">
      <c r="A633">
        <v>1371</v>
      </c>
      <c r="B633">
        <v>908</v>
      </c>
      <c r="C633">
        <v>1</v>
      </c>
      <c r="D633">
        <v>0.19600000000000001</v>
      </c>
      <c r="E633">
        <v>0.92059999999999997</v>
      </c>
      <c r="F633">
        <v>446.67</v>
      </c>
      <c r="G633">
        <v>0</v>
      </c>
      <c r="H633">
        <v>8.34</v>
      </c>
      <c r="I633">
        <v>462.38</v>
      </c>
      <c r="J633">
        <v>740</v>
      </c>
      <c r="K633">
        <v>227.59</v>
      </c>
      <c r="L633">
        <v>-1060</v>
      </c>
      <c r="M633">
        <v>-358.8</v>
      </c>
      <c r="N633">
        <v>26761400</v>
      </c>
      <c r="O633" t="s">
        <v>2516</v>
      </c>
      <c r="P633" t="s">
        <v>2577</v>
      </c>
      <c r="Q633" t="s">
        <v>2578</v>
      </c>
    </row>
    <row r="634" spans="1:17">
      <c r="A634">
        <v>1373</v>
      </c>
      <c r="B634">
        <v>701</v>
      </c>
      <c r="C634">
        <v>4.09</v>
      </c>
      <c r="D634">
        <v>0.28770000000000001</v>
      </c>
      <c r="E634">
        <v>0.63149999999999995</v>
      </c>
      <c r="F634">
        <v>152.15</v>
      </c>
      <c r="G634">
        <v>0</v>
      </c>
      <c r="H634">
        <v>10.95</v>
      </c>
      <c r="I634">
        <v>129.52000000000001</v>
      </c>
      <c r="J634">
        <v>496.35</v>
      </c>
      <c r="K634">
        <v>264.85000000000002</v>
      </c>
      <c r="L634">
        <v>-467</v>
      </c>
      <c r="M634">
        <v>-339</v>
      </c>
      <c r="N634">
        <v>119368</v>
      </c>
      <c r="O634" t="s">
        <v>2516</v>
      </c>
      <c r="P634" t="s">
        <v>2222</v>
      </c>
      <c r="Q634" t="s">
        <v>2579</v>
      </c>
    </row>
    <row r="635" spans="1:17">
      <c r="A635">
        <v>1375</v>
      </c>
      <c r="B635">
        <v>768</v>
      </c>
      <c r="C635">
        <v>1.99</v>
      </c>
      <c r="D635">
        <v>0.2306</v>
      </c>
      <c r="E635">
        <v>0.85470000000000002</v>
      </c>
      <c r="F635">
        <v>250.3</v>
      </c>
      <c r="G635">
        <v>0</v>
      </c>
      <c r="H635">
        <v>9.6</v>
      </c>
      <c r="I635">
        <v>233.16</v>
      </c>
      <c r="J635">
        <v>590.65</v>
      </c>
      <c r="K635">
        <v>243.15</v>
      </c>
      <c r="L635">
        <v>-719.6</v>
      </c>
      <c r="M635">
        <v>-467</v>
      </c>
      <c r="N635">
        <v>131168</v>
      </c>
      <c r="O635" t="s">
        <v>2516</v>
      </c>
      <c r="P635" t="s">
        <v>2580</v>
      </c>
      <c r="Q635" t="s">
        <v>2581</v>
      </c>
    </row>
    <row r="636" spans="1:17">
      <c r="A636">
        <v>1376</v>
      </c>
      <c r="B636">
        <v>762</v>
      </c>
      <c r="C636">
        <v>1.78</v>
      </c>
      <c r="D636">
        <v>0.23769999999999999</v>
      </c>
      <c r="E636">
        <v>0.91579999999999995</v>
      </c>
      <c r="F636">
        <v>278.35000000000002</v>
      </c>
      <c r="G636">
        <v>0</v>
      </c>
      <c r="H636">
        <v>9.0299999999999994</v>
      </c>
      <c r="I636">
        <v>267.81</v>
      </c>
      <c r="J636">
        <v>600.15</v>
      </c>
      <c r="K636">
        <v>228.15</v>
      </c>
      <c r="L636">
        <v>-823</v>
      </c>
      <c r="M636">
        <v>-461</v>
      </c>
      <c r="N636">
        <v>84695</v>
      </c>
      <c r="O636" t="s">
        <v>545</v>
      </c>
      <c r="P636" t="s">
        <v>2150</v>
      </c>
      <c r="Q636" t="s">
        <v>2151</v>
      </c>
    </row>
    <row r="637" spans="1:17">
      <c r="A637">
        <v>1377</v>
      </c>
      <c r="B637">
        <v>764</v>
      </c>
      <c r="C637">
        <v>2.79</v>
      </c>
      <c r="D637">
        <v>0.23669999999999999</v>
      </c>
      <c r="E637">
        <v>0.62470000000000003</v>
      </c>
      <c r="F637">
        <v>194.19</v>
      </c>
      <c r="G637">
        <v>0</v>
      </c>
      <c r="H637">
        <v>9.5500000000000007</v>
      </c>
      <c r="I637">
        <v>159.93</v>
      </c>
      <c r="J637">
        <v>555.15</v>
      </c>
      <c r="K637">
        <v>339.15</v>
      </c>
      <c r="L637">
        <v>-665</v>
      </c>
      <c r="M637">
        <v>-497</v>
      </c>
      <c r="N637">
        <v>1459934</v>
      </c>
      <c r="O637" t="s">
        <v>2516</v>
      </c>
      <c r="P637" t="s">
        <v>2171</v>
      </c>
      <c r="Q637" t="s">
        <v>2582</v>
      </c>
    </row>
    <row r="638" spans="1:17">
      <c r="A638">
        <v>1381</v>
      </c>
      <c r="B638">
        <v>777.4</v>
      </c>
      <c r="C638">
        <v>2.76</v>
      </c>
      <c r="D638">
        <v>0.2291</v>
      </c>
      <c r="E638">
        <v>0.58069999999999999</v>
      </c>
      <c r="F638">
        <v>194.19</v>
      </c>
      <c r="G638">
        <v>0</v>
      </c>
      <c r="H638">
        <v>8.66</v>
      </c>
      <c r="I638">
        <v>180.56</v>
      </c>
      <c r="J638">
        <v>555.15</v>
      </c>
      <c r="K638">
        <v>413.8</v>
      </c>
      <c r="L638">
        <v>-637</v>
      </c>
      <c r="M638">
        <v>-474</v>
      </c>
      <c r="N638">
        <v>120616</v>
      </c>
      <c r="O638" t="s">
        <v>633</v>
      </c>
      <c r="P638" t="s">
        <v>2171</v>
      </c>
      <c r="Q638" t="s">
        <v>2224</v>
      </c>
    </row>
    <row r="639" spans="1:17">
      <c r="A639">
        <v>1382</v>
      </c>
      <c r="B639">
        <v>855</v>
      </c>
      <c r="C639">
        <v>1.1599999999999999</v>
      </c>
      <c r="D639">
        <v>0.2072</v>
      </c>
      <c r="E639">
        <v>1.0894999999999999</v>
      </c>
      <c r="F639">
        <v>390.56</v>
      </c>
      <c r="G639">
        <v>0</v>
      </c>
      <c r="H639">
        <v>9.14</v>
      </c>
      <c r="I639">
        <v>323.5</v>
      </c>
      <c r="J639">
        <v>698</v>
      </c>
      <c r="K639">
        <v>-86</v>
      </c>
      <c r="L639">
        <v>-981.4</v>
      </c>
      <c r="M639">
        <v>-409.3</v>
      </c>
      <c r="N639">
        <v>4654266</v>
      </c>
      <c r="O639" t="s">
        <v>1861</v>
      </c>
      <c r="P639" t="s">
        <v>2402</v>
      </c>
      <c r="Q639" t="s">
        <v>2411</v>
      </c>
    </row>
    <row r="640" spans="1:17">
      <c r="A640">
        <v>1383</v>
      </c>
      <c r="B640">
        <v>764</v>
      </c>
      <c r="C640">
        <v>1.1100000000000001</v>
      </c>
      <c r="D640">
        <v>0.21490000000000001</v>
      </c>
      <c r="E640">
        <v>1.0246</v>
      </c>
      <c r="F640">
        <v>340.59</v>
      </c>
      <c r="G640">
        <v>0</v>
      </c>
      <c r="H640">
        <v>7.74</v>
      </c>
      <c r="I640">
        <v>399.29</v>
      </c>
      <c r="J640">
        <v>623.15</v>
      </c>
      <c r="K640">
        <v>292.64999999999998</v>
      </c>
      <c r="L640">
        <v>-819.27</v>
      </c>
      <c r="M640">
        <v>-187.38</v>
      </c>
      <c r="N640">
        <v>123955</v>
      </c>
      <c r="O640" t="s">
        <v>1100</v>
      </c>
      <c r="P640" t="s">
        <v>2164</v>
      </c>
      <c r="Q640" t="s">
        <v>2165</v>
      </c>
    </row>
    <row r="641" spans="1:17">
      <c r="A641">
        <v>1384</v>
      </c>
      <c r="B641">
        <v>768</v>
      </c>
      <c r="C641">
        <v>1.32</v>
      </c>
      <c r="D641">
        <v>0.21709999999999999</v>
      </c>
      <c r="E641">
        <v>1.1245000000000001</v>
      </c>
      <c r="F641">
        <v>314.47000000000003</v>
      </c>
      <c r="G641">
        <v>0</v>
      </c>
      <c r="H641">
        <v>8.3699999999999992</v>
      </c>
      <c r="I641">
        <v>337.27</v>
      </c>
      <c r="J641">
        <v>618.15</v>
      </c>
      <c r="K641">
        <v>274.14999999999998</v>
      </c>
      <c r="L641">
        <v>-1060</v>
      </c>
      <c r="M641">
        <v>-538</v>
      </c>
      <c r="N641">
        <v>109433</v>
      </c>
      <c r="O641" t="s">
        <v>633</v>
      </c>
      <c r="P641" t="s">
        <v>2178</v>
      </c>
      <c r="Q641" t="s">
        <v>2182</v>
      </c>
    </row>
    <row r="642" spans="1:17">
      <c r="A642">
        <v>1385</v>
      </c>
      <c r="B642">
        <v>616</v>
      </c>
      <c r="C642">
        <v>2.54</v>
      </c>
      <c r="D642">
        <v>0.24779999999999999</v>
      </c>
      <c r="E642">
        <v>0.48149999999999998</v>
      </c>
      <c r="F642">
        <v>144.21</v>
      </c>
      <c r="G642">
        <v>0</v>
      </c>
      <c r="H642">
        <v>8.3000000000000007</v>
      </c>
      <c r="I642">
        <v>166.66</v>
      </c>
      <c r="J642">
        <v>438.15</v>
      </c>
      <c r="K642">
        <v>181.15</v>
      </c>
      <c r="L642">
        <v>-524.9</v>
      </c>
      <c r="M642">
        <v>-294.10000000000002</v>
      </c>
      <c r="N642">
        <v>109217</v>
      </c>
      <c r="O642" t="s">
        <v>1024</v>
      </c>
      <c r="P642" t="s">
        <v>1340</v>
      </c>
      <c r="Q642" t="s">
        <v>1427</v>
      </c>
    </row>
    <row r="643" spans="1:17">
      <c r="A643">
        <v>1386</v>
      </c>
      <c r="B643">
        <v>655</v>
      </c>
      <c r="C643">
        <v>2.0699999999999998</v>
      </c>
      <c r="D643">
        <v>0.2427</v>
      </c>
      <c r="E643">
        <v>0.67300000000000004</v>
      </c>
      <c r="F643">
        <v>184.28</v>
      </c>
      <c r="G643">
        <v>0</v>
      </c>
      <c r="H643">
        <v>7.83</v>
      </c>
      <c r="I643">
        <v>209.16</v>
      </c>
      <c r="J643">
        <v>489.15</v>
      </c>
      <c r="K643">
        <v>183.15</v>
      </c>
      <c r="L643">
        <v>-470</v>
      </c>
      <c r="M643">
        <v>-192</v>
      </c>
      <c r="N643">
        <v>103117</v>
      </c>
      <c r="O643" t="s">
        <v>1667</v>
      </c>
      <c r="P643" t="s">
        <v>1668</v>
      </c>
      <c r="Q643" t="s">
        <v>1669</v>
      </c>
    </row>
    <row r="644" spans="1:17">
      <c r="A644">
        <v>1387</v>
      </c>
      <c r="B644">
        <v>653</v>
      </c>
      <c r="C644">
        <v>3.09</v>
      </c>
      <c r="D644">
        <v>0.23680000000000001</v>
      </c>
      <c r="E644">
        <v>0.5595</v>
      </c>
      <c r="F644">
        <v>146.13999999999999</v>
      </c>
      <c r="G644">
        <v>0</v>
      </c>
      <c r="H644">
        <v>10.039999999999999</v>
      </c>
      <c r="I644">
        <v>132.71</v>
      </c>
      <c r="J644">
        <v>463.35</v>
      </c>
      <c r="K644">
        <v>231.65</v>
      </c>
      <c r="L644">
        <v>-807</v>
      </c>
      <c r="M644">
        <v>-631</v>
      </c>
      <c r="N644">
        <v>111557</v>
      </c>
      <c r="O644" t="s">
        <v>609</v>
      </c>
      <c r="P644" t="s">
        <v>1499</v>
      </c>
      <c r="Q644" t="s">
        <v>1648</v>
      </c>
    </row>
    <row r="645" spans="1:17">
      <c r="A645">
        <v>1389</v>
      </c>
      <c r="B645">
        <v>619</v>
      </c>
      <c r="C645">
        <v>2.63</v>
      </c>
      <c r="D645">
        <v>0.247</v>
      </c>
      <c r="E645">
        <v>0.44669999999999999</v>
      </c>
      <c r="F645">
        <v>142.19999999999999</v>
      </c>
      <c r="G645">
        <v>0</v>
      </c>
      <c r="H645">
        <v>8.3800000000000008</v>
      </c>
      <c r="I645">
        <v>159.66</v>
      </c>
      <c r="J645">
        <v>434</v>
      </c>
      <c r="K645">
        <v>-86</v>
      </c>
      <c r="L645">
        <v>-422</v>
      </c>
      <c r="M645">
        <v>-231</v>
      </c>
      <c r="N645">
        <v>97881</v>
      </c>
      <c r="O645" t="s">
        <v>609</v>
      </c>
      <c r="P645" t="s">
        <v>1447</v>
      </c>
      <c r="Q645" t="s">
        <v>1448</v>
      </c>
    </row>
    <row r="646" spans="1:17">
      <c r="A646">
        <v>1390</v>
      </c>
      <c r="B646">
        <v>693</v>
      </c>
      <c r="C646">
        <v>3.59</v>
      </c>
      <c r="D646">
        <v>0.224</v>
      </c>
      <c r="E646">
        <v>0.42049999999999998</v>
      </c>
      <c r="F646">
        <v>136.15</v>
      </c>
      <c r="G646">
        <v>0</v>
      </c>
      <c r="H646">
        <v>10.039999999999999</v>
      </c>
      <c r="I646">
        <v>125.53</v>
      </c>
      <c r="J646">
        <v>472.75</v>
      </c>
      <c r="K646">
        <v>260.64999999999998</v>
      </c>
      <c r="L646">
        <v>-287.89999999999998</v>
      </c>
      <c r="M646">
        <v>-181</v>
      </c>
      <c r="N646">
        <v>93583</v>
      </c>
      <c r="O646" t="s">
        <v>1858</v>
      </c>
      <c r="P646" t="s">
        <v>1859</v>
      </c>
      <c r="Q646" t="s">
        <v>1860</v>
      </c>
    </row>
    <row r="647" spans="1:17">
      <c r="A647">
        <v>1391</v>
      </c>
      <c r="B647">
        <v>698</v>
      </c>
      <c r="C647">
        <v>3.18</v>
      </c>
      <c r="D647">
        <v>0.26800000000000002</v>
      </c>
      <c r="E647">
        <v>0.47710000000000002</v>
      </c>
      <c r="F647">
        <v>150.18</v>
      </c>
      <c r="G647">
        <v>0</v>
      </c>
      <c r="H647">
        <v>9.24</v>
      </c>
      <c r="I647">
        <v>144.08000000000001</v>
      </c>
      <c r="J647">
        <v>485.15</v>
      </c>
      <c r="K647">
        <v>238.45</v>
      </c>
      <c r="L647">
        <v>-326</v>
      </c>
      <c r="M647">
        <v>-190.5</v>
      </c>
      <c r="N647">
        <v>93890</v>
      </c>
      <c r="O647" t="s">
        <v>568</v>
      </c>
      <c r="P647" t="s">
        <v>1893</v>
      </c>
      <c r="Q647" t="s">
        <v>1894</v>
      </c>
    </row>
    <row r="648" spans="1:17">
      <c r="A648">
        <v>1392</v>
      </c>
      <c r="B648">
        <v>576</v>
      </c>
      <c r="C648">
        <v>3.39</v>
      </c>
      <c r="D648">
        <v>0.252</v>
      </c>
      <c r="E648">
        <v>0.48570000000000002</v>
      </c>
      <c r="F648">
        <v>118.13</v>
      </c>
      <c r="G648">
        <v>0</v>
      </c>
      <c r="H648">
        <v>8.98</v>
      </c>
      <c r="I648">
        <v>121.73</v>
      </c>
      <c r="J648">
        <v>398.95</v>
      </c>
      <c r="K648">
        <v>230.15</v>
      </c>
      <c r="L648">
        <v>-639.1</v>
      </c>
      <c r="M648">
        <v>-464.65</v>
      </c>
      <c r="N648">
        <v>105588</v>
      </c>
      <c r="O648" t="s">
        <v>633</v>
      </c>
      <c r="P648" t="s">
        <v>1206</v>
      </c>
      <c r="Q648" t="s">
        <v>1207</v>
      </c>
    </row>
    <row r="649" spans="1:17">
      <c r="A649">
        <v>1393</v>
      </c>
      <c r="B649">
        <v>646</v>
      </c>
      <c r="C649">
        <v>3.09</v>
      </c>
      <c r="D649">
        <v>0.23930000000000001</v>
      </c>
      <c r="E649">
        <v>0.56820000000000004</v>
      </c>
      <c r="F649">
        <v>146.13999999999999</v>
      </c>
      <c r="G649">
        <v>0</v>
      </c>
      <c r="H649">
        <v>9.85</v>
      </c>
      <c r="I649">
        <v>136.19999999999999</v>
      </c>
      <c r="J649">
        <v>458.85</v>
      </c>
      <c r="K649">
        <v>233.15</v>
      </c>
      <c r="L649">
        <v>-739.8</v>
      </c>
      <c r="M649">
        <v>-570</v>
      </c>
      <c r="N649">
        <v>95921</v>
      </c>
      <c r="O649" t="s">
        <v>2516</v>
      </c>
      <c r="P649" t="s">
        <v>1499</v>
      </c>
      <c r="Q649" t="s">
        <v>2583</v>
      </c>
    </row>
    <row r="650" spans="1:17">
      <c r="A650">
        <v>1394</v>
      </c>
      <c r="B650">
        <v>653</v>
      </c>
      <c r="C650">
        <v>2.78</v>
      </c>
      <c r="D650">
        <v>0.24010000000000001</v>
      </c>
      <c r="E650">
        <v>0.61550000000000005</v>
      </c>
      <c r="F650">
        <v>160.16999999999999</v>
      </c>
      <c r="G650">
        <v>0</v>
      </c>
      <c r="H650">
        <v>9.39</v>
      </c>
      <c r="I650">
        <v>152.56</v>
      </c>
      <c r="J650">
        <v>472.05</v>
      </c>
      <c r="K650">
        <v>223.35</v>
      </c>
      <c r="L650">
        <v>-839</v>
      </c>
      <c r="M650">
        <v>-578</v>
      </c>
      <c r="N650">
        <v>105533</v>
      </c>
      <c r="O650" t="s">
        <v>568</v>
      </c>
      <c r="P650" t="s">
        <v>1649</v>
      </c>
      <c r="Q650" t="s">
        <v>1650</v>
      </c>
    </row>
    <row r="651" spans="1:17">
      <c r="A651">
        <v>1395</v>
      </c>
      <c r="B651">
        <v>686.9</v>
      </c>
      <c r="C651">
        <v>1.9419999999999999</v>
      </c>
      <c r="D651">
        <v>0.218</v>
      </c>
      <c r="E651">
        <v>0.54910000000000003</v>
      </c>
      <c r="F651">
        <v>186.29</v>
      </c>
      <c r="G651">
        <v>0</v>
      </c>
      <c r="H651">
        <v>8.4600000000000009</v>
      </c>
      <c r="I651">
        <v>214.38</v>
      </c>
      <c r="J651">
        <v>505</v>
      </c>
      <c r="K651">
        <v>255.15</v>
      </c>
      <c r="L651">
        <v>-573.70000000000005</v>
      </c>
      <c r="M651">
        <v>-254.7</v>
      </c>
      <c r="N651">
        <v>110429</v>
      </c>
      <c r="O651" t="s">
        <v>721</v>
      </c>
      <c r="P651" t="s">
        <v>1712</v>
      </c>
      <c r="Q651" t="s">
        <v>1820</v>
      </c>
    </row>
    <row r="652" spans="1:17">
      <c r="A652">
        <v>1396</v>
      </c>
      <c r="B652">
        <v>738</v>
      </c>
      <c r="C652">
        <v>1.4</v>
      </c>
      <c r="D652">
        <v>0.18310000000000001</v>
      </c>
      <c r="E652">
        <v>0.93640000000000001</v>
      </c>
      <c r="F652">
        <v>270.45999999999998</v>
      </c>
      <c r="G652">
        <v>0</v>
      </c>
      <c r="H652">
        <v>7.76</v>
      </c>
      <c r="I652">
        <v>318.7</v>
      </c>
      <c r="J652">
        <v>586</v>
      </c>
      <c r="K652">
        <v>279.14999999999998</v>
      </c>
      <c r="L652">
        <v>-733.4</v>
      </c>
      <c r="M652">
        <v>-243.4</v>
      </c>
      <c r="N652">
        <v>110270</v>
      </c>
      <c r="O652" t="s">
        <v>2804</v>
      </c>
      <c r="P652" t="s">
        <v>2584</v>
      </c>
      <c r="Q652" t="s">
        <v>2585</v>
      </c>
    </row>
    <row r="653" spans="1:17">
      <c r="A653">
        <v>1400</v>
      </c>
      <c r="B653">
        <v>537</v>
      </c>
      <c r="C653">
        <v>3.758</v>
      </c>
      <c r="D653">
        <v>0.22500000000000001</v>
      </c>
      <c r="E653">
        <v>0.28160000000000002</v>
      </c>
      <c r="F653">
        <v>86.13</v>
      </c>
      <c r="G653">
        <v>0</v>
      </c>
      <c r="H653">
        <v>8.57</v>
      </c>
      <c r="I653">
        <v>101.5</v>
      </c>
      <c r="J653">
        <v>352.94</v>
      </c>
      <c r="K653">
        <v>137.15</v>
      </c>
      <c r="L653">
        <v>-215.3</v>
      </c>
      <c r="M653">
        <v>-79.77</v>
      </c>
      <c r="N653">
        <v>96479</v>
      </c>
      <c r="O653" t="s">
        <v>2802</v>
      </c>
      <c r="P653" t="s">
        <v>1046</v>
      </c>
      <c r="Q653" t="s">
        <v>2815</v>
      </c>
    </row>
    <row r="654" spans="1:17">
      <c r="A654">
        <v>1401</v>
      </c>
      <c r="B654">
        <v>400.1</v>
      </c>
      <c r="C654">
        <v>5.37</v>
      </c>
      <c r="D654">
        <v>0.27439999999999998</v>
      </c>
      <c r="E654">
        <v>0.20019999999999999</v>
      </c>
      <c r="F654">
        <v>46.07</v>
      </c>
      <c r="G654">
        <v>0</v>
      </c>
      <c r="H654">
        <v>7.39</v>
      </c>
      <c r="I654">
        <v>70.23</v>
      </c>
      <c r="J654">
        <v>248.31</v>
      </c>
      <c r="K654">
        <v>131.66</v>
      </c>
      <c r="L654">
        <v>-184.1</v>
      </c>
      <c r="M654">
        <v>-112.8</v>
      </c>
      <c r="N654">
        <v>115106</v>
      </c>
      <c r="O654" t="s">
        <v>423</v>
      </c>
      <c r="P654" t="s">
        <v>577</v>
      </c>
      <c r="Q654" t="s">
        <v>2816</v>
      </c>
    </row>
    <row r="655" spans="1:17">
      <c r="A655">
        <v>1402</v>
      </c>
      <c r="B655">
        <v>466.7</v>
      </c>
      <c r="C655">
        <v>3.64</v>
      </c>
      <c r="D655">
        <v>0.26269999999999999</v>
      </c>
      <c r="E655">
        <v>0.28110000000000002</v>
      </c>
      <c r="F655">
        <v>74.12</v>
      </c>
      <c r="G655">
        <v>0</v>
      </c>
      <c r="H655">
        <v>7.54</v>
      </c>
      <c r="I655">
        <v>104.69</v>
      </c>
      <c r="J655">
        <v>307.58</v>
      </c>
      <c r="K655">
        <v>156.85</v>
      </c>
      <c r="L655">
        <v>-252.1</v>
      </c>
      <c r="M655">
        <v>-122.1</v>
      </c>
      <c r="N655">
        <v>60297</v>
      </c>
      <c r="O655" t="s">
        <v>423</v>
      </c>
      <c r="P655" t="s">
        <v>684</v>
      </c>
      <c r="Q655" t="s">
        <v>2817</v>
      </c>
    </row>
    <row r="656" spans="1:17">
      <c r="A656">
        <v>1403</v>
      </c>
      <c r="B656">
        <v>500.05</v>
      </c>
      <c r="C656">
        <v>2.88</v>
      </c>
      <c r="D656">
        <v>0.26740000000000003</v>
      </c>
      <c r="E656">
        <v>0.3387</v>
      </c>
      <c r="F656">
        <v>102.18</v>
      </c>
      <c r="G656">
        <v>0</v>
      </c>
      <c r="H656">
        <v>7.07</v>
      </c>
      <c r="I656">
        <v>141.78</v>
      </c>
      <c r="J656">
        <v>341.45</v>
      </c>
      <c r="K656">
        <v>187.65</v>
      </c>
      <c r="L656">
        <v>-318.99</v>
      </c>
      <c r="M656">
        <v>-124.8</v>
      </c>
      <c r="N656">
        <v>108203</v>
      </c>
      <c r="O656" t="s">
        <v>638</v>
      </c>
      <c r="P656" t="s">
        <v>785</v>
      </c>
      <c r="Q656" t="s">
        <v>786</v>
      </c>
    </row>
    <row r="657" spans="1:17">
      <c r="A657">
        <v>1404</v>
      </c>
      <c r="B657">
        <v>584.1</v>
      </c>
      <c r="C657">
        <v>2.46</v>
      </c>
      <c r="D657">
        <v>0.25209999999999999</v>
      </c>
      <c r="E657">
        <v>0.4476</v>
      </c>
      <c r="F657">
        <v>130.22999999999999</v>
      </c>
      <c r="G657">
        <v>0</v>
      </c>
      <c r="H657">
        <v>7.7</v>
      </c>
      <c r="I657">
        <v>170.44</v>
      </c>
      <c r="J657">
        <v>415.35</v>
      </c>
      <c r="K657">
        <v>177.95</v>
      </c>
      <c r="L657">
        <v>-333.9</v>
      </c>
      <c r="M657">
        <v>-88.27</v>
      </c>
      <c r="N657">
        <v>142961</v>
      </c>
      <c r="O657" t="s">
        <v>1242</v>
      </c>
      <c r="P657" t="s">
        <v>1025</v>
      </c>
      <c r="Q657" t="s">
        <v>1243</v>
      </c>
    </row>
    <row r="658" spans="1:17">
      <c r="A658">
        <v>1405</v>
      </c>
      <c r="B658">
        <v>497.1</v>
      </c>
      <c r="C658">
        <v>3.286</v>
      </c>
      <c r="D658">
        <v>0.27300000000000002</v>
      </c>
      <c r="E658">
        <v>0.2465</v>
      </c>
      <c r="F658">
        <v>88.15</v>
      </c>
      <c r="G658">
        <v>0</v>
      </c>
      <c r="H658">
        <v>7.37</v>
      </c>
      <c r="I658">
        <v>119.89</v>
      </c>
      <c r="J658">
        <v>328.35</v>
      </c>
      <c r="K658">
        <v>164.55</v>
      </c>
      <c r="L658">
        <v>-289</v>
      </c>
      <c r="M658">
        <v>-125.4</v>
      </c>
      <c r="N658">
        <v>1634044</v>
      </c>
      <c r="O658" t="s">
        <v>767</v>
      </c>
      <c r="P658" t="s">
        <v>765</v>
      </c>
      <c r="Q658" t="s">
        <v>768</v>
      </c>
    </row>
    <row r="659" spans="1:17">
      <c r="A659">
        <v>1406</v>
      </c>
      <c r="B659">
        <v>559</v>
      </c>
      <c r="C659">
        <v>2.5299999999999998</v>
      </c>
      <c r="D659">
        <v>0.26640000000000003</v>
      </c>
      <c r="E659">
        <v>0.43190000000000001</v>
      </c>
      <c r="F659">
        <v>130.22999999999999</v>
      </c>
      <c r="G659">
        <v>0</v>
      </c>
      <c r="H659">
        <v>7.31</v>
      </c>
      <c r="I659">
        <v>171.58</v>
      </c>
      <c r="J659">
        <v>394.2</v>
      </c>
      <c r="K659">
        <v>173.15</v>
      </c>
      <c r="L659">
        <v>-360.9</v>
      </c>
      <c r="M659">
        <v>-115.7</v>
      </c>
      <c r="N659">
        <v>6863587</v>
      </c>
      <c r="O659" t="s">
        <v>721</v>
      </c>
      <c r="P659" t="s">
        <v>1025</v>
      </c>
      <c r="Q659" t="s">
        <v>1081</v>
      </c>
    </row>
    <row r="660" spans="1:17">
      <c r="A660">
        <v>1407</v>
      </c>
      <c r="B660">
        <v>437.8</v>
      </c>
      <c r="C660">
        <v>4.4000000000000004</v>
      </c>
      <c r="D660">
        <v>0.2671</v>
      </c>
      <c r="E660">
        <v>0.23139999999999999</v>
      </c>
      <c r="F660">
        <v>60.1</v>
      </c>
      <c r="G660">
        <v>0</v>
      </c>
      <c r="H660">
        <v>7.51</v>
      </c>
      <c r="I660">
        <v>86.75</v>
      </c>
      <c r="J660">
        <v>280.5</v>
      </c>
      <c r="K660">
        <v>160</v>
      </c>
      <c r="L660">
        <v>-216.4</v>
      </c>
      <c r="M660">
        <v>-117.7</v>
      </c>
      <c r="N660">
        <v>540670</v>
      </c>
      <c r="O660" t="s">
        <v>638</v>
      </c>
      <c r="P660" t="s">
        <v>639</v>
      </c>
      <c r="Q660" t="s">
        <v>2818</v>
      </c>
    </row>
    <row r="661" spans="1:17">
      <c r="A661">
        <v>1408</v>
      </c>
      <c r="B661">
        <v>476.25</v>
      </c>
      <c r="C661">
        <v>3.8010000000000002</v>
      </c>
      <c r="D661">
        <v>0.26540000000000002</v>
      </c>
      <c r="E661">
        <v>0.27700000000000002</v>
      </c>
      <c r="F661">
        <v>74.12</v>
      </c>
      <c r="G661">
        <v>0</v>
      </c>
      <c r="H661">
        <v>7.66</v>
      </c>
      <c r="I661">
        <v>102.38</v>
      </c>
      <c r="J661">
        <v>312.29000000000002</v>
      </c>
      <c r="K661">
        <v>123.15</v>
      </c>
      <c r="L661">
        <v>-237.9</v>
      </c>
      <c r="M661">
        <v>-110.8</v>
      </c>
      <c r="N661">
        <v>557175</v>
      </c>
      <c r="O661" t="s">
        <v>707</v>
      </c>
      <c r="P661" t="s">
        <v>684</v>
      </c>
      <c r="Q661" t="s">
        <v>2819</v>
      </c>
    </row>
    <row r="662" spans="1:17">
      <c r="A662">
        <v>1410</v>
      </c>
      <c r="B662">
        <v>497</v>
      </c>
      <c r="C662">
        <v>3.41</v>
      </c>
      <c r="D662">
        <v>0.27150000000000002</v>
      </c>
      <c r="E662">
        <v>0.30780000000000002</v>
      </c>
      <c r="F662">
        <v>88.15</v>
      </c>
      <c r="G662">
        <v>0</v>
      </c>
      <c r="H662">
        <v>7.37</v>
      </c>
      <c r="I662">
        <v>121.64</v>
      </c>
      <c r="J662">
        <v>331.7</v>
      </c>
      <c r="K662">
        <v>-86</v>
      </c>
      <c r="L662">
        <v>-266</v>
      </c>
      <c r="M662">
        <v>-107</v>
      </c>
      <c r="N662">
        <v>625445</v>
      </c>
      <c r="O662" t="s">
        <v>568</v>
      </c>
      <c r="P662" t="s">
        <v>765</v>
      </c>
      <c r="Q662" t="s">
        <v>766</v>
      </c>
    </row>
    <row r="663" spans="1:17">
      <c r="A663">
        <v>1411</v>
      </c>
      <c r="B663">
        <v>464.48</v>
      </c>
      <c r="C663">
        <v>3.762</v>
      </c>
      <c r="D663">
        <v>0.26889999999999997</v>
      </c>
      <c r="E663">
        <v>0.2656</v>
      </c>
      <c r="F663">
        <v>74.12</v>
      </c>
      <c r="G663">
        <v>0</v>
      </c>
      <c r="H663">
        <v>7.49</v>
      </c>
      <c r="I663">
        <v>103.87</v>
      </c>
      <c r="J663">
        <v>303.92</v>
      </c>
      <c r="K663">
        <v>127.93</v>
      </c>
      <c r="L663">
        <v>-252</v>
      </c>
      <c r="M663">
        <v>-120.9</v>
      </c>
      <c r="N663">
        <v>598538</v>
      </c>
      <c r="O663" t="s">
        <v>683</v>
      </c>
      <c r="P663" t="s">
        <v>684</v>
      </c>
      <c r="Q663" t="s">
        <v>2820</v>
      </c>
    </row>
    <row r="664" spans="1:17">
      <c r="A664">
        <v>1412</v>
      </c>
      <c r="B664">
        <v>658</v>
      </c>
      <c r="C664">
        <v>1.8160000000000001</v>
      </c>
      <c r="D664">
        <v>0.23169999999999999</v>
      </c>
      <c r="E664">
        <v>0.71050000000000002</v>
      </c>
      <c r="F664">
        <v>186.34</v>
      </c>
      <c r="G664">
        <v>0</v>
      </c>
      <c r="H664">
        <v>8.0500000000000007</v>
      </c>
      <c r="I664">
        <v>235.98</v>
      </c>
      <c r="J664">
        <v>500.15</v>
      </c>
      <c r="K664">
        <v>230.15</v>
      </c>
      <c r="L664">
        <v>-415.5</v>
      </c>
      <c r="M664">
        <v>-54.7</v>
      </c>
      <c r="N664">
        <v>112583</v>
      </c>
      <c r="O664" t="s">
        <v>633</v>
      </c>
      <c r="P664" t="s">
        <v>1693</v>
      </c>
      <c r="Q664" t="s">
        <v>1694</v>
      </c>
    </row>
    <row r="665" spans="1:17">
      <c r="A665">
        <v>1413</v>
      </c>
      <c r="B665">
        <v>512.74</v>
      </c>
      <c r="C665">
        <v>3.371</v>
      </c>
      <c r="D665">
        <v>0.26569999999999999</v>
      </c>
      <c r="E665">
        <v>0.313</v>
      </c>
      <c r="F665">
        <v>88.15</v>
      </c>
      <c r="G665">
        <v>0</v>
      </c>
      <c r="H665">
        <v>7.74</v>
      </c>
      <c r="I665">
        <v>119.31</v>
      </c>
      <c r="J665">
        <v>343.35</v>
      </c>
      <c r="K665">
        <v>158.15</v>
      </c>
      <c r="L665">
        <v>-258.10000000000002</v>
      </c>
      <c r="M665">
        <v>-101.7</v>
      </c>
      <c r="N665">
        <v>628284</v>
      </c>
      <c r="O665" t="s">
        <v>844</v>
      </c>
      <c r="P665" t="s">
        <v>765</v>
      </c>
      <c r="Q665" t="s">
        <v>845</v>
      </c>
    </row>
    <row r="666" spans="1:17">
      <c r="A666">
        <v>1414</v>
      </c>
      <c r="B666">
        <v>463</v>
      </c>
      <c r="C666">
        <v>4.25</v>
      </c>
      <c r="D666">
        <v>0.27600000000000002</v>
      </c>
      <c r="E666">
        <v>0.29110000000000003</v>
      </c>
      <c r="F666">
        <v>70.09</v>
      </c>
      <c r="G666">
        <v>0</v>
      </c>
      <c r="H666">
        <v>7.81</v>
      </c>
      <c r="I666">
        <v>95.87</v>
      </c>
      <c r="J666">
        <v>312.14999999999998</v>
      </c>
      <c r="K666">
        <v>172.05</v>
      </c>
      <c r="L666">
        <v>-14</v>
      </c>
      <c r="M666">
        <v>40.619999999999997</v>
      </c>
      <c r="N666">
        <v>109933</v>
      </c>
      <c r="O666" t="s">
        <v>568</v>
      </c>
      <c r="P666" t="s">
        <v>678</v>
      </c>
      <c r="Q666" t="s">
        <v>2821</v>
      </c>
    </row>
    <row r="667" spans="1:17">
      <c r="A667">
        <v>1415</v>
      </c>
      <c r="B667">
        <v>500.55</v>
      </c>
      <c r="C667">
        <v>3.37</v>
      </c>
      <c r="D667">
        <v>0.26490000000000002</v>
      </c>
      <c r="E667">
        <v>0.3473</v>
      </c>
      <c r="F667">
        <v>88.15</v>
      </c>
      <c r="G667">
        <v>0</v>
      </c>
      <c r="H667">
        <v>7.53</v>
      </c>
      <c r="I667">
        <v>121.74</v>
      </c>
      <c r="J667">
        <v>336.28</v>
      </c>
      <c r="K667">
        <v>145.65</v>
      </c>
      <c r="L667">
        <v>-272.2</v>
      </c>
      <c r="M667">
        <v>-115.2</v>
      </c>
      <c r="N667">
        <v>628320</v>
      </c>
      <c r="O667" t="s">
        <v>848</v>
      </c>
      <c r="P667" t="s">
        <v>765</v>
      </c>
      <c r="Q667" t="s">
        <v>2493</v>
      </c>
    </row>
    <row r="668" spans="1:17">
      <c r="A668">
        <v>1418</v>
      </c>
      <c r="B668">
        <v>736</v>
      </c>
      <c r="C668">
        <v>1.3</v>
      </c>
      <c r="D668">
        <v>0.2167</v>
      </c>
      <c r="E668">
        <v>1.0021</v>
      </c>
      <c r="F668">
        <v>270.5</v>
      </c>
      <c r="G668">
        <v>0</v>
      </c>
      <c r="H668">
        <v>-86</v>
      </c>
      <c r="I668">
        <v>334.74</v>
      </c>
      <c r="J668">
        <v>591</v>
      </c>
      <c r="K668">
        <v>-86</v>
      </c>
      <c r="L668">
        <v>-539</v>
      </c>
      <c r="M668">
        <v>-6.6</v>
      </c>
      <c r="N668">
        <v>2456271</v>
      </c>
      <c r="O668" t="s">
        <v>1861</v>
      </c>
      <c r="P668" t="s">
        <v>2060</v>
      </c>
      <c r="Q668" t="s">
        <v>2061</v>
      </c>
    </row>
    <row r="669" spans="1:17">
      <c r="A669">
        <v>1420</v>
      </c>
      <c r="B669">
        <v>723</v>
      </c>
      <c r="C669">
        <v>2.9</v>
      </c>
      <c r="D669">
        <v>0.23250000000000001</v>
      </c>
      <c r="E669">
        <v>0.48459999999999998</v>
      </c>
      <c r="F669">
        <v>148.21</v>
      </c>
      <c r="G669">
        <v>0</v>
      </c>
      <c r="H669">
        <v>9.7200000000000006</v>
      </c>
      <c r="I669">
        <v>150.69</v>
      </c>
      <c r="J669">
        <v>508.65</v>
      </c>
      <c r="K669">
        <v>294.5</v>
      </c>
      <c r="L669">
        <v>-41.5</v>
      </c>
      <c r="M669">
        <v>101</v>
      </c>
      <c r="N669">
        <v>104461</v>
      </c>
      <c r="O669" t="s">
        <v>545</v>
      </c>
      <c r="P669" t="s">
        <v>2009</v>
      </c>
      <c r="Q669" t="s">
        <v>2010</v>
      </c>
    </row>
    <row r="670" spans="1:17">
      <c r="A670">
        <v>1421</v>
      </c>
      <c r="B670">
        <v>587</v>
      </c>
      <c r="C670">
        <v>5.2080000000000002</v>
      </c>
      <c r="D670">
        <v>0.25390000000000001</v>
      </c>
      <c r="E670">
        <v>0.27929999999999999</v>
      </c>
      <c r="F670">
        <v>88.11</v>
      </c>
      <c r="G670">
        <v>0</v>
      </c>
      <c r="H670">
        <v>10.039999999999999</v>
      </c>
      <c r="I670">
        <v>85.66</v>
      </c>
      <c r="J670">
        <v>374.15</v>
      </c>
      <c r="K670">
        <v>284.95</v>
      </c>
      <c r="L670">
        <v>-315.10000000000002</v>
      </c>
      <c r="M670">
        <v>-181.6</v>
      </c>
      <c r="N670">
        <v>123911</v>
      </c>
      <c r="O670" t="s">
        <v>1257</v>
      </c>
      <c r="P670" t="s">
        <v>887</v>
      </c>
      <c r="Q670" t="s">
        <v>1258</v>
      </c>
    </row>
    <row r="671" spans="1:17">
      <c r="A671">
        <v>1422</v>
      </c>
      <c r="B671">
        <v>604</v>
      </c>
      <c r="C671">
        <v>5.82</v>
      </c>
      <c r="D671">
        <v>0.2387</v>
      </c>
      <c r="E671">
        <v>0.3337</v>
      </c>
      <c r="F671">
        <v>90.08</v>
      </c>
      <c r="G671">
        <v>0</v>
      </c>
      <c r="H671">
        <v>10.89</v>
      </c>
      <c r="I671">
        <v>76.680000000000007</v>
      </c>
      <c r="J671">
        <v>387.65</v>
      </c>
      <c r="K671">
        <v>337.04</v>
      </c>
      <c r="L671">
        <v>-465.9</v>
      </c>
      <c r="M671">
        <v>-337.2</v>
      </c>
      <c r="N671">
        <v>110883</v>
      </c>
      <c r="O671" t="s">
        <v>368</v>
      </c>
      <c r="P671" t="s">
        <v>1355</v>
      </c>
      <c r="Q671" t="s">
        <v>1356</v>
      </c>
    </row>
    <row r="672" spans="1:17">
      <c r="A672">
        <v>1423</v>
      </c>
      <c r="B672">
        <v>550</v>
      </c>
      <c r="C672">
        <v>2.323</v>
      </c>
      <c r="D672">
        <v>0.26800000000000002</v>
      </c>
      <c r="E672">
        <v>0.29849999999999999</v>
      </c>
      <c r="F672">
        <v>130.22999999999999</v>
      </c>
      <c r="G672">
        <v>0</v>
      </c>
      <c r="H672">
        <v>6.98</v>
      </c>
      <c r="I672">
        <v>171.33</v>
      </c>
      <c r="J672">
        <v>380.36</v>
      </c>
      <c r="K672">
        <v>195</v>
      </c>
      <c r="L672">
        <v>-364</v>
      </c>
      <c r="M672">
        <v>-96.1</v>
      </c>
      <c r="N672">
        <v>6163662</v>
      </c>
      <c r="O672" t="s">
        <v>1024</v>
      </c>
      <c r="P672" t="s">
        <v>1025</v>
      </c>
      <c r="Q672" t="s">
        <v>1026</v>
      </c>
    </row>
    <row r="673" spans="1:17">
      <c r="A673">
        <v>1424</v>
      </c>
      <c r="B673">
        <v>707</v>
      </c>
      <c r="C673">
        <v>1.44</v>
      </c>
      <c r="D673">
        <v>0.22059999999999999</v>
      </c>
      <c r="E673">
        <v>0.93359999999999999</v>
      </c>
      <c r="F673">
        <v>242.45</v>
      </c>
      <c r="G673">
        <v>0</v>
      </c>
      <c r="H673">
        <v>8.07</v>
      </c>
      <c r="I673">
        <v>301.97000000000003</v>
      </c>
      <c r="J673">
        <v>559.65</v>
      </c>
      <c r="K673">
        <v>265.55</v>
      </c>
      <c r="L673">
        <v>-498.1</v>
      </c>
      <c r="M673">
        <v>-21.6</v>
      </c>
      <c r="N673">
        <v>629823</v>
      </c>
      <c r="O673" t="s">
        <v>507</v>
      </c>
      <c r="P673" t="s">
        <v>1936</v>
      </c>
      <c r="Q673" t="s">
        <v>1937</v>
      </c>
    </row>
    <row r="674" spans="1:17">
      <c r="A674">
        <v>1425</v>
      </c>
      <c r="B674">
        <v>622</v>
      </c>
      <c r="C674">
        <v>2.09</v>
      </c>
      <c r="D674">
        <v>0.22750000000000001</v>
      </c>
      <c r="E674">
        <v>0.60119999999999996</v>
      </c>
      <c r="F674">
        <v>158.28</v>
      </c>
      <c r="G674">
        <v>0</v>
      </c>
      <c r="H674">
        <v>7.57</v>
      </c>
      <c r="I674">
        <v>202.96</v>
      </c>
      <c r="J674">
        <v>460</v>
      </c>
      <c r="K674">
        <v>204.15</v>
      </c>
      <c r="L674">
        <v>-374</v>
      </c>
      <c r="M674">
        <v>-71.2</v>
      </c>
      <c r="N674">
        <v>693652</v>
      </c>
      <c r="O674" t="s">
        <v>721</v>
      </c>
      <c r="P674" t="s">
        <v>1473</v>
      </c>
      <c r="Q674" t="s">
        <v>1474</v>
      </c>
    </row>
    <row r="675" spans="1:17">
      <c r="A675">
        <v>1426</v>
      </c>
      <c r="B675">
        <v>498</v>
      </c>
      <c r="C675">
        <v>3.41</v>
      </c>
      <c r="D675">
        <v>0.27100000000000002</v>
      </c>
      <c r="E675">
        <v>0.30620000000000003</v>
      </c>
      <c r="F675">
        <v>88.15</v>
      </c>
      <c r="G675">
        <v>0</v>
      </c>
      <c r="H675">
        <v>7.55</v>
      </c>
      <c r="I675">
        <v>119.53</v>
      </c>
      <c r="J675">
        <v>332.15</v>
      </c>
      <c r="K675">
        <v>-86</v>
      </c>
      <c r="L675">
        <v>-270</v>
      </c>
      <c r="M675">
        <v>-111.4</v>
      </c>
      <c r="N675">
        <v>6795875</v>
      </c>
      <c r="O675" t="s">
        <v>568</v>
      </c>
      <c r="P675" t="s">
        <v>765</v>
      </c>
      <c r="Q675" t="s">
        <v>775</v>
      </c>
    </row>
    <row r="676" spans="1:17">
      <c r="A676">
        <v>1427</v>
      </c>
      <c r="B676">
        <v>534</v>
      </c>
      <c r="C676">
        <v>3.04</v>
      </c>
      <c r="D676">
        <v>0.2616</v>
      </c>
      <c r="E676">
        <v>0.29809999999999998</v>
      </c>
      <c r="F676">
        <v>102.18</v>
      </c>
      <c r="G676">
        <v>0</v>
      </c>
      <c r="H676">
        <v>7.55</v>
      </c>
      <c r="I676">
        <v>133.34</v>
      </c>
      <c r="J676">
        <v>359.45</v>
      </c>
      <c r="K676">
        <v>-86</v>
      </c>
      <c r="L676">
        <v>-299</v>
      </c>
      <c r="M676">
        <v>-104</v>
      </c>
      <c r="N676">
        <v>994058</v>
      </c>
      <c r="O676" t="s">
        <v>568</v>
      </c>
      <c r="P676" t="s">
        <v>785</v>
      </c>
      <c r="Q676" t="s">
        <v>925</v>
      </c>
    </row>
    <row r="677" spans="1:17">
      <c r="A677">
        <v>1428</v>
      </c>
      <c r="B677">
        <v>509.4</v>
      </c>
      <c r="C677">
        <v>2.9340000000000002</v>
      </c>
      <c r="D677">
        <v>0.28260000000000002</v>
      </c>
      <c r="E677">
        <v>0.31619999999999998</v>
      </c>
      <c r="F677">
        <v>102.18</v>
      </c>
      <c r="G677">
        <v>0</v>
      </c>
      <c r="H677">
        <v>7.24</v>
      </c>
      <c r="I677">
        <v>138.99</v>
      </c>
      <c r="J677">
        <v>345.65</v>
      </c>
      <c r="K677">
        <v>176.15</v>
      </c>
      <c r="L677">
        <v>-316.5</v>
      </c>
      <c r="M677">
        <v>-143</v>
      </c>
      <c r="N677">
        <v>637923</v>
      </c>
      <c r="O677" t="s">
        <v>833</v>
      </c>
      <c r="P677" t="s">
        <v>785</v>
      </c>
      <c r="Q677" t="s">
        <v>834</v>
      </c>
    </row>
    <row r="678" spans="1:17">
      <c r="A678">
        <v>1429</v>
      </c>
      <c r="B678">
        <v>546.49</v>
      </c>
      <c r="C678">
        <v>3.0419999999999998</v>
      </c>
      <c r="D678">
        <v>0.26240000000000002</v>
      </c>
      <c r="E678">
        <v>0.34420000000000001</v>
      </c>
      <c r="F678">
        <v>102.18</v>
      </c>
      <c r="G678">
        <v>0</v>
      </c>
      <c r="H678">
        <v>7.8</v>
      </c>
      <c r="I678">
        <v>134.97</v>
      </c>
      <c r="J678">
        <v>372.15</v>
      </c>
      <c r="K678">
        <v>148.15</v>
      </c>
      <c r="L678">
        <v>-279.10000000000002</v>
      </c>
      <c r="M678">
        <v>-93.5</v>
      </c>
      <c r="N678">
        <v>628808</v>
      </c>
      <c r="O678" t="s">
        <v>474</v>
      </c>
      <c r="P678" t="s">
        <v>785</v>
      </c>
      <c r="Q678" t="s">
        <v>1009</v>
      </c>
    </row>
    <row r="679" spans="1:17">
      <c r="A679">
        <v>1430</v>
      </c>
      <c r="B679">
        <v>546</v>
      </c>
      <c r="C679">
        <v>2.74</v>
      </c>
      <c r="D679">
        <v>0.26350000000000001</v>
      </c>
      <c r="E679">
        <v>0.3382</v>
      </c>
      <c r="F679">
        <v>116.2</v>
      </c>
      <c r="G679">
        <v>0</v>
      </c>
      <c r="H679">
        <v>7.35</v>
      </c>
      <c r="I679">
        <v>152.88</v>
      </c>
      <c r="J679">
        <v>374.15</v>
      </c>
      <c r="K679">
        <v>190</v>
      </c>
      <c r="L679">
        <v>-332.4</v>
      </c>
      <c r="M679">
        <v>-109.4</v>
      </c>
      <c r="N679">
        <v>919948</v>
      </c>
      <c r="O679" t="s">
        <v>474</v>
      </c>
      <c r="P679" t="s">
        <v>1006</v>
      </c>
      <c r="Q679" t="s">
        <v>1007</v>
      </c>
    </row>
    <row r="680" spans="1:17">
      <c r="A680">
        <v>1431</v>
      </c>
      <c r="B680">
        <v>480.6</v>
      </c>
      <c r="C680">
        <v>3.95</v>
      </c>
      <c r="D680">
        <v>0.21060000000000001</v>
      </c>
      <c r="E680">
        <v>0.28560000000000002</v>
      </c>
      <c r="F680">
        <v>76.099999999999994</v>
      </c>
      <c r="G680">
        <v>0</v>
      </c>
      <c r="H680">
        <v>8.52</v>
      </c>
      <c r="I680">
        <v>89.13</v>
      </c>
      <c r="J680">
        <v>315</v>
      </c>
      <c r="K680">
        <v>168</v>
      </c>
      <c r="L680">
        <v>-348.2</v>
      </c>
      <c r="M680">
        <v>-226.3</v>
      </c>
      <c r="N680">
        <v>109875</v>
      </c>
      <c r="O680" t="s">
        <v>724</v>
      </c>
      <c r="P680" t="s">
        <v>725</v>
      </c>
      <c r="Q680" t="s">
        <v>726</v>
      </c>
    </row>
    <row r="681" spans="1:17">
      <c r="A681">
        <v>1432</v>
      </c>
      <c r="B681">
        <v>539.70000000000005</v>
      </c>
      <c r="C681">
        <v>3.22</v>
      </c>
      <c r="D681">
        <v>0.26529999999999998</v>
      </c>
      <c r="E681">
        <v>0.4869</v>
      </c>
      <c r="F681">
        <v>118.18</v>
      </c>
      <c r="G681">
        <v>0</v>
      </c>
      <c r="H681">
        <v>7.73</v>
      </c>
      <c r="I681">
        <v>143.86000000000001</v>
      </c>
      <c r="J681">
        <v>374.82</v>
      </c>
      <c r="K681">
        <v>173.15</v>
      </c>
      <c r="L681">
        <v>-453.5</v>
      </c>
      <c r="M681">
        <v>-245</v>
      </c>
      <c r="N681">
        <v>105577</v>
      </c>
      <c r="O681" t="s">
        <v>823</v>
      </c>
      <c r="P681" t="s">
        <v>958</v>
      </c>
      <c r="Q681" t="s">
        <v>959</v>
      </c>
    </row>
    <row r="682" spans="1:17">
      <c r="A682">
        <v>1441</v>
      </c>
      <c r="B682">
        <v>469.15</v>
      </c>
      <c r="C682">
        <v>7.19</v>
      </c>
      <c r="D682">
        <v>0.2586</v>
      </c>
      <c r="E682">
        <v>0.19739999999999999</v>
      </c>
      <c r="F682">
        <v>44.05</v>
      </c>
      <c r="G682">
        <v>0</v>
      </c>
      <c r="H682">
        <v>10.62</v>
      </c>
      <c r="I682">
        <v>49.69</v>
      </c>
      <c r="J682">
        <v>283.85000000000002</v>
      </c>
      <c r="K682">
        <v>161.44999999999999</v>
      </c>
      <c r="L682">
        <v>-52.63</v>
      </c>
      <c r="M682">
        <v>-13.24</v>
      </c>
      <c r="N682">
        <v>75218</v>
      </c>
      <c r="O682" t="s">
        <v>423</v>
      </c>
      <c r="P682" t="s">
        <v>688</v>
      </c>
      <c r="Q682" t="s">
        <v>2822</v>
      </c>
    </row>
    <row r="683" spans="1:17">
      <c r="A683">
        <v>1442</v>
      </c>
      <c r="B683">
        <v>482.25</v>
      </c>
      <c r="C683">
        <v>4.92</v>
      </c>
      <c r="D683">
        <v>0.22819999999999999</v>
      </c>
      <c r="E683">
        <v>0.26829999999999998</v>
      </c>
      <c r="F683">
        <v>58.08</v>
      </c>
      <c r="G683">
        <v>0</v>
      </c>
      <c r="H683">
        <v>9.31</v>
      </c>
      <c r="I683">
        <v>70.55</v>
      </c>
      <c r="J683">
        <v>307.05</v>
      </c>
      <c r="K683">
        <v>161.22</v>
      </c>
      <c r="L683">
        <v>-93.72</v>
      </c>
      <c r="M683">
        <v>-25.8</v>
      </c>
      <c r="N683">
        <v>75569</v>
      </c>
      <c r="O683" t="s">
        <v>423</v>
      </c>
      <c r="P683" t="s">
        <v>634</v>
      </c>
      <c r="Q683" t="s">
        <v>2823</v>
      </c>
    </row>
    <row r="684" spans="1:17">
      <c r="A684">
        <v>1443</v>
      </c>
      <c r="B684">
        <v>520</v>
      </c>
      <c r="C684">
        <v>5.75</v>
      </c>
      <c r="D684">
        <v>0.25</v>
      </c>
      <c r="E684">
        <v>0.20050000000000001</v>
      </c>
      <c r="F684">
        <v>58.08</v>
      </c>
      <c r="G684">
        <v>0</v>
      </c>
      <c r="H684">
        <v>10.01</v>
      </c>
      <c r="I684">
        <v>64.98</v>
      </c>
      <c r="J684">
        <v>321</v>
      </c>
      <c r="K684">
        <v>-86</v>
      </c>
      <c r="L684">
        <v>-75.06</v>
      </c>
      <c r="M684">
        <v>-1.66</v>
      </c>
      <c r="N684">
        <v>503300</v>
      </c>
      <c r="O684" t="s">
        <v>876</v>
      </c>
      <c r="P684" t="s">
        <v>634</v>
      </c>
      <c r="Q684" t="s">
        <v>877</v>
      </c>
    </row>
    <row r="685" spans="1:17">
      <c r="A685">
        <v>1445</v>
      </c>
      <c r="B685">
        <v>475.15</v>
      </c>
      <c r="C685">
        <v>4.07</v>
      </c>
      <c r="D685">
        <v>0.27100000000000002</v>
      </c>
      <c r="E685">
        <v>0.26650000000000001</v>
      </c>
      <c r="F685">
        <v>72.11</v>
      </c>
      <c r="G685">
        <v>0</v>
      </c>
      <c r="H685">
        <v>7.91</v>
      </c>
      <c r="I685">
        <v>95.83</v>
      </c>
      <c r="J685">
        <v>308.7</v>
      </c>
      <c r="K685">
        <v>157.35</v>
      </c>
      <c r="L685">
        <v>-140.9</v>
      </c>
      <c r="M685">
        <v>-51.73</v>
      </c>
      <c r="N685">
        <v>109922</v>
      </c>
      <c r="O685" t="s">
        <v>705</v>
      </c>
      <c r="P685" t="s">
        <v>706</v>
      </c>
      <c r="Q685" t="s">
        <v>2824</v>
      </c>
    </row>
    <row r="686" spans="1:17">
      <c r="A686">
        <v>1446</v>
      </c>
      <c r="B686">
        <v>530.6</v>
      </c>
      <c r="C686">
        <v>3.028</v>
      </c>
      <c r="D686">
        <v>0.26219999999999999</v>
      </c>
      <c r="E686">
        <v>0.36880000000000002</v>
      </c>
      <c r="F686">
        <v>102.18</v>
      </c>
      <c r="G686">
        <v>0</v>
      </c>
      <c r="H686">
        <v>7.6</v>
      </c>
      <c r="I686">
        <v>137.65</v>
      </c>
      <c r="J686">
        <v>362.79</v>
      </c>
      <c r="K686">
        <v>149.94999999999999</v>
      </c>
      <c r="L686">
        <v>-292.3</v>
      </c>
      <c r="M686">
        <v>-105.5</v>
      </c>
      <c r="N686">
        <v>111433</v>
      </c>
      <c r="O686" t="s">
        <v>911</v>
      </c>
      <c r="P686" t="s">
        <v>785</v>
      </c>
      <c r="Q686" t="s">
        <v>912</v>
      </c>
    </row>
    <row r="687" spans="1:17">
      <c r="A687">
        <v>1447</v>
      </c>
      <c r="B687">
        <v>536</v>
      </c>
      <c r="C687">
        <v>3.12</v>
      </c>
      <c r="D687">
        <v>0.25480000000000003</v>
      </c>
      <c r="E687">
        <v>0.38019999999999998</v>
      </c>
      <c r="F687">
        <v>100.16</v>
      </c>
      <c r="G687">
        <v>0</v>
      </c>
      <c r="H687">
        <v>8.0500000000000007</v>
      </c>
      <c r="I687">
        <v>129.4</v>
      </c>
      <c r="J687">
        <v>366.97</v>
      </c>
      <c r="K687">
        <v>181.15</v>
      </c>
      <c r="L687">
        <v>-183</v>
      </c>
      <c r="M687">
        <v>-36.200000000000003</v>
      </c>
      <c r="N687">
        <v>111342</v>
      </c>
      <c r="O687" t="s">
        <v>633</v>
      </c>
      <c r="P687" t="s">
        <v>935</v>
      </c>
      <c r="Q687" t="s">
        <v>936</v>
      </c>
    </row>
    <row r="688" spans="1:17">
      <c r="A688">
        <v>1448</v>
      </c>
      <c r="B688">
        <v>531</v>
      </c>
      <c r="C688">
        <v>2.99</v>
      </c>
      <c r="D688">
        <v>0.25869999999999999</v>
      </c>
      <c r="E688">
        <v>0.38540000000000002</v>
      </c>
      <c r="F688">
        <v>102.18</v>
      </c>
      <c r="G688">
        <v>0</v>
      </c>
      <c r="H688">
        <v>7.68</v>
      </c>
      <c r="I688">
        <v>137.19</v>
      </c>
      <c r="J688">
        <v>365.35</v>
      </c>
      <c r="K688">
        <v>170.15</v>
      </c>
      <c r="L688">
        <v>-292.39999999999998</v>
      </c>
      <c r="M688">
        <v>-107</v>
      </c>
      <c r="N688">
        <v>628819</v>
      </c>
      <c r="O688" t="s">
        <v>2516</v>
      </c>
      <c r="P688" t="s">
        <v>785</v>
      </c>
      <c r="Q688" t="s">
        <v>2586</v>
      </c>
    </row>
    <row r="689" spans="1:17">
      <c r="A689">
        <v>1450</v>
      </c>
      <c r="B689">
        <v>746.8</v>
      </c>
      <c r="C689">
        <v>3.29</v>
      </c>
      <c r="D689">
        <v>0.25700000000000001</v>
      </c>
      <c r="E689">
        <v>0.90580000000000005</v>
      </c>
      <c r="F689">
        <v>152.19</v>
      </c>
      <c r="G689">
        <v>0</v>
      </c>
      <c r="H689">
        <v>11.86</v>
      </c>
      <c r="I689">
        <v>149.9</v>
      </c>
      <c r="J689">
        <v>555.29999999999995</v>
      </c>
      <c r="K689">
        <v>259.39999999999998</v>
      </c>
      <c r="L689">
        <v>-165</v>
      </c>
      <c r="M689">
        <v>99.69</v>
      </c>
      <c r="N689">
        <v>60956334</v>
      </c>
      <c r="O689" t="s">
        <v>368</v>
      </c>
      <c r="P689" t="s">
        <v>1515</v>
      </c>
      <c r="Q689" t="s">
        <v>2093</v>
      </c>
    </row>
    <row r="690" spans="1:17">
      <c r="A690">
        <v>1451</v>
      </c>
      <c r="B690">
        <v>762.5</v>
      </c>
      <c r="C690">
        <v>2.944</v>
      </c>
      <c r="D690">
        <v>0.249</v>
      </c>
      <c r="E690">
        <v>0.95699999999999996</v>
      </c>
      <c r="F690">
        <v>166.22</v>
      </c>
      <c r="G690">
        <v>0</v>
      </c>
      <c r="H690">
        <v>11.83</v>
      </c>
      <c r="I690">
        <v>160</v>
      </c>
      <c r="J690">
        <v>574.9</v>
      </c>
      <c r="K690">
        <v>266.7</v>
      </c>
      <c r="L690">
        <v>-191.4</v>
      </c>
      <c r="M690">
        <v>104.4</v>
      </c>
      <c r="N690">
        <v>99172631</v>
      </c>
      <c r="O690" t="s">
        <v>368</v>
      </c>
      <c r="P690" t="s">
        <v>2152</v>
      </c>
      <c r="Q690" t="s">
        <v>2153</v>
      </c>
    </row>
    <row r="691" spans="1:17">
      <c r="A691">
        <v>1454</v>
      </c>
      <c r="B691">
        <v>651</v>
      </c>
      <c r="C691">
        <v>2.31</v>
      </c>
      <c r="D691">
        <v>0.2339</v>
      </c>
      <c r="E691">
        <v>0.79149999999999998</v>
      </c>
      <c r="F691">
        <v>178.23</v>
      </c>
      <c r="G691">
        <v>0</v>
      </c>
      <c r="H691">
        <v>9.3699999999999992</v>
      </c>
      <c r="I691">
        <v>181.96</v>
      </c>
      <c r="J691">
        <v>489.15</v>
      </c>
      <c r="K691">
        <v>228.15</v>
      </c>
      <c r="L691">
        <v>-676</v>
      </c>
      <c r="M691">
        <v>-375</v>
      </c>
      <c r="N691">
        <v>112492</v>
      </c>
      <c r="O691" t="s">
        <v>787</v>
      </c>
      <c r="P691" t="s">
        <v>1637</v>
      </c>
      <c r="Q691" t="s">
        <v>1638</v>
      </c>
    </row>
    <row r="692" spans="1:17">
      <c r="A692">
        <v>1455</v>
      </c>
      <c r="B692">
        <v>536.15</v>
      </c>
      <c r="C692">
        <v>3.871</v>
      </c>
      <c r="D692">
        <v>0.23499999999999999</v>
      </c>
      <c r="E692">
        <v>0.34749999999999998</v>
      </c>
      <c r="F692">
        <v>90.12</v>
      </c>
      <c r="G692">
        <v>0</v>
      </c>
      <c r="H692">
        <v>8.64</v>
      </c>
      <c r="I692">
        <v>104.89</v>
      </c>
      <c r="J692">
        <v>358</v>
      </c>
      <c r="K692">
        <v>215.15</v>
      </c>
      <c r="L692">
        <v>-346</v>
      </c>
      <c r="M692">
        <v>-198.16</v>
      </c>
      <c r="N692">
        <v>110714</v>
      </c>
      <c r="O692" t="s">
        <v>937</v>
      </c>
      <c r="P692" t="s">
        <v>938</v>
      </c>
      <c r="Q692" t="s">
        <v>939</v>
      </c>
    </row>
    <row r="693" spans="1:17">
      <c r="A693">
        <v>1456</v>
      </c>
      <c r="B693">
        <v>608</v>
      </c>
      <c r="C693">
        <v>2.86</v>
      </c>
      <c r="D693">
        <v>0.23880000000000001</v>
      </c>
      <c r="E693">
        <v>0.57750000000000001</v>
      </c>
      <c r="F693">
        <v>134.18</v>
      </c>
      <c r="G693">
        <v>0</v>
      </c>
      <c r="H693">
        <v>9.1300000000000008</v>
      </c>
      <c r="I693">
        <v>142.88999999999999</v>
      </c>
      <c r="J693">
        <v>432.91</v>
      </c>
      <c r="K693">
        <v>203.15</v>
      </c>
      <c r="L693">
        <v>-511</v>
      </c>
      <c r="M693">
        <v>-286</v>
      </c>
      <c r="N693">
        <v>111966</v>
      </c>
      <c r="O693" t="s">
        <v>757</v>
      </c>
      <c r="P693" t="s">
        <v>1382</v>
      </c>
      <c r="Q693" t="s">
        <v>1383</v>
      </c>
    </row>
    <row r="694" spans="1:17">
      <c r="A694">
        <v>1457</v>
      </c>
      <c r="B694">
        <v>705</v>
      </c>
      <c r="C694">
        <v>1.94</v>
      </c>
      <c r="D694">
        <v>0.22309999999999999</v>
      </c>
      <c r="E694">
        <v>0.96519999999999995</v>
      </c>
      <c r="F694">
        <v>222.28</v>
      </c>
      <c r="G694">
        <v>0</v>
      </c>
      <c r="H694">
        <v>8.83</v>
      </c>
      <c r="I694">
        <v>221.05</v>
      </c>
      <c r="J694">
        <v>548.95000000000005</v>
      </c>
      <c r="K694">
        <v>243.45</v>
      </c>
      <c r="L694">
        <v>-884</v>
      </c>
      <c r="M694">
        <v>-503</v>
      </c>
      <c r="N694">
        <v>143248</v>
      </c>
      <c r="O694" t="s">
        <v>545</v>
      </c>
      <c r="P694" t="s">
        <v>1927</v>
      </c>
      <c r="Q694" t="s">
        <v>1928</v>
      </c>
    </row>
    <row r="695" spans="1:17">
      <c r="A695">
        <v>1458</v>
      </c>
      <c r="B695">
        <v>624</v>
      </c>
      <c r="C695">
        <v>2.37</v>
      </c>
      <c r="D695">
        <v>0.2412</v>
      </c>
      <c r="E695">
        <v>0.68069999999999997</v>
      </c>
      <c r="F695">
        <v>162.22999999999999</v>
      </c>
      <c r="G695">
        <v>0</v>
      </c>
      <c r="H695">
        <v>8.6300000000000008</v>
      </c>
      <c r="I695">
        <v>179.48</v>
      </c>
      <c r="J695">
        <v>462.15</v>
      </c>
      <c r="K695">
        <v>229.15</v>
      </c>
      <c r="L695">
        <v>-580</v>
      </c>
      <c r="M695">
        <v>-299</v>
      </c>
      <c r="N695">
        <v>112367</v>
      </c>
      <c r="O695" t="s">
        <v>568</v>
      </c>
      <c r="P695" t="s">
        <v>1484</v>
      </c>
      <c r="Q695" t="s">
        <v>1485</v>
      </c>
    </row>
    <row r="696" spans="1:17">
      <c r="A696">
        <v>1459</v>
      </c>
      <c r="B696">
        <v>680</v>
      </c>
      <c r="C696">
        <v>1.76</v>
      </c>
      <c r="D696">
        <v>0.2301</v>
      </c>
      <c r="E696">
        <v>0.84550000000000003</v>
      </c>
      <c r="F696">
        <v>218.34</v>
      </c>
      <c r="G696">
        <v>0</v>
      </c>
      <c r="H696">
        <v>7.55</v>
      </c>
      <c r="I696">
        <v>247.75</v>
      </c>
      <c r="J696">
        <v>529.15</v>
      </c>
      <c r="K696">
        <v>213.15</v>
      </c>
      <c r="L696">
        <v>-662</v>
      </c>
      <c r="M696">
        <v>-265</v>
      </c>
      <c r="N696">
        <v>112732</v>
      </c>
      <c r="O696" t="s">
        <v>568</v>
      </c>
      <c r="P696" t="s">
        <v>1791</v>
      </c>
      <c r="Q696" t="s">
        <v>1792</v>
      </c>
    </row>
    <row r="697" spans="1:17">
      <c r="A697">
        <v>1460</v>
      </c>
      <c r="B697">
        <v>662</v>
      </c>
      <c r="C697">
        <v>3.11</v>
      </c>
      <c r="D697">
        <v>0.24970000000000001</v>
      </c>
      <c r="E697">
        <v>0.43319999999999997</v>
      </c>
      <c r="F697">
        <v>136.19</v>
      </c>
      <c r="G697">
        <v>0</v>
      </c>
      <c r="H697">
        <v>8.9499999999999993</v>
      </c>
      <c r="I697">
        <v>144.09</v>
      </c>
      <c r="J697">
        <v>458.15</v>
      </c>
      <c r="K697">
        <v>275.64999999999998</v>
      </c>
      <c r="L697">
        <v>-115</v>
      </c>
      <c r="M697">
        <v>33.700000000000003</v>
      </c>
      <c r="N697">
        <v>539300</v>
      </c>
      <c r="O697" t="s">
        <v>633</v>
      </c>
      <c r="P697" t="s">
        <v>1701</v>
      </c>
      <c r="Q697" t="s">
        <v>1715</v>
      </c>
    </row>
    <row r="698" spans="1:17">
      <c r="A698">
        <v>1461</v>
      </c>
      <c r="B698">
        <v>645.6</v>
      </c>
      <c r="C698">
        <v>4.25</v>
      </c>
      <c r="D698">
        <v>0.26379999999999998</v>
      </c>
      <c r="E698">
        <v>0.35020000000000001</v>
      </c>
      <c r="F698">
        <v>108.14</v>
      </c>
      <c r="G698">
        <v>0</v>
      </c>
      <c r="H698">
        <v>9.83</v>
      </c>
      <c r="I698">
        <v>109.17</v>
      </c>
      <c r="J698">
        <v>426.95</v>
      </c>
      <c r="K698">
        <v>235.85</v>
      </c>
      <c r="L698">
        <v>-68</v>
      </c>
      <c r="M698">
        <v>22.7</v>
      </c>
      <c r="N698">
        <v>100663</v>
      </c>
      <c r="O698" t="s">
        <v>911</v>
      </c>
      <c r="P698" t="s">
        <v>1594</v>
      </c>
      <c r="Q698" t="s">
        <v>1595</v>
      </c>
    </row>
    <row r="699" spans="1:17">
      <c r="A699">
        <v>1462</v>
      </c>
      <c r="B699">
        <v>647.15</v>
      </c>
      <c r="C699">
        <v>3.42</v>
      </c>
      <c r="D699">
        <v>0.24790000000000001</v>
      </c>
      <c r="E699">
        <v>0.41789999999999999</v>
      </c>
      <c r="F699">
        <v>122.17</v>
      </c>
      <c r="G699">
        <v>0</v>
      </c>
      <c r="H699">
        <v>9.51</v>
      </c>
      <c r="I699">
        <v>127.19</v>
      </c>
      <c r="J699">
        <v>443.15</v>
      </c>
      <c r="K699">
        <v>243.63</v>
      </c>
      <c r="L699">
        <v>-101.7</v>
      </c>
      <c r="M699">
        <v>17.45</v>
      </c>
      <c r="N699">
        <v>103731</v>
      </c>
      <c r="O699" t="s">
        <v>1609</v>
      </c>
      <c r="P699" t="s">
        <v>1610</v>
      </c>
      <c r="Q699" t="s">
        <v>1611</v>
      </c>
    </row>
    <row r="700" spans="1:17">
      <c r="A700">
        <v>1463</v>
      </c>
      <c r="B700">
        <v>777</v>
      </c>
      <c r="C700">
        <v>2.56</v>
      </c>
      <c r="D700">
        <v>0.2409</v>
      </c>
      <c r="E700">
        <v>0.59079999999999999</v>
      </c>
      <c r="F700">
        <v>198.27</v>
      </c>
      <c r="G700">
        <v>0</v>
      </c>
      <c r="H700">
        <v>9.61</v>
      </c>
      <c r="I700">
        <v>190.57</v>
      </c>
      <c r="J700">
        <v>571.15</v>
      </c>
      <c r="K700">
        <v>276.75</v>
      </c>
      <c r="L700">
        <v>19.3</v>
      </c>
      <c r="M700">
        <v>190</v>
      </c>
      <c r="N700">
        <v>103504</v>
      </c>
      <c r="O700" t="s">
        <v>2516</v>
      </c>
      <c r="P700" t="s">
        <v>2587</v>
      </c>
      <c r="Q700" t="s">
        <v>2588</v>
      </c>
    </row>
    <row r="701" spans="1:17">
      <c r="A701">
        <v>1465</v>
      </c>
      <c r="B701">
        <v>766.8</v>
      </c>
      <c r="C701">
        <v>3.08</v>
      </c>
      <c r="D701">
        <v>0.2666</v>
      </c>
      <c r="E701">
        <v>0.43890000000000001</v>
      </c>
      <c r="F701">
        <v>170.21</v>
      </c>
      <c r="G701">
        <v>0</v>
      </c>
      <c r="H701">
        <v>9.16</v>
      </c>
      <c r="I701">
        <v>159.62</v>
      </c>
      <c r="J701">
        <v>531.46</v>
      </c>
      <c r="K701">
        <v>300.14999999999998</v>
      </c>
      <c r="L701">
        <v>42.3</v>
      </c>
      <c r="M701">
        <v>175</v>
      </c>
      <c r="N701">
        <v>101848</v>
      </c>
      <c r="O701" t="s">
        <v>2173</v>
      </c>
      <c r="P701" t="s">
        <v>2174</v>
      </c>
      <c r="Q701" t="s">
        <v>2175</v>
      </c>
    </row>
    <row r="702" spans="1:17">
      <c r="A702">
        <v>1470</v>
      </c>
      <c r="B702">
        <v>437</v>
      </c>
      <c r="C702">
        <v>4.67</v>
      </c>
      <c r="D702">
        <v>0.26989999999999997</v>
      </c>
      <c r="E702">
        <v>0.24160000000000001</v>
      </c>
      <c r="F702">
        <v>58.08</v>
      </c>
      <c r="G702">
        <v>0</v>
      </c>
      <c r="H702">
        <v>8.3800000000000008</v>
      </c>
      <c r="I702">
        <v>75.44</v>
      </c>
      <c r="J702">
        <v>279.14999999999998</v>
      </c>
      <c r="K702">
        <v>150.35</v>
      </c>
      <c r="L702">
        <v>-108</v>
      </c>
      <c r="M702">
        <v>-47.3</v>
      </c>
      <c r="N702">
        <v>107255</v>
      </c>
      <c r="O702" t="s">
        <v>633</v>
      </c>
      <c r="P702" t="s">
        <v>634</v>
      </c>
      <c r="Q702" t="s">
        <v>2825</v>
      </c>
    </row>
    <row r="703" spans="1:17">
      <c r="A703">
        <v>1471</v>
      </c>
      <c r="B703">
        <v>526</v>
      </c>
      <c r="C703">
        <v>4.3899999999999997</v>
      </c>
      <c r="D703">
        <v>0.25900000000000001</v>
      </c>
      <c r="E703">
        <v>0.23449999999999999</v>
      </c>
      <c r="F703">
        <v>72.11</v>
      </c>
      <c r="G703">
        <v>0</v>
      </c>
      <c r="H703">
        <v>8.86</v>
      </c>
      <c r="I703">
        <v>87.53</v>
      </c>
      <c r="J703">
        <v>336.35</v>
      </c>
      <c r="K703">
        <v>123.15</v>
      </c>
      <c r="L703">
        <v>-110</v>
      </c>
      <c r="M703">
        <v>-12.88</v>
      </c>
      <c r="N703">
        <v>106887</v>
      </c>
      <c r="O703" t="s">
        <v>633</v>
      </c>
      <c r="P703" t="s">
        <v>706</v>
      </c>
      <c r="Q703" t="s">
        <v>896</v>
      </c>
    </row>
    <row r="704" spans="1:17">
      <c r="A704">
        <v>1472</v>
      </c>
      <c r="B704">
        <v>605</v>
      </c>
      <c r="C704">
        <v>3.34</v>
      </c>
      <c r="D704">
        <v>0.30740000000000001</v>
      </c>
      <c r="E704">
        <v>0.995</v>
      </c>
      <c r="F704">
        <v>152.19</v>
      </c>
      <c r="G704">
        <v>0</v>
      </c>
      <c r="H704">
        <v>10.51</v>
      </c>
      <c r="I704">
        <v>145.88999999999999</v>
      </c>
      <c r="J704">
        <v>442.7</v>
      </c>
      <c r="K704">
        <v>264.26</v>
      </c>
      <c r="L704">
        <v>-78.400000000000006</v>
      </c>
      <c r="M704">
        <v>96</v>
      </c>
      <c r="N704">
        <v>80159</v>
      </c>
      <c r="O704" t="s">
        <v>2804</v>
      </c>
      <c r="P704" t="s">
        <v>2589</v>
      </c>
      <c r="Q704" t="s">
        <v>2590</v>
      </c>
    </row>
    <row r="705" spans="1:17">
      <c r="A705">
        <v>1473</v>
      </c>
      <c r="B705">
        <v>552</v>
      </c>
      <c r="C705">
        <v>4.34</v>
      </c>
      <c r="D705">
        <v>0.25740000000000002</v>
      </c>
      <c r="E705">
        <v>0.6623</v>
      </c>
      <c r="F705">
        <v>90.12</v>
      </c>
      <c r="G705">
        <v>0</v>
      </c>
      <c r="H705">
        <v>10.6</v>
      </c>
      <c r="I705">
        <v>101.42</v>
      </c>
      <c r="J705">
        <v>388.15</v>
      </c>
      <c r="K705">
        <v>279.14999999999998</v>
      </c>
      <c r="L705">
        <v>-243</v>
      </c>
      <c r="M705">
        <v>-88.9</v>
      </c>
      <c r="N705">
        <v>75912</v>
      </c>
      <c r="O705" t="s">
        <v>583</v>
      </c>
      <c r="P705" t="s">
        <v>938</v>
      </c>
      <c r="Q705" t="s">
        <v>1034</v>
      </c>
    </row>
    <row r="706" spans="1:17">
      <c r="A706">
        <v>1474</v>
      </c>
      <c r="B706">
        <v>685</v>
      </c>
      <c r="C706">
        <v>4.21</v>
      </c>
      <c r="D706">
        <v>0.25280000000000002</v>
      </c>
      <c r="E706">
        <v>0.7571</v>
      </c>
      <c r="F706">
        <v>116.16</v>
      </c>
      <c r="G706">
        <v>0</v>
      </c>
      <c r="H706">
        <v>12.07</v>
      </c>
      <c r="I706">
        <v>114.58</v>
      </c>
      <c r="J706">
        <v>490</v>
      </c>
      <c r="K706">
        <v>253.15</v>
      </c>
      <c r="L706">
        <v>-220</v>
      </c>
      <c r="M706">
        <v>-28.3</v>
      </c>
      <c r="N706">
        <v>766074</v>
      </c>
      <c r="O706" t="s">
        <v>609</v>
      </c>
      <c r="P706" t="s">
        <v>996</v>
      </c>
      <c r="Q706" t="s">
        <v>1812</v>
      </c>
    </row>
    <row r="707" spans="1:17">
      <c r="A707">
        <v>1475</v>
      </c>
      <c r="B707">
        <v>884</v>
      </c>
      <c r="C707">
        <v>2.1800000000000002</v>
      </c>
      <c r="D707">
        <v>0.25890000000000002</v>
      </c>
      <c r="E707">
        <v>0.44969999999999999</v>
      </c>
      <c r="F707">
        <v>270.37</v>
      </c>
      <c r="G707">
        <v>0</v>
      </c>
      <c r="H707">
        <v>8.26</v>
      </c>
      <c r="I707">
        <v>264.72000000000003</v>
      </c>
      <c r="J707">
        <v>669</v>
      </c>
      <c r="K707">
        <v>311.14999999999998</v>
      </c>
      <c r="L707">
        <v>-79.400000000000006</v>
      </c>
      <c r="M707">
        <v>242</v>
      </c>
      <c r="N707">
        <v>80433</v>
      </c>
      <c r="O707" t="s">
        <v>2516</v>
      </c>
      <c r="P707" t="s">
        <v>2591</v>
      </c>
      <c r="Q707" t="s">
        <v>2592</v>
      </c>
    </row>
    <row r="708" spans="1:17">
      <c r="A708">
        <v>1477</v>
      </c>
      <c r="B708">
        <v>542</v>
      </c>
      <c r="C708">
        <v>5.5</v>
      </c>
      <c r="D708">
        <v>0.25140000000000001</v>
      </c>
      <c r="E708">
        <v>0.21970000000000001</v>
      </c>
      <c r="F708">
        <v>70.09</v>
      </c>
      <c r="G708">
        <v>0</v>
      </c>
      <c r="H708">
        <v>9.82</v>
      </c>
      <c r="I708">
        <v>74.67</v>
      </c>
      <c r="J708">
        <v>339</v>
      </c>
      <c r="K708">
        <v>-86</v>
      </c>
      <c r="L708">
        <v>-108.78</v>
      </c>
      <c r="M708">
        <v>-39.5</v>
      </c>
      <c r="N708">
        <v>1708298</v>
      </c>
      <c r="O708" t="s">
        <v>609</v>
      </c>
      <c r="P708" t="s">
        <v>678</v>
      </c>
      <c r="Q708" t="s">
        <v>976</v>
      </c>
    </row>
    <row r="709" spans="1:17">
      <c r="A709">
        <v>1478</v>
      </c>
      <c r="B709">
        <v>490.15</v>
      </c>
      <c r="C709">
        <v>5.5</v>
      </c>
      <c r="D709">
        <v>0.29420000000000002</v>
      </c>
      <c r="E709">
        <v>0.20150000000000001</v>
      </c>
      <c r="F709">
        <v>68.08</v>
      </c>
      <c r="G709">
        <v>0</v>
      </c>
      <c r="H709">
        <v>9.0500000000000007</v>
      </c>
      <c r="I709">
        <v>73.11</v>
      </c>
      <c r="J709">
        <v>304.5</v>
      </c>
      <c r="K709">
        <v>187.54</v>
      </c>
      <c r="L709">
        <v>-34.799999999999997</v>
      </c>
      <c r="M709">
        <v>0.88</v>
      </c>
      <c r="N709">
        <v>110009</v>
      </c>
      <c r="O709" t="s">
        <v>531</v>
      </c>
      <c r="P709" t="s">
        <v>747</v>
      </c>
      <c r="Q709" t="s">
        <v>748</v>
      </c>
    </row>
    <row r="710" spans="1:17">
      <c r="A710">
        <v>1479</v>
      </c>
      <c r="B710">
        <v>540.15</v>
      </c>
      <c r="C710">
        <v>5.19</v>
      </c>
      <c r="D710">
        <v>0.25890000000000002</v>
      </c>
      <c r="E710">
        <v>0.22539999999999999</v>
      </c>
      <c r="F710">
        <v>72.11</v>
      </c>
      <c r="G710">
        <v>0</v>
      </c>
      <c r="H710">
        <v>9.2799999999999994</v>
      </c>
      <c r="I710">
        <v>81.94</v>
      </c>
      <c r="J710">
        <v>338</v>
      </c>
      <c r="K710">
        <v>164.65</v>
      </c>
      <c r="L710">
        <v>-184.2</v>
      </c>
      <c r="M710">
        <v>-79.680000000000007</v>
      </c>
      <c r="N710">
        <v>109999</v>
      </c>
      <c r="O710" t="s">
        <v>966</v>
      </c>
      <c r="P710" t="s">
        <v>706</v>
      </c>
      <c r="Q710" t="s">
        <v>967</v>
      </c>
    </row>
    <row r="711" spans="1:17">
      <c r="A711">
        <v>1480</v>
      </c>
      <c r="B711">
        <v>824</v>
      </c>
      <c r="C711">
        <v>3.64</v>
      </c>
      <c r="D711">
        <v>0.2442</v>
      </c>
      <c r="E711">
        <v>0.39879999999999999</v>
      </c>
      <c r="F711">
        <v>168.2</v>
      </c>
      <c r="G711">
        <v>0</v>
      </c>
      <c r="H711">
        <v>8.91</v>
      </c>
      <c r="I711">
        <v>152.41999999999999</v>
      </c>
      <c r="J711">
        <v>560.15</v>
      </c>
      <c r="K711">
        <v>359.65</v>
      </c>
      <c r="L711">
        <v>83.4</v>
      </c>
      <c r="M711">
        <v>182.2</v>
      </c>
      <c r="N711">
        <v>132649</v>
      </c>
      <c r="O711" t="s">
        <v>2336</v>
      </c>
      <c r="P711" t="s">
        <v>2337</v>
      </c>
      <c r="Q711" t="s">
        <v>2338</v>
      </c>
    </row>
    <row r="712" spans="1:17">
      <c r="A712">
        <v>1482</v>
      </c>
      <c r="B712">
        <v>547</v>
      </c>
      <c r="C712">
        <v>2.48</v>
      </c>
      <c r="D712">
        <v>0.27700000000000002</v>
      </c>
      <c r="E712">
        <v>0.40310000000000001</v>
      </c>
      <c r="F712">
        <v>146.22999999999999</v>
      </c>
      <c r="G712">
        <v>0</v>
      </c>
      <c r="H712">
        <v>6.93</v>
      </c>
      <c r="I712">
        <v>185.12</v>
      </c>
      <c r="J712">
        <v>384.15</v>
      </c>
      <c r="K712">
        <v>233.15</v>
      </c>
      <c r="L712">
        <v>-349</v>
      </c>
      <c r="M712">
        <v>-63.4</v>
      </c>
      <c r="N712">
        <v>110054</v>
      </c>
      <c r="O712" t="s">
        <v>787</v>
      </c>
      <c r="P712" t="s">
        <v>1012</v>
      </c>
      <c r="Q712" t="s">
        <v>1013</v>
      </c>
    </row>
    <row r="713" spans="1:17">
      <c r="A713">
        <v>1485</v>
      </c>
      <c r="B713">
        <v>697</v>
      </c>
      <c r="C713">
        <v>3.64</v>
      </c>
      <c r="D713">
        <v>0.2797</v>
      </c>
      <c r="E713">
        <v>0.37519999999999998</v>
      </c>
      <c r="F713">
        <v>132.16</v>
      </c>
      <c r="G713">
        <v>0</v>
      </c>
      <c r="H713">
        <v>9.84</v>
      </c>
      <c r="I713">
        <v>125.75</v>
      </c>
      <c r="J713">
        <v>470.65</v>
      </c>
      <c r="K713">
        <v>-86</v>
      </c>
      <c r="L713">
        <v>-8.25</v>
      </c>
      <c r="M713">
        <v>103</v>
      </c>
      <c r="N713">
        <v>4265252</v>
      </c>
      <c r="O713" t="s">
        <v>545</v>
      </c>
      <c r="P713" t="s">
        <v>1884</v>
      </c>
      <c r="Q713" t="s">
        <v>1885</v>
      </c>
    </row>
    <row r="714" spans="1:17">
      <c r="A714">
        <v>1501</v>
      </c>
      <c r="B714">
        <v>556.35</v>
      </c>
      <c r="C714">
        <v>4.5599999999999996</v>
      </c>
      <c r="D714">
        <v>0.27200000000000002</v>
      </c>
      <c r="E714">
        <v>0.19259999999999999</v>
      </c>
      <c r="F714">
        <v>153.82</v>
      </c>
      <c r="G714">
        <v>0</v>
      </c>
      <c r="H714">
        <v>8.58</v>
      </c>
      <c r="I714">
        <v>97.14</v>
      </c>
      <c r="J714">
        <v>349.79</v>
      </c>
      <c r="K714">
        <v>250.33</v>
      </c>
      <c r="L714">
        <v>-110.04</v>
      </c>
      <c r="M714">
        <v>-53.56</v>
      </c>
      <c r="N714">
        <v>56235</v>
      </c>
      <c r="O714" t="s">
        <v>1070</v>
      </c>
      <c r="P714" t="s">
        <v>1071</v>
      </c>
      <c r="Q714" t="s">
        <v>1072</v>
      </c>
    </row>
    <row r="715" spans="1:17">
      <c r="A715">
        <v>1502</v>
      </c>
      <c r="B715">
        <v>416.25</v>
      </c>
      <c r="C715">
        <v>6.68</v>
      </c>
      <c r="D715">
        <v>0.27600000000000002</v>
      </c>
      <c r="E715">
        <v>0.151</v>
      </c>
      <c r="F715">
        <v>50.49</v>
      </c>
      <c r="G715">
        <v>0</v>
      </c>
      <c r="H715">
        <v>9.64</v>
      </c>
      <c r="I715">
        <v>50.13</v>
      </c>
      <c r="J715">
        <v>248.93</v>
      </c>
      <c r="K715">
        <v>175.43</v>
      </c>
      <c r="L715">
        <v>-83.7</v>
      </c>
      <c r="M715">
        <v>-58.44</v>
      </c>
      <c r="N715">
        <v>74873</v>
      </c>
      <c r="O715" t="s">
        <v>423</v>
      </c>
      <c r="P715" t="s">
        <v>594</v>
      </c>
      <c r="Q715" t="s">
        <v>2826</v>
      </c>
    </row>
    <row r="716" spans="1:17">
      <c r="A716">
        <v>1503</v>
      </c>
      <c r="B716">
        <v>460.35</v>
      </c>
      <c r="C716">
        <v>5.27</v>
      </c>
      <c r="D716">
        <v>0.27539999999999998</v>
      </c>
      <c r="E716">
        <v>0.18859999999999999</v>
      </c>
      <c r="F716">
        <v>64.510000000000005</v>
      </c>
      <c r="G716">
        <v>0</v>
      </c>
      <c r="H716">
        <v>8.69</v>
      </c>
      <c r="I716">
        <v>70.84</v>
      </c>
      <c r="J716">
        <v>285.42</v>
      </c>
      <c r="K716">
        <v>136.75</v>
      </c>
      <c r="L716">
        <v>-112.26</v>
      </c>
      <c r="M716">
        <v>-60.5</v>
      </c>
      <c r="N716">
        <v>75003</v>
      </c>
      <c r="O716" t="s">
        <v>638</v>
      </c>
      <c r="P716" t="s">
        <v>674</v>
      </c>
      <c r="Q716" t="s">
        <v>2827</v>
      </c>
    </row>
    <row r="717" spans="1:17">
      <c r="A717">
        <v>1504</v>
      </c>
      <c r="B717">
        <v>432</v>
      </c>
      <c r="C717">
        <v>5.67</v>
      </c>
      <c r="D717">
        <v>0.29120000000000001</v>
      </c>
      <c r="E717">
        <v>0.10009999999999999</v>
      </c>
      <c r="F717">
        <v>62.5</v>
      </c>
      <c r="G717">
        <v>0</v>
      </c>
      <c r="H717">
        <v>8.69</v>
      </c>
      <c r="I717">
        <v>64.66</v>
      </c>
      <c r="J717">
        <v>259.77999999999997</v>
      </c>
      <c r="K717">
        <v>119.36</v>
      </c>
      <c r="L717">
        <v>35.56</v>
      </c>
      <c r="M717">
        <v>41.95</v>
      </c>
      <c r="N717">
        <v>75014</v>
      </c>
      <c r="O717" t="s">
        <v>619</v>
      </c>
      <c r="P717" t="s">
        <v>620</v>
      </c>
      <c r="Q717" t="s">
        <v>2828</v>
      </c>
    </row>
    <row r="718" spans="1:17">
      <c r="A718">
        <v>1505</v>
      </c>
      <c r="B718">
        <v>646</v>
      </c>
      <c r="C718">
        <v>3.78</v>
      </c>
      <c r="D718">
        <v>0.23219999999999999</v>
      </c>
      <c r="E718">
        <v>0.32819999999999999</v>
      </c>
      <c r="F718">
        <v>125</v>
      </c>
      <c r="G718">
        <v>0</v>
      </c>
      <c r="H718">
        <v>9.98</v>
      </c>
      <c r="I718">
        <v>105.29</v>
      </c>
      <c r="J718">
        <v>428.65</v>
      </c>
      <c r="K718">
        <v>274.14999999999998</v>
      </c>
      <c r="L718">
        <v>-66.2</v>
      </c>
      <c r="M718">
        <v>9.7200000000000006</v>
      </c>
      <c r="N718">
        <v>110576</v>
      </c>
      <c r="O718" t="s">
        <v>368</v>
      </c>
      <c r="P718" t="s">
        <v>1275</v>
      </c>
      <c r="Q718" t="s">
        <v>1598</v>
      </c>
    </row>
    <row r="719" spans="1:17">
      <c r="A719">
        <v>1508</v>
      </c>
      <c r="B719">
        <v>641</v>
      </c>
      <c r="C719">
        <v>3.61</v>
      </c>
      <c r="D719">
        <v>0.23230000000000001</v>
      </c>
      <c r="E719">
        <v>0.32600000000000001</v>
      </c>
      <c r="F719">
        <v>127.01</v>
      </c>
      <c r="G719">
        <v>0</v>
      </c>
      <c r="H719">
        <v>9.57</v>
      </c>
      <c r="I719">
        <v>111.88</v>
      </c>
      <c r="J719">
        <v>427.05</v>
      </c>
      <c r="K719">
        <v>235.85</v>
      </c>
      <c r="L719">
        <v>-179</v>
      </c>
      <c r="M719">
        <v>-65.900000000000006</v>
      </c>
      <c r="N719">
        <v>110565</v>
      </c>
      <c r="O719" t="s">
        <v>568</v>
      </c>
      <c r="P719" t="s">
        <v>1570</v>
      </c>
      <c r="Q719" t="s">
        <v>1571</v>
      </c>
    </row>
    <row r="720" spans="1:17">
      <c r="A720">
        <v>1509</v>
      </c>
      <c r="B720">
        <v>668</v>
      </c>
      <c r="C720">
        <v>3.19</v>
      </c>
      <c r="D720">
        <v>0.22919999999999999</v>
      </c>
      <c r="E720">
        <v>0.37659999999999999</v>
      </c>
      <c r="F720">
        <v>141.04</v>
      </c>
      <c r="G720">
        <v>0</v>
      </c>
      <c r="H720">
        <v>9.4499999999999993</v>
      </c>
      <c r="I720">
        <v>128.72999999999999</v>
      </c>
      <c r="J720">
        <v>453.15</v>
      </c>
      <c r="K720">
        <v>200.35</v>
      </c>
      <c r="L720">
        <v>-200</v>
      </c>
      <c r="M720">
        <v>-58.2</v>
      </c>
      <c r="N720">
        <v>628762</v>
      </c>
      <c r="O720" t="s">
        <v>708</v>
      </c>
      <c r="P720" t="s">
        <v>1745</v>
      </c>
      <c r="Q720" t="s">
        <v>1746</v>
      </c>
    </row>
    <row r="721" spans="1:17">
      <c r="A721">
        <v>1511</v>
      </c>
      <c r="B721">
        <v>510</v>
      </c>
      <c r="C721">
        <v>6.08</v>
      </c>
      <c r="D721">
        <v>0.26529999999999998</v>
      </c>
      <c r="E721">
        <v>0.1986</v>
      </c>
      <c r="F721">
        <v>84.93</v>
      </c>
      <c r="G721">
        <v>0</v>
      </c>
      <c r="H721">
        <v>9.9600000000000009</v>
      </c>
      <c r="I721">
        <v>64.430000000000007</v>
      </c>
      <c r="J721">
        <v>312.89999999999998</v>
      </c>
      <c r="K721">
        <v>178.01</v>
      </c>
      <c r="L721">
        <v>-95.52</v>
      </c>
      <c r="M721">
        <v>-68.959999999999994</v>
      </c>
      <c r="N721">
        <v>75092</v>
      </c>
      <c r="O721" t="s">
        <v>615</v>
      </c>
      <c r="P721" t="s">
        <v>837</v>
      </c>
      <c r="Q721" t="s">
        <v>838</v>
      </c>
    </row>
    <row r="722" spans="1:17">
      <c r="A722">
        <v>1521</v>
      </c>
      <c r="B722">
        <v>536.4</v>
      </c>
      <c r="C722">
        <v>5.4720000000000004</v>
      </c>
      <c r="D722">
        <v>0.2903</v>
      </c>
      <c r="E722">
        <v>0.22189999999999999</v>
      </c>
      <c r="F722">
        <v>119.38</v>
      </c>
      <c r="G722">
        <v>0</v>
      </c>
      <c r="H722">
        <v>9.25</v>
      </c>
      <c r="I722">
        <v>80.5</v>
      </c>
      <c r="J722">
        <v>334.33</v>
      </c>
      <c r="K722">
        <v>209.63</v>
      </c>
      <c r="L722">
        <v>-103.14</v>
      </c>
      <c r="M722">
        <v>-70.099999999999994</v>
      </c>
      <c r="N722">
        <v>67663</v>
      </c>
      <c r="O722" t="s">
        <v>941</v>
      </c>
      <c r="P722" t="s">
        <v>942</v>
      </c>
      <c r="Q722" t="s">
        <v>943</v>
      </c>
    </row>
    <row r="723" spans="1:17">
      <c r="A723">
        <v>1522</v>
      </c>
      <c r="B723">
        <v>523</v>
      </c>
      <c r="C723">
        <v>5.07</v>
      </c>
      <c r="D723">
        <v>0.2752</v>
      </c>
      <c r="E723">
        <v>0.2339</v>
      </c>
      <c r="F723">
        <v>98.96</v>
      </c>
      <c r="G723">
        <v>0</v>
      </c>
      <c r="H723">
        <v>8.94</v>
      </c>
      <c r="I723">
        <v>84.72</v>
      </c>
      <c r="J723">
        <v>330.45</v>
      </c>
      <c r="K723">
        <v>176.19</v>
      </c>
      <c r="L723">
        <v>-127.8</v>
      </c>
      <c r="M723">
        <v>-72.59</v>
      </c>
      <c r="N723">
        <v>75343</v>
      </c>
      <c r="O723" t="s">
        <v>638</v>
      </c>
      <c r="P723" t="s">
        <v>885</v>
      </c>
      <c r="Q723" t="s">
        <v>886</v>
      </c>
    </row>
    <row r="724" spans="1:17">
      <c r="A724">
        <v>1523</v>
      </c>
      <c r="B724">
        <v>561.6</v>
      </c>
      <c r="C724">
        <v>5.37</v>
      </c>
      <c r="D724">
        <v>0.25330000000000003</v>
      </c>
      <c r="E724">
        <v>0.28660000000000002</v>
      </c>
      <c r="F724">
        <v>98.96</v>
      </c>
      <c r="G724">
        <v>0</v>
      </c>
      <c r="H724">
        <v>9.91</v>
      </c>
      <c r="I724">
        <v>79.39</v>
      </c>
      <c r="J724">
        <v>356.59</v>
      </c>
      <c r="K724">
        <v>237.49</v>
      </c>
      <c r="L724">
        <v>-129.80000000000001</v>
      </c>
      <c r="M724">
        <v>-73.930000000000007</v>
      </c>
      <c r="N724">
        <v>107062</v>
      </c>
      <c r="O724" t="s">
        <v>848</v>
      </c>
      <c r="P724" t="s">
        <v>885</v>
      </c>
      <c r="Q724" t="s">
        <v>1107</v>
      </c>
    </row>
    <row r="725" spans="1:17">
      <c r="A725">
        <v>1524</v>
      </c>
      <c r="B725">
        <v>602</v>
      </c>
      <c r="C725">
        <v>4.4800000000000004</v>
      </c>
      <c r="D725">
        <v>0.2868</v>
      </c>
      <c r="E725">
        <v>0.2591</v>
      </c>
      <c r="F725">
        <v>133.4</v>
      </c>
      <c r="G725">
        <v>0</v>
      </c>
      <c r="H725">
        <v>9.73</v>
      </c>
      <c r="I725">
        <v>92.99</v>
      </c>
      <c r="J725">
        <v>387.25</v>
      </c>
      <c r="K725">
        <v>236.62</v>
      </c>
      <c r="L725">
        <v>-145.6</v>
      </c>
      <c r="M725">
        <v>-83.3</v>
      </c>
      <c r="N725">
        <v>79005</v>
      </c>
      <c r="O725" t="s">
        <v>1344</v>
      </c>
      <c r="P725" t="s">
        <v>990</v>
      </c>
      <c r="Q725" t="s">
        <v>1345</v>
      </c>
    </row>
    <row r="726" spans="1:17">
      <c r="A726">
        <v>1525</v>
      </c>
      <c r="B726">
        <v>695</v>
      </c>
      <c r="C726">
        <v>3.34</v>
      </c>
      <c r="D726">
        <v>0.23810000000000001</v>
      </c>
      <c r="E726">
        <v>0.23860000000000001</v>
      </c>
      <c r="F726">
        <v>236.74</v>
      </c>
      <c r="G726">
        <v>0</v>
      </c>
      <c r="H726">
        <v>7.69</v>
      </c>
      <c r="I726">
        <v>143.63999999999999</v>
      </c>
      <c r="J726">
        <v>458</v>
      </c>
      <c r="K726">
        <v>459.95</v>
      </c>
      <c r="L726">
        <v>-138.91</v>
      </c>
      <c r="M726">
        <v>-54.94</v>
      </c>
      <c r="N726">
        <v>67721</v>
      </c>
      <c r="O726" t="s">
        <v>1876</v>
      </c>
      <c r="P726" t="s">
        <v>1877</v>
      </c>
      <c r="Q726" t="s">
        <v>1878</v>
      </c>
    </row>
    <row r="727" spans="1:17">
      <c r="A727">
        <v>1526</v>
      </c>
      <c r="B727">
        <v>572</v>
      </c>
      <c r="C727">
        <v>4.24</v>
      </c>
      <c r="D727">
        <v>0.25719999999999998</v>
      </c>
      <c r="E727">
        <v>0.25640000000000002</v>
      </c>
      <c r="F727">
        <v>112.99</v>
      </c>
      <c r="G727">
        <v>0</v>
      </c>
      <c r="H727">
        <v>8.99</v>
      </c>
      <c r="I727">
        <v>98.22</v>
      </c>
      <c r="J727">
        <v>369.52</v>
      </c>
      <c r="K727">
        <v>172.71</v>
      </c>
      <c r="L727">
        <v>-165.7</v>
      </c>
      <c r="M727">
        <v>-80.180000000000007</v>
      </c>
      <c r="N727">
        <v>78875</v>
      </c>
      <c r="O727" t="s">
        <v>823</v>
      </c>
      <c r="P727" t="s">
        <v>1088</v>
      </c>
      <c r="Q727" t="s">
        <v>1186</v>
      </c>
    </row>
    <row r="728" spans="1:17">
      <c r="A728">
        <v>1527</v>
      </c>
      <c r="B728">
        <v>545</v>
      </c>
      <c r="C728">
        <v>4.3</v>
      </c>
      <c r="D728">
        <v>0.28029999999999999</v>
      </c>
      <c r="E728">
        <v>0.21829999999999999</v>
      </c>
      <c r="F728">
        <v>133.4</v>
      </c>
      <c r="G728">
        <v>0</v>
      </c>
      <c r="H728">
        <v>8.44</v>
      </c>
      <c r="I728">
        <v>100.31</v>
      </c>
      <c r="J728">
        <v>347.23</v>
      </c>
      <c r="K728">
        <v>242.75</v>
      </c>
      <c r="L728">
        <v>-142.30000000000001</v>
      </c>
      <c r="M728">
        <v>-76.19</v>
      </c>
      <c r="N728">
        <v>71556</v>
      </c>
      <c r="O728" t="s">
        <v>989</v>
      </c>
      <c r="P728" t="s">
        <v>990</v>
      </c>
      <c r="Q728" t="s">
        <v>991</v>
      </c>
    </row>
    <row r="729" spans="1:17">
      <c r="A729">
        <v>1528</v>
      </c>
      <c r="B729">
        <v>624</v>
      </c>
      <c r="C729">
        <v>4.0199999999999996</v>
      </c>
      <c r="D729">
        <v>0.25180000000000002</v>
      </c>
      <c r="E729">
        <v>0.2422</v>
      </c>
      <c r="F729">
        <v>167.85</v>
      </c>
      <c r="G729">
        <v>0</v>
      </c>
      <c r="H729">
        <v>9.24</v>
      </c>
      <c r="I729">
        <v>109.5</v>
      </c>
      <c r="J729">
        <v>403.35</v>
      </c>
      <c r="K729">
        <v>204.45</v>
      </c>
      <c r="L729">
        <v>-149.4</v>
      </c>
      <c r="M729">
        <v>-80.19</v>
      </c>
      <c r="N729">
        <v>630206</v>
      </c>
      <c r="O729" t="s">
        <v>633</v>
      </c>
      <c r="P729" t="s">
        <v>1486</v>
      </c>
      <c r="Q729" t="s">
        <v>1487</v>
      </c>
    </row>
    <row r="730" spans="1:17">
      <c r="A730">
        <v>1529</v>
      </c>
      <c r="B730">
        <v>645</v>
      </c>
      <c r="C730">
        <v>4.09</v>
      </c>
      <c r="D730">
        <v>0.26250000000000001</v>
      </c>
      <c r="E730">
        <v>0.2467</v>
      </c>
      <c r="F730">
        <v>167.85</v>
      </c>
      <c r="G730">
        <v>0</v>
      </c>
      <c r="H730">
        <v>9.76</v>
      </c>
      <c r="I730">
        <v>105.75</v>
      </c>
      <c r="J730">
        <v>418.25</v>
      </c>
      <c r="K730">
        <v>229.35</v>
      </c>
      <c r="L730">
        <v>-149</v>
      </c>
      <c r="M730">
        <v>-79.5</v>
      </c>
      <c r="N730">
        <v>79345</v>
      </c>
      <c r="O730" t="s">
        <v>1589</v>
      </c>
      <c r="P730" t="s">
        <v>1486</v>
      </c>
      <c r="Q730" t="s">
        <v>1590</v>
      </c>
    </row>
    <row r="731" spans="1:17">
      <c r="A731">
        <v>1530</v>
      </c>
      <c r="B731">
        <v>489</v>
      </c>
      <c r="C731">
        <v>4.54</v>
      </c>
      <c r="D731">
        <v>0.26919999999999999</v>
      </c>
      <c r="E731">
        <v>0.1986</v>
      </c>
      <c r="F731">
        <v>78.540000000000006</v>
      </c>
      <c r="G731">
        <v>0</v>
      </c>
      <c r="H731">
        <v>8.02</v>
      </c>
      <c r="I731">
        <v>91.73</v>
      </c>
      <c r="J731">
        <v>308.85000000000002</v>
      </c>
      <c r="K731">
        <v>155.97</v>
      </c>
      <c r="L731">
        <v>-144.77000000000001</v>
      </c>
      <c r="M731">
        <v>-62.51</v>
      </c>
      <c r="N731">
        <v>75296</v>
      </c>
      <c r="O731" t="s">
        <v>647</v>
      </c>
      <c r="P731" t="s">
        <v>744</v>
      </c>
      <c r="Q731" t="s">
        <v>745</v>
      </c>
    </row>
    <row r="732" spans="1:17">
      <c r="A732">
        <v>1531</v>
      </c>
      <c r="B732">
        <v>541</v>
      </c>
      <c r="C732">
        <v>5.3</v>
      </c>
      <c r="D732">
        <v>0.24859999999999999</v>
      </c>
      <c r="E732">
        <v>0.15</v>
      </c>
      <c r="F732">
        <v>74.510000000000005</v>
      </c>
      <c r="G732">
        <v>0</v>
      </c>
      <c r="H732">
        <v>9.44</v>
      </c>
      <c r="I732">
        <v>72.77</v>
      </c>
      <c r="J732">
        <v>331</v>
      </c>
      <c r="K732">
        <v>-86</v>
      </c>
      <c r="L732">
        <v>159</v>
      </c>
      <c r="M732">
        <v>170</v>
      </c>
      <c r="N732">
        <v>624657</v>
      </c>
      <c r="O732" t="s">
        <v>609</v>
      </c>
      <c r="P732" t="s">
        <v>973</v>
      </c>
      <c r="Q732" t="s">
        <v>974</v>
      </c>
    </row>
    <row r="733" spans="1:17">
      <c r="A733">
        <v>1532</v>
      </c>
      <c r="B733">
        <v>652</v>
      </c>
      <c r="C733">
        <v>3.87</v>
      </c>
      <c r="D733">
        <v>0.2384</v>
      </c>
      <c r="E733">
        <v>0.30559999999999998</v>
      </c>
      <c r="F733">
        <v>147.43</v>
      </c>
      <c r="G733">
        <v>0</v>
      </c>
      <c r="H733">
        <v>9.85</v>
      </c>
      <c r="I733">
        <v>106.52</v>
      </c>
      <c r="J733">
        <v>430</v>
      </c>
      <c r="K733">
        <v>258.45</v>
      </c>
      <c r="L733">
        <v>-182.9</v>
      </c>
      <c r="M733">
        <v>-97.78</v>
      </c>
      <c r="N733">
        <v>96184</v>
      </c>
      <c r="O733" t="s">
        <v>633</v>
      </c>
      <c r="P733" t="s">
        <v>1642</v>
      </c>
      <c r="Q733" t="s">
        <v>1643</v>
      </c>
    </row>
    <row r="734" spans="1:17">
      <c r="A734">
        <v>1535</v>
      </c>
      <c r="B734">
        <v>507</v>
      </c>
      <c r="C734">
        <v>3.9</v>
      </c>
      <c r="D734">
        <v>0.27760000000000001</v>
      </c>
      <c r="E734">
        <v>0.19139999999999999</v>
      </c>
      <c r="F734">
        <v>92.57</v>
      </c>
      <c r="G734">
        <v>0</v>
      </c>
      <c r="H734">
        <v>7.48</v>
      </c>
      <c r="I734">
        <v>110.73</v>
      </c>
      <c r="J734">
        <v>323.75</v>
      </c>
      <c r="K734">
        <v>248.15</v>
      </c>
      <c r="L734">
        <v>-184.77</v>
      </c>
      <c r="M734">
        <v>-64.180000000000007</v>
      </c>
      <c r="N734">
        <v>507200</v>
      </c>
      <c r="O734" t="s">
        <v>633</v>
      </c>
      <c r="P734" t="s">
        <v>814</v>
      </c>
      <c r="Q734" t="s">
        <v>815</v>
      </c>
    </row>
    <row r="735" spans="1:17">
      <c r="A735">
        <v>1541</v>
      </c>
      <c r="B735">
        <v>571</v>
      </c>
      <c r="C735">
        <v>4.91</v>
      </c>
      <c r="D735">
        <v>0.24970000000000001</v>
      </c>
      <c r="E735">
        <v>0.21659999999999999</v>
      </c>
      <c r="F735">
        <v>131.38999999999999</v>
      </c>
      <c r="G735">
        <v>0</v>
      </c>
      <c r="H735">
        <v>9.19</v>
      </c>
      <c r="I735">
        <v>90.14</v>
      </c>
      <c r="J735">
        <v>360.05</v>
      </c>
      <c r="K735">
        <v>186.75</v>
      </c>
      <c r="L735">
        <v>-5.86</v>
      </c>
      <c r="M735">
        <v>16.059999999999999</v>
      </c>
      <c r="N735">
        <v>79016</v>
      </c>
      <c r="O735" t="s">
        <v>1177</v>
      </c>
      <c r="P735" t="s">
        <v>1178</v>
      </c>
      <c r="Q735" t="s">
        <v>1179</v>
      </c>
    </row>
    <row r="736" spans="1:17">
      <c r="A736">
        <v>1542</v>
      </c>
      <c r="B736">
        <v>620</v>
      </c>
      <c r="C736">
        <v>4.49</v>
      </c>
      <c r="D736">
        <v>0.2331</v>
      </c>
      <c r="E736">
        <v>0.21379999999999999</v>
      </c>
      <c r="F736">
        <v>165.83</v>
      </c>
      <c r="G736">
        <v>0</v>
      </c>
      <c r="H736">
        <v>9.27</v>
      </c>
      <c r="I736">
        <v>102.81</v>
      </c>
      <c r="J736">
        <v>394.35</v>
      </c>
      <c r="K736">
        <v>250.8</v>
      </c>
      <c r="L736">
        <v>-12.4</v>
      </c>
      <c r="M736">
        <v>22.62</v>
      </c>
      <c r="N736">
        <v>127184</v>
      </c>
      <c r="O736" t="s">
        <v>1457</v>
      </c>
      <c r="P736" t="s">
        <v>1458</v>
      </c>
      <c r="Q736" t="s">
        <v>1459</v>
      </c>
    </row>
    <row r="737" spans="1:17">
      <c r="A737">
        <v>1544</v>
      </c>
      <c r="B737">
        <v>514.15</v>
      </c>
      <c r="C737">
        <v>4.71</v>
      </c>
      <c r="D737">
        <v>0.25779999999999997</v>
      </c>
      <c r="E737">
        <v>0.14779999999999999</v>
      </c>
      <c r="F737">
        <v>76.53</v>
      </c>
      <c r="G737">
        <v>0</v>
      </c>
      <c r="H737">
        <v>8.9700000000000006</v>
      </c>
      <c r="I737">
        <v>82.21</v>
      </c>
      <c r="J737">
        <v>318.11</v>
      </c>
      <c r="K737">
        <v>138.65</v>
      </c>
      <c r="L737">
        <v>-0.63</v>
      </c>
      <c r="M737">
        <v>43.5</v>
      </c>
      <c r="N737">
        <v>107051</v>
      </c>
      <c r="O737" t="s">
        <v>850</v>
      </c>
      <c r="P737" t="s">
        <v>709</v>
      </c>
      <c r="Q737" t="s">
        <v>851</v>
      </c>
    </row>
    <row r="738" spans="1:17">
      <c r="A738">
        <v>1561</v>
      </c>
      <c r="B738">
        <v>738</v>
      </c>
      <c r="C738">
        <v>2.84</v>
      </c>
      <c r="D738">
        <v>0.2273</v>
      </c>
      <c r="E738">
        <v>0.16839999999999999</v>
      </c>
      <c r="F738">
        <v>260.76</v>
      </c>
      <c r="G738">
        <v>0</v>
      </c>
      <c r="H738">
        <v>9.17</v>
      </c>
      <c r="I738">
        <v>155.63</v>
      </c>
      <c r="J738">
        <v>488.15</v>
      </c>
      <c r="K738">
        <v>252.15</v>
      </c>
      <c r="L738">
        <v>-32.64</v>
      </c>
      <c r="M738">
        <v>32.880000000000003</v>
      </c>
      <c r="N738">
        <v>87683</v>
      </c>
      <c r="O738" t="s">
        <v>2516</v>
      </c>
      <c r="P738" t="s">
        <v>2593</v>
      </c>
      <c r="Q738" t="s">
        <v>2594</v>
      </c>
    </row>
    <row r="739" spans="1:17">
      <c r="A739">
        <v>1562</v>
      </c>
      <c r="B739">
        <v>686</v>
      </c>
      <c r="C739">
        <v>3.91</v>
      </c>
      <c r="D739">
        <v>0.24679999999999999</v>
      </c>
      <c r="E739">
        <v>0.31359999999999999</v>
      </c>
      <c r="F739">
        <v>126.59</v>
      </c>
      <c r="G739">
        <v>0</v>
      </c>
      <c r="H739">
        <v>9.84</v>
      </c>
      <c r="I739">
        <v>115.43</v>
      </c>
      <c r="J739">
        <v>452.55</v>
      </c>
      <c r="K739">
        <v>234.15</v>
      </c>
      <c r="L739">
        <v>18.7</v>
      </c>
      <c r="M739">
        <v>92.4</v>
      </c>
      <c r="N739">
        <v>100447</v>
      </c>
      <c r="O739" t="s">
        <v>633</v>
      </c>
      <c r="P739" t="s">
        <v>1675</v>
      </c>
      <c r="Q739" t="s">
        <v>1813</v>
      </c>
    </row>
    <row r="740" spans="1:17">
      <c r="A740">
        <v>1571</v>
      </c>
      <c r="B740">
        <v>632.35</v>
      </c>
      <c r="C740">
        <v>4.5190000000000001</v>
      </c>
      <c r="D740">
        <v>0.26469999999999999</v>
      </c>
      <c r="E740">
        <v>0.24990000000000001</v>
      </c>
      <c r="F740">
        <v>112.56</v>
      </c>
      <c r="G740">
        <v>0</v>
      </c>
      <c r="H740">
        <v>9.4600000000000009</v>
      </c>
      <c r="I740">
        <v>102.29</v>
      </c>
      <c r="J740">
        <v>404.87</v>
      </c>
      <c r="K740">
        <v>227.94</v>
      </c>
      <c r="L740">
        <v>51.84</v>
      </c>
      <c r="M740">
        <v>99.16</v>
      </c>
      <c r="N740">
        <v>108907</v>
      </c>
      <c r="O740" t="s">
        <v>848</v>
      </c>
      <c r="P740" t="s">
        <v>1526</v>
      </c>
      <c r="Q740" t="s">
        <v>1527</v>
      </c>
    </row>
    <row r="741" spans="1:17">
      <c r="A741">
        <v>1572</v>
      </c>
      <c r="B741">
        <v>705</v>
      </c>
      <c r="C741">
        <v>4.07</v>
      </c>
      <c r="D741">
        <v>0.2437</v>
      </c>
      <c r="E741">
        <v>0.21920000000000001</v>
      </c>
      <c r="F741">
        <v>147</v>
      </c>
      <c r="G741">
        <v>0</v>
      </c>
      <c r="H741">
        <v>9.93</v>
      </c>
      <c r="I741">
        <v>112.97</v>
      </c>
      <c r="J741">
        <v>453.57</v>
      </c>
      <c r="K741">
        <v>256.14999999999998</v>
      </c>
      <c r="L741">
        <v>29.9</v>
      </c>
      <c r="M741">
        <v>82.9</v>
      </c>
      <c r="N741">
        <v>95501</v>
      </c>
      <c r="O741" t="s">
        <v>1929</v>
      </c>
      <c r="P741" t="s">
        <v>1804</v>
      </c>
      <c r="Q741" t="s">
        <v>1930</v>
      </c>
    </row>
    <row r="742" spans="1:17">
      <c r="A742">
        <v>1573</v>
      </c>
      <c r="B742">
        <v>683.95</v>
      </c>
      <c r="C742">
        <v>4.07</v>
      </c>
      <c r="D742">
        <v>0.23949999999999999</v>
      </c>
      <c r="E742">
        <v>0.27900000000000003</v>
      </c>
      <c r="F742">
        <v>147</v>
      </c>
      <c r="G742">
        <v>0</v>
      </c>
      <c r="H742">
        <v>9.57</v>
      </c>
      <c r="I742">
        <v>114.53</v>
      </c>
      <c r="J742">
        <v>446.23</v>
      </c>
      <c r="K742">
        <v>248.39</v>
      </c>
      <c r="L742">
        <v>26.4</v>
      </c>
      <c r="M742">
        <v>78.58</v>
      </c>
      <c r="N742">
        <v>541731</v>
      </c>
      <c r="O742" t="s">
        <v>1803</v>
      </c>
      <c r="P742" t="s">
        <v>1804</v>
      </c>
      <c r="Q742" t="s">
        <v>1805</v>
      </c>
    </row>
    <row r="743" spans="1:17">
      <c r="A743">
        <v>1574</v>
      </c>
      <c r="B743">
        <v>684.75</v>
      </c>
      <c r="C743">
        <v>4.07</v>
      </c>
      <c r="D743">
        <v>0.25490000000000002</v>
      </c>
      <c r="E743">
        <v>0.28460000000000002</v>
      </c>
      <c r="F743">
        <v>147</v>
      </c>
      <c r="G743">
        <v>0</v>
      </c>
      <c r="H743">
        <v>9.4499999999999993</v>
      </c>
      <c r="I743">
        <v>117.41</v>
      </c>
      <c r="J743">
        <v>447.21</v>
      </c>
      <c r="K743">
        <v>326.14</v>
      </c>
      <c r="L743">
        <v>23</v>
      </c>
      <c r="M743">
        <v>76.7</v>
      </c>
      <c r="N743">
        <v>106467</v>
      </c>
      <c r="O743" t="s">
        <v>1124</v>
      </c>
      <c r="P743" t="s">
        <v>1804</v>
      </c>
      <c r="Q743" t="s">
        <v>1810</v>
      </c>
    </row>
    <row r="744" spans="1:17">
      <c r="A744">
        <v>1575</v>
      </c>
      <c r="B744">
        <v>825</v>
      </c>
      <c r="C744">
        <v>2.85</v>
      </c>
      <c r="D744">
        <v>0.2185</v>
      </c>
      <c r="E744">
        <v>0.49709999999999999</v>
      </c>
      <c r="F744">
        <v>284.77999999999997</v>
      </c>
      <c r="G744">
        <v>0</v>
      </c>
      <c r="H744">
        <v>9.9700000000000006</v>
      </c>
      <c r="I744">
        <v>164.9</v>
      </c>
      <c r="J744">
        <v>592.45000000000005</v>
      </c>
      <c r="K744">
        <v>501.64</v>
      </c>
      <c r="L744">
        <v>-35.5</v>
      </c>
      <c r="M744">
        <v>44</v>
      </c>
      <c r="N744">
        <v>118741</v>
      </c>
      <c r="O744" t="s">
        <v>2342</v>
      </c>
      <c r="P744" t="s">
        <v>2343</v>
      </c>
      <c r="Q744" t="s">
        <v>2344</v>
      </c>
    </row>
    <row r="745" spans="1:17">
      <c r="A745">
        <v>1576</v>
      </c>
      <c r="B745">
        <v>737</v>
      </c>
      <c r="C745">
        <v>3.34</v>
      </c>
      <c r="D745">
        <v>0.24360000000000001</v>
      </c>
      <c r="E745">
        <v>0.25990000000000002</v>
      </c>
      <c r="F745">
        <v>195.48</v>
      </c>
      <c r="G745">
        <v>0</v>
      </c>
      <c r="H745">
        <v>8.9700000000000006</v>
      </c>
      <c r="I745">
        <v>142.81</v>
      </c>
      <c r="J745">
        <v>493.79</v>
      </c>
      <c r="K745">
        <v>251.95</v>
      </c>
      <c r="L745">
        <v>-12.3</v>
      </c>
      <c r="M745">
        <v>77</v>
      </c>
      <c r="N745">
        <v>98077</v>
      </c>
      <c r="O745" t="s">
        <v>537</v>
      </c>
      <c r="P745" t="s">
        <v>2064</v>
      </c>
      <c r="Q745" t="s">
        <v>2065</v>
      </c>
    </row>
    <row r="746" spans="1:17">
      <c r="A746">
        <v>1577</v>
      </c>
      <c r="B746">
        <v>656</v>
      </c>
      <c r="C746">
        <v>3.91</v>
      </c>
      <c r="D746">
        <v>0.25380000000000003</v>
      </c>
      <c r="E746">
        <v>0.3044</v>
      </c>
      <c r="F746">
        <v>126.59</v>
      </c>
      <c r="G746">
        <v>0</v>
      </c>
      <c r="H746">
        <v>9.39</v>
      </c>
      <c r="I746">
        <v>117.5</v>
      </c>
      <c r="J746">
        <v>432.3</v>
      </c>
      <c r="K746">
        <v>238.05</v>
      </c>
      <c r="L746">
        <v>18.2</v>
      </c>
      <c r="M746">
        <v>95.9</v>
      </c>
      <c r="N746">
        <v>95498</v>
      </c>
      <c r="O746" t="s">
        <v>537</v>
      </c>
      <c r="P746" t="s">
        <v>1675</v>
      </c>
      <c r="Q746" t="s">
        <v>1676</v>
      </c>
    </row>
    <row r="747" spans="1:17">
      <c r="A747">
        <v>1578</v>
      </c>
      <c r="B747">
        <v>660</v>
      </c>
      <c r="C747">
        <v>3.91</v>
      </c>
      <c r="D747">
        <v>0.25650000000000001</v>
      </c>
      <c r="E747">
        <v>0.31230000000000002</v>
      </c>
      <c r="F747">
        <v>126.59</v>
      </c>
      <c r="G747">
        <v>0</v>
      </c>
      <c r="H747">
        <v>9.43</v>
      </c>
      <c r="I747">
        <v>119.1</v>
      </c>
      <c r="J747">
        <v>435.65</v>
      </c>
      <c r="K747">
        <v>280.95</v>
      </c>
      <c r="L747">
        <v>18.2</v>
      </c>
      <c r="M747">
        <v>97.7</v>
      </c>
      <c r="N747">
        <v>106434</v>
      </c>
      <c r="O747" t="s">
        <v>537</v>
      </c>
      <c r="P747" t="s">
        <v>1675</v>
      </c>
      <c r="Q747" t="s">
        <v>1703</v>
      </c>
    </row>
    <row r="748" spans="1:17">
      <c r="A748">
        <v>1579</v>
      </c>
      <c r="B748">
        <v>705</v>
      </c>
      <c r="C748">
        <v>3.59</v>
      </c>
      <c r="D748">
        <v>0.24740000000000001</v>
      </c>
      <c r="E748">
        <v>0.35899999999999999</v>
      </c>
      <c r="F748">
        <v>161.03</v>
      </c>
      <c r="G748">
        <v>0</v>
      </c>
      <c r="H748">
        <v>9.68</v>
      </c>
      <c r="I748">
        <v>129.18</v>
      </c>
      <c r="J748">
        <v>474.25</v>
      </c>
      <c r="K748">
        <v>259.64999999999998</v>
      </c>
      <c r="L748">
        <v>-13.6</v>
      </c>
      <c r="M748">
        <v>68.7</v>
      </c>
      <c r="N748">
        <v>95738</v>
      </c>
      <c r="O748" t="s">
        <v>537</v>
      </c>
      <c r="P748" t="s">
        <v>1931</v>
      </c>
      <c r="Q748" t="s">
        <v>1932</v>
      </c>
    </row>
    <row r="749" spans="1:17">
      <c r="A749">
        <v>1580</v>
      </c>
      <c r="B749">
        <v>544</v>
      </c>
      <c r="C749">
        <v>5.19</v>
      </c>
      <c r="D749">
        <v>0.26529999999999998</v>
      </c>
      <c r="E749">
        <v>0.13489999999999999</v>
      </c>
      <c r="F749">
        <v>96.94</v>
      </c>
      <c r="G749">
        <v>0</v>
      </c>
      <c r="H749">
        <v>9.52</v>
      </c>
      <c r="I749">
        <v>76.64</v>
      </c>
      <c r="J749">
        <v>332.15</v>
      </c>
      <c r="K749">
        <v>192.65</v>
      </c>
      <c r="L749">
        <v>-2.8</v>
      </c>
      <c r="M749">
        <v>19.68</v>
      </c>
      <c r="N749">
        <v>156592</v>
      </c>
      <c r="O749" t="s">
        <v>757</v>
      </c>
      <c r="P749" t="s">
        <v>857</v>
      </c>
      <c r="Q749" t="s">
        <v>985</v>
      </c>
    </row>
    <row r="750" spans="1:17">
      <c r="A750">
        <v>1581</v>
      </c>
      <c r="B750">
        <v>516.5</v>
      </c>
      <c r="C750">
        <v>5.51</v>
      </c>
      <c r="D750">
        <v>0.28770000000000001</v>
      </c>
      <c r="E750">
        <v>0.22339999999999999</v>
      </c>
      <c r="F750">
        <v>96.94</v>
      </c>
      <c r="G750">
        <v>0</v>
      </c>
      <c r="H750">
        <v>9.09</v>
      </c>
      <c r="I750">
        <v>77.64</v>
      </c>
      <c r="J750">
        <v>320.82</v>
      </c>
      <c r="K750">
        <v>223.15</v>
      </c>
      <c r="L750">
        <v>6.15</v>
      </c>
      <c r="M750">
        <v>28.55</v>
      </c>
      <c r="N750">
        <v>156605</v>
      </c>
      <c r="O750" t="s">
        <v>856</v>
      </c>
      <c r="P750" t="s">
        <v>857</v>
      </c>
      <c r="Q750" t="s">
        <v>858</v>
      </c>
    </row>
    <row r="751" spans="1:17">
      <c r="A751">
        <v>1582</v>
      </c>
      <c r="B751">
        <v>746</v>
      </c>
      <c r="C751">
        <v>3.01</v>
      </c>
      <c r="D751">
        <v>0.25530000000000003</v>
      </c>
      <c r="E751">
        <v>0.38340000000000002</v>
      </c>
      <c r="F751">
        <v>272.77</v>
      </c>
      <c r="G751">
        <v>0</v>
      </c>
      <c r="H751">
        <v>9.3800000000000008</v>
      </c>
      <c r="I751">
        <v>160.16</v>
      </c>
      <c r="J751">
        <v>512.15</v>
      </c>
      <c r="K751">
        <v>284.49</v>
      </c>
      <c r="L751">
        <v>-102</v>
      </c>
      <c r="M751">
        <v>-30</v>
      </c>
      <c r="N751">
        <v>77474</v>
      </c>
      <c r="O751" t="s">
        <v>660</v>
      </c>
      <c r="P751" t="s">
        <v>2091</v>
      </c>
      <c r="Q751" t="s">
        <v>2092</v>
      </c>
    </row>
    <row r="752" spans="1:17">
      <c r="A752">
        <v>1583</v>
      </c>
      <c r="B752">
        <v>525</v>
      </c>
      <c r="C752">
        <v>4.26</v>
      </c>
      <c r="D752">
        <v>0.26150000000000001</v>
      </c>
      <c r="E752">
        <v>0.19739999999999999</v>
      </c>
      <c r="F752">
        <v>88.54</v>
      </c>
      <c r="G752">
        <v>0</v>
      </c>
      <c r="H752">
        <v>8.34</v>
      </c>
      <c r="I752">
        <v>93.1</v>
      </c>
      <c r="J752">
        <v>332.55</v>
      </c>
      <c r="K752">
        <v>143.15</v>
      </c>
      <c r="L752">
        <v>73.010000000000005</v>
      </c>
      <c r="M752">
        <v>114.8</v>
      </c>
      <c r="N752">
        <v>126998</v>
      </c>
      <c r="O752" t="s">
        <v>889</v>
      </c>
      <c r="P752" t="s">
        <v>890</v>
      </c>
      <c r="Q752" t="s">
        <v>891</v>
      </c>
    </row>
    <row r="753" spans="1:17">
      <c r="A753">
        <v>1585</v>
      </c>
      <c r="B753">
        <v>503.15</v>
      </c>
      <c r="C753">
        <v>4.4249999999999998</v>
      </c>
      <c r="D753">
        <v>0.27029999999999998</v>
      </c>
      <c r="E753">
        <v>0.215</v>
      </c>
      <c r="F753">
        <v>78.540000000000006</v>
      </c>
      <c r="G753">
        <v>0</v>
      </c>
      <c r="H753">
        <v>8.35</v>
      </c>
      <c r="I753">
        <v>88.78</v>
      </c>
      <c r="J753">
        <v>319.67</v>
      </c>
      <c r="K753">
        <v>150.35</v>
      </c>
      <c r="L753">
        <v>-133.18</v>
      </c>
      <c r="M753">
        <v>-52.61</v>
      </c>
      <c r="N753">
        <v>540545</v>
      </c>
      <c r="O753" t="s">
        <v>793</v>
      </c>
      <c r="P753" t="s">
        <v>744</v>
      </c>
      <c r="Q753" t="s">
        <v>794</v>
      </c>
    </row>
    <row r="754" spans="1:17">
      <c r="A754">
        <v>1586</v>
      </c>
      <c r="B754">
        <v>539.20000000000005</v>
      </c>
      <c r="C754">
        <v>3.7210000000000001</v>
      </c>
      <c r="D754">
        <v>0.25480000000000003</v>
      </c>
      <c r="E754">
        <v>0.2472</v>
      </c>
      <c r="F754">
        <v>92.57</v>
      </c>
      <c r="G754">
        <v>0</v>
      </c>
      <c r="H754">
        <v>8.4600000000000009</v>
      </c>
      <c r="I754">
        <v>105.19</v>
      </c>
      <c r="J754">
        <v>351.58</v>
      </c>
      <c r="K754">
        <v>150.05000000000001</v>
      </c>
      <c r="L754">
        <v>-154.1</v>
      </c>
      <c r="M754">
        <v>-44.73</v>
      </c>
      <c r="N754">
        <v>109693</v>
      </c>
      <c r="O754" t="s">
        <v>647</v>
      </c>
      <c r="P754" t="s">
        <v>814</v>
      </c>
      <c r="Q754" t="s">
        <v>957</v>
      </c>
    </row>
    <row r="755" spans="1:17">
      <c r="A755">
        <v>1587</v>
      </c>
      <c r="B755">
        <v>520.6</v>
      </c>
      <c r="C755">
        <v>3.9</v>
      </c>
      <c r="D755">
        <v>0.27129999999999999</v>
      </c>
      <c r="E755">
        <v>0.29070000000000001</v>
      </c>
      <c r="F755">
        <v>92.57</v>
      </c>
      <c r="G755">
        <v>0</v>
      </c>
      <c r="H755">
        <v>8.0500000000000007</v>
      </c>
      <c r="I755">
        <v>106.63</v>
      </c>
      <c r="J755">
        <v>341.25</v>
      </c>
      <c r="K755">
        <v>141.85</v>
      </c>
      <c r="L755">
        <v>-165.69</v>
      </c>
      <c r="M755">
        <v>-55.19</v>
      </c>
      <c r="N755">
        <v>78864</v>
      </c>
      <c r="O755" t="s">
        <v>881</v>
      </c>
      <c r="P755" t="s">
        <v>814</v>
      </c>
      <c r="Q755" t="s">
        <v>882</v>
      </c>
    </row>
    <row r="756" spans="1:17">
      <c r="A756">
        <v>1588</v>
      </c>
      <c r="B756">
        <v>571.20000000000005</v>
      </c>
      <c r="C756">
        <v>3.3519999999999999</v>
      </c>
      <c r="D756">
        <v>0.24970000000000001</v>
      </c>
      <c r="E756">
        <v>0.29520000000000002</v>
      </c>
      <c r="F756">
        <v>106.6</v>
      </c>
      <c r="G756">
        <v>0</v>
      </c>
      <c r="H756">
        <v>8.2899999999999991</v>
      </c>
      <c r="I756">
        <v>121.43</v>
      </c>
      <c r="J756">
        <v>380.91</v>
      </c>
      <c r="K756">
        <v>174.15</v>
      </c>
      <c r="L756">
        <v>-174.89</v>
      </c>
      <c r="M756">
        <v>-37.409999999999997</v>
      </c>
      <c r="N756">
        <v>543599</v>
      </c>
      <c r="O756" t="s">
        <v>633</v>
      </c>
      <c r="P756" t="s">
        <v>1180</v>
      </c>
      <c r="Q756" t="s">
        <v>1181</v>
      </c>
    </row>
    <row r="757" spans="1:17">
      <c r="A757">
        <v>1589</v>
      </c>
      <c r="B757">
        <v>785</v>
      </c>
      <c r="C757">
        <v>3.4</v>
      </c>
      <c r="D757">
        <v>0.2261</v>
      </c>
      <c r="E757">
        <v>0.38269999999999998</v>
      </c>
      <c r="F757">
        <v>162.62</v>
      </c>
      <c r="G757">
        <v>0</v>
      </c>
      <c r="H757">
        <v>10.35</v>
      </c>
      <c r="I757">
        <v>138.86000000000001</v>
      </c>
      <c r="J757">
        <v>533.15</v>
      </c>
      <c r="K757">
        <v>270.85000000000002</v>
      </c>
      <c r="L757">
        <v>119.8</v>
      </c>
      <c r="M757">
        <v>195</v>
      </c>
      <c r="N757">
        <v>90131</v>
      </c>
      <c r="O757" t="s">
        <v>568</v>
      </c>
      <c r="P757" t="s">
        <v>2256</v>
      </c>
      <c r="Q757" t="s">
        <v>2257</v>
      </c>
    </row>
    <row r="758" spans="1:17">
      <c r="A758">
        <v>1590</v>
      </c>
      <c r="B758">
        <v>665</v>
      </c>
      <c r="C758">
        <v>3.68</v>
      </c>
      <c r="D758">
        <v>0.25280000000000002</v>
      </c>
      <c r="E758">
        <v>0.2455</v>
      </c>
      <c r="F758">
        <v>202.29</v>
      </c>
      <c r="G758">
        <v>0</v>
      </c>
      <c r="H758">
        <v>9.2799999999999994</v>
      </c>
      <c r="I758">
        <v>120.77</v>
      </c>
      <c r="J758">
        <v>435.15</v>
      </c>
      <c r="K758">
        <v>244.15</v>
      </c>
      <c r="L758">
        <v>-145.6</v>
      </c>
      <c r="M758">
        <v>-70.25</v>
      </c>
      <c r="N758">
        <v>76017</v>
      </c>
      <c r="O758" t="s">
        <v>823</v>
      </c>
      <c r="P758" t="s">
        <v>1731</v>
      </c>
      <c r="Q758" t="s">
        <v>1732</v>
      </c>
    </row>
    <row r="759" spans="1:17">
      <c r="A759">
        <v>1591</v>
      </c>
      <c r="B759">
        <v>482</v>
      </c>
      <c r="C759">
        <v>5.19</v>
      </c>
      <c r="D759">
        <v>0.29010000000000002</v>
      </c>
      <c r="E759">
        <v>0.27210000000000001</v>
      </c>
      <c r="F759">
        <v>96.94</v>
      </c>
      <c r="G759">
        <v>0</v>
      </c>
      <c r="H759">
        <v>8.4499999999999993</v>
      </c>
      <c r="I759">
        <v>80.39</v>
      </c>
      <c r="J759">
        <v>304.75</v>
      </c>
      <c r="K759">
        <v>150.65</v>
      </c>
      <c r="L759">
        <v>1.26</v>
      </c>
      <c r="M759">
        <v>25.38</v>
      </c>
      <c r="N759">
        <v>75354</v>
      </c>
      <c r="O759" t="s">
        <v>2804</v>
      </c>
      <c r="P759" t="s">
        <v>857</v>
      </c>
      <c r="Q759" t="s">
        <v>2595</v>
      </c>
    </row>
    <row r="760" spans="1:17">
      <c r="A760">
        <v>1592</v>
      </c>
      <c r="B760">
        <v>725</v>
      </c>
      <c r="C760">
        <v>3.72</v>
      </c>
      <c r="D760">
        <v>0.30370000000000003</v>
      </c>
      <c r="E760">
        <v>0.35809999999999997</v>
      </c>
      <c r="F760">
        <v>181.45</v>
      </c>
      <c r="G760">
        <v>0</v>
      </c>
      <c r="H760">
        <v>10.08</v>
      </c>
      <c r="I760">
        <v>125.25</v>
      </c>
      <c r="J760">
        <v>486.15</v>
      </c>
      <c r="K760">
        <v>290.14999999999998</v>
      </c>
      <c r="L760">
        <v>-11.76</v>
      </c>
      <c r="M760">
        <v>43.05</v>
      </c>
      <c r="N760">
        <v>120821</v>
      </c>
      <c r="O760" t="s">
        <v>2016</v>
      </c>
      <c r="P760" t="s">
        <v>1976</v>
      </c>
      <c r="Q760" t="s">
        <v>2017</v>
      </c>
    </row>
    <row r="761" spans="1:17">
      <c r="A761">
        <v>1593</v>
      </c>
      <c r="B761">
        <v>640</v>
      </c>
      <c r="C761">
        <v>3.78</v>
      </c>
      <c r="D761">
        <v>0.2344</v>
      </c>
      <c r="E761">
        <v>0.32990000000000003</v>
      </c>
      <c r="F761">
        <v>125</v>
      </c>
      <c r="G761">
        <v>0</v>
      </c>
      <c r="H761">
        <v>9.91</v>
      </c>
      <c r="I761">
        <v>105.22</v>
      </c>
      <c r="J761">
        <v>425.65</v>
      </c>
      <c r="K761">
        <v>225.15</v>
      </c>
      <c r="L761">
        <v>-59.92</v>
      </c>
      <c r="M761">
        <v>17.7</v>
      </c>
      <c r="N761">
        <v>1476115</v>
      </c>
      <c r="O761" t="s">
        <v>568</v>
      </c>
      <c r="P761" t="s">
        <v>1275</v>
      </c>
      <c r="Q761" t="s">
        <v>1566</v>
      </c>
    </row>
    <row r="762" spans="1:17">
      <c r="A762">
        <v>1594</v>
      </c>
      <c r="B762">
        <v>449</v>
      </c>
      <c r="C762">
        <v>5.99</v>
      </c>
      <c r="D762">
        <v>0.26150000000000001</v>
      </c>
      <c r="E762">
        <v>0.3221</v>
      </c>
      <c r="F762">
        <v>61.47</v>
      </c>
      <c r="G762">
        <v>0</v>
      </c>
      <c r="H762">
        <v>10.65</v>
      </c>
      <c r="I762">
        <v>51.36</v>
      </c>
      <c r="J762">
        <v>286</v>
      </c>
      <c r="K762">
        <v>266.64999999999998</v>
      </c>
      <c r="L762">
        <v>133.19999999999999</v>
      </c>
      <c r="M762">
        <v>125.48</v>
      </c>
      <c r="N762">
        <v>506774</v>
      </c>
      <c r="O762" t="s">
        <v>568</v>
      </c>
      <c r="P762" t="s">
        <v>646</v>
      </c>
      <c r="Q762" t="s">
        <v>2829</v>
      </c>
    </row>
    <row r="763" spans="1:17">
      <c r="A763">
        <v>1595</v>
      </c>
      <c r="B763">
        <v>478</v>
      </c>
      <c r="C763">
        <v>4.71</v>
      </c>
      <c r="D763">
        <v>0.27729999999999999</v>
      </c>
      <c r="E763">
        <v>0.1515</v>
      </c>
      <c r="F763">
        <v>76.53</v>
      </c>
      <c r="G763">
        <v>0</v>
      </c>
      <c r="H763">
        <v>7.83</v>
      </c>
      <c r="I763">
        <v>85.23</v>
      </c>
      <c r="J763">
        <v>295.8</v>
      </c>
      <c r="K763">
        <v>135.75</v>
      </c>
      <c r="L763">
        <v>-21</v>
      </c>
      <c r="M763">
        <v>24.7</v>
      </c>
      <c r="N763">
        <v>557982</v>
      </c>
      <c r="O763" t="s">
        <v>708</v>
      </c>
      <c r="P763" t="s">
        <v>709</v>
      </c>
      <c r="Q763" t="s">
        <v>710</v>
      </c>
    </row>
    <row r="764" spans="1:17">
      <c r="A764">
        <v>1596</v>
      </c>
      <c r="B764">
        <v>724</v>
      </c>
      <c r="C764">
        <v>3.68</v>
      </c>
      <c r="D764">
        <v>0.2482</v>
      </c>
      <c r="E764">
        <v>0.45419999999999999</v>
      </c>
      <c r="F764">
        <v>175.01</v>
      </c>
      <c r="G764">
        <v>0</v>
      </c>
      <c r="H764">
        <v>10.44</v>
      </c>
      <c r="I764">
        <v>122.41</v>
      </c>
      <c r="J764">
        <v>498</v>
      </c>
      <c r="K764">
        <v>280</v>
      </c>
      <c r="L764">
        <v>-165</v>
      </c>
      <c r="M764">
        <v>-97.8</v>
      </c>
      <c r="N764">
        <v>618462</v>
      </c>
      <c r="O764" t="s">
        <v>537</v>
      </c>
      <c r="P764" t="s">
        <v>2014</v>
      </c>
      <c r="Q764" t="s">
        <v>2015</v>
      </c>
    </row>
    <row r="765" spans="1:17">
      <c r="A765">
        <v>1597</v>
      </c>
      <c r="B765">
        <v>589</v>
      </c>
      <c r="C765">
        <v>3.85</v>
      </c>
      <c r="D765">
        <v>0.25940000000000002</v>
      </c>
      <c r="E765">
        <v>0.2959</v>
      </c>
      <c r="F765">
        <v>125</v>
      </c>
      <c r="G765">
        <v>0</v>
      </c>
      <c r="H765">
        <v>9.01</v>
      </c>
      <c r="I765">
        <v>108.92</v>
      </c>
      <c r="J765">
        <v>396</v>
      </c>
      <c r="K765">
        <v>212</v>
      </c>
      <c r="L765">
        <v>-64.400000000000006</v>
      </c>
      <c r="M765">
        <v>15.1</v>
      </c>
      <c r="N765">
        <v>760236</v>
      </c>
      <c r="O765" t="s">
        <v>568</v>
      </c>
      <c r="P765" t="s">
        <v>1275</v>
      </c>
      <c r="Q765" t="s">
        <v>1276</v>
      </c>
    </row>
    <row r="766" spans="1:17">
      <c r="A766">
        <v>1598</v>
      </c>
      <c r="B766">
        <v>617</v>
      </c>
      <c r="C766">
        <v>3.78</v>
      </c>
      <c r="D766">
        <v>0.2432</v>
      </c>
      <c r="E766">
        <v>0.23699999999999999</v>
      </c>
      <c r="F766">
        <v>125</v>
      </c>
      <c r="G766">
        <v>0</v>
      </c>
      <c r="H766">
        <v>9.48</v>
      </c>
      <c r="I766">
        <v>108.45</v>
      </c>
      <c r="J766">
        <v>402</v>
      </c>
      <c r="K766">
        <v>-86</v>
      </c>
      <c r="L766">
        <v>-84.6</v>
      </c>
      <c r="M766">
        <v>5.86</v>
      </c>
      <c r="N766">
        <v>10075384</v>
      </c>
      <c r="O766" t="s">
        <v>787</v>
      </c>
      <c r="P766" t="s">
        <v>1275</v>
      </c>
      <c r="Q766" t="s">
        <v>1436</v>
      </c>
    </row>
    <row r="767" spans="1:17">
      <c r="A767">
        <v>1599</v>
      </c>
      <c r="B767">
        <v>731</v>
      </c>
      <c r="C767">
        <v>3.65</v>
      </c>
      <c r="D767">
        <v>0.24260000000000001</v>
      </c>
      <c r="E767">
        <v>0.32640000000000002</v>
      </c>
      <c r="F767">
        <v>161.03</v>
      </c>
      <c r="G767">
        <v>0</v>
      </c>
      <c r="H767">
        <v>9.35</v>
      </c>
      <c r="I767">
        <v>129.15</v>
      </c>
      <c r="J767">
        <v>478</v>
      </c>
      <c r="K767">
        <v>257</v>
      </c>
      <c r="L767">
        <v>13</v>
      </c>
      <c r="M767">
        <v>93.2</v>
      </c>
      <c r="N767">
        <v>98873</v>
      </c>
      <c r="O767" t="s">
        <v>568</v>
      </c>
      <c r="P767" t="s">
        <v>1931</v>
      </c>
      <c r="Q767" t="s">
        <v>2041</v>
      </c>
    </row>
    <row r="768" spans="1:17">
      <c r="A768">
        <v>1601</v>
      </c>
      <c r="B768">
        <v>384.95</v>
      </c>
      <c r="C768">
        <v>4.125</v>
      </c>
      <c r="D768">
        <v>0.27850000000000003</v>
      </c>
      <c r="E768">
        <v>0.1797</v>
      </c>
      <c r="F768">
        <v>120.91</v>
      </c>
      <c r="G768">
        <v>0</v>
      </c>
      <c r="H768">
        <v>7.34</v>
      </c>
      <c r="I768">
        <v>81.3</v>
      </c>
      <c r="J768">
        <v>243.36</v>
      </c>
      <c r="K768">
        <v>115.15</v>
      </c>
      <c r="L768">
        <v>-491.62</v>
      </c>
      <c r="M768">
        <v>-452.71</v>
      </c>
      <c r="N768">
        <v>75718</v>
      </c>
      <c r="O768" t="s">
        <v>556</v>
      </c>
      <c r="P768" t="s">
        <v>557</v>
      </c>
      <c r="Q768" t="s">
        <v>558</v>
      </c>
    </row>
    <row r="769" spans="1:17">
      <c r="A769">
        <v>1602</v>
      </c>
      <c r="B769">
        <v>471.2</v>
      </c>
      <c r="C769">
        <v>4.4080000000000004</v>
      </c>
      <c r="D769">
        <v>0.27810000000000001</v>
      </c>
      <c r="E769">
        <v>0.18940000000000001</v>
      </c>
      <c r="F769">
        <v>137.37</v>
      </c>
      <c r="G769">
        <v>0</v>
      </c>
      <c r="H769">
        <v>7.62</v>
      </c>
      <c r="I769">
        <v>92.78</v>
      </c>
      <c r="J769">
        <v>296.97000000000003</v>
      </c>
      <c r="K769">
        <v>162.15</v>
      </c>
      <c r="L769">
        <v>-288.7</v>
      </c>
      <c r="M769">
        <v>-249.4</v>
      </c>
      <c r="N769">
        <v>75694</v>
      </c>
      <c r="O769" t="s">
        <v>478</v>
      </c>
      <c r="P769" t="s">
        <v>694</v>
      </c>
      <c r="Q769" t="s">
        <v>695</v>
      </c>
    </row>
    <row r="770" spans="1:17">
      <c r="A770">
        <v>1604</v>
      </c>
      <c r="B770">
        <v>369.3</v>
      </c>
      <c r="C770">
        <v>4.9710000000000001</v>
      </c>
      <c r="D770">
        <v>0.26650000000000001</v>
      </c>
      <c r="E770">
        <v>0.21920000000000001</v>
      </c>
      <c r="F770">
        <v>86.47</v>
      </c>
      <c r="G770">
        <v>0</v>
      </c>
      <c r="H770">
        <v>8.5</v>
      </c>
      <c r="I770">
        <v>61.24</v>
      </c>
      <c r="J770">
        <v>232.32</v>
      </c>
      <c r="K770">
        <v>113.15</v>
      </c>
      <c r="L770">
        <v>-482.8</v>
      </c>
      <c r="M770">
        <v>-450.5</v>
      </c>
      <c r="N770">
        <v>75456</v>
      </c>
      <c r="O770" t="s">
        <v>531</v>
      </c>
      <c r="P770" t="s">
        <v>532</v>
      </c>
      <c r="Q770" t="s">
        <v>533</v>
      </c>
    </row>
    <row r="771" spans="1:17">
      <c r="A771">
        <v>1606</v>
      </c>
      <c r="B771">
        <v>302</v>
      </c>
      <c r="C771">
        <v>3.87</v>
      </c>
      <c r="D771">
        <v>0.27889999999999998</v>
      </c>
      <c r="E771">
        <v>0.17169999999999999</v>
      </c>
      <c r="F771">
        <v>104.46</v>
      </c>
      <c r="G771">
        <v>0</v>
      </c>
      <c r="H771">
        <v>6.98</v>
      </c>
      <c r="I771">
        <v>68.59</v>
      </c>
      <c r="J771">
        <v>191.75</v>
      </c>
      <c r="K771">
        <v>92.15</v>
      </c>
      <c r="L771">
        <v>-704.2</v>
      </c>
      <c r="M771">
        <v>-667.38</v>
      </c>
      <c r="N771">
        <v>75729</v>
      </c>
      <c r="O771" t="s">
        <v>478</v>
      </c>
      <c r="P771" t="s">
        <v>479</v>
      </c>
      <c r="Q771" t="s">
        <v>480</v>
      </c>
    </row>
    <row r="772" spans="1:17">
      <c r="A772">
        <v>1609</v>
      </c>
      <c r="B772">
        <v>418.85</v>
      </c>
      <c r="C772">
        <v>3.26</v>
      </c>
      <c r="D772">
        <v>0.27529999999999999</v>
      </c>
      <c r="E772">
        <v>0.252</v>
      </c>
      <c r="F772">
        <v>170.92</v>
      </c>
      <c r="G772">
        <v>0</v>
      </c>
      <c r="H772">
        <v>6.64</v>
      </c>
      <c r="I772">
        <v>112.56</v>
      </c>
      <c r="J772">
        <v>276.2</v>
      </c>
      <c r="K772">
        <v>179.15</v>
      </c>
      <c r="L772">
        <v>-916.3</v>
      </c>
      <c r="M772">
        <v>-805.4</v>
      </c>
      <c r="N772">
        <v>76142</v>
      </c>
      <c r="O772" t="s">
        <v>423</v>
      </c>
      <c r="P772" t="s">
        <v>599</v>
      </c>
      <c r="Q772" t="s">
        <v>601</v>
      </c>
    </row>
    <row r="773" spans="1:17">
      <c r="A773">
        <v>1611</v>
      </c>
      <c r="B773">
        <v>487.8</v>
      </c>
      <c r="C773">
        <v>3.3929999999999998</v>
      </c>
      <c r="D773">
        <v>0.2853</v>
      </c>
      <c r="E773">
        <v>0.24310000000000001</v>
      </c>
      <c r="F773">
        <v>259.82</v>
      </c>
      <c r="G773">
        <v>0</v>
      </c>
      <c r="H773">
        <v>7.13</v>
      </c>
      <c r="I773">
        <v>120.15</v>
      </c>
      <c r="J773">
        <v>320.39999999999998</v>
      </c>
      <c r="K773">
        <v>162.65</v>
      </c>
      <c r="L773">
        <v>-922.99</v>
      </c>
      <c r="M773">
        <v>-735</v>
      </c>
      <c r="N773">
        <v>124732</v>
      </c>
      <c r="O773" t="s">
        <v>478</v>
      </c>
      <c r="P773" t="s">
        <v>737</v>
      </c>
      <c r="Q773" t="s">
        <v>738</v>
      </c>
    </row>
    <row r="774" spans="1:17">
      <c r="A774">
        <v>1612</v>
      </c>
      <c r="B774">
        <v>400.55</v>
      </c>
      <c r="C774">
        <v>4.4580000000000002</v>
      </c>
      <c r="D774">
        <v>0.26390000000000002</v>
      </c>
      <c r="E774">
        <v>0.21160000000000001</v>
      </c>
      <c r="F774">
        <v>98.48</v>
      </c>
      <c r="G774">
        <v>0</v>
      </c>
      <c r="H774">
        <v>8.0500000000000007</v>
      </c>
      <c r="I774">
        <v>73.5</v>
      </c>
      <c r="J774">
        <v>254.55</v>
      </c>
      <c r="K774">
        <v>134.65</v>
      </c>
      <c r="L774">
        <v>-329</v>
      </c>
      <c r="M774">
        <v>-303</v>
      </c>
      <c r="N774">
        <v>359104</v>
      </c>
      <c r="O774" t="s">
        <v>580</v>
      </c>
      <c r="P774" t="s">
        <v>581</v>
      </c>
      <c r="Q774" t="s">
        <v>582</v>
      </c>
    </row>
    <row r="775" spans="1:17">
      <c r="A775">
        <v>1613</v>
      </c>
      <c r="B775">
        <v>317.42</v>
      </c>
      <c r="C775">
        <v>5.875</v>
      </c>
      <c r="D775">
        <v>0.2515</v>
      </c>
      <c r="E775">
        <v>0.19470000000000001</v>
      </c>
      <c r="F775">
        <v>34.03</v>
      </c>
      <c r="G775">
        <v>0</v>
      </c>
      <c r="H775">
        <v>9.8800000000000008</v>
      </c>
      <c r="I775">
        <v>38.61</v>
      </c>
      <c r="J775">
        <v>194.82</v>
      </c>
      <c r="K775">
        <v>131.35</v>
      </c>
      <c r="L775">
        <v>-237.66</v>
      </c>
      <c r="M775">
        <v>-210.4</v>
      </c>
      <c r="N775">
        <v>593533</v>
      </c>
      <c r="O775" t="s">
        <v>423</v>
      </c>
      <c r="P775" t="s">
        <v>499</v>
      </c>
      <c r="Q775" t="s">
        <v>2830</v>
      </c>
    </row>
    <row r="776" spans="1:17">
      <c r="A776">
        <v>1614</v>
      </c>
      <c r="B776">
        <v>351.26</v>
      </c>
      <c r="C776">
        <v>5.7839999999999998</v>
      </c>
      <c r="D776">
        <v>0.24129999999999999</v>
      </c>
      <c r="E776">
        <v>0.27710000000000001</v>
      </c>
      <c r="F776">
        <v>52.02</v>
      </c>
      <c r="G776">
        <v>0</v>
      </c>
      <c r="H776">
        <v>10.1</v>
      </c>
      <c r="I776">
        <v>42.84</v>
      </c>
      <c r="J776">
        <v>221.5</v>
      </c>
      <c r="K776">
        <v>137</v>
      </c>
      <c r="L776">
        <v>-452.71</v>
      </c>
      <c r="M776">
        <v>-425.16</v>
      </c>
      <c r="N776">
        <v>75105</v>
      </c>
      <c r="O776" t="s">
        <v>478</v>
      </c>
      <c r="P776" t="s">
        <v>516</v>
      </c>
      <c r="Q776" t="s">
        <v>517</v>
      </c>
    </row>
    <row r="777" spans="1:17">
      <c r="A777">
        <v>1615</v>
      </c>
      <c r="B777">
        <v>299.01</v>
      </c>
      <c r="C777">
        <v>4.8159999999999998</v>
      </c>
      <c r="D777">
        <v>0.25940000000000002</v>
      </c>
      <c r="E777">
        <v>0.2641</v>
      </c>
      <c r="F777">
        <v>70.010000000000005</v>
      </c>
      <c r="G777">
        <v>0</v>
      </c>
      <c r="H777">
        <v>8.6300000000000008</v>
      </c>
      <c r="I777">
        <v>48.24</v>
      </c>
      <c r="J777">
        <v>190.99</v>
      </c>
      <c r="K777">
        <v>117.96</v>
      </c>
      <c r="L777">
        <v>-693.28</v>
      </c>
      <c r="M777">
        <v>-658.85</v>
      </c>
      <c r="N777">
        <v>75467</v>
      </c>
      <c r="O777" t="s">
        <v>423</v>
      </c>
      <c r="P777" t="s">
        <v>476</v>
      </c>
      <c r="Q777" t="s">
        <v>477</v>
      </c>
    </row>
    <row r="778" spans="1:17">
      <c r="A778">
        <v>1616</v>
      </c>
      <c r="B778">
        <v>227.51</v>
      </c>
      <c r="C778">
        <v>3.7450000000000001</v>
      </c>
      <c r="D778">
        <v>0.2767</v>
      </c>
      <c r="E778">
        <v>0.17899999999999999</v>
      </c>
      <c r="F778">
        <v>88.01</v>
      </c>
      <c r="G778">
        <v>0</v>
      </c>
      <c r="H778">
        <v>6.76</v>
      </c>
      <c r="I778">
        <v>54.77</v>
      </c>
      <c r="J778">
        <v>145.09</v>
      </c>
      <c r="K778">
        <v>89.55</v>
      </c>
      <c r="L778">
        <v>-933.12</v>
      </c>
      <c r="M778">
        <v>-888.43</v>
      </c>
      <c r="N778">
        <v>75730</v>
      </c>
      <c r="O778" t="s">
        <v>423</v>
      </c>
      <c r="P778" t="s">
        <v>452</v>
      </c>
      <c r="Q778" t="s">
        <v>2831</v>
      </c>
    </row>
    <row r="779" spans="1:17">
      <c r="A779">
        <v>1617</v>
      </c>
      <c r="B779">
        <v>375.31</v>
      </c>
      <c r="C779">
        <v>5.0279999999999996</v>
      </c>
      <c r="D779">
        <v>0.26419999999999999</v>
      </c>
      <c r="E779">
        <v>0.21790000000000001</v>
      </c>
      <c r="F779">
        <v>48.06</v>
      </c>
      <c r="G779">
        <v>0</v>
      </c>
      <c r="H779">
        <v>8.56</v>
      </c>
      <c r="I779">
        <v>58.78</v>
      </c>
      <c r="J779">
        <v>235.5</v>
      </c>
      <c r="K779">
        <v>129.94999999999999</v>
      </c>
      <c r="L779">
        <v>-261.5</v>
      </c>
      <c r="M779">
        <v>-211.05</v>
      </c>
      <c r="N779">
        <v>353366</v>
      </c>
      <c r="O779" t="s">
        <v>550</v>
      </c>
      <c r="P779" t="s">
        <v>551</v>
      </c>
      <c r="Q779" t="s">
        <v>2832</v>
      </c>
    </row>
    <row r="780" spans="1:17">
      <c r="A780">
        <v>1619</v>
      </c>
      <c r="B780">
        <v>345.88</v>
      </c>
      <c r="C780">
        <v>3.7639999999999998</v>
      </c>
      <c r="D780">
        <v>0.25330000000000003</v>
      </c>
      <c r="E780">
        <v>0.26140000000000002</v>
      </c>
      <c r="F780">
        <v>84.04</v>
      </c>
      <c r="G780">
        <v>0</v>
      </c>
      <c r="H780">
        <v>7.7</v>
      </c>
      <c r="I780">
        <v>70.94</v>
      </c>
      <c r="J780">
        <v>225.85</v>
      </c>
      <c r="K780">
        <v>161.81</v>
      </c>
      <c r="L780">
        <v>-745.59</v>
      </c>
      <c r="M780">
        <v>-678.77</v>
      </c>
      <c r="N780">
        <v>420462</v>
      </c>
      <c r="O780" t="s">
        <v>423</v>
      </c>
      <c r="P780" t="s">
        <v>514</v>
      </c>
      <c r="Q780" t="s">
        <v>515</v>
      </c>
    </row>
    <row r="781" spans="1:17">
      <c r="A781">
        <v>1620</v>
      </c>
      <c r="B781">
        <v>398.07</v>
      </c>
      <c r="C781">
        <v>3.2189999999999999</v>
      </c>
      <c r="D781">
        <v>0.25900000000000001</v>
      </c>
      <c r="E781">
        <v>0.39050000000000001</v>
      </c>
      <c r="F781">
        <v>152.04</v>
      </c>
      <c r="G781">
        <v>0</v>
      </c>
      <c r="H781">
        <v>6.6</v>
      </c>
      <c r="I781">
        <v>111.8</v>
      </c>
      <c r="J781">
        <v>272.45</v>
      </c>
      <c r="K781">
        <v>179.75</v>
      </c>
      <c r="L781">
        <v>-1368</v>
      </c>
      <c r="M781">
        <v>-1255</v>
      </c>
      <c r="N781">
        <v>690391</v>
      </c>
      <c r="O781" t="s">
        <v>2802</v>
      </c>
      <c r="P781" t="s">
        <v>2833</v>
      </c>
      <c r="Q781" t="s">
        <v>2834</v>
      </c>
    </row>
    <row r="782" spans="1:17">
      <c r="A782">
        <v>1622</v>
      </c>
      <c r="B782">
        <v>386.35</v>
      </c>
      <c r="C782">
        <v>2.323</v>
      </c>
      <c r="D782">
        <v>0.27339999999999998</v>
      </c>
      <c r="E782">
        <v>0.3664</v>
      </c>
      <c r="F782">
        <v>238.03</v>
      </c>
      <c r="G782">
        <v>0</v>
      </c>
      <c r="H782">
        <v>5.8</v>
      </c>
      <c r="I782">
        <v>148.61000000000001</v>
      </c>
      <c r="J782">
        <v>271.14999999999998</v>
      </c>
      <c r="K782">
        <v>144.94999999999999</v>
      </c>
      <c r="L782">
        <v>-2140</v>
      </c>
      <c r="M782">
        <v>-1974</v>
      </c>
      <c r="N782">
        <v>355259</v>
      </c>
      <c r="O782" t="s">
        <v>559</v>
      </c>
      <c r="P782" t="s">
        <v>560</v>
      </c>
      <c r="Q782" t="s">
        <v>561</v>
      </c>
    </row>
    <row r="783" spans="1:17">
      <c r="A783">
        <v>1623</v>
      </c>
      <c r="B783">
        <v>449.55</v>
      </c>
      <c r="C783">
        <v>1.802</v>
      </c>
      <c r="D783">
        <v>0.27100000000000002</v>
      </c>
      <c r="E783">
        <v>0.4965</v>
      </c>
      <c r="F783">
        <v>338.04</v>
      </c>
      <c r="G783">
        <v>0</v>
      </c>
      <c r="H783">
        <v>5.86</v>
      </c>
      <c r="I783">
        <v>202.5</v>
      </c>
      <c r="J783">
        <v>330.3</v>
      </c>
      <c r="K783">
        <v>185</v>
      </c>
      <c r="L783">
        <v>-2993</v>
      </c>
      <c r="M783">
        <v>-2747</v>
      </c>
      <c r="N783">
        <v>355420</v>
      </c>
      <c r="O783" t="s">
        <v>2802</v>
      </c>
      <c r="P783" t="s">
        <v>2835</v>
      </c>
      <c r="Q783" t="s">
        <v>2836</v>
      </c>
    </row>
    <row r="784" spans="1:17">
      <c r="A784">
        <v>1625</v>
      </c>
      <c r="B784">
        <v>502.2</v>
      </c>
      <c r="C784">
        <v>1.478</v>
      </c>
      <c r="D784">
        <v>0.254</v>
      </c>
      <c r="E784">
        <v>0.50839999999999996</v>
      </c>
      <c r="F784">
        <v>438.06</v>
      </c>
      <c r="G784">
        <v>0</v>
      </c>
      <c r="H784">
        <v>6.1</v>
      </c>
      <c r="I784">
        <v>248.1</v>
      </c>
      <c r="J784">
        <v>376.45</v>
      </c>
      <c r="K784">
        <v>250</v>
      </c>
      <c r="L784">
        <v>-3816</v>
      </c>
      <c r="M784">
        <v>-3491</v>
      </c>
      <c r="N784">
        <v>307346</v>
      </c>
      <c r="O784" t="s">
        <v>2802</v>
      </c>
      <c r="P784" t="s">
        <v>2837</v>
      </c>
      <c r="Q784" t="s">
        <v>2838</v>
      </c>
    </row>
    <row r="785" spans="1:17">
      <c r="A785">
        <v>1626</v>
      </c>
      <c r="B785">
        <v>523.9</v>
      </c>
      <c r="C785">
        <v>1.296</v>
      </c>
      <c r="D785">
        <v>0.245</v>
      </c>
      <c r="E785">
        <v>0.52529999999999999</v>
      </c>
      <c r="F785">
        <v>488.06</v>
      </c>
      <c r="G785">
        <v>0</v>
      </c>
      <c r="H785">
        <v>6.12</v>
      </c>
      <c r="I785">
        <v>272.2</v>
      </c>
      <c r="J785">
        <v>398.45</v>
      </c>
      <c r="K785">
        <v>257.14999999999998</v>
      </c>
      <c r="L785">
        <v>-4227</v>
      </c>
      <c r="M785">
        <v>-3862</v>
      </c>
      <c r="N785">
        <v>375962</v>
      </c>
      <c r="O785" t="s">
        <v>2802</v>
      </c>
      <c r="P785" t="s">
        <v>2839</v>
      </c>
      <c r="Q785" t="s">
        <v>2840</v>
      </c>
    </row>
    <row r="786" spans="1:17">
      <c r="A786">
        <v>1627</v>
      </c>
      <c r="B786">
        <v>542.35</v>
      </c>
      <c r="C786">
        <v>1.1719999999999999</v>
      </c>
      <c r="D786">
        <v>0.23200000000000001</v>
      </c>
      <c r="E786">
        <v>0.51270000000000004</v>
      </c>
      <c r="F786">
        <v>538.07000000000005</v>
      </c>
      <c r="G786">
        <v>0</v>
      </c>
      <c r="H786">
        <v>6.08</v>
      </c>
      <c r="I786">
        <v>297.5</v>
      </c>
      <c r="J786">
        <v>417.35</v>
      </c>
      <c r="K786">
        <v>309.14999999999998</v>
      </c>
      <c r="L786">
        <v>-4639</v>
      </c>
      <c r="M786">
        <v>-4234</v>
      </c>
      <c r="N786">
        <v>307459</v>
      </c>
      <c r="O786" t="s">
        <v>2802</v>
      </c>
      <c r="P786" t="s">
        <v>2841</v>
      </c>
      <c r="Q786" t="s">
        <v>2842</v>
      </c>
    </row>
    <row r="787" spans="1:17">
      <c r="A787">
        <v>1629</v>
      </c>
      <c r="B787">
        <v>302.8</v>
      </c>
      <c r="C787">
        <v>4.46</v>
      </c>
      <c r="D787">
        <v>0.2697</v>
      </c>
      <c r="E787">
        <v>0.13619999999999999</v>
      </c>
      <c r="F787">
        <v>64.040000000000006</v>
      </c>
      <c r="G787">
        <v>0</v>
      </c>
      <c r="H787">
        <v>7.69</v>
      </c>
      <c r="I787">
        <v>56.34</v>
      </c>
      <c r="J787">
        <v>187.45</v>
      </c>
      <c r="K787">
        <v>129.15</v>
      </c>
      <c r="L787">
        <v>-345</v>
      </c>
      <c r="M787">
        <v>-313.08999999999997</v>
      </c>
      <c r="N787">
        <v>75387</v>
      </c>
      <c r="O787" t="s">
        <v>423</v>
      </c>
      <c r="P787" t="s">
        <v>481</v>
      </c>
      <c r="Q787" t="s">
        <v>482</v>
      </c>
    </row>
    <row r="788" spans="1:17">
      <c r="A788">
        <v>1630</v>
      </c>
      <c r="B788">
        <v>306.45</v>
      </c>
      <c r="C788">
        <v>3.944</v>
      </c>
      <c r="D788">
        <v>0.26619999999999999</v>
      </c>
      <c r="E788">
        <v>0.22650000000000001</v>
      </c>
      <c r="F788">
        <v>100.02</v>
      </c>
      <c r="G788">
        <v>0</v>
      </c>
      <c r="H788">
        <v>7.46</v>
      </c>
      <c r="I788">
        <v>65.33</v>
      </c>
      <c r="J788">
        <v>197.51</v>
      </c>
      <c r="K788">
        <v>130.65</v>
      </c>
      <c r="L788">
        <v>-660.7</v>
      </c>
      <c r="M788">
        <v>-623.71</v>
      </c>
      <c r="N788">
        <v>116143</v>
      </c>
      <c r="O788" t="s">
        <v>423</v>
      </c>
      <c r="P788" t="s">
        <v>487</v>
      </c>
      <c r="Q788" t="s">
        <v>488</v>
      </c>
    </row>
    <row r="789" spans="1:17">
      <c r="A789">
        <v>1634</v>
      </c>
      <c r="B789">
        <v>411.98</v>
      </c>
      <c r="C789">
        <v>5.1319999999999997</v>
      </c>
      <c r="D789">
        <v>0.25</v>
      </c>
      <c r="E789">
        <v>0.20499999999999999</v>
      </c>
      <c r="F789">
        <v>130.91999999999999</v>
      </c>
      <c r="G789">
        <v>0</v>
      </c>
      <c r="H789">
        <v>7.91</v>
      </c>
      <c r="I789">
        <v>72.540000000000006</v>
      </c>
      <c r="J789">
        <v>257.67</v>
      </c>
      <c r="K789">
        <v>128</v>
      </c>
      <c r="L789">
        <v>-424.9</v>
      </c>
      <c r="M789">
        <v>-408.59</v>
      </c>
      <c r="N789">
        <v>1511622</v>
      </c>
      <c r="O789" t="s">
        <v>2802</v>
      </c>
      <c r="P789" t="s">
        <v>2843</v>
      </c>
      <c r="Q789" t="s">
        <v>2844</v>
      </c>
    </row>
    <row r="790" spans="1:17">
      <c r="A790">
        <v>1640</v>
      </c>
      <c r="B790">
        <v>386.44</v>
      </c>
      <c r="C790">
        <v>4.5199999999999996</v>
      </c>
      <c r="D790">
        <v>0.25319999999999998</v>
      </c>
      <c r="E790">
        <v>0.27510000000000001</v>
      </c>
      <c r="F790">
        <v>66.05</v>
      </c>
      <c r="G790">
        <v>0</v>
      </c>
      <c r="H790">
        <v>8.34</v>
      </c>
      <c r="I790">
        <v>65.17</v>
      </c>
      <c r="J790">
        <v>247.35</v>
      </c>
      <c r="K790">
        <v>156.15</v>
      </c>
      <c r="L790">
        <v>-500.83</v>
      </c>
      <c r="M790">
        <v>-436.22</v>
      </c>
      <c r="N790">
        <v>75376</v>
      </c>
      <c r="O790" t="s">
        <v>491</v>
      </c>
      <c r="P790" t="s">
        <v>562</v>
      </c>
      <c r="Q790" t="s">
        <v>563</v>
      </c>
    </row>
    <row r="791" spans="1:17">
      <c r="A791">
        <v>1641</v>
      </c>
      <c r="B791">
        <v>464</v>
      </c>
      <c r="C791">
        <v>6.9290000000000003</v>
      </c>
      <c r="D791">
        <v>0.21149999999999999</v>
      </c>
      <c r="E791">
        <v>0.15340000000000001</v>
      </c>
      <c r="F791">
        <v>94.94</v>
      </c>
      <c r="G791">
        <v>0</v>
      </c>
      <c r="H791">
        <v>9.74</v>
      </c>
      <c r="I791">
        <v>55.14</v>
      </c>
      <c r="J791">
        <v>276.70999999999998</v>
      </c>
      <c r="K791">
        <v>179.55</v>
      </c>
      <c r="L791">
        <v>-37.700000000000003</v>
      </c>
      <c r="M791">
        <v>-28.19</v>
      </c>
      <c r="N791">
        <v>74839</v>
      </c>
      <c r="O791" t="s">
        <v>681</v>
      </c>
      <c r="P791" t="s">
        <v>682</v>
      </c>
      <c r="Q791" t="s">
        <v>2845</v>
      </c>
    </row>
    <row r="792" spans="1:17">
      <c r="A792">
        <v>1645</v>
      </c>
      <c r="B792">
        <v>503.8</v>
      </c>
      <c r="C792">
        <v>5.5650000000000004</v>
      </c>
      <c r="D792">
        <v>0.31979999999999997</v>
      </c>
      <c r="E792">
        <v>0.20530000000000001</v>
      </c>
      <c r="F792">
        <v>108.97</v>
      </c>
      <c r="G792">
        <v>0</v>
      </c>
      <c r="H792">
        <v>8.9600000000000009</v>
      </c>
      <c r="I792">
        <v>75.25</v>
      </c>
      <c r="J792">
        <v>311.5</v>
      </c>
      <c r="K792">
        <v>154.55000000000001</v>
      </c>
      <c r="L792">
        <v>-62.3</v>
      </c>
      <c r="M792">
        <v>-25.82</v>
      </c>
      <c r="N792">
        <v>74964</v>
      </c>
      <c r="O792" t="s">
        <v>423</v>
      </c>
      <c r="P792" t="s">
        <v>796</v>
      </c>
      <c r="Q792" t="s">
        <v>797</v>
      </c>
    </row>
    <row r="793" spans="1:17">
      <c r="A793">
        <v>1646</v>
      </c>
      <c r="B793">
        <v>339.17</v>
      </c>
      <c r="C793">
        <v>3.62</v>
      </c>
      <c r="D793">
        <v>0.26129999999999998</v>
      </c>
      <c r="E793">
        <v>0.30530000000000002</v>
      </c>
      <c r="F793">
        <v>120.02</v>
      </c>
      <c r="G793">
        <v>0</v>
      </c>
      <c r="H793">
        <v>7.17</v>
      </c>
      <c r="I793">
        <v>80.3</v>
      </c>
      <c r="J793">
        <v>225.15</v>
      </c>
      <c r="K793">
        <v>170.15</v>
      </c>
      <c r="L793">
        <v>-1104.5999999999999</v>
      </c>
      <c r="M793">
        <v>-1029.3</v>
      </c>
      <c r="N793">
        <v>354336</v>
      </c>
      <c r="O793" t="s">
        <v>507</v>
      </c>
      <c r="P793" t="s">
        <v>508</v>
      </c>
      <c r="Q793" t="s">
        <v>509</v>
      </c>
    </row>
    <row r="794" spans="1:17">
      <c r="A794">
        <v>1649</v>
      </c>
      <c r="B794">
        <v>824</v>
      </c>
      <c r="C794">
        <v>4.5999999999999996</v>
      </c>
      <c r="D794">
        <v>0.26919999999999999</v>
      </c>
      <c r="E794">
        <v>0.14660000000000001</v>
      </c>
      <c r="F794">
        <v>345.65</v>
      </c>
      <c r="G794">
        <v>0</v>
      </c>
      <c r="H794">
        <v>11.05</v>
      </c>
      <c r="I794">
        <v>116.99</v>
      </c>
      <c r="J794">
        <v>516.65</v>
      </c>
      <c r="K794">
        <v>273.14999999999998</v>
      </c>
      <c r="L794">
        <v>10.88</v>
      </c>
      <c r="M794">
        <v>24.71</v>
      </c>
      <c r="N794">
        <v>79276</v>
      </c>
      <c r="O794" t="s">
        <v>2516</v>
      </c>
      <c r="P794" t="s">
        <v>2596</v>
      </c>
      <c r="Q794" t="s">
        <v>2597</v>
      </c>
    </row>
    <row r="795" spans="1:17">
      <c r="A795">
        <v>1650</v>
      </c>
      <c r="B795">
        <v>535.5</v>
      </c>
      <c r="C795">
        <v>4.5780000000000003</v>
      </c>
      <c r="D795">
        <v>0.317</v>
      </c>
      <c r="E795">
        <v>0.28110000000000002</v>
      </c>
      <c r="F795">
        <v>122.99</v>
      </c>
      <c r="G795">
        <v>0</v>
      </c>
      <c r="H795">
        <v>8.84</v>
      </c>
      <c r="I795">
        <v>91.43</v>
      </c>
      <c r="J795">
        <v>344.15</v>
      </c>
      <c r="K795">
        <v>163.15</v>
      </c>
      <c r="L795">
        <v>-84.5</v>
      </c>
      <c r="M795">
        <v>-22.47</v>
      </c>
      <c r="N795">
        <v>106945</v>
      </c>
      <c r="O795" t="s">
        <v>568</v>
      </c>
      <c r="P795" t="s">
        <v>919</v>
      </c>
      <c r="Q795" t="s">
        <v>931</v>
      </c>
    </row>
    <row r="796" spans="1:17">
      <c r="A796">
        <v>1651</v>
      </c>
      <c r="B796">
        <v>532</v>
      </c>
      <c r="C796">
        <v>5.51</v>
      </c>
      <c r="D796">
        <v>0.33139999999999997</v>
      </c>
      <c r="E796">
        <v>0.2432</v>
      </c>
      <c r="F796">
        <v>122.99</v>
      </c>
      <c r="G796">
        <v>0</v>
      </c>
      <c r="H796">
        <v>8.34</v>
      </c>
      <c r="I796">
        <v>95.93</v>
      </c>
      <c r="J796">
        <v>333.35</v>
      </c>
      <c r="K796">
        <v>184.15</v>
      </c>
      <c r="L796">
        <v>-98.3</v>
      </c>
      <c r="M796">
        <v>-27.24</v>
      </c>
      <c r="N796">
        <v>75263</v>
      </c>
      <c r="O796" t="s">
        <v>568</v>
      </c>
      <c r="P796" t="s">
        <v>919</v>
      </c>
      <c r="Q796" t="s">
        <v>920</v>
      </c>
    </row>
    <row r="797" spans="1:17">
      <c r="A797">
        <v>1655</v>
      </c>
      <c r="B797">
        <v>570.4</v>
      </c>
      <c r="C797">
        <v>4.0410000000000004</v>
      </c>
      <c r="D797">
        <v>0.3019</v>
      </c>
      <c r="E797">
        <v>0.31130000000000002</v>
      </c>
      <c r="F797">
        <v>137.02000000000001</v>
      </c>
      <c r="G797">
        <v>0</v>
      </c>
      <c r="H797">
        <v>9.01</v>
      </c>
      <c r="I797">
        <v>108</v>
      </c>
      <c r="J797">
        <v>374.75</v>
      </c>
      <c r="K797">
        <v>160.75</v>
      </c>
      <c r="L797">
        <v>-107.1</v>
      </c>
      <c r="M797">
        <v>-12.89</v>
      </c>
      <c r="N797">
        <v>109659</v>
      </c>
      <c r="O797" t="s">
        <v>568</v>
      </c>
      <c r="P797" t="s">
        <v>1147</v>
      </c>
      <c r="Q797" t="s">
        <v>1174</v>
      </c>
    </row>
    <row r="798" spans="1:17">
      <c r="A798">
        <v>1667</v>
      </c>
      <c r="B798">
        <v>646.1</v>
      </c>
      <c r="C798">
        <v>2.8969999999999998</v>
      </c>
      <c r="D798">
        <v>0.27429999999999999</v>
      </c>
      <c r="E798">
        <v>0.45269999999999999</v>
      </c>
      <c r="F798">
        <v>179.1</v>
      </c>
      <c r="G798">
        <v>0</v>
      </c>
      <c r="H798">
        <v>8.48</v>
      </c>
      <c r="I798">
        <v>157.80000000000001</v>
      </c>
      <c r="J798">
        <v>452.05</v>
      </c>
      <c r="K798">
        <v>217.05</v>
      </c>
      <c r="L798">
        <v>-168</v>
      </c>
      <c r="M798">
        <v>13.7</v>
      </c>
      <c r="N798">
        <v>629049</v>
      </c>
      <c r="O798" t="s">
        <v>1601</v>
      </c>
      <c r="P798" t="s">
        <v>1602</v>
      </c>
      <c r="Q798" t="s">
        <v>1603</v>
      </c>
    </row>
    <row r="799" spans="1:17">
      <c r="A799">
        <v>1672</v>
      </c>
      <c r="B799">
        <v>628</v>
      </c>
      <c r="C799">
        <v>6.03</v>
      </c>
      <c r="D799">
        <v>0.35809999999999997</v>
      </c>
      <c r="E799">
        <v>0.125</v>
      </c>
      <c r="F799">
        <v>187.86</v>
      </c>
      <c r="G799">
        <v>0</v>
      </c>
      <c r="H799">
        <v>9.98</v>
      </c>
      <c r="I799">
        <v>91.85</v>
      </c>
      <c r="J799">
        <v>381.15</v>
      </c>
      <c r="K799">
        <v>210.15</v>
      </c>
      <c r="L799">
        <v>-40.799999999999997</v>
      </c>
      <c r="M799">
        <v>-11.8</v>
      </c>
      <c r="N799">
        <v>557915</v>
      </c>
      <c r="O799" t="s">
        <v>1502</v>
      </c>
      <c r="P799" t="s">
        <v>1503</v>
      </c>
      <c r="Q799" t="s">
        <v>1504</v>
      </c>
    </row>
    <row r="800" spans="1:17">
      <c r="A800">
        <v>1673</v>
      </c>
      <c r="B800">
        <v>650.15</v>
      </c>
      <c r="C800">
        <v>5.4770000000000003</v>
      </c>
      <c r="D800">
        <v>0.27350000000000002</v>
      </c>
      <c r="E800">
        <v>0.20669999999999999</v>
      </c>
      <c r="F800">
        <v>187.86</v>
      </c>
      <c r="G800">
        <v>0</v>
      </c>
      <c r="H800">
        <v>10.39</v>
      </c>
      <c r="I800">
        <v>86.61</v>
      </c>
      <c r="J800">
        <v>404.51</v>
      </c>
      <c r="K800">
        <v>282.94</v>
      </c>
      <c r="L800">
        <v>-37.799999999999997</v>
      </c>
      <c r="M800">
        <v>-10.54</v>
      </c>
      <c r="N800">
        <v>106934</v>
      </c>
      <c r="O800" t="s">
        <v>1635</v>
      </c>
      <c r="P800" t="s">
        <v>1503</v>
      </c>
      <c r="Q800" t="s">
        <v>1636</v>
      </c>
    </row>
    <row r="801" spans="1:17">
      <c r="A801">
        <v>1678</v>
      </c>
      <c r="B801">
        <v>761</v>
      </c>
      <c r="C801">
        <v>4.66</v>
      </c>
      <c r="D801">
        <v>0.28699999999999998</v>
      </c>
      <c r="E801">
        <v>0.29320000000000002</v>
      </c>
      <c r="F801">
        <v>235.91</v>
      </c>
      <c r="G801">
        <v>0</v>
      </c>
      <c r="H801">
        <v>9.99</v>
      </c>
      <c r="I801">
        <v>121.17</v>
      </c>
      <c r="J801">
        <v>493.15</v>
      </c>
      <c r="K801">
        <v>266.14999999999998</v>
      </c>
      <c r="L801">
        <v>125.52</v>
      </c>
      <c r="M801">
        <v>150</v>
      </c>
      <c r="N801">
        <v>108361</v>
      </c>
      <c r="O801" t="s">
        <v>1601</v>
      </c>
      <c r="P801" t="s">
        <v>2146</v>
      </c>
      <c r="Q801" t="s">
        <v>2147</v>
      </c>
    </row>
    <row r="802" spans="1:17">
      <c r="A802">
        <v>1680</v>
      </c>
      <c r="B802">
        <v>670.15</v>
      </c>
      <c r="C802">
        <v>4.5190000000000001</v>
      </c>
      <c r="D802">
        <v>0.26279999999999998</v>
      </c>
      <c r="E802">
        <v>0.25059999999999999</v>
      </c>
      <c r="F802">
        <v>157.01</v>
      </c>
      <c r="G802">
        <v>0</v>
      </c>
      <c r="H802">
        <v>9.75</v>
      </c>
      <c r="I802">
        <v>105.57</v>
      </c>
      <c r="J802">
        <v>429.21</v>
      </c>
      <c r="K802">
        <v>242.33</v>
      </c>
      <c r="L802">
        <v>113.81</v>
      </c>
      <c r="M802">
        <v>138.53</v>
      </c>
      <c r="N802">
        <v>108861</v>
      </c>
      <c r="O802" t="s">
        <v>478</v>
      </c>
      <c r="P802" t="s">
        <v>1748</v>
      </c>
      <c r="Q802" t="s">
        <v>1749</v>
      </c>
    </row>
    <row r="803" spans="1:17">
      <c r="A803">
        <v>1681</v>
      </c>
      <c r="B803">
        <v>528.20000000000005</v>
      </c>
      <c r="C803">
        <v>6.6</v>
      </c>
      <c r="D803">
        <v>0.23300000000000001</v>
      </c>
      <c r="E803">
        <v>0.15670000000000001</v>
      </c>
      <c r="F803">
        <v>141.94</v>
      </c>
      <c r="G803">
        <v>0</v>
      </c>
      <c r="H803">
        <v>9.8699999999999992</v>
      </c>
      <c r="I803">
        <v>62.67</v>
      </c>
      <c r="J803">
        <v>315.58</v>
      </c>
      <c r="K803">
        <v>206.7</v>
      </c>
      <c r="L803">
        <v>13</v>
      </c>
      <c r="M803">
        <v>14.7</v>
      </c>
      <c r="N803">
        <v>74884</v>
      </c>
      <c r="O803" t="s">
        <v>902</v>
      </c>
      <c r="P803" t="s">
        <v>903</v>
      </c>
      <c r="Q803" t="s">
        <v>904</v>
      </c>
    </row>
    <row r="804" spans="1:17">
      <c r="A804">
        <v>1682</v>
      </c>
      <c r="B804">
        <v>554</v>
      </c>
      <c r="C804">
        <v>4.7110000000000003</v>
      </c>
      <c r="D804">
        <v>0.30940000000000001</v>
      </c>
      <c r="E804">
        <v>0.16739999999999999</v>
      </c>
      <c r="F804">
        <v>155.97</v>
      </c>
      <c r="G804">
        <v>0</v>
      </c>
      <c r="H804">
        <v>9.27</v>
      </c>
      <c r="I804">
        <v>81.22</v>
      </c>
      <c r="J804">
        <v>345.45</v>
      </c>
      <c r="K804">
        <v>162.05000000000001</v>
      </c>
      <c r="L804">
        <v>-8.4</v>
      </c>
      <c r="M804">
        <v>21.6</v>
      </c>
      <c r="N804">
        <v>75036</v>
      </c>
      <c r="O804" t="s">
        <v>1024</v>
      </c>
      <c r="P804" t="s">
        <v>1050</v>
      </c>
      <c r="Q804" t="s">
        <v>1051</v>
      </c>
    </row>
    <row r="805" spans="1:17">
      <c r="A805">
        <v>1683</v>
      </c>
      <c r="B805">
        <v>586.29999999999995</v>
      </c>
      <c r="C805">
        <v>4.1520000000000001</v>
      </c>
      <c r="D805">
        <v>0.29430000000000001</v>
      </c>
      <c r="E805">
        <v>0.223</v>
      </c>
      <c r="F805">
        <v>169.99</v>
      </c>
      <c r="G805">
        <v>0</v>
      </c>
      <c r="H805">
        <v>8.9600000000000009</v>
      </c>
      <c r="I805">
        <v>97.76</v>
      </c>
      <c r="J805">
        <v>375.6</v>
      </c>
      <c r="K805">
        <v>171.85</v>
      </c>
      <c r="L805">
        <v>-32.5</v>
      </c>
      <c r="M805">
        <v>27.95</v>
      </c>
      <c r="N805">
        <v>107084</v>
      </c>
      <c r="O805" t="s">
        <v>992</v>
      </c>
      <c r="P805" t="s">
        <v>1213</v>
      </c>
      <c r="Q805" t="s">
        <v>1254</v>
      </c>
    </row>
    <row r="806" spans="1:17">
      <c r="A806">
        <v>1684</v>
      </c>
      <c r="B806">
        <v>578</v>
      </c>
      <c r="C806">
        <v>5.12</v>
      </c>
      <c r="D806">
        <v>0.309</v>
      </c>
      <c r="E806">
        <v>0.23799999999999999</v>
      </c>
      <c r="F806">
        <v>169.99</v>
      </c>
      <c r="G806">
        <v>0</v>
      </c>
      <c r="H806">
        <v>8.69</v>
      </c>
      <c r="I806">
        <v>100.3</v>
      </c>
      <c r="J806">
        <v>362.65</v>
      </c>
      <c r="K806">
        <v>183.15</v>
      </c>
      <c r="L806">
        <v>-41.6</v>
      </c>
      <c r="M806">
        <v>20.079999999999998</v>
      </c>
      <c r="N806">
        <v>75309</v>
      </c>
      <c r="O806" t="s">
        <v>568</v>
      </c>
      <c r="P806" t="s">
        <v>1213</v>
      </c>
      <c r="Q806" t="s">
        <v>1214</v>
      </c>
    </row>
    <row r="807" spans="1:17">
      <c r="A807">
        <v>1691</v>
      </c>
      <c r="B807">
        <v>721.15</v>
      </c>
      <c r="C807">
        <v>4.5190000000000001</v>
      </c>
      <c r="D807">
        <v>0.2646</v>
      </c>
      <c r="E807">
        <v>0.24660000000000001</v>
      </c>
      <c r="F807">
        <v>204.01</v>
      </c>
      <c r="G807">
        <v>0</v>
      </c>
      <c r="H807">
        <v>10</v>
      </c>
      <c r="I807">
        <v>111.98</v>
      </c>
      <c r="J807">
        <v>461.48</v>
      </c>
      <c r="K807">
        <v>241.83</v>
      </c>
      <c r="L807">
        <v>169</v>
      </c>
      <c r="M807">
        <v>190.2</v>
      </c>
      <c r="N807">
        <v>591504</v>
      </c>
      <c r="O807" t="s">
        <v>478</v>
      </c>
      <c r="P807" t="s">
        <v>1995</v>
      </c>
      <c r="Q807" t="s">
        <v>1996</v>
      </c>
    </row>
    <row r="808" spans="1:17">
      <c r="A808">
        <v>1692</v>
      </c>
      <c r="B808">
        <v>747</v>
      </c>
      <c r="C808">
        <v>5.47</v>
      </c>
      <c r="D808">
        <v>0.23960000000000001</v>
      </c>
      <c r="E808">
        <v>0.14050000000000001</v>
      </c>
      <c r="F808">
        <v>267.83999999999997</v>
      </c>
      <c r="G808">
        <v>0</v>
      </c>
      <c r="H808">
        <v>11.76</v>
      </c>
      <c r="I808">
        <v>81.02</v>
      </c>
      <c r="J808">
        <v>455.15</v>
      </c>
      <c r="K808">
        <v>279.25</v>
      </c>
      <c r="L808">
        <v>117.6</v>
      </c>
      <c r="M808">
        <v>100.6</v>
      </c>
      <c r="N808">
        <v>75116</v>
      </c>
      <c r="O808" t="s">
        <v>787</v>
      </c>
      <c r="P808" t="s">
        <v>2097</v>
      </c>
      <c r="Q808" t="s">
        <v>2098</v>
      </c>
    </row>
    <row r="809" spans="1:17">
      <c r="A809">
        <v>1693</v>
      </c>
      <c r="B809">
        <v>418.55</v>
      </c>
      <c r="C809">
        <v>3.3</v>
      </c>
      <c r="D809">
        <v>0.27879999999999999</v>
      </c>
      <c r="E809">
        <v>0.25330000000000003</v>
      </c>
      <c r="F809">
        <v>170.92</v>
      </c>
      <c r="G809">
        <v>0</v>
      </c>
      <c r="H809">
        <v>6.26</v>
      </c>
      <c r="I809">
        <v>117.16</v>
      </c>
      <c r="J809">
        <v>276.17</v>
      </c>
      <c r="K809">
        <v>216.55</v>
      </c>
      <c r="L809">
        <v>-926.8</v>
      </c>
      <c r="M809">
        <v>-845.5</v>
      </c>
      <c r="N809">
        <v>374072</v>
      </c>
      <c r="O809" t="s">
        <v>435</v>
      </c>
      <c r="P809" t="s">
        <v>599</v>
      </c>
      <c r="Q809" t="s">
        <v>600</v>
      </c>
    </row>
    <row r="810" spans="1:17">
      <c r="A810">
        <v>1694</v>
      </c>
      <c r="B810">
        <v>456.94</v>
      </c>
      <c r="C810">
        <v>3.6760000000000002</v>
      </c>
      <c r="D810">
        <v>0.26529999999999998</v>
      </c>
      <c r="E810">
        <v>0.28249999999999997</v>
      </c>
      <c r="F810">
        <v>152.93</v>
      </c>
      <c r="G810">
        <v>0</v>
      </c>
      <c r="H810">
        <v>7.36</v>
      </c>
      <c r="I810">
        <v>104.5</v>
      </c>
      <c r="J810">
        <v>301.05</v>
      </c>
      <c r="K810">
        <v>195</v>
      </c>
      <c r="L810">
        <v>-743.9</v>
      </c>
      <c r="M810">
        <v>-668.9</v>
      </c>
      <c r="N810">
        <v>306832</v>
      </c>
      <c r="O810" t="s">
        <v>666</v>
      </c>
      <c r="P810" t="s">
        <v>667</v>
      </c>
      <c r="Q810" t="s">
        <v>668</v>
      </c>
    </row>
    <row r="811" spans="1:17">
      <c r="A811">
        <v>1696</v>
      </c>
      <c r="B811">
        <v>451.58</v>
      </c>
      <c r="C811">
        <v>5.1840000000000002</v>
      </c>
      <c r="D811">
        <v>0.26979999999999998</v>
      </c>
      <c r="E811">
        <v>0.20480000000000001</v>
      </c>
      <c r="F811">
        <v>102.92</v>
      </c>
      <c r="G811">
        <v>0</v>
      </c>
      <c r="H811">
        <v>8.59</v>
      </c>
      <c r="I811">
        <v>73.180000000000007</v>
      </c>
      <c r="J811">
        <v>282.05</v>
      </c>
      <c r="K811">
        <v>138.15</v>
      </c>
      <c r="L811">
        <v>-283.3</v>
      </c>
      <c r="M811">
        <v>-252.8</v>
      </c>
      <c r="N811">
        <v>75434</v>
      </c>
      <c r="O811" t="s">
        <v>638</v>
      </c>
      <c r="P811" t="s">
        <v>653</v>
      </c>
      <c r="Q811" t="s">
        <v>654</v>
      </c>
    </row>
    <row r="812" spans="1:17">
      <c r="A812">
        <v>1697</v>
      </c>
      <c r="B812">
        <v>824</v>
      </c>
      <c r="C812">
        <v>3.7</v>
      </c>
      <c r="D812">
        <v>0.2447</v>
      </c>
      <c r="E812">
        <v>0.36919999999999997</v>
      </c>
      <c r="F812">
        <v>207.07</v>
      </c>
      <c r="G812">
        <v>0</v>
      </c>
      <c r="H812">
        <v>10.38</v>
      </c>
      <c r="I812">
        <v>140.07</v>
      </c>
      <c r="J812">
        <v>554.15</v>
      </c>
      <c r="K812">
        <v>279.35000000000002</v>
      </c>
      <c r="L812">
        <v>182</v>
      </c>
      <c r="M812">
        <v>242.97</v>
      </c>
      <c r="N812">
        <v>90119</v>
      </c>
      <c r="O812" t="s">
        <v>568</v>
      </c>
      <c r="P812" t="s">
        <v>2339</v>
      </c>
      <c r="Q812" t="s">
        <v>2340</v>
      </c>
    </row>
    <row r="813" spans="1:17">
      <c r="A813">
        <v>1698</v>
      </c>
      <c r="B813">
        <v>696</v>
      </c>
      <c r="C813">
        <v>6.09</v>
      </c>
      <c r="D813">
        <v>0.30099999999999999</v>
      </c>
      <c r="E813">
        <v>0.15609999999999999</v>
      </c>
      <c r="F813">
        <v>252.73</v>
      </c>
      <c r="G813">
        <v>0</v>
      </c>
      <c r="H813">
        <v>10.62</v>
      </c>
      <c r="I813">
        <v>87.87</v>
      </c>
      <c r="J813">
        <v>422.7</v>
      </c>
      <c r="K813">
        <v>281.2</v>
      </c>
      <c r="L813">
        <v>16.7</v>
      </c>
      <c r="M813">
        <v>7.4</v>
      </c>
      <c r="N813">
        <v>75252</v>
      </c>
      <c r="O813" t="s">
        <v>787</v>
      </c>
      <c r="P813" t="s">
        <v>1879</v>
      </c>
      <c r="Q813" t="s">
        <v>1880</v>
      </c>
    </row>
    <row r="814" spans="1:17">
      <c r="A814">
        <v>1699</v>
      </c>
      <c r="B814">
        <v>368</v>
      </c>
      <c r="C814">
        <v>2.9</v>
      </c>
      <c r="D814">
        <v>0.254</v>
      </c>
      <c r="E814">
        <v>0.20430000000000001</v>
      </c>
      <c r="F814">
        <v>150.02000000000001</v>
      </c>
      <c r="G814">
        <v>0</v>
      </c>
      <c r="H814">
        <v>6.53</v>
      </c>
      <c r="I814">
        <v>97.37</v>
      </c>
      <c r="J814">
        <v>243.75</v>
      </c>
      <c r="K814">
        <v>116.95</v>
      </c>
      <c r="L814">
        <v>-1080</v>
      </c>
      <c r="M814">
        <v>-1038.08</v>
      </c>
      <c r="N814">
        <v>116154</v>
      </c>
      <c r="O814" t="s">
        <v>2516</v>
      </c>
      <c r="P814" t="s">
        <v>2598</v>
      </c>
      <c r="Q814" t="s">
        <v>2599</v>
      </c>
    </row>
    <row r="815" spans="1:17">
      <c r="A815">
        <v>1701</v>
      </c>
      <c r="B815">
        <v>430.05</v>
      </c>
      <c r="C815">
        <v>7.46</v>
      </c>
      <c r="D815">
        <v>0.32129999999999997</v>
      </c>
      <c r="E815">
        <v>0.28139999999999998</v>
      </c>
      <c r="F815">
        <v>31.06</v>
      </c>
      <c r="G815">
        <v>1</v>
      </c>
      <c r="H815">
        <v>11.3</v>
      </c>
      <c r="I815">
        <v>44.71</v>
      </c>
      <c r="J815">
        <v>266.82</v>
      </c>
      <c r="K815">
        <v>179.69</v>
      </c>
      <c r="L815">
        <v>-23</v>
      </c>
      <c r="M815">
        <v>32.07</v>
      </c>
      <c r="N815">
        <v>74895</v>
      </c>
      <c r="O815" t="s">
        <v>615</v>
      </c>
      <c r="P815" t="s">
        <v>616</v>
      </c>
      <c r="Q815" t="s">
        <v>617</v>
      </c>
    </row>
    <row r="816" spans="1:17">
      <c r="A816">
        <v>1702</v>
      </c>
      <c r="B816">
        <v>437.2</v>
      </c>
      <c r="C816">
        <v>5.34</v>
      </c>
      <c r="D816">
        <v>0.27429999999999999</v>
      </c>
      <c r="E816">
        <v>0.2999</v>
      </c>
      <c r="F816">
        <v>45.08</v>
      </c>
      <c r="G816">
        <v>1</v>
      </c>
      <c r="H816">
        <v>9.2899999999999991</v>
      </c>
      <c r="I816">
        <v>67.260000000000005</v>
      </c>
      <c r="J816">
        <v>280.02999999999997</v>
      </c>
      <c r="K816">
        <v>180.96</v>
      </c>
      <c r="L816">
        <v>-18.8</v>
      </c>
      <c r="M816">
        <v>68.39</v>
      </c>
      <c r="N816">
        <v>124403</v>
      </c>
      <c r="O816" t="s">
        <v>635</v>
      </c>
      <c r="P816" t="s">
        <v>636</v>
      </c>
      <c r="Q816" t="s">
        <v>637</v>
      </c>
    </row>
    <row r="817" spans="1:17">
      <c r="A817">
        <v>1703</v>
      </c>
      <c r="B817">
        <v>433.25</v>
      </c>
      <c r="C817">
        <v>4.07</v>
      </c>
      <c r="D817">
        <v>0.2863</v>
      </c>
      <c r="E817">
        <v>0.20619999999999999</v>
      </c>
      <c r="F817">
        <v>59.11</v>
      </c>
      <c r="G817">
        <v>1</v>
      </c>
      <c r="H817">
        <v>7.42</v>
      </c>
      <c r="I817">
        <v>90.25</v>
      </c>
      <c r="J817">
        <v>276.02</v>
      </c>
      <c r="K817">
        <v>156.08000000000001</v>
      </c>
      <c r="L817">
        <v>-23.8</v>
      </c>
      <c r="M817">
        <v>98.99</v>
      </c>
      <c r="N817">
        <v>75503</v>
      </c>
      <c r="O817" t="s">
        <v>423</v>
      </c>
      <c r="P817" t="s">
        <v>628</v>
      </c>
      <c r="Q817" t="s">
        <v>629</v>
      </c>
    </row>
    <row r="818" spans="1:17">
      <c r="A818">
        <v>1704</v>
      </c>
      <c r="B818">
        <v>456.15</v>
      </c>
      <c r="C818">
        <v>5.62</v>
      </c>
      <c r="D818">
        <v>0.2697</v>
      </c>
      <c r="E818">
        <v>0.2848</v>
      </c>
      <c r="F818">
        <v>45.08</v>
      </c>
      <c r="G818">
        <v>1</v>
      </c>
      <c r="H818">
        <v>9.5299999999999994</v>
      </c>
      <c r="I818">
        <v>65.64</v>
      </c>
      <c r="J818">
        <v>289.73</v>
      </c>
      <c r="K818">
        <v>192.15</v>
      </c>
      <c r="L818">
        <v>-46</v>
      </c>
      <c r="M818">
        <v>39</v>
      </c>
      <c r="N818">
        <v>75047</v>
      </c>
      <c r="O818" t="s">
        <v>638</v>
      </c>
      <c r="P818" t="s">
        <v>636</v>
      </c>
      <c r="Q818" t="s">
        <v>665</v>
      </c>
    </row>
    <row r="819" spans="1:17">
      <c r="A819">
        <v>1706</v>
      </c>
      <c r="B819">
        <v>535.15</v>
      </c>
      <c r="C819">
        <v>3.04</v>
      </c>
      <c r="D819">
        <v>0.26650000000000001</v>
      </c>
      <c r="E819">
        <v>0.31619999999999998</v>
      </c>
      <c r="F819">
        <v>101.19</v>
      </c>
      <c r="G819">
        <v>1</v>
      </c>
      <c r="H819">
        <v>7.42</v>
      </c>
      <c r="I819">
        <v>139.66999999999999</v>
      </c>
      <c r="J819">
        <v>362.65</v>
      </c>
      <c r="K819">
        <v>158.44999999999999</v>
      </c>
      <c r="L819">
        <v>-99.6</v>
      </c>
      <c r="M819">
        <v>114.1</v>
      </c>
      <c r="N819">
        <v>121448</v>
      </c>
      <c r="O819" t="s">
        <v>423</v>
      </c>
      <c r="P819" t="s">
        <v>927</v>
      </c>
      <c r="Q819" t="s">
        <v>928</v>
      </c>
    </row>
    <row r="820" spans="1:17">
      <c r="A820">
        <v>1707</v>
      </c>
      <c r="B820">
        <v>550</v>
      </c>
      <c r="C820">
        <v>3.14</v>
      </c>
      <c r="D820">
        <v>0.28399999999999997</v>
      </c>
      <c r="E820">
        <v>0.44969999999999999</v>
      </c>
      <c r="F820">
        <v>101.19</v>
      </c>
      <c r="G820">
        <v>1</v>
      </c>
      <c r="H820">
        <v>8.17</v>
      </c>
      <c r="I820">
        <v>137.26</v>
      </c>
      <c r="J820">
        <v>382</v>
      </c>
      <c r="K820">
        <v>210.15</v>
      </c>
      <c r="L820">
        <v>-116</v>
      </c>
      <c r="M820">
        <v>86.8</v>
      </c>
      <c r="N820">
        <v>142847</v>
      </c>
      <c r="O820" t="s">
        <v>1027</v>
      </c>
      <c r="P820" t="s">
        <v>927</v>
      </c>
      <c r="Q820" t="s">
        <v>1028</v>
      </c>
    </row>
    <row r="821" spans="1:17">
      <c r="A821">
        <v>1710</v>
      </c>
      <c r="B821">
        <v>496.6</v>
      </c>
      <c r="C821">
        <v>3.71</v>
      </c>
      <c r="D821">
        <v>0.27050000000000002</v>
      </c>
      <c r="E821">
        <v>0.3039</v>
      </c>
      <c r="F821">
        <v>73.14</v>
      </c>
      <c r="G821">
        <v>1</v>
      </c>
      <c r="H821">
        <v>8.1199999999999992</v>
      </c>
      <c r="I821">
        <v>104.07</v>
      </c>
      <c r="J821">
        <v>328.6</v>
      </c>
      <c r="K821">
        <v>223.35</v>
      </c>
      <c r="L821">
        <v>-72.599999999999994</v>
      </c>
      <c r="M821">
        <v>72.09</v>
      </c>
      <c r="N821">
        <v>109897</v>
      </c>
      <c r="O821" t="s">
        <v>761</v>
      </c>
      <c r="P821" t="s">
        <v>731</v>
      </c>
      <c r="Q821" t="s">
        <v>762</v>
      </c>
    </row>
    <row r="822" spans="1:17">
      <c r="A822">
        <v>1711</v>
      </c>
      <c r="B822">
        <v>496.95</v>
      </c>
      <c r="C822">
        <v>4.74</v>
      </c>
      <c r="D822">
        <v>0.29830000000000001</v>
      </c>
      <c r="E822">
        <v>0.27979999999999999</v>
      </c>
      <c r="F822">
        <v>59.11</v>
      </c>
      <c r="G822">
        <v>1</v>
      </c>
      <c r="H822">
        <v>9.02</v>
      </c>
      <c r="I822">
        <v>82.8</v>
      </c>
      <c r="J822">
        <v>321.64999999999998</v>
      </c>
      <c r="K822">
        <v>190.15</v>
      </c>
      <c r="L822">
        <v>-70.5</v>
      </c>
      <c r="M822">
        <v>41.7</v>
      </c>
      <c r="N822">
        <v>107108</v>
      </c>
      <c r="O822" t="s">
        <v>615</v>
      </c>
      <c r="P822" t="s">
        <v>628</v>
      </c>
      <c r="Q822" t="s">
        <v>763</v>
      </c>
    </row>
    <row r="823" spans="1:17">
      <c r="A823">
        <v>1712</v>
      </c>
      <c r="B823">
        <v>531.9</v>
      </c>
      <c r="C823">
        <v>4.2</v>
      </c>
      <c r="D823">
        <v>0.30170000000000002</v>
      </c>
      <c r="E823">
        <v>0.32919999999999999</v>
      </c>
      <c r="F823">
        <v>73.14</v>
      </c>
      <c r="G823">
        <v>1</v>
      </c>
      <c r="H823">
        <v>8.9499999999999993</v>
      </c>
      <c r="I823">
        <v>98.76</v>
      </c>
      <c r="J823">
        <v>350.55</v>
      </c>
      <c r="K823">
        <v>224.05</v>
      </c>
      <c r="L823">
        <v>-92.5</v>
      </c>
      <c r="M823">
        <v>49.3</v>
      </c>
      <c r="N823">
        <v>109739</v>
      </c>
      <c r="O823" t="s">
        <v>915</v>
      </c>
      <c r="P823" t="s">
        <v>731</v>
      </c>
      <c r="Q823" t="s">
        <v>916</v>
      </c>
    </row>
    <row r="824" spans="1:17">
      <c r="A824">
        <v>1713</v>
      </c>
      <c r="B824">
        <v>555</v>
      </c>
      <c r="C824">
        <v>3.58</v>
      </c>
      <c r="D824">
        <v>0.28320000000000001</v>
      </c>
      <c r="E824">
        <v>0.40699999999999997</v>
      </c>
      <c r="F824">
        <v>87.17</v>
      </c>
      <c r="G824">
        <v>1</v>
      </c>
      <c r="H824">
        <v>8.75</v>
      </c>
      <c r="I824">
        <v>116.05</v>
      </c>
      <c r="J824">
        <v>377.65</v>
      </c>
      <c r="K824">
        <v>229.95</v>
      </c>
      <c r="L824">
        <v>-112.8</v>
      </c>
      <c r="M824">
        <v>73.180000000000007</v>
      </c>
      <c r="N824">
        <v>110587</v>
      </c>
      <c r="O824" t="s">
        <v>1061</v>
      </c>
      <c r="P824" t="s">
        <v>1062</v>
      </c>
      <c r="Q824" t="s">
        <v>1063</v>
      </c>
    </row>
    <row r="825" spans="1:17">
      <c r="A825">
        <v>1714</v>
      </c>
      <c r="B825">
        <v>513.73</v>
      </c>
      <c r="C825">
        <v>4.2149999999999999</v>
      </c>
      <c r="D825">
        <v>0.3085</v>
      </c>
      <c r="E825">
        <v>0.36270000000000002</v>
      </c>
      <c r="F825">
        <v>73.14</v>
      </c>
      <c r="G825">
        <v>1</v>
      </c>
      <c r="H825">
        <v>8.6300000000000008</v>
      </c>
      <c r="I825">
        <v>100.25</v>
      </c>
      <c r="J825">
        <v>340.88</v>
      </c>
      <c r="K825">
        <v>188.55</v>
      </c>
      <c r="L825">
        <v>-98.8</v>
      </c>
      <c r="M825">
        <v>46.1</v>
      </c>
      <c r="N825">
        <v>78819</v>
      </c>
      <c r="O825" t="s">
        <v>633</v>
      </c>
      <c r="P825" t="s">
        <v>731</v>
      </c>
      <c r="Q825" t="s">
        <v>846</v>
      </c>
    </row>
    <row r="826" spans="1:17">
      <c r="A826">
        <v>1717</v>
      </c>
      <c r="B826">
        <v>653.15</v>
      </c>
      <c r="C826">
        <v>14.7</v>
      </c>
      <c r="D826">
        <v>0.37630000000000002</v>
      </c>
      <c r="E826">
        <v>0.31430000000000002</v>
      </c>
      <c r="F826">
        <v>32.049999999999997</v>
      </c>
      <c r="G826">
        <v>1</v>
      </c>
      <c r="H826">
        <v>17.71</v>
      </c>
      <c r="I826">
        <v>31.93</v>
      </c>
      <c r="J826">
        <v>386.65</v>
      </c>
      <c r="K826">
        <v>274.69</v>
      </c>
      <c r="L826">
        <v>95.4</v>
      </c>
      <c r="M826">
        <v>159.19999999999999</v>
      </c>
      <c r="N826">
        <v>302012</v>
      </c>
      <c r="O826" t="s">
        <v>2804</v>
      </c>
      <c r="P826" t="s">
        <v>2600</v>
      </c>
      <c r="Q826" t="s">
        <v>2601</v>
      </c>
    </row>
    <row r="827" spans="1:17">
      <c r="A827">
        <v>1718</v>
      </c>
      <c r="B827">
        <v>580</v>
      </c>
      <c r="C827">
        <v>2.57</v>
      </c>
      <c r="D827">
        <v>0.28439999999999999</v>
      </c>
      <c r="E827">
        <v>0.4854</v>
      </c>
      <c r="F827">
        <v>129.25</v>
      </c>
      <c r="G827">
        <v>1</v>
      </c>
      <c r="H827">
        <v>7.48</v>
      </c>
      <c r="I827">
        <v>174.06</v>
      </c>
      <c r="J827">
        <v>412.15</v>
      </c>
      <c r="K827">
        <v>196.15</v>
      </c>
      <c r="L827">
        <v>-179.2</v>
      </c>
      <c r="M827">
        <v>88.2</v>
      </c>
      <c r="N827">
        <v>110963</v>
      </c>
      <c r="O827" t="s">
        <v>868</v>
      </c>
      <c r="P827" t="s">
        <v>1229</v>
      </c>
      <c r="Q827" t="s">
        <v>1230</v>
      </c>
    </row>
    <row r="828" spans="1:17">
      <c r="A828">
        <v>1719</v>
      </c>
      <c r="B828">
        <v>471.85</v>
      </c>
      <c r="C828">
        <v>4.54</v>
      </c>
      <c r="D828">
        <v>0.25580000000000003</v>
      </c>
      <c r="E828">
        <v>0.27589999999999998</v>
      </c>
      <c r="F828">
        <v>59.11</v>
      </c>
      <c r="G828">
        <v>1</v>
      </c>
      <c r="H828">
        <v>8.49</v>
      </c>
      <c r="I828">
        <v>86.43</v>
      </c>
      <c r="J828">
        <v>305.55</v>
      </c>
      <c r="K828">
        <v>177.95</v>
      </c>
      <c r="L828">
        <v>-83.8</v>
      </c>
      <c r="M828">
        <v>31.92</v>
      </c>
      <c r="N828">
        <v>75310</v>
      </c>
      <c r="O828" t="s">
        <v>696</v>
      </c>
      <c r="P828" t="s">
        <v>628</v>
      </c>
      <c r="Q828" t="s">
        <v>697</v>
      </c>
    </row>
    <row r="829" spans="1:17">
      <c r="A829">
        <v>1720</v>
      </c>
      <c r="B829">
        <v>722</v>
      </c>
      <c r="C829">
        <v>1.66</v>
      </c>
      <c r="D829">
        <v>0.23219999999999999</v>
      </c>
      <c r="E829">
        <v>0.8609</v>
      </c>
      <c r="F829">
        <v>213.41</v>
      </c>
      <c r="G829">
        <v>1</v>
      </c>
      <c r="H829">
        <v>8.1300000000000008</v>
      </c>
      <c r="I829">
        <v>267.88</v>
      </c>
      <c r="J829">
        <v>564.35</v>
      </c>
      <c r="K829">
        <v>314.14999999999998</v>
      </c>
      <c r="L829">
        <v>-298</v>
      </c>
      <c r="M829">
        <v>133</v>
      </c>
      <c r="N829">
        <v>2016424</v>
      </c>
      <c r="O829" t="s">
        <v>633</v>
      </c>
      <c r="P829" t="s">
        <v>2001</v>
      </c>
      <c r="Q829" t="s">
        <v>2002</v>
      </c>
    </row>
    <row r="830" spans="1:17">
      <c r="A830">
        <v>1721</v>
      </c>
      <c r="B830">
        <v>639.75</v>
      </c>
      <c r="C830">
        <v>6.53</v>
      </c>
      <c r="D830">
        <v>0.26860000000000001</v>
      </c>
      <c r="E830">
        <v>0.29759999999999998</v>
      </c>
      <c r="F830">
        <v>67.09</v>
      </c>
      <c r="G830">
        <v>1</v>
      </c>
      <c r="H830">
        <v>12.15</v>
      </c>
      <c r="I830">
        <v>69.5</v>
      </c>
      <c r="J830">
        <v>402.95</v>
      </c>
      <c r="K830">
        <v>249.74</v>
      </c>
      <c r="L830">
        <v>108.3</v>
      </c>
      <c r="M830">
        <v>160.4</v>
      </c>
      <c r="N830">
        <v>109977</v>
      </c>
      <c r="O830" t="s">
        <v>881</v>
      </c>
      <c r="P830" t="s">
        <v>1052</v>
      </c>
      <c r="Q830" t="s">
        <v>1563</v>
      </c>
    </row>
    <row r="831" spans="1:17">
      <c r="A831">
        <v>1722</v>
      </c>
      <c r="B831">
        <v>741.9</v>
      </c>
      <c r="C831">
        <v>4.16</v>
      </c>
      <c r="D831">
        <v>0.2772</v>
      </c>
      <c r="E831">
        <v>0.62860000000000005</v>
      </c>
      <c r="F831">
        <v>119.16</v>
      </c>
      <c r="G831">
        <v>1</v>
      </c>
      <c r="H831">
        <v>13.76</v>
      </c>
      <c r="I831">
        <v>115.3</v>
      </c>
      <c r="J831">
        <v>520.15</v>
      </c>
      <c r="K831">
        <v>252.15</v>
      </c>
      <c r="L831">
        <v>-380</v>
      </c>
      <c r="M831">
        <v>-169</v>
      </c>
      <c r="N831">
        <v>105599</v>
      </c>
      <c r="O831" t="s">
        <v>708</v>
      </c>
      <c r="P831" t="s">
        <v>2074</v>
      </c>
      <c r="Q831" t="s">
        <v>2075</v>
      </c>
    </row>
    <row r="832" spans="1:17">
      <c r="A832">
        <v>1723</v>
      </c>
      <c r="B832">
        <v>678.2</v>
      </c>
      <c r="C832">
        <v>7.1239999999999997</v>
      </c>
      <c r="D832">
        <v>0.30259999999999998</v>
      </c>
      <c r="E832">
        <v>0.44669999999999999</v>
      </c>
      <c r="F832">
        <v>61.08</v>
      </c>
      <c r="G832">
        <v>1</v>
      </c>
      <c r="H832">
        <v>15.56</v>
      </c>
      <c r="I832">
        <v>60.34</v>
      </c>
      <c r="J832">
        <v>444.15</v>
      </c>
      <c r="K832">
        <v>283.64999999999998</v>
      </c>
      <c r="L832">
        <v>-196</v>
      </c>
      <c r="M832">
        <v>-103.3</v>
      </c>
      <c r="N832">
        <v>141435</v>
      </c>
      <c r="O832" t="s">
        <v>2516</v>
      </c>
      <c r="P832" t="s">
        <v>2602</v>
      </c>
      <c r="Q832" t="s">
        <v>2603</v>
      </c>
    </row>
    <row r="833" spans="1:17">
      <c r="A833">
        <v>1724</v>
      </c>
      <c r="B833">
        <v>736.6</v>
      </c>
      <c r="C833">
        <v>4.2699999999999996</v>
      </c>
      <c r="D833">
        <v>0.27710000000000001</v>
      </c>
      <c r="E833">
        <v>0.95289999999999997</v>
      </c>
      <c r="F833">
        <v>105.14</v>
      </c>
      <c r="G833">
        <v>1</v>
      </c>
      <c r="H833">
        <v>14.31</v>
      </c>
      <c r="I833">
        <v>96.24</v>
      </c>
      <c r="J833">
        <v>542</v>
      </c>
      <c r="K833">
        <v>301.14999999999998</v>
      </c>
      <c r="L833">
        <v>-373</v>
      </c>
      <c r="M833">
        <v>-225.74</v>
      </c>
      <c r="N833">
        <v>111422</v>
      </c>
      <c r="O833" t="s">
        <v>2062</v>
      </c>
      <c r="P833" t="s">
        <v>2052</v>
      </c>
      <c r="Q833" t="s">
        <v>2063</v>
      </c>
    </row>
    <row r="834" spans="1:17">
      <c r="A834">
        <v>1725</v>
      </c>
      <c r="B834">
        <v>787</v>
      </c>
      <c r="C834">
        <v>3.59</v>
      </c>
      <c r="D834">
        <v>0.25900000000000001</v>
      </c>
      <c r="E834">
        <v>1.2841</v>
      </c>
      <c r="F834">
        <v>149.19</v>
      </c>
      <c r="G834">
        <v>1</v>
      </c>
      <c r="H834">
        <v>13.41</v>
      </c>
      <c r="I834">
        <v>132.99</v>
      </c>
      <c r="J834">
        <v>613</v>
      </c>
      <c r="K834">
        <v>294.35000000000002</v>
      </c>
      <c r="L834">
        <v>-554</v>
      </c>
      <c r="M834">
        <v>-299.39999999999998</v>
      </c>
      <c r="N834">
        <v>102716</v>
      </c>
      <c r="O834" t="s">
        <v>2516</v>
      </c>
      <c r="P834" t="s">
        <v>2604</v>
      </c>
      <c r="Q834" t="s">
        <v>2605</v>
      </c>
    </row>
    <row r="835" spans="1:17">
      <c r="A835">
        <v>1726</v>
      </c>
      <c r="B835">
        <v>514.29999999999995</v>
      </c>
      <c r="C835">
        <v>4</v>
      </c>
      <c r="D835">
        <v>0.36299999999999999</v>
      </c>
      <c r="E835">
        <v>0.28149999999999997</v>
      </c>
      <c r="F835">
        <v>73.14</v>
      </c>
      <c r="G835">
        <v>1</v>
      </c>
      <c r="H835">
        <v>8.4499999999999993</v>
      </c>
      <c r="I835">
        <v>101.57</v>
      </c>
      <c r="J835">
        <v>335.65</v>
      </c>
      <c r="K835">
        <v>168.65</v>
      </c>
      <c r="L835">
        <v>-104.8</v>
      </c>
      <c r="M835">
        <v>40.630000000000003</v>
      </c>
      <c r="N835">
        <v>13952846</v>
      </c>
      <c r="O835" t="s">
        <v>852</v>
      </c>
      <c r="P835" t="s">
        <v>731</v>
      </c>
      <c r="Q835" t="s">
        <v>853</v>
      </c>
    </row>
    <row r="836" spans="1:17">
      <c r="A836">
        <v>1727</v>
      </c>
      <c r="B836">
        <v>483.9</v>
      </c>
      <c r="C836">
        <v>3.84</v>
      </c>
      <c r="D836">
        <v>0.27960000000000002</v>
      </c>
      <c r="E836">
        <v>0.27479999999999999</v>
      </c>
      <c r="F836">
        <v>73.14</v>
      </c>
      <c r="G836">
        <v>1</v>
      </c>
      <c r="H836">
        <v>7.69</v>
      </c>
      <c r="I836">
        <v>106.29</v>
      </c>
      <c r="J836">
        <v>317.55</v>
      </c>
      <c r="K836">
        <v>205.7</v>
      </c>
      <c r="L836">
        <v>-120.9</v>
      </c>
      <c r="M836">
        <v>28.87</v>
      </c>
      <c r="N836">
        <v>75649</v>
      </c>
      <c r="O836" t="s">
        <v>523</v>
      </c>
      <c r="P836" t="s">
        <v>731</v>
      </c>
      <c r="Q836" t="s">
        <v>732</v>
      </c>
    </row>
    <row r="837" spans="1:17">
      <c r="A837">
        <v>1729</v>
      </c>
      <c r="B837">
        <v>615</v>
      </c>
      <c r="C837">
        <v>4.2</v>
      </c>
      <c r="D837">
        <v>0.29320000000000002</v>
      </c>
      <c r="E837">
        <v>0.3604</v>
      </c>
      <c r="F837">
        <v>99.18</v>
      </c>
      <c r="G837">
        <v>1</v>
      </c>
      <c r="H837">
        <v>9.2100000000000009</v>
      </c>
      <c r="I837">
        <v>114.97</v>
      </c>
      <c r="J837">
        <v>407.11</v>
      </c>
      <c r="K837">
        <v>255.45</v>
      </c>
      <c r="L837">
        <v>-104.9</v>
      </c>
      <c r="M837">
        <v>82.31</v>
      </c>
      <c r="N837">
        <v>108918</v>
      </c>
      <c r="O837" t="s">
        <v>1414</v>
      </c>
      <c r="P837" t="s">
        <v>1415</v>
      </c>
      <c r="Q837" t="s">
        <v>1416</v>
      </c>
    </row>
    <row r="838" spans="1:17">
      <c r="A838">
        <v>1730</v>
      </c>
      <c r="B838">
        <v>863</v>
      </c>
      <c r="C838">
        <v>1.7</v>
      </c>
      <c r="D838">
        <v>0.22339999999999999</v>
      </c>
      <c r="E838">
        <v>0.74150000000000005</v>
      </c>
      <c r="F838">
        <v>285.47000000000003</v>
      </c>
      <c r="G838">
        <v>1</v>
      </c>
      <c r="H838">
        <v>8.61</v>
      </c>
      <c r="I838">
        <v>294.99</v>
      </c>
      <c r="J838">
        <v>660</v>
      </c>
      <c r="K838">
        <v>317.14999999999998</v>
      </c>
      <c r="L838">
        <v>-123</v>
      </c>
      <c r="M838">
        <v>387</v>
      </c>
      <c r="N838">
        <v>1446613</v>
      </c>
      <c r="O838" t="s">
        <v>609</v>
      </c>
      <c r="P838" t="s">
        <v>2414</v>
      </c>
      <c r="Q838" t="s">
        <v>2415</v>
      </c>
    </row>
    <row r="839" spans="1:17">
      <c r="A839">
        <v>1731</v>
      </c>
      <c r="B839">
        <v>663.55</v>
      </c>
      <c r="C839">
        <v>3.2930000000000001</v>
      </c>
      <c r="D839">
        <v>0.28349999999999997</v>
      </c>
      <c r="E839">
        <v>0.6351</v>
      </c>
      <c r="F839">
        <v>116.21</v>
      </c>
      <c r="G839">
        <v>1</v>
      </c>
      <c r="H839">
        <v>9.34</v>
      </c>
      <c r="I839">
        <v>137.05000000000001</v>
      </c>
      <c r="J839">
        <v>475.04</v>
      </c>
      <c r="K839">
        <v>313.95</v>
      </c>
      <c r="L839">
        <v>-98.8</v>
      </c>
      <c r="M839">
        <v>139.01</v>
      </c>
      <c r="N839">
        <v>124094</v>
      </c>
      <c r="O839" t="s">
        <v>2516</v>
      </c>
      <c r="P839" t="s">
        <v>2606</v>
      </c>
      <c r="Q839" t="s">
        <v>2607</v>
      </c>
    </row>
    <row r="840" spans="1:17">
      <c r="A840">
        <v>1732</v>
      </c>
      <c r="B840">
        <v>804</v>
      </c>
      <c r="C840">
        <v>4.38</v>
      </c>
      <c r="D840">
        <v>0.28170000000000001</v>
      </c>
      <c r="E840">
        <v>0.57940000000000003</v>
      </c>
      <c r="F840">
        <v>122.17</v>
      </c>
      <c r="G840">
        <v>1</v>
      </c>
      <c r="H840">
        <v>11.84</v>
      </c>
      <c r="I840">
        <v>116.52</v>
      </c>
      <c r="J840">
        <v>557.15</v>
      </c>
      <c r="K840">
        <v>371.25</v>
      </c>
      <c r="L840">
        <v>58.37</v>
      </c>
      <c r="M840">
        <v>203.5</v>
      </c>
      <c r="N840">
        <v>95807</v>
      </c>
      <c r="O840" t="s">
        <v>568</v>
      </c>
      <c r="P840" t="s">
        <v>2300</v>
      </c>
      <c r="Q840" t="s">
        <v>2301</v>
      </c>
    </row>
    <row r="841" spans="1:17">
      <c r="A841">
        <v>1733</v>
      </c>
      <c r="B841">
        <v>684</v>
      </c>
      <c r="C841">
        <v>4.32</v>
      </c>
      <c r="D841">
        <v>0.28349999999999997</v>
      </c>
      <c r="E841">
        <v>0.40110000000000001</v>
      </c>
      <c r="F841">
        <v>107.16</v>
      </c>
      <c r="G841">
        <v>1</v>
      </c>
      <c r="H841">
        <v>10.61</v>
      </c>
      <c r="I841">
        <v>109.17</v>
      </c>
      <c r="J841">
        <v>457.65</v>
      </c>
      <c r="K841">
        <v>283.14999999999998</v>
      </c>
      <c r="L841">
        <v>92</v>
      </c>
      <c r="M841">
        <v>171</v>
      </c>
      <c r="N841">
        <v>100469</v>
      </c>
      <c r="O841" t="s">
        <v>568</v>
      </c>
      <c r="P841" t="s">
        <v>1482</v>
      </c>
      <c r="Q841" t="s">
        <v>1808</v>
      </c>
    </row>
    <row r="842" spans="1:17">
      <c r="A842">
        <v>1734</v>
      </c>
      <c r="B842">
        <v>655</v>
      </c>
      <c r="C842">
        <v>3.91</v>
      </c>
      <c r="D842">
        <v>0.27429999999999999</v>
      </c>
      <c r="E842">
        <v>0.4602</v>
      </c>
      <c r="F842">
        <v>112.18</v>
      </c>
      <c r="G842">
        <v>1</v>
      </c>
      <c r="H842">
        <v>8.1300000000000008</v>
      </c>
      <c r="I842">
        <v>147.76</v>
      </c>
      <c r="J842">
        <v>447.15</v>
      </c>
      <c r="K842">
        <v>431.15</v>
      </c>
      <c r="L842">
        <v>52.7</v>
      </c>
      <c r="M842">
        <v>247</v>
      </c>
      <c r="N842">
        <v>280579</v>
      </c>
      <c r="O842" t="s">
        <v>609</v>
      </c>
      <c r="P842" t="s">
        <v>1670</v>
      </c>
      <c r="Q842" t="s">
        <v>1671</v>
      </c>
    </row>
    <row r="843" spans="1:17">
      <c r="A843">
        <v>1735</v>
      </c>
      <c r="B843">
        <v>845</v>
      </c>
      <c r="C843">
        <v>2.83</v>
      </c>
      <c r="D843">
        <v>0.25819999999999999</v>
      </c>
      <c r="E843">
        <v>0.61729999999999996</v>
      </c>
      <c r="F843">
        <v>197.24</v>
      </c>
      <c r="G843">
        <v>1</v>
      </c>
      <c r="H843">
        <v>9.5</v>
      </c>
      <c r="I843">
        <v>203.53</v>
      </c>
      <c r="J843">
        <v>610</v>
      </c>
      <c r="K843">
        <v>372</v>
      </c>
      <c r="L843">
        <v>331.6</v>
      </c>
      <c r="M843">
        <v>-86</v>
      </c>
      <c r="N843">
        <v>136356</v>
      </c>
      <c r="O843" t="s">
        <v>609</v>
      </c>
      <c r="P843" t="s">
        <v>2396</v>
      </c>
      <c r="Q843" t="s">
        <v>2397</v>
      </c>
    </row>
    <row r="844" spans="1:17">
      <c r="A844">
        <v>1736</v>
      </c>
      <c r="B844">
        <v>716.5</v>
      </c>
      <c r="C844">
        <v>4.7</v>
      </c>
      <c r="D844">
        <v>0.2424</v>
      </c>
      <c r="E844">
        <v>0.38419999999999999</v>
      </c>
      <c r="F844">
        <v>107.16</v>
      </c>
      <c r="G844">
        <v>1</v>
      </c>
      <c r="H844">
        <v>11</v>
      </c>
      <c r="I844">
        <v>107.75</v>
      </c>
      <c r="J844">
        <v>473.51</v>
      </c>
      <c r="K844">
        <v>249.47</v>
      </c>
      <c r="L844">
        <v>54.8</v>
      </c>
      <c r="M844">
        <v>166.4</v>
      </c>
      <c r="N844">
        <v>95534</v>
      </c>
      <c r="O844" t="s">
        <v>793</v>
      </c>
      <c r="P844" t="s">
        <v>1482</v>
      </c>
      <c r="Q844" t="s">
        <v>1971</v>
      </c>
    </row>
    <row r="845" spans="1:17">
      <c r="A845">
        <v>1737</v>
      </c>
      <c r="B845">
        <v>707</v>
      </c>
      <c r="C845">
        <v>4.28</v>
      </c>
      <c r="D845">
        <v>0.26279999999999998</v>
      </c>
      <c r="E845">
        <v>0.43480000000000002</v>
      </c>
      <c r="F845">
        <v>107.16</v>
      </c>
      <c r="G845">
        <v>1</v>
      </c>
      <c r="H845">
        <v>10.81</v>
      </c>
      <c r="I845">
        <v>108.74</v>
      </c>
      <c r="J845">
        <v>476.55</v>
      </c>
      <c r="K845">
        <v>242.75</v>
      </c>
      <c r="L845">
        <v>53.6</v>
      </c>
      <c r="M845">
        <v>161</v>
      </c>
      <c r="N845">
        <v>108441</v>
      </c>
      <c r="O845" t="s">
        <v>793</v>
      </c>
      <c r="P845" t="s">
        <v>1482</v>
      </c>
      <c r="Q845" t="s">
        <v>1938</v>
      </c>
    </row>
    <row r="846" spans="1:17">
      <c r="A846">
        <v>1738</v>
      </c>
      <c r="B846">
        <v>693.15</v>
      </c>
      <c r="C846">
        <v>4</v>
      </c>
      <c r="D846">
        <v>0.16009999999999999</v>
      </c>
      <c r="E846">
        <v>0.47220000000000001</v>
      </c>
      <c r="F846">
        <v>107.16</v>
      </c>
      <c r="G846">
        <v>1</v>
      </c>
      <c r="H846">
        <v>10.63</v>
      </c>
      <c r="I846">
        <v>110.84</v>
      </c>
      <c r="J846">
        <v>474</v>
      </c>
      <c r="K846">
        <v>316.89999999999998</v>
      </c>
      <c r="L846">
        <v>53.6</v>
      </c>
      <c r="M846">
        <v>161</v>
      </c>
      <c r="N846">
        <v>106490</v>
      </c>
      <c r="O846" t="s">
        <v>1864</v>
      </c>
      <c r="P846" t="s">
        <v>1482</v>
      </c>
      <c r="Q846" t="s">
        <v>1865</v>
      </c>
    </row>
    <row r="847" spans="1:17">
      <c r="A847">
        <v>1739</v>
      </c>
      <c r="B847">
        <v>718</v>
      </c>
      <c r="C847">
        <v>3.17</v>
      </c>
      <c r="D847">
        <v>0.31219999999999998</v>
      </c>
      <c r="E847">
        <v>0.97350000000000003</v>
      </c>
      <c r="F847">
        <v>146.24</v>
      </c>
      <c r="G847">
        <v>1</v>
      </c>
      <c r="H847">
        <v>11.75</v>
      </c>
      <c r="I847">
        <v>149.51</v>
      </c>
      <c r="J847">
        <v>539.65</v>
      </c>
      <c r="K847">
        <v>285.14999999999998</v>
      </c>
      <c r="L847">
        <v>3.35</v>
      </c>
      <c r="M847">
        <v>310</v>
      </c>
      <c r="N847">
        <v>112243</v>
      </c>
      <c r="O847" t="s">
        <v>568</v>
      </c>
      <c r="P847" t="s">
        <v>1972</v>
      </c>
      <c r="Q847" t="s">
        <v>1973</v>
      </c>
    </row>
    <row r="848" spans="1:17">
      <c r="A848">
        <v>1740</v>
      </c>
      <c r="B848">
        <v>505</v>
      </c>
      <c r="C848">
        <v>5.17</v>
      </c>
      <c r="D848">
        <v>0.30409999999999998</v>
      </c>
      <c r="E848">
        <v>0.32650000000000001</v>
      </c>
      <c r="F848">
        <v>57.1</v>
      </c>
      <c r="G848">
        <v>1</v>
      </c>
      <c r="H848">
        <v>9.74</v>
      </c>
      <c r="I848">
        <v>75.37</v>
      </c>
      <c r="J848">
        <v>326.45</v>
      </c>
      <c r="K848">
        <v>184.95</v>
      </c>
      <c r="L848">
        <v>58.2</v>
      </c>
      <c r="M848">
        <v>135</v>
      </c>
      <c r="N848">
        <v>107119</v>
      </c>
      <c r="O848" t="s">
        <v>568</v>
      </c>
      <c r="P848" t="s">
        <v>801</v>
      </c>
      <c r="Q848" t="s">
        <v>802</v>
      </c>
    </row>
    <row r="849" spans="1:17">
      <c r="A849">
        <v>1741</v>
      </c>
      <c r="B849">
        <v>593</v>
      </c>
      <c r="C849">
        <v>6.29</v>
      </c>
      <c r="D849">
        <v>0.26279999999999998</v>
      </c>
      <c r="E849">
        <v>0.47239999999999999</v>
      </c>
      <c r="F849">
        <v>60.1</v>
      </c>
      <c r="G849">
        <v>1</v>
      </c>
      <c r="H849">
        <v>12.32</v>
      </c>
      <c r="I849">
        <v>67.28</v>
      </c>
      <c r="J849">
        <v>390.15</v>
      </c>
      <c r="K849">
        <v>281.64999999999998</v>
      </c>
      <c r="L849">
        <v>-17.8</v>
      </c>
      <c r="M849">
        <v>103.2</v>
      </c>
      <c r="N849">
        <v>107153</v>
      </c>
      <c r="O849" t="s">
        <v>1291</v>
      </c>
      <c r="P849" t="s">
        <v>1292</v>
      </c>
      <c r="Q849" t="s">
        <v>1293</v>
      </c>
    </row>
    <row r="850" spans="1:17">
      <c r="A850">
        <v>1742</v>
      </c>
      <c r="B850">
        <v>537</v>
      </c>
      <c r="C850">
        <v>6.85</v>
      </c>
      <c r="D850">
        <v>0.26540000000000002</v>
      </c>
      <c r="E850">
        <v>0.20069999999999999</v>
      </c>
      <c r="F850">
        <v>43.07</v>
      </c>
      <c r="G850">
        <v>1</v>
      </c>
      <c r="H850">
        <v>12.04</v>
      </c>
      <c r="I850">
        <v>51.8</v>
      </c>
      <c r="J850">
        <v>330.15</v>
      </c>
      <c r="K850">
        <v>195.15</v>
      </c>
      <c r="L850">
        <v>123.43</v>
      </c>
      <c r="M850">
        <v>177.99</v>
      </c>
      <c r="N850">
        <v>151564</v>
      </c>
      <c r="O850" t="s">
        <v>568</v>
      </c>
      <c r="P850" t="s">
        <v>946</v>
      </c>
      <c r="Q850" t="s">
        <v>947</v>
      </c>
    </row>
    <row r="851" spans="1:17">
      <c r="A851">
        <v>1743</v>
      </c>
      <c r="B851">
        <v>522.15</v>
      </c>
      <c r="C851">
        <v>3.2</v>
      </c>
      <c r="D851">
        <v>2.29E-2</v>
      </c>
      <c r="E851">
        <v>0.38829999999999998</v>
      </c>
      <c r="F851">
        <v>101.19</v>
      </c>
      <c r="G851">
        <v>1</v>
      </c>
      <c r="H851">
        <v>7.36</v>
      </c>
      <c r="I851">
        <v>141.91999999999999</v>
      </c>
      <c r="J851">
        <v>357.05</v>
      </c>
      <c r="K851">
        <v>176.85</v>
      </c>
      <c r="L851">
        <v>-150</v>
      </c>
      <c r="M851">
        <v>57.9</v>
      </c>
      <c r="N851">
        <v>108189</v>
      </c>
      <c r="O851" t="s">
        <v>2516</v>
      </c>
      <c r="P851" t="s">
        <v>927</v>
      </c>
      <c r="Q851" t="s">
        <v>2608</v>
      </c>
    </row>
    <row r="852" spans="1:17">
      <c r="A852">
        <v>1744</v>
      </c>
      <c r="B852">
        <v>602.29999999999995</v>
      </c>
      <c r="C852">
        <v>2.57</v>
      </c>
      <c r="D852">
        <v>0.2666</v>
      </c>
      <c r="E852">
        <v>0.52959999999999996</v>
      </c>
      <c r="F852">
        <v>129.25</v>
      </c>
      <c r="G852">
        <v>1</v>
      </c>
      <c r="H852">
        <v>8.11</v>
      </c>
      <c r="I852">
        <v>170.71</v>
      </c>
      <c r="J852">
        <v>432.75</v>
      </c>
      <c r="K852">
        <v>211.15</v>
      </c>
      <c r="L852">
        <v>-156.6</v>
      </c>
      <c r="M852">
        <v>104</v>
      </c>
      <c r="N852">
        <v>111922</v>
      </c>
      <c r="O852" t="s">
        <v>1348</v>
      </c>
      <c r="P852" t="s">
        <v>1229</v>
      </c>
      <c r="Q852" t="s">
        <v>1349</v>
      </c>
    </row>
    <row r="853" spans="1:17">
      <c r="A853">
        <v>1745</v>
      </c>
      <c r="B853">
        <v>594.04999999999995</v>
      </c>
      <c r="C853">
        <v>4.6509999999999998</v>
      </c>
      <c r="D853">
        <v>0.28999999999999998</v>
      </c>
      <c r="E853">
        <v>0.24279999999999999</v>
      </c>
      <c r="F853">
        <v>85.15</v>
      </c>
      <c r="G853">
        <v>1</v>
      </c>
      <c r="H853">
        <v>9.26</v>
      </c>
      <c r="I853">
        <v>99.27</v>
      </c>
      <c r="J853">
        <v>379.55</v>
      </c>
      <c r="K853">
        <v>262.64999999999998</v>
      </c>
      <c r="L853">
        <v>-48.5</v>
      </c>
      <c r="M853">
        <v>102</v>
      </c>
      <c r="N853">
        <v>110894</v>
      </c>
      <c r="O853" t="s">
        <v>1305</v>
      </c>
      <c r="P853" t="s">
        <v>1029</v>
      </c>
      <c r="Q853" t="s">
        <v>1306</v>
      </c>
    </row>
    <row r="854" spans="1:17">
      <c r="A854">
        <v>1746</v>
      </c>
      <c r="B854">
        <v>814.1</v>
      </c>
      <c r="C854">
        <v>4.6509999999999998</v>
      </c>
      <c r="D854">
        <v>0.28999999999999998</v>
      </c>
      <c r="E854">
        <v>0.24279999999999999</v>
      </c>
      <c r="F854">
        <v>214.15</v>
      </c>
      <c r="G854">
        <v>1</v>
      </c>
      <c r="H854">
        <v>9.26</v>
      </c>
      <c r="I854">
        <v>99.27</v>
      </c>
      <c r="J854">
        <v>379.55</v>
      </c>
      <c r="K854">
        <v>262.64999999999998</v>
      </c>
      <c r="L854">
        <v>-48.5</v>
      </c>
      <c r="M854">
        <v>102</v>
      </c>
      <c r="N854">
        <v>836306</v>
      </c>
      <c r="O854" t="s">
        <v>2516</v>
      </c>
      <c r="P854" t="s">
        <v>2373</v>
      </c>
      <c r="Q854" t="s">
        <v>2609</v>
      </c>
    </row>
    <row r="855" spans="1:17">
      <c r="A855">
        <v>1747</v>
      </c>
      <c r="B855">
        <v>867</v>
      </c>
      <c r="C855">
        <v>3.19</v>
      </c>
      <c r="D855">
        <v>0.26369999999999999</v>
      </c>
      <c r="E855">
        <v>0.69399999999999995</v>
      </c>
      <c r="F855">
        <v>184.24</v>
      </c>
      <c r="G855">
        <v>1</v>
      </c>
      <c r="H855">
        <v>10.51</v>
      </c>
      <c r="I855">
        <v>188.05</v>
      </c>
      <c r="J855">
        <v>627.15</v>
      </c>
      <c r="K855">
        <v>339.9</v>
      </c>
      <c r="L855">
        <v>206</v>
      </c>
      <c r="M855">
        <v>383</v>
      </c>
      <c r="N855">
        <v>101542</v>
      </c>
      <c r="O855" t="s">
        <v>568</v>
      </c>
      <c r="P855" t="s">
        <v>2418</v>
      </c>
      <c r="Q855" t="s">
        <v>2419</v>
      </c>
    </row>
    <row r="856" spans="1:17">
      <c r="A856">
        <v>1748</v>
      </c>
      <c r="B856">
        <v>782.15</v>
      </c>
      <c r="C856">
        <v>4.8600000000000003</v>
      </c>
      <c r="D856">
        <v>0.41649999999999998</v>
      </c>
      <c r="E856">
        <v>0.34649999999999997</v>
      </c>
      <c r="F856">
        <v>129.16</v>
      </c>
      <c r="G856">
        <v>1</v>
      </c>
      <c r="H856">
        <v>10.73</v>
      </c>
      <c r="I856">
        <v>118.55</v>
      </c>
      <c r="J856">
        <v>510.78</v>
      </c>
      <c r="K856">
        <v>258.3</v>
      </c>
      <c r="L856">
        <v>222.3</v>
      </c>
      <c r="M856">
        <v>293.5</v>
      </c>
      <c r="N856">
        <v>91225</v>
      </c>
      <c r="O856" t="s">
        <v>2247</v>
      </c>
      <c r="P856" t="s">
        <v>2248</v>
      </c>
      <c r="Q856" t="s">
        <v>2249</v>
      </c>
    </row>
    <row r="857" spans="1:17">
      <c r="A857">
        <v>1749</v>
      </c>
      <c r="B857">
        <v>787</v>
      </c>
      <c r="C857">
        <v>4.1100000000000003</v>
      </c>
      <c r="D857">
        <v>0.2399</v>
      </c>
      <c r="E857">
        <v>0.54490000000000005</v>
      </c>
      <c r="F857">
        <v>121.14</v>
      </c>
      <c r="G857">
        <v>1</v>
      </c>
      <c r="H857">
        <v>12.08</v>
      </c>
      <c r="I857">
        <v>112.33</v>
      </c>
      <c r="J857">
        <v>544.15</v>
      </c>
      <c r="K857">
        <v>319.75</v>
      </c>
      <c r="L857">
        <v>-55.2</v>
      </c>
      <c r="M857">
        <v>54.1</v>
      </c>
      <c r="N857">
        <v>103708</v>
      </c>
      <c r="O857" t="s">
        <v>568</v>
      </c>
      <c r="P857" t="s">
        <v>2259</v>
      </c>
      <c r="Q857" t="s">
        <v>2260</v>
      </c>
    </row>
    <row r="858" spans="1:17">
      <c r="A858">
        <v>1750</v>
      </c>
      <c r="B858">
        <v>710.7</v>
      </c>
      <c r="C858">
        <v>3.7869999999999999</v>
      </c>
      <c r="D858">
        <v>0.31069999999999998</v>
      </c>
      <c r="E858">
        <v>0.52710000000000001</v>
      </c>
      <c r="F858">
        <v>129.21</v>
      </c>
      <c r="G858">
        <v>1</v>
      </c>
      <c r="H858">
        <v>10.52</v>
      </c>
      <c r="I858">
        <v>132.26</v>
      </c>
      <c r="J858">
        <v>495.15</v>
      </c>
      <c r="K858">
        <v>254.15</v>
      </c>
      <c r="L858">
        <v>25.1</v>
      </c>
      <c r="M858">
        <v>279</v>
      </c>
      <c r="N858">
        <v>140318</v>
      </c>
      <c r="O858" t="s">
        <v>568</v>
      </c>
      <c r="P858" t="s">
        <v>1955</v>
      </c>
      <c r="Q858" t="s">
        <v>1956</v>
      </c>
    </row>
    <row r="859" spans="1:17">
      <c r="A859">
        <v>1752</v>
      </c>
      <c r="B859">
        <v>587</v>
      </c>
      <c r="C859">
        <v>5.27</v>
      </c>
      <c r="D859">
        <v>0.3412</v>
      </c>
      <c r="E859">
        <v>0.4738</v>
      </c>
      <c r="F859">
        <v>74.13</v>
      </c>
      <c r="G859">
        <v>1</v>
      </c>
      <c r="H859">
        <v>10.97</v>
      </c>
      <c r="I859">
        <v>86.63</v>
      </c>
      <c r="J859">
        <v>394.65</v>
      </c>
      <c r="K859">
        <v>236.15</v>
      </c>
      <c r="L859">
        <v>-53.68</v>
      </c>
      <c r="M859">
        <v>95.83</v>
      </c>
      <c r="N859">
        <v>78900</v>
      </c>
      <c r="O859" t="s">
        <v>568</v>
      </c>
      <c r="P859" t="s">
        <v>1259</v>
      </c>
      <c r="Q859" t="s">
        <v>1260</v>
      </c>
    </row>
    <row r="860" spans="1:17">
      <c r="A860">
        <v>1753</v>
      </c>
      <c r="B860">
        <v>702</v>
      </c>
      <c r="C860">
        <v>2.85</v>
      </c>
      <c r="D860">
        <v>0.27150000000000002</v>
      </c>
      <c r="E860">
        <v>0.42620000000000002</v>
      </c>
      <c r="F860">
        <v>149.24</v>
      </c>
      <c r="G860">
        <v>1</v>
      </c>
      <c r="H860">
        <v>9.25</v>
      </c>
      <c r="I860">
        <v>160.37</v>
      </c>
      <c r="J860">
        <v>490.15</v>
      </c>
      <c r="K860">
        <v>235.15</v>
      </c>
      <c r="L860">
        <v>40.200000000000003</v>
      </c>
      <c r="M860">
        <v>262.39999999999998</v>
      </c>
      <c r="N860">
        <v>91667</v>
      </c>
      <c r="O860" t="s">
        <v>1100</v>
      </c>
      <c r="P860" t="s">
        <v>1913</v>
      </c>
      <c r="Q860" t="s">
        <v>1914</v>
      </c>
    </row>
    <row r="861" spans="1:17">
      <c r="A861">
        <v>1754</v>
      </c>
      <c r="B861">
        <v>610</v>
      </c>
      <c r="C861">
        <v>4.7699999999999996</v>
      </c>
      <c r="D861">
        <v>0.27700000000000002</v>
      </c>
      <c r="E861">
        <v>0.21279999999999999</v>
      </c>
      <c r="F861">
        <v>81.12</v>
      </c>
      <c r="G861">
        <v>1</v>
      </c>
      <c r="H861">
        <v>10.09</v>
      </c>
      <c r="I861">
        <v>89.82</v>
      </c>
      <c r="J861">
        <v>385.65</v>
      </c>
      <c r="K861">
        <v>216.15</v>
      </c>
      <c r="L861">
        <v>103.1</v>
      </c>
      <c r="M861">
        <v>184.8</v>
      </c>
      <c r="N861">
        <v>96548</v>
      </c>
      <c r="O861" t="s">
        <v>1393</v>
      </c>
      <c r="P861" t="s">
        <v>1394</v>
      </c>
      <c r="Q861" t="s">
        <v>1395</v>
      </c>
    </row>
    <row r="862" spans="1:17">
      <c r="A862">
        <v>1756</v>
      </c>
      <c r="B862">
        <v>817</v>
      </c>
      <c r="C862">
        <v>3.18</v>
      </c>
      <c r="D862">
        <v>0.25230000000000002</v>
      </c>
      <c r="E862">
        <v>0.52969999999999995</v>
      </c>
      <c r="F862">
        <v>169.23</v>
      </c>
      <c r="G862">
        <v>1</v>
      </c>
      <c r="H862">
        <v>10</v>
      </c>
      <c r="I862">
        <v>159.72</v>
      </c>
      <c r="J862">
        <v>575.15</v>
      </c>
      <c r="K862">
        <v>326.55</v>
      </c>
      <c r="L862">
        <v>202</v>
      </c>
      <c r="M862">
        <v>362.6</v>
      </c>
      <c r="N862">
        <v>122394</v>
      </c>
      <c r="O862" t="s">
        <v>545</v>
      </c>
      <c r="P862" t="s">
        <v>2317</v>
      </c>
      <c r="Q862" t="s">
        <v>2318</v>
      </c>
    </row>
    <row r="863" spans="1:17">
      <c r="A863">
        <v>1757</v>
      </c>
      <c r="B863">
        <v>761</v>
      </c>
      <c r="C863">
        <v>4.91</v>
      </c>
      <c r="D863">
        <v>0.32440000000000002</v>
      </c>
      <c r="E863">
        <v>0.53510000000000002</v>
      </c>
      <c r="F863">
        <v>108.14</v>
      </c>
      <c r="G863">
        <v>1</v>
      </c>
      <c r="H863">
        <v>11.88</v>
      </c>
      <c r="I863">
        <v>98.82</v>
      </c>
      <c r="J863">
        <v>516.65</v>
      </c>
      <c r="K863">
        <v>292.75</v>
      </c>
      <c r="L863">
        <v>203.5</v>
      </c>
      <c r="M863">
        <v>321.93</v>
      </c>
      <c r="N863">
        <v>100630</v>
      </c>
      <c r="O863" t="s">
        <v>609</v>
      </c>
      <c r="P863" t="s">
        <v>2076</v>
      </c>
      <c r="Q863" t="s">
        <v>2148</v>
      </c>
    </row>
    <row r="864" spans="1:17">
      <c r="A864">
        <v>1758</v>
      </c>
      <c r="B864">
        <v>1008</v>
      </c>
      <c r="C864">
        <v>5.8579999999999997</v>
      </c>
      <c r="D864">
        <v>0.30840000000000001</v>
      </c>
      <c r="E864">
        <v>0.69730000000000003</v>
      </c>
      <c r="F864">
        <v>126.12</v>
      </c>
      <c r="G864">
        <v>1</v>
      </c>
      <c r="H864">
        <v>10.44</v>
      </c>
      <c r="I864">
        <v>181.28</v>
      </c>
      <c r="J864">
        <v>-86</v>
      </c>
      <c r="K864">
        <v>623.15</v>
      </c>
      <c r="L864">
        <v>-71.7</v>
      </c>
      <c r="M864">
        <v>177.1</v>
      </c>
      <c r="N864">
        <v>108781</v>
      </c>
      <c r="O864" t="s">
        <v>609</v>
      </c>
      <c r="P864" t="s">
        <v>2467</v>
      </c>
      <c r="Q864" t="s">
        <v>2468</v>
      </c>
    </row>
    <row r="865" spans="1:17">
      <c r="A865">
        <v>1759</v>
      </c>
      <c r="B865">
        <v>769</v>
      </c>
      <c r="C865">
        <v>3.35</v>
      </c>
      <c r="D865">
        <v>0.22570000000000001</v>
      </c>
      <c r="E865">
        <v>0.35909999999999997</v>
      </c>
      <c r="F865">
        <v>143.19</v>
      </c>
      <c r="G865">
        <v>0</v>
      </c>
      <c r="H865">
        <v>10.95</v>
      </c>
      <c r="I865">
        <v>135.72</v>
      </c>
      <c r="J865">
        <v>519.65</v>
      </c>
      <c r="K865">
        <v>271.14999999999998</v>
      </c>
      <c r="L865">
        <v>164.43</v>
      </c>
      <c r="M865">
        <v>294</v>
      </c>
      <c r="N865">
        <v>91634</v>
      </c>
      <c r="O865" t="s">
        <v>1100</v>
      </c>
      <c r="P865" t="s">
        <v>2186</v>
      </c>
      <c r="Q865" t="s">
        <v>2187</v>
      </c>
    </row>
    <row r="866" spans="1:17">
      <c r="A866">
        <v>1760</v>
      </c>
      <c r="B866">
        <v>588.15</v>
      </c>
      <c r="C866">
        <v>6.31</v>
      </c>
      <c r="D866">
        <v>0.20760000000000001</v>
      </c>
      <c r="E866">
        <v>0.34799999999999998</v>
      </c>
      <c r="F866">
        <v>61.04</v>
      </c>
      <c r="G866">
        <v>0</v>
      </c>
      <c r="H866">
        <v>12.59</v>
      </c>
      <c r="I866">
        <v>54.09</v>
      </c>
      <c r="J866">
        <v>374.35</v>
      </c>
      <c r="K866">
        <v>244.6</v>
      </c>
      <c r="L866">
        <v>-74.8</v>
      </c>
      <c r="M866">
        <v>-6.95</v>
      </c>
      <c r="N866">
        <v>75525</v>
      </c>
      <c r="O866" t="s">
        <v>1272</v>
      </c>
      <c r="P866" t="s">
        <v>78</v>
      </c>
      <c r="Q866" t="s">
        <v>1273</v>
      </c>
    </row>
    <row r="867" spans="1:17">
      <c r="A867">
        <v>1761</v>
      </c>
      <c r="B867">
        <v>593</v>
      </c>
      <c r="C867">
        <v>5.16</v>
      </c>
      <c r="D867">
        <v>0.26290000000000002</v>
      </c>
      <c r="E867">
        <v>0.38030000000000003</v>
      </c>
      <c r="F867">
        <v>75.069999999999993</v>
      </c>
      <c r="G867">
        <v>0</v>
      </c>
      <c r="H867">
        <v>11.24</v>
      </c>
      <c r="I867">
        <v>72</v>
      </c>
      <c r="J867">
        <v>387.22</v>
      </c>
      <c r="K867">
        <v>183.63</v>
      </c>
      <c r="L867">
        <v>-102.2</v>
      </c>
      <c r="M867">
        <v>-4.9000000000000004</v>
      </c>
      <c r="N867">
        <v>79243</v>
      </c>
      <c r="O867" t="s">
        <v>787</v>
      </c>
      <c r="P867" t="s">
        <v>1294</v>
      </c>
      <c r="Q867" t="s">
        <v>1295</v>
      </c>
    </row>
    <row r="868" spans="1:17">
      <c r="A868">
        <v>1762</v>
      </c>
      <c r="B868">
        <v>605</v>
      </c>
      <c r="C868">
        <v>4.3499999999999996</v>
      </c>
      <c r="D868">
        <v>0.24909999999999999</v>
      </c>
      <c r="E868">
        <v>0.4128</v>
      </c>
      <c r="F868">
        <v>89.09</v>
      </c>
      <c r="G868">
        <v>0</v>
      </c>
      <c r="H868">
        <v>10.41</v>
      </c>
      <c r="I868">
        <v>89.47</v>
      </c>
      <c r="J868">
        <v>404.33</v>
      </c>
      <c r="K868">
        <v>169.16</v>
      </c>
      <c r="L868">
        <v>-124</v>
      </c>
      <c r="M868">
        <v>0.34</v>
      </c>
      <c r="N868">
        <v>108032</v>
      </c>
      <c r="O868" t="s">
        <v>787</v>
      </c>
      <c r="P868" t="s">
        <v>1303</v>
      </c>
      <c r="Q868" t="s">
        <v>1365</v>
      </c>
    </row>
    <row r="869" spans="1:17">
      <c r="A869">
        <v>1763</v>
      </c>
      <c r="B869">
        <v>594</v>
      </c>
      <c r="C869">
        <v>4.45</v>
      </c>
      <c r="D869">
        <v>0.2591</v>
      </c>
      <c r="E869">
        <v>0.3836</v>
      </c>
      <c r="F869">
        <v>89.09</v>
      </c>
      <c r="G869">
        <v>0</v>
      </c>
      <c r="H869">
        <v>10.01</v>
      </c>
      <c r="I869">
        <v>90.59</v>
      </c>
      <c r="J869">
        <v>393.4</v>
      </c>
      <c r="K869">
        <v>181.83</v>
      </c>
      <c r="L869">
        <v>-139</v>
      </c>
      <c r="M869">
        <v>-12.8</v>
      </c>
      <c r="N869">
        <v>79469</v>
      </c>
      <c r="O869" t="s">
        <v>1302</v>
      </c>
      <c r="P869" t="s">
        <v>1303</v>
      </c>
      <c r="Q869" t="s">
        <v>1304</v>
      </c>
    </row>
    <row r="870" spans="1:17">
      <c r="A870">
        <v>1764</v>
      </c>
      <c r="B870">
        <v>702</v>
      </c>
      <c r="C870">
        <v>4.96</v>
      </c>
      <c r="D870">
        <v>0.20649999999999999</v>
      </c>
      <c r="E870">
        <v>0.82650000000000001</v>
      </c>
      <c r="F870">
        <v>71.08</v>
      </c>
      <c r="G870">
        <v>0</v>
      </c>
      <c r="H870">
        <v>13.99</v>
      </c>
      <c r="I870">
        <v>68.319999999999993</v>
      </c>
      <c r="J870">
        <v>494.15</v>
      </c>
      <c r="K870">
        <v>227.15</v>
      </c>
      <c r="L870">
        <v>-98.3</v>
      </c>
      <c r="M870">
        <v>-35.4</v>
      </c>
      <c r="N870">
        <v>109784</v>
      </c>
      <c r="O870" t="s">
        <v>2516</v>
      </c>
      <c r="P870" t="s">
        <v>1578</v>
      </c>
      <c r="Q870" t="s">
        <v>2610</v>
      </c>
    </row>
    <row r="871" spans="1:17">
      <c r="A871">
        <v>1765</v>
      </c>
      <c r="B871">
        <v>618</v>
      </c>
      <c r="C871">
        <v>5.34</v>
      </c>
      <c r="D871">
        <v>0.2868</v>
      </c>
      <c r="E871">
        <v>0.3579</v>
      </c>
      <c r="F871">
        <v>87.12</v>
      </c>
      <c r="G871">
        <v>0</v>
      </c>
      <c r="H871">
        <v>10.65</v>
      </c>
      <c r="I871">
        <v>87.48</v>
      </c>
      <c r="J871">
        <v>401.15</v>
      </c>
      <c r="K871">
        <v>270.05</v>
      </c>
      <c r="L871">
        <v>-156</v>
      </c>
      <c r="M871">
        <v>16</v>
      </c>
      <c r="N871">
        <v>110918</v>
      </c>
      <c r="O871" t="s">
        <v>609</v>
      </c>
      <c r="P871" t="s">
        <v>1443</v>
      </c>
      <c r="Q871" t="s">
        <v>1444</v>
      </c>
    </row>
    <row r="872" spans="1:17">
      <c r="A872">
        <v>1766</v>
      </c>
      <c r="B872">
        <v>568.54999999999995</v>
      </c>
      <c r="C872">
        <v>5.61</v>
      </c>
      <c r="D872">
        <v>0.29549999999999998</v>
      </c>
      <c r="E872">
        <v>0.26679999999999998</v>
      </c>
      <c r="F872">
        <v>71.12</v>
      </c>
      <c r="G872">
        <v>0</v>
      </c>
      <c r="H872">
        <v>10.029999999999999</v>
      </c>
      <c r="I872">
        <v>82.74</v>
      </c>
      <c r="J872">
        <v>359.64</v>
      </c>
      <c r="K872">
        <v>215.25</v>
      </c>
      <c r="L872">
        <v>-3.7</v>
      </c>
      <c r="M872">
        <v>114.7</v>
      </c>
      <c r="N872">
        <v>123751</v>
      </c>
      <c r="O872" t="s">
        <v>423</v>
      </c>
      <c r="P872" t="s">
        <v>1156</v>
      </c>
      <c r="Q872" t="s">
        <v>1157</v>
      </c>
    </row>
    <row r="873" spans="1:17">
      <c r="A873">
        <v>1767</v>
      </c>
      <c r="B873">
        <v>550</v>
      </c>
      <c r="C873">
        <v>4.2</v>
      </c>
      <c r="D873">
        <v>0.2838</v>
      </c>
      <c r="E873">
        <v>0.2258</v>
      </c>
      <c r="F873">
        <v>85.15</v>
      </c>
      <c r="G873">
        <v>0</v>
      </c>
      <c r="H873">
        <v>8.24</v>
      </c>
      <c r="I873">
        <v>106.92</v>
      </c>
      <c r="J873">
        <v>355.37</v>
      </c>
      <c r="K873">
        <v>183.15</v>
      </c>
      <c r="L873">
        <v>-8.1199999999999992</v>
      </c>
      <c r="M873">
        <v>145</v>
      </c>
      <c r="N873">
        <v>120945</v>
      </c>
      <c r="O873" t="s">
        <v>708</v>
      </c>
      <c r="P873" t="s">
        <v>1029</v>
      </c>
      <c r="Q873" t="s">
        <v>1030</v>
      </c>
    </row>
    <row r="874" spans="1:17">
      <c r="A874">
        <v>1768</v>
      </c>
      <c r="B874">
        <v>540</v>
      </c>
      <c r="C874">
        <v>3.99</v>
      </c>
      <c r="D874">
        <v>0.37240000000000001</v>
      </c>
      <c r="E874">
        <v>0.51549999999999996</v>
      </c>
      <c r="F874">
        <v>196.03</v>
      </c>
      <c r="G874">
        <v>0</v>
      </c>
      <c r="H874">
        <v>9.07</v>
      </c>
      <c r="I874">
        <v>120.56</v>
      </c>
      <c r="J874">
        <v>398.85</v>
      </c>
      <c r="K874">
        <v>286.64999999999998</v>
      </c>
      <c r="L874">
        <v>82.3</v>
      </c>
      <c r="M874">
        <v>-86</v>
      </c>
      <c r="N874">
        <v>509148</v>
      </c>
      <c r="O874" t="s">
        <v>2516</v>
      </c>
      <c r="P874" t="s">
        <v>2611</v>
      </c>
      <c r="Q874" t="s">
        <v>2612</v>
      </c>
    </row>
    <row r="875" spans="1:17">
      <c r="A875">
        <v>1769</v>
      </c>
      <c r="B875">
        <v>623</v>
      </c>
      <c r="C875">
        <v>3.76</v>
      </c>
      <c r="D875">
        <v>0.27239999999999998</v>
      </c>
      <c r="E875">
        <v>0.4546</v>
      </c>
      <c r="F875">
        <v>103.12</v>
      </c>
      <c r="G875">
        <v>0</v>
      </c>
      <c r="H875">
        <v>9.07</v>
      </c>
      <c r="I875">
        <v>106.56</v>
      </c>
      <c r="J875">
        <v>398.85</v>
      </c>
      <c r="K875">
        <v>286.64999999999998</v>
      </c>
      <c r="L875">
        <v>82.3</v>
      </c>
      <c r="M875">
        <v>-86</v>
      </c>
      <c r="N875">
        <v>627054</v>
      </c>
      <c r="O875" t="s">
        <v>787</v>
      </c>
      <c r="P875" t="s">
        <v>1479</v>
      </c>
      <c r="Q875" t="s">
        <v>1480</v>
      </c>
    </row>
    <row r="876" spans="1:17">
      <c r="A876">
        <v>1771</v>
      </c>
      <c r="B876">
        <v>457</v>
      </c>
      <c r="C876">
        <v>5.4</v>
      </c>
      <c r="D876">
        <v>0.1973</v>
      </c>
      <c r="E876">
        <v>0.40429999999999999</v>
      </c>
      <c r="F876">
        <v>27.03</v>
      </c>
      <c r="G876">
        <v>0</v>
      </c>
      <c r="H876">
        <v>12.13</v>
      </c>
      <c r="I876">
        <v>39.770000000000003</v>
      </c>
      <c r="J876">
        <v>298.85000000000002</v>
      </c>
      <c r="K876">
        <v>259.91000000000003</v>
      </c>
      <c r="L876">
        <v>135.13999999999999</v>
      </c>
      <c r="M876">
        <v>119.8</v>
      </c>
      <c r="N876">
        <v>74908</v>
      </c>
      <c r="O876" t="s">
        <v>669</v>
      </c>
      <c r="P876" t="s">
        <v>670</v>
      </c>
      <c r="Q876" t="s">
        <v>671</v>
      </c>
    </row>
    <row r="877" spans="1:17">
      <c r="A877">
        <v>1772</v>
      </c>
      <c r="B877">
        <v>545.5</v>
      </c>
      <c r="C877">
        <v>4.8499999999999996</v>
      </c>
      <c r="D877">
        <v>0.1842</v>
      </c>
      <c r="E877">
        <v>0.34189999999999998</v>
      </c>
      <c r="F877">
        <v>41.05</v>
      </c>
      <c r="G877">
        <v>1</v>
      </c>
      <c r="H877">
        <v>11.76</v>
      </c>
      <c r="I877">
        <v>52.86</v>
      </c>
      <c r="J877">
        <v>354.75</v>
      </c>
      <c r="K877">
        <v>227.45</v>
      </c>
      <c r="L877">
        <v>87.9</v>
      </c>
      <c r="M877">
        <v>91.87</v>
      </c>
      <c r="N877">
        <v>75058</v>
      </c>
      <c r="O877" t="s">
        <v>1000</v>
      </c>
      <c r="P877" t="s">
        <v>1001</v>
      </c>
      <c r="Q877" t="s">
        <v>1002</v>
      </c>
    </row>
    <row r="878" spans="1:17">
      <c r="A878">
        <v>1773</v>
      </c>
      <c r="B878">
        <v>561.29999999999995</v>
      </c>
      <c r="C878">
        <v>4.26</v>
      </c>
      <c r="D878">
        <v>0.20399999999999999</v>
      </c>
      <c r="E878">
        <v>0.35010000000000002</v>
      </c>
      <c r="F878">
        <v>55.08</v>
      </c>
      <c r="G878">
        <v>1</v>
      </c>
      <c r="H878">
        <v>10.64</v>
      </c>
      <c r="I878">
        <v>70.86</v>
      </c>
      <c r="J878">
        <v>370.5</v>
      </c>
      <c r="K878">
        <v>180.26</v>
      </c>
      <c r="L878">
        <v>51.5</v>
      </c>
      <c r="M878">
        <v>97.5</v>
      </c>
      <c r="N878">
        <v>107120</v>
      </c>
      <c r="O878" t="s">
        <v>1104</v>
      </c>
      <c r="P878" t="s">
        <v>1105</v>
      </c>
      <c r="Q878" t="s">
        <v>1106</v>
      </c>
    </row>
    <row r="879" spans="1:17">
      <c r="A879">
        <v>1774</v>
      </c>
      <c r="B879">
        <v>540</v>
      </c>
      <c r="C879">
        <v>4.66</v>
      </c>
      <c r="D879">
        <v>0.1739</v>
      </c>
      <c r="E879">
        <v>0.31069999999999998</v>
      </c>
      <c r="F879">
        <v>53.06</v>
      </c>
      <c r="G879">
        <v>1</v>
      </c>
      <c r="H879">
        <v>10.54</v>
      </c>
      <c r="I879">
        <v>66.239999999999995</v>
      </c>
      <c r="J879">
        <v>350.45</v>
      </c>
      <c r="K879">
        <v>189.65</v>
      </c>
      <c r="L879">
        <v>184.9</v>
      </c>
      <c r="M879">
        <v>195.3</v>
      </c>
      <c r="N879">
        <v>107131</v>
      </c>
      <c r="O879" t="s">
        <v>963</v>
      </c>
      <c r="P879" t="s">
        <v>964</v>
      </c>
      <c r="Q879" t="s">
        <v>965</v>
      </c>
    </row>
    <row r="880" spans="1:17">
      <c r="A880">
        <v>1775</v>
      </c>
      <c r="B880">
        <v>554</v>
      </c>
      <c r="C880">
        <v>3.88</v>
      </c>
      <c r="D880">
        <v>0.22320000000000001</v>
      </c>
      <c r="E880">
        <v>0.30130000000000001</v>
      </c>
      <c r="F880">
        <v>67.09</v>
      </c>
      <c r="G880">
        <v>1</v>
      </c>
      <c r="H880">
        <v>9.34</v>
      </c>
      <c r="I880">
        <v>84.41</v>
      </c>
      <c r="J880">
        <v>363.45</v>
      </c>
      <c r="K880">
        <v>237.35</v>
      </c>
      <c r="L880">
        <v>98.03</v>
      </c>
      <c r="M880">
        <v>164</v>
      </c>
      <c r="N880">
        <v>126987</v>
      </c>
      <c r="O880" t="s">
        <v>537</v>
      </c>
      <c r="P880" t="s">
        <v>1052</v>
      </c>
      <c r="Q880" t="s">
        <v>1053</v>
      </c>
    </row>
    <row r="881" spans="1:17">
      <c r="A881">
        <v>1776</v>
      </c>
      <c r="B881">
        <v>770</v>
      </c>
      <c r="C881">
        <v>3.54</v>
      </c>
      <c r="D881">
        <v>0.16589999999999999</v>
      </c>
      <c r="E881">
        <v>0.55869999999999997</v>
      </c>
      <c r="F881">
        <v>80.09</v>
      </c>
      <c r="G881">
        <v>0</v>
      </c>
      <c r="H881">
        <v>13.24</v>
      </c>
      <c r="I881">
        <v>81.040000000000006</v>
      </c>
      <c r="J881">
        <v>540.15</v>
      </c>
      <c r="K881">
        <v>331.3</v>
      </c>
      <c r="L881">
        <v>209.7</v>
      </c>
      <c r="M881">
        <v>254</v>
      </c>
      <c r="N881">
        <v>110612</v>
      </c>
      <c r="O881" t="s">
        <v>1024</v>
      </c>
      <c r="P881" t="s">
        <v>2191</v>
      </c>
      <c r="Q881" t="s">
        <v>2192</v>
      </c>
    </row>
    <row r="882" spans="1:17">
      <c r="A882">
        <v>1777</v>
      </c>
      <c r="B882">
        <v>781</v>
      </c>
      <c r="C882">
        <v>2.83</v>
      </c>
      <c r="D882">
        <v>0.25879999999999997</v>
      </c>
      <c r="E882">
        <v>0.65880000000000005</v>
      </c>
      <c r="F882">
        <v>108.14</v>
      </c>
      <c r="G882">
        <v>0</v>
      </c>
      <c r="H882">
        <v>12.01</v>
      </c>
      <c r="I882">
        <v>112.66</v>
      </c>
      <c r="J882">
        <v>568.15</v>
      </c>
      <c r="K882">
        <v>275.64</v>
      </c>
      <c r="L882">
        <v>149.5</v>
      </c>
      <c r="M882">
        <v>253.3</v>
      </c>
      <c r="N882">
        <v>111693</v>
      </c>
      <c r="O882" t="s">
        <v>2238</v>
      </c>
      <c r="P882" t="s">
        <v>2076</v>
      </c>
      <c r="Q882" t="s">
        <v>2239</v>
      </c>
    </row>
    <row r="883" spans="1:17">
      <c r="A883">
        <v>1778</v>
      </c>
      <c r="B883">
        <v>720</v>
      </c>
      <c r="C883">
        <v>3.8</v>
      </c>
      <c r="D883">
        <v>0.27989999999999998</v>
      </c>
      <c r="E883">
        <v>0.48780000000000001</v>
      </c>
      <c r="F883">
        <v>137.13999999999999</v>
      </c>
      <c r="G883">
        <v>0</v>
      </c>
      <c r="H883">
        <v>10.42</v>
      </c>
      <c r="I883">
        <v>118.41</v>
      </c>
      <c r="J883">
        <v>494.85</v>
      </c>
      <c r="K883">
        <v>269.64999999999998</v>
      </c>
      <c r="L883">
        <v>45.5</v>
      </c>
      <c r="M883">
        <v>168</v>
      </c>
      <c r="N883">
        <v>88722</v>
      </c>
      <c r="O883" t="s">
        <v>568</v>
      </c>
      <c r="P883" t="s">
        <v>1988</v>
      </c>
      <c r="Q883" t="s">
        <v>1989</v>
      </c>
    </row>
    <row r="884" spans="1:17">
      <c r="A884">
        <v>1779</v>
      </c>
      <c r="B884">
        <v>743</v>
      </c>
      <c r="C884">
        <v>3.2069999999999999</v>
      </c>
      <c r="D884">
        <v>0.27389999999999998</v>
      </c>
      <c r="E884">
        <v>0.42520000000000002</v>
      </c>
      <c r="F884">
        <v>137.13999999999999</v>
      </c>
      <c r="G884">
        <v>0</v>
      </c>
      <c r="H884">
        <v>9.85</v>
      </c>
      <c r="I884">
        <v>121.89</v>
      </c>
      <c r="J884">
        <v>511.15</v>
      </c>
      <c r="K884">
        <v>325.05</v>
      </c>
      <c r="L884">
        <v>31</v>
      </c>
      <c r="M884">
        <v>155</v>
      </c>
      <c r="N884">
        <v>99990</v>
      </c>
      <c r="O884" t="s">
        <v>568</v>
      </c>
      <c r="P884" t="s">
        <v>1988</v>
      </c>
      <c r="Q884" t="s">
        <v>2082</v>
      </c>
    </row>
    <row r="885" spans="1:17">
      <c r="A885">
        <v>1780</v>
      </c>
      <c r="B885">
        <v>734</v>
      </c>
      <c r="C885">
        <v>3.8</v>
      </c>
      <c r="D885">
        <v>0.27460000000000001</v>
      </c>
      <c r="E885">
        <v>0.49030000000000001</v>
      </c>
      <c r="F885">
        <v>137.13999999999999</v>
      </c>
      <c r="G885">
        <v>0</v>
      </c>
      <c r="H885">
        <v>10</v>
      </c>
      <c r="I885">
        <v>119</v>
      </c>
      <c r="J885">
        <v>504</v>
      </c>
      <c r="K885">
        <v>288.64999999999998</v>
      </c>
      <c r="L885">
        <v>20.8</v>
      </c>
      <c r="M885">
        <v>143</v>
      </c>
      <c r="N885">
        <v>99081</v>
      </c>
      <c r="O885" t="s">
        <v>2516</v>
      </c>
      <c r="P885" t="s">
        <v>1988</v>
      </c>
      <c r="Q885" t="s">
        <v>2613</v>
      </c>
    </row>
    <row r="886" spans="1:17">
      <c r="A886">
        <v>1781</v>
      </c>
      <c r="B886">
        <v>782</v>
      </c>
      <c r="C886">
        <v>3.15</v>
      </c>
      <c r="D886">
        <v>0.17050000000000001</v>
      </c>
      <c r="E886">
        <v>0.60329999999999995</v>
      </c>
      <c r="F886">
        <v>94.12</v>
      </c>
      <c r="G886">
        <v>0</v>
      </c>
      <c r="H886">
        <v>12.52</v>
      </c>
      <c r="I886">
        <v>95.98</v>
      </c>
      <c r="J886">
        <v>559.15</v>
      </c>
      <c r="K886">
        <v>244.15</v>
      </c>
      <c r="L886">
        <v>170</v>
      </c>
      <c r="M886">
        <v>243</v>
      </c>
      <c r="N886">
        <v>544138</v>
      </c>
      <c r="O886" t="s">
        <v>1100</v>
      </c>
      <c r="P886" t="s">
        <v>2243</v>
      </c>
      <c r="Q886" t="s">
        <v>2244</v>
      </c>
    </row>
    <row r="887" spans="1:17">
      <c r="A887">
        <v>1782</v>
      </c>
      <c r="B887">
        <v>585.4</v>
      </c>
      <c r="C887">
        <v>3.88</v>
      </c>
      <c r="D887">
        <v>0.2177</v>
      </c>
      <c r="E887">
        <v>0.36009999999999998</v>
      </c>
      <c r="F887">
        <v>69.11</v>
      </c>
      <c r="G887">
        <v>0</v>
      </c>
      <c r="H887">
        <v>10.119999999999999</v>
      </c>
      <c r="I887">
        <v>87.9</v>
      </c>
      <c r="J887">
        <v>390.75</v>
      </c>
      <c r="K887">
        <v>161.25</v>
      </c>
      <c r="L887">
        <v>34.06</v>
      </c>
      <c r="M887">
        <v>108.66</v>
      </c>
      <c r="N887">
        <v>109740</v>
      </c>
      <c r="O887" t="s">
        <v>1251</v>
      </c>
      <c r="P887" t="s">
        <v>1126</v>
      </c>
      <c r="Q887" t="s">
        <v>1252</v>
      </c>
    </row>
    <row r="888" spans="1:17">
      <c r="A888">
        <v>1783</v>
      </c>
      <c r="B888">
        <v>610.29999999999995</v>
      </c>
      <c r="C888">
        <v>3.58</v>
      </c>
      <c r="D888">
        <v>0.2152</v>
      </c>
      <c r="E888">
        <v>0.40689999999999998</v>
      </c>
      <c r="F888">
        <v>83.13</v>
      </c>
      <c r="G888">
        <v>0</v>
      </c>
      <c r="H888">
        <v>9.75</v>
      </c>
      <c r="I888">
        <v>104.65</v>
      </c>
      <c r="J888">
        <v>414.41</v>
      </c>
      <c r="K888">
        <v>176.92</v>
      </c>
      <c r="L888">
        <v>11.46</v>
      </c>
      <c r="M888">
        <v>114.74</v>
      </c>
      <c r="N888">
        <v>110598</v>
      </c>
      <c r="O888" t="s">
        <v>537</v>
      </c>
      <c r="P888" t="s">
        <v>1397</v>
      </c>
      <c r="Q888" t="s">
        <v>1398</v>
      </c>
    </row>
    <row r="889" spans="1:17">
      <c r="A889">
        <v>1785</v>
      </c>
      <c r="B889">
        <v>715</v>
      </c>
      <c r="C889">
        <v>4.04</v>
      </c>
      <c r="D889">
        <v>0.1512</v>
      </c>
      <c r="E889">
        <v>0.50160000000000005</v>
      </c>
      <c r="F889">
        <v>66.06</v>
      </c>
      <c r="G889">
        <v>0</v>
      </c>
      <c r="H889">
        <v>13.9</v>
      </c>
      <c r="I889">
        <v>62.86</v>
      </c>
      <c r="J889">
        <v>491.5</v>
      </c>
      <c r="K889">
        <v>303</v>
      </c>
      <c r="L889">
        <v>260</v>
      </c>
      <c r="M889">
        <v>281</v>
      </c>
      <c r="N889">
        <v>109773</v>
      </c>
      <c r="O889" t="s">
        <v>721</v>
      </c>
      <c r="P889" t="s">
        <v>1962</v>
      </c>
      <c r="Q889" t="s">
        <v>1963</v>
      </c>
    </row>
    <row r="890" spans="1:17">
      <c r="A890">
        <v>1786</v>
      </c>
      <c r="B890">
        <v>633.79999999999995</v>
      </c>
      <c r="C890">
        <v>3.3</v>
      </c>
      <c r="D890">
        <v>0.2422</v>
      </c>
      <c r="E890">
        <v>0.43430000000000002</v>
      </c>
      <c r="F890">
        <v>97.16</v>
      </c>
      <c r="G890">
        <v>0</v>
      </c>
      <c r="H890">
        <v>9.48</v>
      </c>
      <c r="I890">
        <v>121.27</v>
      </c>
      <c r="J890">
        <v>436.75</v>
      </c>
      <c r="K890">
        <v>192.85</v>
      </c>
      <c r="L890">
        <v>-9.25</v>
      </c>
      <c r="M890">
        <v>122.84</v>
      </c>
      <c r="N890">
        <v>628739</v>
      </c>
      <c r="O890" t="s">
        <v>1531</v>
      </c>
      <c r="P890" t="s">
        <v>1067</v>
      </c>
      <c r="Q890" t="s">
        <v>1532</v>
      </c>
    </row>
    <row r="891" spans="1:17">
      <c r="A891">
        <v>1787</v>
      </c>
      <c r="B891">
        <v>565</v>
      </c>
      <c r="C891">
        <v>3.76</v>
      </c>
      <c r="D891">
        <v>0.2225</v>
      </c>
      <c r="E891">
        <v>0.33839999999999998</v>
      </c>
      <c r="F891">
        <v>69.11</v>
      </c>
      <c r="G891">
        <v>0</v>
      </c>
      <c r="H891">
        <v>9.7799999999999994</v>
      </c>
      <c r="I891">
        <v>90.27</v>
      </c>
      <c r="J891">
        <v>377</v>
      </c>
      <c r="K891">
        <v>201.65</v>
      </c>
      <c r="L891">
        <v>25.4</v>
      </c>
      <c r="M891">
        <v>103.6</v>
      </c>
      <c r="N891">
        <v>78820</v>
      </c>
      <c r="O891" t="s">
        <v>1024</v>
      </c>
      <c r="P891" t="s">
        <v>1126</v>
      </c>
      <c r="Q891" t="s">
        <v>1127</v>
      </c>
    </row>
    <row r="892" spans="1:17">
      <c r="A892">
        <v>1789</v>
      </c>
      <c r="B892">
        <v>586</v>
      </c>
      <c r="C892">
        <v>3.88</v>
      </c>
      <c r="D892">
        <v>0.20960000000000001</v>
      </c>
      <c r="E892">
        <v>0.3977</v>
      </c>
      <c r="F892">
        <v>67.09</v>
      </c>
      <c r="G892">
        <v>0</v>
      </c>
      <c r="H892">
        <v>10.4</v>
      </c>
      <c r="I892">
        <v>83.16</v>
      </c>
      <c r="J892">
        <v>393.65</v>
      </c>
      <c r="K892">
        <v>221.65</v>
      </c>
      <c r="L892">
        <v>140.69999999999999</v>
      </c>
      <c r="M892">
        <v>184.46</v>
      </c>
      <c r="N892">
        <v>627269</v>
      </c>
      <c r="O892" t="s">
        <v>898</v>
      </c>
      <c r="P892" t="s">
        <v>1052</v>
      </c>
      <c r="Q892" t="s">
        <v>1253</v>
      </c>
    </row>
    <row r="893" spans="1:17">
      <c r="A893">
        <v>1790</v>
      </c>
      <c r="B893">
        <v>702.3</v>
      </c>
      <c r="C893">
        <v>4.2149999999999999</v>
      </c>
      <c r="D893">
        <v>0.24579999999999999</v>
      </c>
      <c r="E893">
        <v>0.34320000000000001</v>
      </c>
      <c r="F893">
        <v>103.12</v>
      </c>
      <c r="G893">
        <v>0</v>
      </c>
      <c r="H893">
        <v>10.66</v>
      </c>
      <c r="I893">
        <v>103.03</v>
      </c>
      <c r="J893">
        <v>464.3</v>
      </c>
      <c r="K893">
        <v>260.39999999999998</v>
      </c>
      <c r="L893">
        <v>218.82</v>
      </c>
      <c r="M893">
        <v>260.87</v>
      </c>
      <c r="N893">
        <v>100470</v>
      </c>
      <c r="O893" t="s">
        <v>1915</v>
      </c>
      <c r="P893" t="s">
        <v>1916</v>
      </c>
      <c r="Q893" t="s">
        <v>1917</v>
      </c>
    </row>
    <row r="894" spans="1:17">
      <c r="A894">
        <v>1791</v>
      </c>
      <c r="B894">
        <v>619.95000000000005</v>
      </c>
      <c r="C894">
        <v>5.63</v>
      </c>
      <c r="D894">
        <v>0.27629999999999999</v>
      </c>
      <c r="E894">
        <v>0.23860000000000001</v>
      </c>
      <c r="F894">
        <v>79.099999999999994</v>
      </c>
      <c r="G894">
        <v>0</v>
      </c>
      <c r="H894">
        <v>10.54</v>
      </c>
      <c r="I894">
        <v>80.88</v>
      </c>
      <c r="J894">
        <v>387.65</v>
      </c>
      <c r="K894">
        <v>231.1</v>
      </c>
      <c r="L894">
        <v>140.19999999999999</v>
      </c>
      <c r="M894">
        <v>190.2</v>
      </c>
      <c r="N894">
        <v>110861</v>
      </c>
      <c r="O894" t="s">
        <v>1454</v>
      </c>
      <c r="P894" t="s">
        <v>61</v>
      </c>
      <c r="Q894" t="s">
        <v>1455</v>
      </c>
    </row>
    <row r="895" spans="1:17">
      <c r="A895">
        <v>1792</v>
      </c>
      <c r="B895">
        <v>699</v>
      </c>
      <c r="C895">
        <v>5.31</v>
      </c>
      <c r="D895">
        <v>0.25359999999999999</v>
      </c>
      <c r="E895">
        <v>0.3775</v>
      </c>
      <c r="F895">
        <v>93.13</v>
      </c>
      <c r="G895">
        <v>0</v>
      </c>
      <c r="H895">
        <v>11.79</v>
      </c>
      <c r="I895">
        <v>91.63</v>
      </c>
      <c r="J895">
        <v>457.6</v>
      </c>
      <c r="K895">
        <v>267.12</v>
      </c>
      <c r="L895">
        <v>87.1</v>
      </c>
      <c r="M895">
        <v>166.8</v>
      </c>
      <c r="N895">
        <v>62533</v>
      </c>
      <c r="O895" t="s">
        <v>1901</v>
      </c>
      <c r="P895" t="s">
        <v>1466</v>
      </c>
      <c r="Q895" t="s">
        <v>1902</v>
      </c>
    </row>
    <row r="896" spans="1:17">
      <c r="A896">
        <v>1793</v>
      </c>
      <c r="B896">
        <v>725</v>
      </c>
      <c r="C896">
        <v>3.04</v>
      </c>
      <c r="D896">
        <v>0.26479999999999998</v>
      </c>
      <c r="E896">
        <v>0.65820000000000001</v>
      </c>
      <c r="F896">
        <v>174.16</v>
      </c>
      <c r="G896">
        <v>0</v>
      </c>
      <c r="H896">
        <v>10.28</v>
      </c>
      <c r="I896">
        <v>143.31</v>
      </c>
      <c r="J896">
        <v>523.15</v>
      </c>
      <c r="K896">
        <v>287.04000000000002</v>
      </c>
      <c r="L896">
        <v>-226.14</v>
      </c>
      <c r="M896">
        <v>-95.58</v>
      </c>
      <c r="N896">
        <v>584849</v>
      </c>
      <c r="O896" t="s">
        <v>787</v>
      </c>
      <c r="P896" t="s">
        <v>2018</v>
      </c>
      <c r="Q896" t="s">
        <v>2019</v>
      </c>
    </row>
    <row r="897" spans="1:17">
      <c r="A897">
        <v>1794</v>
      </c>
      <c r="B897">
        <v>624</v>
      </c>
      <c r="C897">
        <v>4.2699999999999996</v>
      </c>
      <c r="D897">
        <v>0.2742</v>
      </c>
      <c r="E897">
        <v>0.34539999999999998</v>
      </c>
      <c r="F897">
        <v>99.18</v>
      </c>
      <c r="G897">
        <v>0</v>
      </c>
      <c r="H897">
        <v>9.33</v>
      </c>
      <c r="I897">
        <v>113.11</v>
      </c>
      <c r="J897">
        <v>410.95</v>
      </c>
      <c r="K897">
        <v>236.15</v>
      </c>
      <c r="L897">
        <v>-60.12</v>
      </c>
      <c r="M897">
        <v>129.19999999999999</v>
      </c>
      <c r="N897">
        <v>111499</v>
      </c>
      <c r="O897" t="s">
        <v>1488</v>
      </c>
      <c r="P897" t="s">
        <v>1415</v>
      </c>
      <c r="Q897" t="s">
        <v>1489</v>
      </c>
    </row>
    <row r="898" spans="1:17">
      <c r="A898">
        <v>1795</v>
      </c>
      <c r="B898">
        <v>701.55</v>
      </c>
      <c r="C898">
        <v>5.2</v>
      </c>
      <c r="D898">
        <v>0.33229999999999998</v>
      </c>
      <c r="E898">
        <v>0.47499999999999998</v>
      </c>
      <c r="F898">
        <v>107.16</v>
      </c>
      <c r="G898">
        <v>0</v>
      </c>
      <c r="H898">
        <v>10.6</v>
      </c>
      <c r="I898">
        <v>109.09</v>
      </c>
      <c r="J898">
        <v>468.65</v>
      </c>
      <c r="K898">
        <v>216.15</v>
      </c>
      <c r="L898">
        <v>87.1</v>
      </c>
      <c r="M898">
        <v>202</v>
      </c>
      <c r="N898">
        <v>100618</v>
      </c>
      <c r="O898" t="s">
        <v>1909</v>
      </c>
      <c r="P898" t="s">
        <v>1482</v>
      </c>
      <c r="Q898" t="s">
        <v>1910</v>
      </c>
    </row>
    <row r="899" spans="1:17">
      <c r="A899">
        <v>1796</v>
      </c>
      <c r="B899">
        <v>687.15</v>
      </c>
      <c r="C899">
        <v>3.63</v>
      </c>
      <c r="D899">
        <v>0.29520000000000002</v>
      </c>
      <c r="E899">
        <v>0.4022</v>
      </c>
      <c r="F899">
        <v>121.18</v>
      </c>
      <c r="G899">
        <v>0</v>
      </c>
      <c r="H899">
        <v>9.82</v>
      </c>
      <c r="I899">
        <v>127.63</v>
      </c>
      <c r="J899">
        <v>466.69</v>
      </c>
      <c r="K899">
        <v>275.60000000000002</v>
      </c>
      <c r="L899">
        <v>100.5</v>
      </c>
      <c r="M899">
        <v>247.73</v>
      </c>
      <c r="N899">
        <v>121697</v>
      </c>
      <c r="O899" t="s">
        <v>1829</v>
      </c>
      <c r="P899" t="s">
        <v>1653</v>
      </c>
      <c r="Q899" t="s">
        <v>1830</v>
      </c>
    </row>
    <row r="900" spans="1:17">
      <c r="A900">
        <v>1797</v>
      </c>
      <c r="B900">
        <v>621</v>
      </c>
      <c r="C900">
        <v>4.5999999999999996</v>
      </c>
      <c r="D900">
        <v>0.27150000000000002</v>
      </c>
      <c r="E900">
        <v>0.29899999999999999</v>
      </c>
      <c r="F900">
        <v>93.13</v>
      </c>
      <c r="G900">
        <v>0</v>
      </c>
      <c r="H900">
        <v>9.82</v>
      </c>
      <c r="I900">
        <v>99.07</v>
      </c>
      <c r="J900">
        <v>402.45</v>
      </c>
      <c r="K900">
        <v>209.15</v>
      </c>
      <c r="L900">
        <v>100.63</v>
      </c>
      <c r="M900">
        <v>177.07</v>
      </c>
      <c r="N900">
        <v>109068</v>
      </c>
      <c r="O900" t="s">
        <v>1465</v>
      </c>
      <c r="P900" t="s">
        <v>1466</v>
      </c>
      <c r="Q900" t="s">
        <v>1467</v>
      </c>
    </row>
    <row r="901" spans="1:17">
      <c r="A901">
        <v>1798</v>
      </c>
      <c r="B901">
        <v>568</v>
      </c>
      <c r="C901">
        <v>3.88</v>
      </c>
      <c r="D901">
        <v>0.2097</v>
      </c>
      <c r="E901">
        <v>0.37869999999999998</v>
      </c>
      <c r="F901">
        <v>67.09</v>
      </c>
      <c r="G901">
        <v>0</v>
      </c>
      <c r="H901">
        <v>10.31</v>
      </c>
      <c r="I901">
        <v>81.92</v>
      </c>
      <c r="J901">
        <v>380.6</v>
      </c>
      <c r="K901">
        <v>203</v>
      </c>
      <c r="L901">
        <v>154</v>
      </c>
      <c r="M901">
        <v>185.5</v>
      </c>
      <c r="N901">
        <v>1190767</v>
      </c>
      <c r="O901" t="s">
        <v>721</v>
      </c>
      <c r="P901" t="s">
        <v>1052</v>
      </c>
      <c r="Q901" t="s">
        <v>1153</v>
      </c>
    </row>
    <row r="902" spans="1:17">
      <c r="A902">
        <v>1799</v>
      </c>
      <c r="B902">
        <v>400.15</v>
      </c>
      <c r="C902">
        <v>5.9240000000000004</v>
      </c>
      <c r="D902">
        <v>0.35820000000000002</v>
      </c>
      <c r="E902">
        <v>0.27560000000000001</v>
      </c>
      <c r="F902">
        <v>52.04</v>
      </c>
      <c r="G902">
        <v>0</v>
      </c>
      <c r="H902">
        <v>9.66</v>
      </c>
      <c r="I902">
        <v>54.66</v>
      </c>
      <c r="J902">
        <v>251.95</v>
      </c>
      <c r="K902">
        <v>245.27</v>
      </c>
      <c r="L902">
        <v>308.95</v>
      </c>
      <c r="M902">
        <v>297.19</v>
      </c>
      <c r="N902">
        <v>460195</v>
      </c>
      <c r="O902" t="s">
        <v>455</v>
      </c>
      <c r="P902" t="s">
        <v>578</v>
      </c>
      <c r="Q902" t="s">
        <v>579</v>
      </c>
    </row>
    <row r="903" spans="1:17">
      <c r="A903">
        <v>1801</v>
      </c>
      <c r="B903">
        <v>469.95</v>
      </c>
      <c r="C903">
        <v>7.23</v>
      </c>
      <c r="D903">
        <v>0.26829999999999998</v>
      </c>
      <c r="E903">
        <v>0.15820000000000001</v>
      </c>
      <c r="F903">
        <v>48.11</v>
      </c>
      <c r="G903">
        <v>0</v>
      </c>
      <c r="H903">
        <v>9.91</v>
      </c>
      <c r="I903">
        <v>54.21</v>
      </c>
      <c r="J903">
        <v>279.11</v>
      </c>
      <c r="K903">
        <v>150.18</v>
      </c>
      <c r="L903">
        <v>-22.6</v>
      </c>
      <c r="M903">
        <v>-9.92</v>
      </c>
      <c r="N903">
        <v>74931</v>
      </c>
      <c r="O903" t="s">
        <v>691</v>
      </c>
      <c r="P903" t="s">
        <v>692</v>
      </c>
      <c r="Q903" t="s">
        <v>2846</v>
      </c>
    </row>
    <row r="904" spans="1:17">
      <c r="A904">
        <v>1802</v>
      </c>
      <c r="B904">
        <v>499.15</v>
      </c>
      <c r="C904">
        <v>5.49</v>
      </c>
      <c r="D904">
        <v>0.27360000000000001</v>
      </c>
      <c r="E904">
        <v>0.18779999999999999</v>
      </c>
      <c r="F904">
        <v>62.14</v>
      </c>
      <c r="G904">
        <v>0</v>
      </c>
      <c r="H904">
        <v>8.92</v>
      </c>
      <c r="I904">
        <v>74.61</v>
      </c>
      <c r="J904">
        <v>308.14999999999998</v>
      </c>
      <c r="K904">
        <v>125.26</v>
      </c>
      <c r="L904">
        <v>-46</v>
      </c>
      <c r="M904">
        <v>-4.8099999999999996</v>
      </c>
      <c r="N904">
        <v>75081</v>
      </c>
      <c r="O904" t="s">
        <v>523</v>
      </c>
      <c r="P904" t="s">
        <v>780</v>
      </c>
      <c r="Q904" t="s">
        <v>781</v>
      </c>
    </row>
    <row r="905" spans="1:17">
      <c r="A905">
        <v>1803</v>
      </c>
      <c r="B905">
        <v>536.6</v>
      </c>
      <c r="C905">
        <v>4.63</v>
      </c>
      <c r="D905">
        <v>0.2576</v>
      </c>
      <c r="E905">
        <v>0.23180000000000001</v>
      </c>
      <c r="F905">
        <v>76.16</v>
      </c>
      <c r="G905">
        <v>0</v>
      </c>
      <c r="H905">
        <v>8.81</v>
      </c>
      <c r="I905">
        <v>91.07</v>
      </c>
      <c r="J905">
        <v>340.65</v>
      </c>
      <c r="K905">
        <v>159.85</v>
      </c>
      <c r="L905">
        <v>-130.04</v>
      </c>
      <c r="M905">
        <v>2.7</v>
      </c>
      <c r="N905">
        <v>107039</v>
      </c>
      <c r="O905" t="s">
        <v>566</v>
      </c>
      <c r="P905" t="s">
        <v>861</v>
      </c>
      <c r="Q905" t="s">
        <v>944</v>
      </c>
    </row>
    <row r="906" spans="1:17">
      <c r="A906">
        <v>1804</v>
      </c>
      <c r="B906">
        <v>530</v>
      </c>
      <c r="C906">
        <v>4.0599999999999996</v>
      </c>
      <c r="D906">
        <v>0.28289999999999998</v>
      </c>
      <c r="E906">
        <v>0.19139999999999999</v>
      </c>
      <c r="F906">
        <v>90.19</v>
      </c>
      <c r="G906">
        <v>0</v>
      </c>
      <c r="H906">
        <v>7.72</v>
      </c>
      <c r="I906">
        <v>113.5</v>
      </c>
      <c r="J906">
        <v>337.37</v>
      </c>
      <c r="K906">
        <v>274.26</v>
      </c>
      <c r="L906">
        <v>-109.6</v>
      </c>
      <c r="M906">
        <v>1.04</v>
      </c>
      <c r="N906">
        <v>75661</v>
      </c>
      <c r="O906" t="s">
        <v>568</v>
      </c>
      <c r="P906" t="s">
        <v>907</v>
      </c>
      <c r="Q906" t="s">
        <v>908</v>
      </c>
    </row>
    <row r="907" spans="1:17">
      <c r="A907">
        <v>1805</v>
      </c>
      <c r="B907">
        <v>559</v>
      </c>
      <c r="C907">
        <v>4.0599999999999996</v>
      </c>
      <c r="D907">
        <v>0.25850000000000001</v>
      </c>
      <c r="E907">
        <v>0.25280000000000002</v>
      </c>
      <c r="F907">
        <v>90.19</v>
      </c>
      <c r="G907">
        <v>0</v>
      </c>
      <c r="H907">
        <v>8.44</v>
      </c>
      <c r="I907">
        <v>108.72</v>
      </c>
      <c r="J907">
        <v>361.64</v>
      </c>
      <c r="K907">
        <v>128.29</v>
      </c>
      <c r="L907">
        <v>-96.94</v>
      </c>
      <c r="M907">
        <v>6.1</v>
      </c>
      <c r="N907">
        <v>513440</v>
      </c>
      <c r="O907" t="s">
        <v>721</v>
      </c>
      <c r="P907" t="s">
        <v>907</v>
      </c>
      <c r="Q907" t="s">
        <v>1082</v>
      </c>
    </row>
    <row r="908" spans="1:17">
      <c r="A908">
        <v>1806</v>
      </c>
      <c r="B908">
        <v>554</v>
      </c>
      <c r="C908">
        <v>4.0599999999999996</v>
      </c>
      <c r="D908">
        <v>0.26600000000000001</v>
      </c>
      <c r="E908">
        <v>0.25059999999999999</v>
      </c>
      <c r="F908">
        <v>90.19</v>
      </c>
      <c r="G908">
        <v>0</v>
      </c>
      <c r="H908">
        <v>8.34</v>
      </c>
      <c r="I908">
        <v>109.35</v>
      </c>
      <c r="J908">
        <v>358.13</v>
      </c>
      <c r="K908">
        <v>133.01</v>
      </c>
      <c r="L908">
        <v>-96.6</v>
      </c>
      <c r="M908">
        <v>5.2</v>
      </c>
      <c r="N908">
        <v>513531</v>
      </c>
      <c r="O908" t="s">
        <v>721</v>
      </c>
      <c r="P908" t="s">
        <v>907</v>
      </c>
      <c r="Q908" t="s">
        <v>1054</v>
      </c>
    </row>
    <row r="909" spans="1:17">
      <c r="A909">
        <v>1807</v>
      </c>
      <c r="B909">
        <v>623</v>
      </c>
      <c r="C909">
        <v>3.08</v>
      </c>
      <c r="D909">
        <v>0.24099999999999999</v>
      </c>
      <c r="E909">
        <v>0.36809999999999998</v>
      </c>
      <c r="F909">
        <v>118.24</v>
      </c>
      <c r="G909">
        <v>0</v>
      </c>
      <c r="H909">
        <v>8.58</v>
      </c>
      <c r="I909">
        <v>141.22</v>
      </c>
      <c r="J909">
        <v>424.15</v>
      </c>
      <c r="K909">
        <v>192.15</v>
      </c>
      <c r="L909">
        <v>-129.19999999999999</v>
      </c>
      <c r="M909">
        <v>27.7</v>
      </c>
      <c r="N909">
        <v>111319</v>
      </c>
      <c r="O909" t="s">
        <v>721</v>
      </c>
      <c r="P909" t="s">
        <v>1384</v>
      </c>
      <c r="Q909" t="s">
        <v>1481</v>
      </c>
    </row>
    <row r="910" spans="1:17">
      <c r="A910">
        <v>1808</v>
      </c>
      <c r="B910">
        <v>681</v>
      </c>
      <c r="C910">
        <v>2.31</v>
      </c>
      <c r="D910">
        <v>0.23300000000000001</v>
      </c>
      <c r="E910">
        <v>0.52600000000000002</v>
      </c>
      <c r="F910">
        <v>160.32</v>
      </c>
      <c r="G910">
        <v>0</v>
      </c>
      <c r="H910">
        <v>8.4700000000000006</v>
      </c>
      <c r="I910">
        <v>190.62</v>
      </c>
      <c r="J910">
        <v>492.95</v>
      </c>
      <c r="K910">
        <v>253.05</v>
      </c>
      <c r="L910">
        <v>-190.8</v>
      </c>
      <c r="M910">
        <v>53.1</v>
      </c>
      <c r="N910">
        <v>1455216</v>
      </c>
      <c r="O910" t="s">
        <v>568</v>
      </c>
      <c r="P910" t="s">
        <v>1795</v>
      </c>
      <c r="Q910" t="s">
        <v>1796</v>
      </c>
    </row>
    <row r="911" spans="1:17">
      <c r="A911">
        <v>1809</v>
      </c>
      <c r="B911">
        <v>667.3</v>
      </c>
      <c r="C911">
        <v>2.52</v>
      </c>
      <c r="D911">
        <v>0.23419999999999999</v>
      </c>
      <c r="E911">
        <v>0.44969999999999999</v>
      </c>
      <c r="F911">
        <v>146.30000000000001</v>
      </c>
      <c r="G911">
        <v>0</v>
      </c>
      <c r="H911">
        <v>8.4600000000000009</v>
      </c>
      <c r="I911">
        <v>174.19</v>
      </c>
      <c r="J911">
        <v>472.19</v>
      </c>
      <c r="K911">
        <v>223.95</v>
      </c>
      <c r="L911">
        <v>-170.1</v>
      </c>
      <c r="M911">
        <v>44.8</v>
      </c>
      <c r="N911">
        <v>111886</v>
      </c>
      <c r="O911" t="s">
        <v>721</v>
      </c>
      <c r="P911" t="s">
        <v>1497</v>
      </c>
      <c r="Q911" t="s">
        <v>1743</v>
      </c>
    </row>
    <row r="912" spans="1:17">
      <c r="A912">
        <v>1810</v>
      </c>
      <c r="B912">
        <v>517</v>
      </c>
      <c r="C912">
        <v>4.75</v>
      </c>
      <c r="D912">
        <v>0.28050000000000003</v>
      </c>
      <c r="E912">
        <v>0.21379999999999999</v>
      </c>
      <c r="F912">
        <v>76.16</v>
      </c>
      <c r="G912">
        <v>0</v>
      </c>
      <c r="H912">
        <v>8.31</v>
      </c>
      <c r="I912">
        <v>94.18</v>
      </c>
      <c r="J912">
        <v>325.75</v>
      </c>
      <c r="K912">
        <v>142.61000000000001</v>
      </c>
      <c r="L912">
        <v>-75.900000000000006</v>
      </c>
      <c r="M912">
        <v>-2.1800000000000002</v>
      </c>
      <c r="N912">
        <v>75332</v>
      </c>
      <c r="O912" t="s">
        <v>507</v>
      </c>
      <c r="P912" t="s">
        <v>861</v>
      </c>
      <c r="Q912" t="s">
        <v>862</v>
      </c>
    </row>
    <row r="913" spans="1:17">
      <c r="A913">
        <v>1811</v>
      </c>
      <c r="B913">
        <v>664</v>
      </c>
      <c r="C913">
        <v>3.97</v>
      </c>
      <c r="D913">
        <v>0.24759999999999999</v>
      </c>
      <c r="E913">
        <v>0.2641</v>
      </c>
      <c r="F913">
        <v>116.23</v>
      </c>
      <c r="G913">
        <v>0</v>
      </c>
      <c r="H913">
        <v>9.0500000000000007</v>
      </c>
      <c r="I913">
        <v>122.78</v>
      </c>
      <c r="J913">
        <v>430.65</v>
      </c>
      <c r="K913">
        <v>189.64</v>
      </c>
      <c r="L913">
        <v>-96.02</v>
      </c>
      <c r="M913">
        <v>36.67</v>
      </c>
      <c r="N913">
        <v>1569693</v>
      </c>
      <c r="O913" t="s">
        <v>1190</v>
      </c>
      <c r="P913" t="s">
        <v>1722</v>
      </c>
      <c r="Q913" t="s">
        <v>1723</v>
      </c>
    </row>
    <row r="914" spans="1:17">
      <c r="A914">
        <v>1812</v>
      </c>
      <c r="B914">
        <v>718</v>
      </c>
      <c r="C914">
        <v>4.0599999999999996</v>
      </c>
      <c r="D914">
        <v>0.25169999999999998</v>
      </c>
      <c r="E914">
        <v>0.31259999999999999</v>
      </c>
      <c r="F914">
        <v>124.21</v>
      </c>
      <c r="G914">
        <v>0</v>
      </c>
      <c r="H914">
        <v>9.99</v>
      </c>
      <c r="I914">
        <v>118.05</v>
      </c>
      <c r="J914">
        <v>467.65</v>
      </c>
      <c r="K914">
        <v>243.95</v>
      </c>
      <c r="L914">
        <v>93.14</v>
      </c>
      <c r="M914">
        <v>162.9</v>
      </c>
      <c r="N914">
        <v>100538</v>
      </c>
      <c r="O914" t="s">
        <v>568</v>
      </c>
      <c r="P914" t="s">
        <v>1974</v>
      </c>
      <c r="Q914" t="s">
        <v>1975</v>
      </c>
    </row>
    <row r="915" spans="1:17">
      <c r="A915">
        <v>1813</v>
      </c>
      <c r="B915">
        <v>533</v>
      </c>
      <c r="C915">
        <v>4.26</v>
      </c>
      <c r="D915">
        <v>0.24990000000000001</v>
      </c>
      <c r="E915">
        <v>0.20910000000000001</v>
      </c>
      <c r="F915">
        <v>76.16</v>
      </c>
      <c r="G915">
        <v>0</v>
      </c>
      <c r="H915">
        <v>8.8000000000000007</v>
      </c>
      <c r="I915">
        <v>91.01</v>
      </c>
      <c r="J915">
        <v>339.8</v>
      </c>
      <c r="K915">
        <v>167.24</v>
      </c>
      <c r="L915">
        <v>-59.3</v>
      </c>
      <c r="M915">
        <v>11.9</v>
      </c>
      <c r="N915">
        <v>624895</v>
      </c>
      <c r="O915" t="s">
        <v>922</v>
      </c>
      <c r="P915" t="s">
        <v>861</v>
      </c>
      <c r="Q915" t="s">
        <v>923</v>
      </c>
    </row>
    <row r="916" spans="1:17">
      <c r="A916">
        <v>1814</v>
      </c>
      <c r="B916">
        <v>565</v>
      </c>
      <c r="C916">
        <v>3.97</v>
      </c>
      <c r="D916">
        <v>0.26079999999999998</v>
      </c>
      <c r="E916">
        <v>0.2737</v>
      </c>
      <c r="F916">
        <v>90.19</v>
      </c>
      <c r="G916">
        <v>0</v>
      </c>
      <c r="H916">
        <v>8.66</v>
      </c>
      <c r="I916">
        <v>107.7</v>
      </c>
      <c r="J916">
        <v>368.69</v>
      </c>
      <c r="K916">
        <v>160.16999999999999</v>
      </c>
      <c r="L916">
        <v>-81.900000000000006</v>
      </c>
      <c r="M916">
        <v>17.93</v>
      </c>
      <c r="N916">
        <v>3877154</v>
      </c>
      <c r="O916" t="s">
        <v>566</v>
      </c>
      <c r="P916" t="s">
        <v>907</v>
      </c>
      <c r="Q916" t="s">
        <v>1128</v>
      </c>
    </row>
    <row r="917" spans="1:17">
      <c r="A917">
        <v>1815</v>
      </c>
      <c r="B917">
        <v>570</v>
      </c>
      <c r="C917">
        <v>3.54</v>
      </c>
      <c r="D917">
        <v>0.2586</v>
      </c>
      <c r="E917">
        <v>0.2334</v>
      </c>
      <c r="F917">
        <v>104.22</v>
      </c>
      <c r="G917">
        <v>0</v>
      </c>
      <c r="H917">
        <v>7.93</v>
      </c>
      <c r="I917">
        <v>126.97</v>
      </c>
      <c r="J917">
        <v>372.05</v>
      </c>
      <c r="K917">
        <v>190.84</v>
      </c>
      <c r="L917">
        <v>-120.9</v>
      </c>
      <c r="M917">
        <v>7.4</v>
      </c>
      <c r="N917">
        <v>6163640</v>
      </c>
      <c r="O917" t="s">
        <v>566</v>
      </c>
      <c r="P917" t="s">
        <v>1170</v>
      </c>
      <c r="Q917" t="s">
        <v>1171</v>
      </c>
    </row>
    <row r="918" spans="1:17">
      <c r="A918">
        <v>1816</v>
      </c>
      <c r="B918">
        <v>632</v>
      </c>
      <c r="C918">
        <v>3.13</v>
      </c>
      <c r="D918">
        <v>0.24540000000000001</v>
      </c>
      <c r="E918">
        <v>0.28360000000000002</v>
      </c>
      <c r="F918">
        <v>118.24</v>
      </c>
      <c r="G918">
        <v>0</v>
      </c>
      <c r="H918">
        <v>8.23</v>
      </c>
      <c r="I918">
        <v>141.26</v>
      </c>
      <c r="J918">
        <v>401.15</v>
      </c>
      <c r="K918">
        <v>-86</v>
      </c>
      <c r="L918">
        <v>-137.4</v>
      </c>
      <c r="M918">
        <v>28.84</v>
      </c>
      <c r="N918">
        <v>13286925</v>
      </c>
      <c r="O918" t="s">
        <v>568</v>
      </c>
      <c r="P918" t="s">
        <v>1384</v>
      </c>
      <c r="Q918" t="s">
        <v>1522</v>
      </c>
    </row>
    <row r="919" spans="1:17">
      <c r="A919">
        <v>1817</v>
      </c>
      <c r="B919">
        <v>608</v>
      </c>
      <c r="C919">
        <v>3.08</v>
      </c>
      <c r="D919">
        <v>0.251</v>
      </c>
      <c r="E919">
        <v>0.374</v>
      </c>
      <c r="F919">
        <v>118.24</v>
      </c>
      <c r="G919">
        <v>0</v>
      </c>
      <c r="H919">
        <v>8.3699999999999992</v>
      </c>
      <c r="I919">
        <v>141.91999999999999</v>
      </c>
      <c r="J919">
        <v>415.98</v>
      </c>
      <c r="K919">
        <v>170.55</v>
      </c>
      <c r="L919">
        <v>-125.4</v>
      </c>
      <c r="M919">
        <v>30.9</v>
      </c>
      <c r="N919">
        <v>111477</v>
      </c>
      <c r="O919" t="s">
        <v>568</v>
      </c>
      <c r="P919" t="s">
        <v>1384</v>
      </c>
      <c r="Q919" t="s">
        <v>1385</v>
      </c>
    </row>
    <row r="920" spans="1:17">
      <c r="A920">
        <v>1818</v>
      </c>
      <c r="B920">
        <v>557.15</v>
      </c>
      <c r="C920">
        <v>3.96</v>
      </c>
      <c r="D920">
        <v>0.27210000000000001</v>
      </c>
      <c r="E920">
        <v>0.28999999999999998</v>
      </c>
      <c r="F920">
        <v>90.19</v>
      </c>
      <c r="G920">
        <v>0</v>
      </c>
      <c r="H920">
        <v>8.56</v>
      </c>
      <c r="I920">
        <v>108.36</v>
      </c>
      <c r="J920">
        <v>365.25</v>
      </c>
      <c r="K920">
        <v>169.22</v>
      </c>
      <c r="L920">
        <v>-83.47</v>
      </c>
      <c r="M920">
        <v>17.78</v>
      </c>
      <c r="N920">
        <v>352932</v>
      </c>
      <c r="O920" t="s">
        <v>1075</v>
      </c>
      <c r="P920" t="s">
        <v>907</v>
      </c>
      <c r="Q920" t="s">
        <v>1076</v>
      </c>
    </row>
    <row r="921" spans="1:17">
      <c r="A921">
        <v>1820</v>
      </c>
      <c r="B921">
        <v>503.04</v>
      </c>
      <c r="C921">
        <v>5.53</v>
      </c>
      <c r="D921">
        <v>0.26579999999999998</v>
      </c>
      <c r="E921">
        <v>0.1943</v>
      </c>
      <c r="F921">
        <v>62.14</v>
      </c>
      <c r="G921">
        <v>0</v>
      </c>
      <c r="H921">
        <v>9.0500000000000007</v>
      </c>
      <c r="I921">
        <v>73.739999999999995</v>
      </c>
      <c r="J921">
        <v>310.48</v>
      </c>
      <c r="K921">
        <v>174.88</v>
      </c>
      <c r="L921">
        <v>-37.5</v>
      </c>
      <c r="M921">
        <v>7.4</v>
      </c>
      <c r="N921">
        <v>75183</v>
      </c>
      <c r="O921" t="s">
        <v>423</v>
      </c>
      <c r="P921" t="s">
        <v>780</v>
      </c>
      <c r="Q921" t="s">
        <v>792</v>
      </c>
    </row>
    <row r="922" spans="1:17">
      <c r="A922">
        <v>1821</v>
      </c>
      <c r="B922">
        <v>579.35</v>
      </c>
      <c r="C922">
        <v>5.69</v>
      </c>
      <c r="D922">
        <v>0.25869999999999999</v>
      </c>
      <c r="E922">
        <v>0.19700000000000001</v>
      </c>
      <c r="F922">
        <v>84.14</v>
      </c>
      <c r="G922">
        <v>0</v>
      </c>
      <c r="H922">
        <v>9.84</v>
      </c>
      <c r="I922">
        <v>79.48</v>
      </c>
      <c r="J922">
        <v>357.31</v>
      </c>
      <c r="K922">
        <v>234.85</v>
      </c>
      <c r="L922">
        <v>115.44</v>
      </c>
      <c r="M922">
        <v>126.62</v>
      </c>
      <c r="N922">
        <v>110021</v>
      </c>
      <c r="O922" t="s">
        <v>423</v>
      </c>
      <c r="P922" t="s">
        <v>129</v>
      </c>
      <c r="Q922" t="s">
        <v>1224</v>
      </c>
    </row>
    <row r="923" spans="1:17">
      <c r="A923">
        <v>1822</v>
      </c>
      <c r="B923">
        <v>764</v>
      </c>
      <c r="C923">
        <v>4.76</v>
      </c>
      <c r="D923">
        <v>0.23050000000000001</v>
      </c>
      <c r="E923">
        <v>0.30709999999999998</v>
      </c>
      <c r="F923">
        <v>134.19999999999999</v>
      </c>
      <c r="G923">
        <v>0</v>
      </c>
      <c r="H923">
        <v>10.5</v>
      </c>
      <c r="I923">
        <v>111.6</v>
      </c>
      <c r="J923">
        <v>494.15</v>
      </c>
      <c r="K923">
        <v>305.14999999999998</v>
      </c>
      <c r="L923">
        <v>137</v>
      </c>
      <c r="M923">
        <v>243</v>
      </c>
      <c r="N923">
        <v>95158</v>
      </c>
      <c r="O923" t="s">
        <v>609</v>
      </c>
      <c r="P923" t="s">
        <v>2166</v>
      </c>
      <c r="Q923" t="s">
        <v>2167</v>
      </c>
    </row>
    <row r="924" spans="1:17">
      <c r="A924">
        <v>1824</v>
      </c>
      <c r="B924">
        <v>642</v>
      </c>
      <c r="C924">
        <v>3.87</v>
      </c>
      <c r="D924">
        <v>0.2596</v>
      </c>
      <c r="E924">
        <v>0.34689999999999999</v>
      </c>
      <c r="F924">
        <v>122.26</v>
      </c>
      <c r="G924">
        <v>0</v>
      </c>
      <c r="H924">
        <v>9.09</v>
      </c>
      <c r="I924">
        <v>123.74</v>
      </c>
      <c r="J924">
        <v>427.15</v>
      </c>
      <c r="K924">
        <v>171.65</v>
      </c>
      <c r="L924">
        <v>-74.7</v>
      </c>
      <c r="M924">
        <v>23.01</v>
      </c>
      <c r="N924">
        <v>110816</v>
      </c>
      <c r="O924" t="s">
        <v>1572</v>
      </c>
      <c r="P924" t="s">
        <v>1573</v>
      </c>
      <c r="Q924" t="s">
        <v>1574</v>
      </c>
    </row>
    <row r="925" spans="1:17">
      <c r="A925">
        <v>1825</v>
      </c>
      <c r="B925">
        <v>710</v>
      </c>
      <c r="C925">
        <v>1.98</v>
      </c>
      <c r="D925">
        <v>0.22339999999999999</v>
      </c>
      <c r="E925">
        <v>0.63880000000000003</v>
      </c>
      <c r="F925">
        <v>188.38</v>
      </c>
      <c r="G925">
        <v>0</v>
      </c>
      <c r="H925">
        <v>8.4499999999999993</v>
      </c>
      <c r="I925">
        <v>223.96</v>
      </c>
      <c r="J925">
        <v>530.54999999999995</v>
      </c>
      <c r="K925">
        <v>270.14999999999998</v>
      </c>
      <c r="L925">
        <v>-232.5</v>
      </c>
      <c r="M925">
        <v>68.97</v>
      </c>
      <c r="N925">
        <v>5332525</v>
      </c>
      <c r="O925" t="s">
        <v>566</v>
      </c>
      <c r="P925" t="s">
        <v>1951</v>
      </c>
      <c r="Q925" t="s">
        <v>1952</v>
      </c>
    </row>
    <row r="926" spans="1:17">
      <c r="A926">
        <v>1826</v>
      </c>
      <c r="B926">
        <v>696</v>
      </c>
      <c r="C926">
        <v>2.13</v>
      </c>
      <c r="D926">
        <v>0.22969999999999999</v>
      </c>
      <c r="E926">
        <v>0.58740000000000003</v>
      </c>
      <c r="F926">
        <v>174.35</v>
      </c>
      <c r="G926">
        <v>0</v>
      </c>
      <c r="H926">
        <v>8.51</v>
      </c>
      <c r="I926">
        <v>207.32</v>
      </c>
      <c r="J926">
        <v>512.35</v>
      </c>
      <c r="K926">
        <v>247.56</v>
      </c>
      <c r="L926">
        <v>-210.9</v>
      </c>
      <c r="M926">
        <v>61.9</v>
      </c>
      <c r="N926">
        <v>143102</v>
      </c>
      <c r="O926" t="s">
        <v>568</v>
      </c>
      <c r="P926" t="s">
        <v>1881</v>
      </c>
      <c r="Q926" t="s">
        <v>1882</v>
      </c>
    </row>
    <row r="927" spans="1:17">
      <c r="A927">
        <v>1827</v>
      </c>
      <c r="B927">
        <v>598</v>
      </c>
      <c r="C927">
        <v>3.47</v>
      </c>
      <c r="D927">
        <v>0.25440000000000002</v>
      </c>
      <c r="E927">
        <v>0.32069999999999999</v>
      </c>
      <c r="F927">
        <v>104.22</v>
      </c>
      <c r="G927">
        <v>0</v>
      </c>
      <c r="H927">
        <v>8.6199999999999992</v>
      </c>
      <c r="I927">
        <v>124.41</v>
      </c>
      <c r="J927">
        <v>399.79</v>
      </c>
      <c r="K927">
        <v>197.45</v>
      </c>
      <c r="L927">
        <v>-109.79</v>
      </c>
      <c r="M927">
        <v>18.100000000000001</v>
      </c>
      <c r="N927">
        <v>110667</v>
      </c>
      <c r="O927" t="s">
        <v>1317</v>
      </c>
      <c r="P927" t="s">
        <v>1170</v>
      </c>
      <c r="Q927" t="s">
        <v>1318</v>
      </c>
    </row>
    <row r="928" spans="1:17">
      <c r="A928">
        <v>1828</v>
      </c>
      <c r="B928">
        <v>615</v>
      </c>
      <c r="C928">
        <v>5.36</v>
      </c>
      <c r="D928">
        <v>0.2681</v>
      </c>
      <c r="E928">
        <v>0.2059</v>
      </c>
      <c r="F928">
        <v>94.2</v>
      </c>
      <c r="G928">
        <v>0</v>
      </c>
      <c r="H928">
        <v>9.84</v>
      </c>
      <c r="I928">
        <v>89.12</v>
      </c>
      <c r="J928">
        <v>382.9</v>
      </c>
      <c r="K928">
        <v>188.44</v>
      </c>
      <c r="L928">
        <v>-23.6</v>
      </c>
      <c r="M928">
        <v>15.36</v>
      </c>
      <c r="N928">
        <v>624920</v>
      </c>
      <c r="O928" t="s">
        <v>568</v>
      </c>
      <c r="P928" t="s">
        <v>1417</v>
      </c>
      <c r="Q928" t="s">
        <v>1418</v>
      </c>
    </row>
    <row r="929" spans="1:17">
      <c r="A929">
        <v>1829</v>
      </c>
      <c r="B929">
        <v>675</v>
      </c>
      <c r="C929">
        <v>3.03</v>
      </c>
      <c r="D929">
        <v>0.25779999999999997</v>
      </c>
      <c r="E929">
        <v>0.437</v>
      </c>
      <c r="F929">
        <v>150.31</v>
      </c>
      <c r="G929">
        <v>0</v>
      </c>
      <c r="H929">
        <v>8.81</v>
      </c>
      <c r="I929">
        <v>157.22999999999999</v>
      </c>
      <c r="J929">
        <v>466.65</v>
      </c>
      <c r="K929">
        <v>187.15</v>
      </c>
      <c r="L929">
        <v>-117.3</v>
      </c>
      <c r="M929">
        <v>38.49</v>
      </c>
      <c r="N929">
        <v>629196</v>
      </c>
      <c r="O929" t="s">
        <v>1768</v>
      </c>
      <c r="P929" t="s">
        <v>1769</v>
      </c>
      <c r="Q929" t="s">
        <v>1770</v>
      </c>
    </row>
    <row r="930" spans="1:17">
      <c r="A930">
        <v>1837</v>
      </c>
      <c r="B930">
        <v>724</v>
      </c>
      <c r="C930">
        <v>1.84</v>
      </c>
      <c r="D930">
        <v>0.2228</v>
      </c>
      <c r="E930">
        <v>0.67710000000000004</v>
      </c>
      <c r="F930">
        <v>202.4</v>
      </c>
      <c r="G930">
        <v>0</v>
      </c>
      <c r="H930">
        <v>8.08</v>
      </c>
      <c r="I930">
        <v>240.47</v>
      </c>
      <c r="J930">
        <v>547.75</v>
      </c>
      <c r="K930">
        <v>265.14999999999998</v>
      </c>
      <c r="L930">
        <v>-252.67</v>
      </c>
      <c r="M930">
        <v>78.239999999999995</v>
      </c>
      <c r="N930">
        <v>112550</v>
      </c>
      <c r="O930" t="s">
        <v>2516</v>
      </c>
      <c r="P930" t="s">
        <v>1848</v>
      </c>
      <c r="Q930" t="s">
        <v>2614</v>
      </c>
    </row>
    <row r="931" spans="1:17">
      <c r="A931">
        <v>1838</v>
      </c>
      <c r="B931">
        <v>627</v>
      </c>
      <c r="C931">
        <v>2.59</v>
      </c>
      <c r="D931">
        <v>0.25740000000000002</v>
      </c>
      <c r="E931">
        <v>0.30009999999999998</v>
      </c>
      <c r="F931">
        <v>146.30000000000001</v>
      </c>
      <c r="G931">
        <v>0</v>
      </c>
      <c r="H931">
        <v>7.49</v>
      </c>
      <c r="I931">
        <v>173.88</v>
      </c>
      <c r="J931">
        <v>435</v>
      </c>
      <c r="K931">
        <v>199</v>
      </c>
      <c r="L931">
        <v>-205</v>
      </c>
      <c r="M931">
        <v>28.5</v>
      </c>
      <c r="N931">
        <v>141593</v>
      </c>
      <c r="O931" t="s">
        <v>995</v>
      </c>
      <c r="P931" t="s">
        <v>1497</v>
      </c>
      <c r="Q931" t="s">
        <v>1498</v>
      </c>
    </row>
    <row r="932" spans="1:17">
      <c r="A932">
        <v>1839</v>
      </c>
      <c r="B932">
        <v>645</v>
      </c>
      <c r="C932">
        <v>2.77</v>
      </c>
      <c r="D932">
        <v>0.23849999999999999</v>
      </c>
      <c r="E932">
        <v>0.42259999999999998</v>
      </c>
      <c r="F932">
        <v>132.27000000000001</v>
      </c>
      <c r="G932">
        <v>0</v>
      </c>
      <c r="H932">
        <v>8.5299999999999994</v>
      </c>
      <c r="I932">
        <v>157.63</v>
      </c>
      <c r="J932">
        <v>450.07</v>
      </c>
      <c r="K932">
        <v>229.92</v>
      </c>
      <c r="L932">
        <v>-149.5</v>
      </c>
      <c r="M932">
        <v>36.5</v>
      </c>
      <c r="N932">
        <v>1639094</v>
      </c>
      <c r="O932" t="s">
        <v>721</v>
      </c>
      <c r="P932" t="s">
        <v>1591</v>
      </c>
      <c r="Q932" t="s">
        <v>1592</v>
      </c>
    </row>
    <row r="933" spans="1:17">
      <c r="A933">
        <v>1841</v>
      </c>
      <c r="B933">
        <v>570.1</v>
      </c>
      <c r="C933">
        <v>3.97</v>
      </c>
      <c r="D933">
        <v>0.25840000000000002</v>
      </c>
      <c r="E933">
        <v>0.27139999999999997</v>
      </c>
      <c r="F933">
        <v>90.19</v>
      </c>
      <c r="G933">
        <v>0</v>
      </c>
      <c r="H933">
        <v>8.77</v>
      </c>
      <c r="I933">
        <v>107.77</v>
      </c>
      <c r="J933">
        <v>370.95</v>
      </c>
      <c r="K933">
        <v>157.44999999999999</v>
      </c>
      <c r="L933">
        <v>-88.1</v>
      </c>
      <c r="M933">
        <v>11.05</v>
      </c>
      <c r="N933">
        <v>109795</v>
      </c>
      <c r="O933" t="s">
        <v>1172</v>
      </c>
      <c r="P933" t="s">
        <v>907</v>
      </c>
      <c r="Q933" t="s">
        <v>1173</v>
      </c>
    </row>
    <row r="934" spans="1:17">
      <c r="A934">
        <v>1842</v>
      </c>
      <c r="B934">
        <v>689</v>
      </c>
      <c r="C934">
        <v>4.74</v>
      </c>
      <c r="D934">
        <v>0.2606</v>
      </c>
      <c r="E934">
        <v>0.26279999999999998</v>
      </c>
      <c r="F934">
        <v>110.18</v>
      </c>
      <c r="G934">
        <v>0</v>
      </c>
      <c r="H934">
        <v>10.35</v>
      </c>
      <c r="I934">
        <v>102.7</v>
      </c>
      <c r="J934">
        <v>441.15</v>
      </c>
      <c r="K934">
        <v>258.2</v>
      </c>
      <c r="L934">
        <v>112.4</v>
      </c>
      <c r="M934">
        <v>147.6</v>
      </c>
      <c r="N934">
        <v>108985</v>
      </c>
      <c r="O934" t="s">
        <v>568</v>
      </c>
      <c r="P934" t="s">
        <v>1838</v>
      </c>
      <c r="Q934" t="s">
        <v>1839</v>
      </c>
    </row>
    <row r="935" spans="1:17">
      <c r="A935">
        <v>1843</v>
      </c>
      <c r="B935">
        <v>631.95000000000005</v>
      </c>
      <c r="C935">
        <v>5.16</v>
      </c>
      <c r="D935">
        <v>0.2445</v>
      </c>
      <c r="E935">
        <v>0.1996</v>
      </c>
      <c r="F935">
        <v>88.17</v>
      </c>
      <c r="G935">
        <v>0</v>
      </c>
      <c r="H935">
        <v>10</v>
      </c>
      <c r="I935">
        <v>88.44</v>
      </c>
      <c r="J935">
        <v>394.15</v>
      </c>
      <c r="K935">
        <v>176.99</v>
      </c>
      <c r="L935">
        <v>-34.1</v>
      </c>
      <c r="M935">
        <v>46.12</v>
      </c>
      <c r="N935">
        <v>110010</v>
      </c>
      <c r="O935" t="s">
        <v>1339</v>
      </c>
      <c r="P935" t="s">
        <v>1519</v>
      </c>
      <c r="Q935" t="s">
        <v>1520</v>
      </c>
    </row>
    <row r="936" spans="1:17">
      <c r="A936">
        <v>1844</v>
      </c>
      <c r="B936">
        <v>729</v>
      </c>
      <c r="C936">
        <v>5.65</v>
      </c>
      <c r="D936">
        <v>0.21160000000000001</v>
      </c>
      <c r="E936">
        <v>0.28060000000000002</v>
      </c>
      <c r="F936">
        <v>78.14</v>
      </c>
      <c r="G936">
        <v>0</v>
      </c>
      <c r="H936">
        <v>13.08</v>
      </c>
      <c r="I936">
        <v>71.28</v>
      </c>
      <c r="J936">
        <v>462.15</v>
      </c>
      <c r="K936">
        <v>291.67</v>
      </c>
      <c r="L936">
        <v>-209.2</v>
      </c>
      <c r="M936">
        <v>-115.7</v>
      </c>
      <c r="N936">
        <v>67685</v>
      </c>
      <c r="O936" t="s">
        <v>633</v>
      </c>
      <c r="P936" t="s">
        <v>2027</v>
      </c>
      <c r="Q936" t="s">
        <v>2028</v>
      </c>
    </row>
    <row r="937" spans="1:17">
      <c r="A937">
        <v>1845</v>
      </c>
      <c r="B937">
        <v>853</v>
      </c>
      <c r="C937">
        <v>5.03</v>
      </c>
      <c r="D937">
        <v>0.21279999999999999</v>
      </c>
      <c r="E937">
        <v>0.38229999999999997</v>
      </c>
      <c r="F937">
        <v>120.17</v>
      </c>
      <c r="G937">
        <v>0</v>
      </c>
      <c r="H937">
        <v>12.77</v>
      </c>
      <c r="I937">
        <v>95.27</v>
      </c>
      <c r="J937">
        <v>558.15</v>
      </c>
      <c r="K937">
        <v>300.93</v>
      </c>
      <c r="L937">
        <v>-372.7</v>
      </c>
      <c r="M937">
        <v>-243.1</v>
      </c>
      <c r="N937">
        <v>126330</v>
      </c>
      <c r="O937" t="s">
        <v>568</v>
      </c>
      <c r="P937" t="s">
        <v>2405</v>
      </c>
      <c r="Q937" t="s">
        <v>2406</v>
      </c>
    </row>
    <row r="938" spans="1:17">
      <c r="A938">
        <v>1847</v>
      </c>
      <c r="B938">
        <v>817</v>
      </c>
      <c r="C938">
        <v>4.24</v>
      </c>
      <c r="D938">
        <v>0.2203</v>
      </c>
      <c r="E938">
        <v>0.41909999999999997</v>
      </c>
      <c r="F938">
        <v>134.19999999999999</v>
      </c>
      <c r="G938">
        <v>0</v>
      </c>
      <c r="H938">
        <v>11.77</v>
      </c>
      <c r="I938">
        <v>113</v>
      </c>
      <c r="J938">
        <v>549.15</v>
      </c>
      <c r="K938">
        <v>273.64999999999998</v>
      </c>
      <c r="L938">
        <v>-420</v>
      </c>
      <c r="M938">
        <v>-257.02</v>
      </c>
      <c r="N938">
        <v>872935</v>
      </c>
      <c r="O938" t="s">
        <v>787</v>
      </c>
      <c r="P938" t="s">
        <v>2319</v>
      </c>
      <c r="Q938" t="s">
        <v>2320</v>
      </c>
    </row>
    <row r="939" spans="1:17">
      <c r="A939">
        <v>1848</v>
      </c>
      <c r="B939">
        <v>763</v>
      </c>
      <c r="C939">
        <v>3.11</v>
      </c>
      <c r="D939">
        <v>0.22700000000000001</v>
      </c>
      <c r="E939">
        <v>0.58209999999999995</v>
      </c>
      <c r="F939">
        <v>150.24</v>
      </c>
      <c r="G939">
        <v>0</v>
      </c>
      <c r="H939">
        <v>10.72</v>
      </c>
      <c r="I939">
        <v>144.29</v>
      </c>
      <c r="J939">
        <v>543</v>
      </c>
      <c r="K939">
        <v>302</v>
      </c>
      <c r="L939">
        <v>-474</v>
      </c>
      <c r="M939">
        <v>-255</v>
      </c>
      <c r="N939">
        <v>598038</v>
      </c>
      <c r="O939" t="s">
        <v>609</v>
      </c>
      <c r="P939" t="s">
        <v>2156</v>
      </c>
      <c r="Q939" t="s">
        <v>2157</v>
      </c>
    </row>
    <row r="940" spans="1:17">
      <c r="A940">
        <v>1849</v>
      </c>
      <c r="B940">
        <v>767</v>
      </c>
      <c r="C940">
        <v>2.54</v>
      </c>
      <c r="D940">
        <v>0.2266</v>
      </c>
      <c r="E940">
        <v>0.68769999999999998</v>
      </c>
      <c r="F940">
        <v>178.3</v>
      </c>
      <c r="G940">
        <v>0</v>
      </c>
      <c r="H940">
        <v>9.98</v>
      </c>
      <c r="I940">
        <v>180.11</v>
      </c>
      <c r="J940">
        <v>564</v>
      </c>
      <c r="K940">
        <v>317</v>
      </c>
      <c r="L940">
        <v>-507.9</v>
      </c>
      <c r="M940">
        <v>-238</v>
      </c>
      <c r="N940">
        <v>598049</v>
      </c>
      <c r="O940" t="s">
        <v>609</v>
      </c>
      <c r="P940" t="s">
        <v>2176</v>
      </c>
      <c r="Q940" t="s">
        <v>2177</v>
      </c>
    </row>
    <row r="941" spans="1:17">
      <c r="A941">
        <v>1850</v>
      </c>
      <c r="B941">
        <v>297</v>
      </c>
      <c r="C941">
        <v>5.76</v>
      </c>
      <c r="D941">
        <v>0.28129999999999999</v>
      </c>
      <c r="E941">
        <v>0.28289999999999998</v>
      </c>
      <c r="F941">
        <v>66.010000000000005</v>
      </c>
      <c r="G941">
        <v>0</v>
      </c>
      <c r="H941">
        <v>8.0399999999999991</v>
      </c>
      <c r="I941">
        <v>61.32</v>
      </c>
      <c r="J941">
        <v>188.58</v>
      </c>
      <c r="K941">
        <v>159.15</v>
      </c>
      <c r="L941">
        <v>-640.15</v>
      </c>
      <c r="M941">
        <v>-624.59</v>
      </c>
      <c r="N941">
        <v>353504</v>
      </c>
      <c r="O941" t="s">
        <v>474</v>
      </c>
      <c r="P941" t="s">
        <v>475</v>
      </c>
      <c r="Q941" t="s">
        <v>2847</v>
      </c>
    </row>
    <row r="942" spans="1:17">
      <c r="A942">
        <v>1851</v>
      </c>
      <c r="B942">
        <v>508</v>
      </c>
      <c r="C942">
        <v>5.74</v>
      </c>
      <c r="D942">
        <v>0.2606</v>
      </c>
      <c r="E942">
        <v>0.33400000000000002</v>
      </c>
      <c r="F942">
        <v>78.5</v>
      </c>
      <c r="G942">
        <v>0</v>
      </c>
      <c r="H942">
        <v>9.65</v>
      </c>
      <c r="I942">
        <v>71.34</v>
      </c>
      <c r="J942">
        <v>323.89999999999998</v>
      </c>
      <c r="K942">
        <v>160.15</v>
      </c>
      <c r="L942">
        <v>-243.5</v>
      </c>
      <c r="M942">
        <v>-205.9</v>
      </c>
      <c r="N942">
        <v>75365</v>
      </c>
      <c r="O942" t="s">
        <v>823</v>
      </c>
      <c r="P942" t="s">
        <v>824</v>
      </c>
      <c r="Q942" t="s">
        <v>825</v>
      </c>
    </row>
    <row r="943" spans="1:17">
      <c r="A943">
        <v>1852</v>
      </c>
      <c r="B943">
        <v>686</v>
      </c>
      <c r="C943">
        <v>5.78</v>
      </c>
      <c r="D943">
        <v>0.224</v>
      </c>
      <c r="E943">
        <v>0.54610000000000003</v>
      </c>
      <c r="F943">
        <v>94.5</v>
      </c>
      <c r="G943">
        <v>0</v>
      </c>
      <c r="H943">
        <v>14.04</v>
      </c>
      <c r="I943">
        <v>68.8</v>
      </c>
      <c r="J943">
        <v>462.15</v>
      </c>
      <c r="K943">
        <v>333.15</v>
      </c>
      <c r="L943">
        <v>-436.2</v>
      </c>
      <c r="M943">
        <v>-372</v>
      </c>
      <c r="N943">
        <v>79118</v>
      </c>
      <c r="O943" t="s">
        <v>660</v>
      </c>
      <c r="P943" t="s">
        <v>892</v>
      </c>
      <c r="Q943" t="s">
        <v>1814</v>
      </c>
    </row>
    <row r="944" spans="1:17">
      <c r="A944">
        <v>1853</v>
      </c>
      <c r="B944">
        <v>581</v>
      </c>
      <c r="C944">
        <v>5.1100000000000003</v>
      </c>
      <c r="D944">
        <v>0.25919999999999999</v>
      </c>
      <c r="E944">
        <v>0.35399999999999998</v>
      </c>
      <c r="F944">
        <v>112.94</v>
      </c>
      <c r="G944">
        <v>0</v>
      </c>
      <c r="H944">
        <v>10.42</v>
      </c>
      <c r="I944">
        <v>80.25</v>
      </c>
      <c r="J944">
        <v>379.15</v>
      </c>
      <c r="K944">
        <v>251.15</v>
      </c>
      <c r="L944">
        <v>-245.6</v>
      </c>
      <c r="M944">
        <v>-203.4</v>
      </c>
      <c r="N944">
        <v>79049</v>
      </c>
      <c r="O944" t="s">
        <v>1232</v>
      </c>
      <c r="P944" t="s">
        <v>1065</v>
      </c>
      <c r="Q944" t="s">
        <v>1233</v>
      </c>
    </row>
    <row r="945" spans="1:17">
      <c r="A945">
        <v>1854</v>
      </c>
      <c r="B945">
        <v>585</v>
      </c>
      <c r="C945">
        <v>4.6100000000000003</v>
      </c>
      <c r="D945">
        <v>0.27679999999999999</v>
      </c>
      <c r="E945">
        <v>0.30890000000000001</v>
      </c>
      <c r="F945">
        <v>147.38999999999999</v>
      </c>
      <c r="G945">
        <v>0</v>
      </c>
      <c r="H945">
        <v>9.5399999999999991</v>
      </c>
      <c r="I945">
        <v>97</v>
      </c>
      <c r="J945">
        <v>382.15</v>
      </c>
      <c r="K945">
        <v>230</v>
      </c>
      <c r="L945">
        <v>-281</v>
      </c>
      <c r="M945">
        <v>-191.5</v>
      </c>
      <c r="N945">
        <v>79367</v>
      </c>
      <c r="O945" t="s">
        <v>545</v>
      </c>
      <c r="P945" t="s">
        <v>1131</v>
      </c>
      <c r="Q945" t="s">
        <v>1247</v>
      </c>
    </row>
    <row r="946" spans="1:17">
      <c r="A946">
        <v>1855</v>
      </c>
      <c r="B946">
        <v>604</v>
      </c>
      <c r="C946">
        <v>4.32</v>
      </c>
      <c r="D946">
        <v>0.27750000000000002</v>
      </c>
      <c r="E946">
        <v>0.28239999999999998</v>
      </c>
      <c r="F946">
        <v>181.83</v>
      </c>
      <c r="G946">
        <v>0</v>
      </c>
      <c r="H946">
        <v>9.0399999999999991</v>
      </c>
      <c r="I946">
        <v>112.71</v>
      </c>
      <c r="J946">
        <v>391.15</v>
      </c>
      <c r="K946">
        <v>216.2</v>
      </c>
      <c r="L946">
        <v>-305.93</v>
      </c>
      <c r="M946">
        <v>-172</v>
      </c>
      <c r="N946">
        <v>76028</v>
      </c>
      <c r="O946" t="s">
        <v>633</v>
      </c>
      <c r="P946" t="s">
        <v>1357</v>
      </c>
      <c r="Q946" t="s">
        <v>1358</v>
      </c>
    </row>
    <row r="947" spans="1:17">
      <c r="A947">
        <v>1856</v>
      </c>
      <c r="B947">
        <v>697</v>
      </c>
      <c r="C947">
        <v>4.0599999999999996</v>
      </c>
      <c r="D947">
        <v>0.2571</v>
      </c>
      <c r="E947">
        <v>0.41589999999999999</v>
      </c>
      <c r="F947">
        <v>140.57</v>
      </c>
      <c r="G947">
        <v>0</v>
      </c>
      <c r="H947">
        <v>9.9499999999999993</v>
      </c>
      <c r="I947">
        <v>116.44</v>
      </c>
      <c r="J947">
        <v>470.15</v>
      </c>
      <c r="K947">
        <v>272.55</v>
      </c>
      <c r="L947">
        <v>-105</v>
      </c>
      <c r="M947">
        <v>-40.799999999999997</v>
      </c>
      <c r="N947">
        <v>98884</v>
      </c>
      <c r="O947" t="s">
        <v>633</v>
      </c>
      <c r="P947" t="s">
        <v>1886</v>
      </c>
      <c r="Q947" t="s">
        <v>1887</v>
      </c>
    </row>
    <row r="948" spans="1:17">
      <c r="A948">
        <v>1857</v>
      </c>
      <c r="B948">
        <v>601</v>
      </c>
      <c r="C948">
        <v>3.01</v>
      </c>
      <c r="D948">
        <v>0.24030000000000001</v>
      </c>
      <c r="E948">
        <v>0.3715</v>
      </c>
      <c r="F948">
        <v>180.56</v>
      </c>
      <c r="G948">
        <v>0</v>
      </c>
      <c r="H948">
        <v>8.17</v>
      </c>
      <c r="I948">
        <v>147.32</v>
      </c>
      <c r="J948">
        <v>412.15</v>
      </c>
      <c r="K948">
        <v>237.15</v>
      </c>
      <c r="L948">
        <v>-620</v>
      </c>
      <c r="M948">
        <v>-526</v>
      </c>
      <c r="N948">
        <v>98566</v>
      </c>
      <c r="O948" t="s">
        <v>660</v>
      </c>
      <c r="P948" t="s">
        <v>1337</v>
      </c>
      <c r="Q948" t="s">
        <v>1338</v>
      </c>
    </row>
    <row r="949" spans="1:17">
      <c r="A949">
        <v>1858</v>
      </c>
      <c r="B949">
        <v>646</v>
      </c>
      <c r="C949">
        <v>2.81</v>
      </c>
      <c r="D949">
        <v>0.23180000000000001</v>
      </c>
      <c r="E949">
        <v>0.43440000000000001</v>
      </c>
      <c r="F949">
        <v>215</v>
      </c>
      <c r="G949">
        <v>0</v>
      </c>
      <c r="H949">
        <v>9</v>
      </c>
      <c r="I949">
        <v>144.1</v>
      </c>
      <c r="J949">
        <v>450.65</v>
      </c>
      <c r="K949">
        <v>247.55</v>
      </c>
      <c r="L949">
        <v>-651.45000000000005</v>
      </c>
      <c r="M949">
        <v>-555.01</v>
      </c>
      <c r="N949">
        <v>320605</v>
      </c>
      <c r="O949" t="s">
        <v>660</v>
      </c>
      <c r="P949" t="s">
        <v>1599</v>
      </c>
      <c r="Q949" t="s">
        <v>1600</v>
      </c>
    </row>
    <row r="950" spans="1:17">
      <c r="A950">
        <v>1859</v>
      </c>
      <c r="B950">
        <v>722</v>
      </c>
      <c r="C950">
        <v>4.59</v>
      </c>
      <c r="D950">
        <v>0.27829999999999999</v>
      </c>
      <c r="E950">
        <v>0.42130000000000001</v>
      </c>
      <c r="F950">
        <v>127.57</v>
      </c>
      <c r="G950">
        <v>0</v>
      </c>
      <c r="H950">
        <v>11.13</v>
      </c>
      <c r="I950">
        <v>105.89</v>
      </c>
      <c r="J950">
        <v>481.99</v>
      </c>
      <c r="K950">
        <v>271.05</v>
      </c>
      <c r="L950">
        <v>57.3</v>
      </c>
      <c r="M950">
        <v>140</v>
      </c>
      <c r="N950">
        <v>95512</v>
      </c>
      <c r="O950" t="s">
        <v>568</v>
      </c>
      <c r="P950" t="s">
        <v>2003</v>
      </c>
      <c r="Q950" t="s">
        <v>2004</v>
      </c>
    </row>
    <row r="951" spans="1:17">
      <c r="A951">
        <v>1860</v>
      </c>
      <c r="B951">
        <v>560.09</v>
      </c>
      <c r="C951">
        <v>4.5510000000000002</v>
      </c>
      <c r="D951">
        <v>0.26290000000000002</v>
      </c>
      <c r="E951">
        <v>0.2472</v>
      </c>
      <c r="F951">
        <v>96.1</v>
      </c>
      <c r="G951">
        <v>0</v>
      </c>
      <c r="H951">
        <v>9.02</v>
      </c>
      <c r="I951">
        <v>94.29</v>
      </c>
      <c r="J951">
        <v>357.88</v>
      </c>
      <c r="K951">
        <v>231.05</v>
      </c>
      <c r="L951">
        <v>-116</v>
      </c>
      <c r="M951">
        <v>-69.040000000000006</v>
      </c>
      <c r="N951">
        <v>462066</v>
      </c>
      <c r="O951" t="s">
        <v>638</v>
      </c>
      <c r="P951" t="s">
        <v>1090</v>
      </c>
      <c r="Q951" t="s">
        <v>1091</v>
      </c>
    </row>
    <row r="952" spans="1:17">
      <c r="A952">
        <v>1861</v>
      </c>
      <c r="B952">
        <v>521</v>
      </c>
      <c r="C952">
        <v>5.03</v>
      </c>
      <c r="D952">
        <v>0.2485</v>
      </c>
      <c r="E952">
        <v>0.26979999999999998</v>
      </c>
      <c r="F952">
        <v>80.510000000000005</v>
      </c>
      <c r="G952">
        <v>0</v>
      </c>
      <c r="H952">
        <v>9.6199999999999992</v>
      </c>
      <c r="I952">
        <v>76.239999999999995</v>
      </c>
      <c r="J952">
        <v>329.15</v>
      </c>
      <c r="K952">
        <v>169.65</v>
      </c>
      <c r="L952">
        <v>-204</v>
      </c>
      <c r="M952">
        <v>-128</v>
      </c>
      <c r="N952">
        <v>107302</v>
      </c>
      <c r="O952" t="s">
        <v>568</v>
      </c>
      <c r="P952" t="s">
        <v>883</v>
      </c>
      <c r="Q952" t="s">
        <v>884</v>
      </c>
    </row>
    <row r="953" spans="1:17">
      <c r="A953">
        <v>1864</v>
      </c>
      <c r="B953">
        <v>516.73</v>
      </c>
      <c r="C953">
        <v>3.2730000000000001</v>
      </c>
      <c r="D953">
        <v>0.25519999999999998</v>
      </c>
      <c r="E953">
        <v>0.39529999999999998</v>
      </c>
      <c r="F953">
        <v>186.06</v>
      </c>
      <c r="G953">
        <v>0</v>
      </c>
      <c r="H953">
        <v>8.27</v>
      </c>
      <c r="I953">
        <v>115.84</v>
      </c>
      <c r="J953">
        <v>353.41</v>
      </c>
      <c r="K953">
        <v>278.23</v>
      </c>
      <c r="L953">
        <v>-955.4</v>
      </c>
      <c r="M953">
        <v>-845.04</v>
      </c>
      <c r="N953">
        <v>392563</v>
      </c>
      <c r="O953" t="s">
        <v>478</v>
      </c>
      <c r="P953" t="s">
        <v>859</v>
      </c>
      <c r="Q953" t="s">
        <v>860</v>
      </c>
    </row>
    <row r="954" spans="1:17">
      <c r="A954">
        <v>1867</v>
      </c>
      <c r="B954">
        <v>678.15</v>
      </c>
      <c r="C954">
        <v>8.93</v>
      </c>
      <c r="D954">
        <v>0.12839999999999999</v>
      </c>
      <c r="E954">
        <v>0.84179999999999999</v>
      </c>
      <c r="F954">
        <v>114.17</v>
      </c>
      <c r="G954">
        <v>0</v>
      </c>
      <c r="H954">
        <v>11.21</v>
      </c>
      <c r="I954">
        <v>137.08000000000001</v>
      </c>
      <c r="J954">
        <v>458.15</v>
      </c>
      <c r="K954">
        <v>227.04</v>
      </c>
      <c r="L954">
        <v>-163.6</v>
      </c>
      <c r="M954">
        <v>-86</v>
      </c>
      <c r="N954">
        <v>97938</v>
      </c>
      <c r="O954" t="s">
        <v>1780</v>
      </c>
      <c r="P954" t="s">
        <v>1781</v>
      </c>
      <c r="Q954" t="s">
        <v>1782</v>
      </c>
    </row>
    <row r="955" spans="1:17">
      <c r="A955">
        <v>1870</v>
      </c>
      <c r="B955">
        <v>491.25</v>
      </c>
      <c r="C955">
        <v>3.258</v>
      </c>
      <c r="D955">
        <v>0.16270000000000001</v>
      </c>
      <c r="E955">
        <v>0.52380000000000004</v>
      </c>
      <c r="F955">
        <v>114.02</v>
      </c>
      <c r="G955">
        <v>0</v>
      </c>
      <c r="H955">
        <v>10.57</v>
      </c>
      <c r="I955">
        <v>77.05</v>
      </c>
      <c r="J955">
        <v>346</v>
      </c>
      <c r="K955">
        <v>258.14999999999998</v>
      </c>
      <c r="L955">
        <v>-1030.7</v>
      </c>
      <c r="M955">
        <v>-946</v>
      </c>
      <c r="N955">
        <v>76051</v>
      </c>
      <c r="O955" t="s">
        <v>751</v>
      </c>
      <c r="P955" t="s">
        <v>752</v>
      </c>
      <c r="Q955" t="s">
        <v>753</v>
      </c>
    </row>
    <row r="956" spans="1:17">
      <c r="A956">
        <v>1871</v>
      </c>
      <c r="B956">
        <v>665</v>
      </c>
      <c r="C956">
        <v>3.44</v>
      </c>
      <c r="D956">
        <v>0.26179999999999998</v>
      </c>
      <c r="E956">
        <v>0.96889999999999998</v>
      </c>
      <c r="F956">
        <v>117.19</v>
      </c>
      <c r="G956">
        <v>0</v>
      </c>
      <c r="H956">
        <v>11.05</v>
      </c>
      <c r="I956">
        <v>149.04</v>
      </c>
      <c r="J956">
        <v>514</v>
      </c>
      <c r="K956">
        <v>331</v>
      </c>
      <c r="L956">
        <v>-283</v>
      </c>
      <c r="M956">
        <v>-66.5</v>
      </c>
      <c r="N956">
        <v>4048333</v>
      </c>
      <c r="O956" t="s">
        <v>609</v>
      </c>
      <c r="P956" t="s">
        <v>1733</v>
      </c>
      <c r="Q956" t="s">
        <v>1734</v>
      </c>
    </row>
    <row r="957" spans="1:17">
      <c r="A957">
        <v>1873</v>
      </c>
      <c r="B957">
        <v>729</v>
      </c>
      <c r="C957">
        <v>5.0199999999999996</v>
      </c>
      <c r="D957">
        <v>0.23269999999999999</v>
      </c>
      <c r="E957">
        <v>0.58850000000000002</v>
      </c>
      <c r="F957">
        <v>106.15</v>
      </c>
      <c r="G957">
        <v>0</v>
      </c>
      <c r="H957">
        <v>12.85</v>
      </c>
      <c r="I957">
        <v>87.53</v>
      </c>
      <c r="J957">
        <v>501</v>
      </c>
      <c r="K957">
        <v>291.14999999999998</v>
      </c>
      <c r="L957">
        <v>-416</v>
      </c>
      <c r="M957">
        <v>-343.9</v>
      </c>
      <c r="N957">
        <v>107960</v>
      </c>
      <c r="O957" t="s">
        <v>568</v>
      </c>
      <c r="P957" t="s">
        <v>2029</v>
      </c>
      <c r="Q957" t="s">
        <v>2030</v>
      </c>
    </row>
    <row r="958" spans="1:17">
      <c r="A958">
        <v>1874</v>
      </c>
      <c r="B958">
        <v>792</v>
      </c>
      <c r="C958">
        <v>4.03</v>
      </c>
      <c r="D958">
        <v>0.2344</v>
      </c>
      <c r="E958">
        <v>0.66369999999999996</v>
      </c>
      <c r="F958">
        <v>156.57</v>
      </c>
      <c r="G958">
        <v>0</v>
      </c>
      <c r="H958">
        <v>-86</v>
      </c>
      <c r="I958">
        <v>112.19</v>
      </c>
      <c r="J958">
        <v>560.15</v>
      </c>
      <c r="K958">
        <v>413.35</v>
      </c>
      <c r="L958">
        <v>-325</v>
      </c>
      <c r="M958">
        <v>-240.53</v>
      </c>
      <c r="N958">
        <v>118912</v>
      </c>
      <c r="O958" t="s">
        <v>537</v>
      </c>
      <c r="P958" t="s">
        <v>2273</v>
      </c>
      <c r="Q958" t="s">
        <v>2274</v>
      </c>
    </row>
    <row r="959" spans="1:17">
      <c r="A959">
        <v>1876</v>
      </c>
      <c r="B959">
        <v>649.6</v>
      </c>
      <c r="C959">
        <v>4.42</v>
      </c>
      <c r="D959">
        <v>0.21759999999999999</v>
      </c>
      <c r="E959">
        <v>0.31769999999999998</v>
      </c>
      <c r="F959">
        <v>73.099999999999994</v>
      </c>
      <c r="G959">
        <v>0</v>
      </c>
      <c r="H959">
        <v>11.71</v>
      </c>
      <c r="I959">
        <v>77.39</v>
      </c>
      <c r="J959">
        <v>426.15</v>
      </c>
      <c r="K959">
        <v>212.15</v>
      </c>
      <c r="L959">
        <v>-191.7</v>
      </c>
      <c r="M959">
        <v>-88.4</v>
      </c>
      <c r="N959">
        <v>68122</v>
      </c>
      <c r="O959" t="s">
        <v>1624</v>
      </c>
      <c r="P959" t="s">
        <v>1625</v>
      </c>
      <c r="Q959" t="s">
        <v>1626</v>
      </c>
    </row>
    <row r="960" spans="1:17">
      <c r="A960">
        <v>1877</v>
      </c>
      <c r="B960">
        <v>705</v>
      </c>
      <c r="C960">
        <v>9.0500000000000007</v>
      </c>
      <c r="D960">
        <v>0.33660000000000001</v>
      </c>
      <c r="E960">
        <v>-86</v>
      </c>
      <c r="F960">
        <v>60.06</v>
      </c>
      <c r="G960">
        <v>0</v>
      </c>
      <c r="H960">
        <v>-86</v>
      </c>
      <c r="I960">
        <v>48.83</v>
      </c>
      <c r="J960">
        <v>465</v>
      </c>
      <c r="K960">
        <v>405.85</v>
      </c>
      <c r="L960">
        <v>-245.6</v>
      </c>
      <c r="M960">
        <v>-158.19999999999999</v>
      </c>
      <c r="N960">
        <v>57136</v>
      </c>
      <c r="O960" t="s">
        <v>2516</v>
      </c>
      <c r="P960" t="s">
        <v>2615</v>
      </c>
      <c r="Q960" t="s">
        <v>2616</v>
      </c>
    </row>
    <row r="961" spans="1:17">
      <c r="A961">
        <v>1878</v>
      </c>
      <c r="B961">
        <v>741</v>
      </c>
      <c r="C961">
        <v>5.45</v>
      </c>
      <c r="D961">
        <v>0.2636</v>
      </c>
      <c r="E961">
        <v>0.4209</v>
      </c>
      <c r="F961">
        <v>85.11</v>
      </c>
      <c r="G961">
        <v>0</v>
      </c>
      <c r="H961">
        <v>11.13</v>
      </c>
      <c r="I961">
        <v>101.56</v>
      </c>
      <c r="J961">
        <v>488</v>
      </c>
      <c r="K961">
        <v>383.65</v>
      </c>
      <c r="L961">
        <v>-185</v>
      </c>
      <c r="M961">
        <v>-90.4</v>
      </c>
      <c r="N961">
        <v>79390</v>
      </c>
      <c r="O961" t="s">
        <v>2516</v>
      </c>
      <c r="P961" t="s">
        <v>1460</v>
      </c>
      <c r="Q961" t="s">
        <v>2617</v>
      </c>
    </row>
    <row r="962" spans="1:17">
      <c r="A962">
        <v>1879</v>
      </c>
      <c r="B962">
        <v>776</v>
      </c>
      <c r="C962">
        <v>5.73</v>
      </c>
      <c r="D962">
        <v>0.23089999999999999</v>
      </c>
      <c r="E962">
        <v>0.48630000000000001</v>
      </c>
      <c r="F962">
        <v>71.08</v>
      </c>
      <c r="G962">
        <v>0</v>
      </c>
      <c r="H962">
        <v>13.91</v>
      </c>
      <c r="I962">
        <v>76.16</v>
      </c>
      <c r="J962">
        <v>488</v>
      </c>
      <c r="K962">
        <v>357.65</v>
      </c>
      <c r="L962">
        <v>-170</v>
      </c>
      <c r="M962">
        <v>-58.39</v>
      </c>
      <c r="N962">
        <v>79061</v>
      </c>
      <c r="O962" t="s">
        <v>2804</v>
      </c>
      <c r="P962" t="s">
        <v>1578</v>
      </c>
      <c r="Q962" t="s">
        <v>2618</v>
      </c>
    </row>
    <row r="963" spans="1:17">
      <c r="A963">
        <v>1880</v>
      </c>
      <c r="B963">
        <v>818.2</v>
      </c>
      <c r="C963">
        <v>4.6210000000000004</v>
      </c>
      <c r="D963">
        <v>0.28610000000000002</v>
      </c>
      <c r="E963">
        <v>0.38500000000000001</v>
      </c>
      <c r="F963">
        <v>113.16</v>
      </c>
      <c r="G963">
        <v>0</v>
      </c>
      <c r="H963">
        <v>11.82</v>
      </c>
      <c r="I963">
        <v>110.45</v>
      </c>
      <c r="J963">
        <v>543.15</v>
      </c>
      <c r="K963">
        <v>342.36</v>
      </c>
      <c r="L963">
        <v>-246.2</v>
      </c>
      <c r="M963">
        <v>-98.78</v>
      </c>
      <c r="N963">
        <v>105602</v>
      </c>
      <c r="O963" t="s">
        <v>609</v>
      </c>
      <c r="P963" t="s">
        <v>1964</v>
      </c>
      <c r="Q963" t="s">
        <v>2321</v>
      </c>
    </row>
    <row r="964" spans="1:17">
      <c r="A964">
        <v>1881</v>
      </c>
      <c r="B964">
        <v>615</v>
      </c>
      <c r="C964">
        <v>4.9000000000000004</v>
      </c>
      <c r="D964">
        <v>0.22650000000000001</v>
      </c>
      <c r="E964">
        <v>0.25230000000000002</v>
      </c>
      <c r="F964">
        <v>92.53</v>
      </c>
      <c r="G964">
        <v>0</v>
      </c>
      <c r="H964">
        <v>10.95</v>
      </c>
      <c r="I964">
        <v>78.819999999999993</v>
      </c>
      <c r="J964">
        <v>389.26</v>
      </c>
      <c r="K964">
        <v>215.95</v>
      </c>
      <c r="L964">
        <v>-107.8</v>
      </c>
      <c r="M964">
        <v>-36.6</v>
      </c>
      <c r="N964">
        <v>106898</v>
      </c>
      <c r="O964" t="s">
        <v>1419</v>
      </c>
      <c r="P964" t="s">
        <v>1420</v>
      </c>
      <c r="Q964" t="s">
        <v>1421</v>
      </c>
    </row>
    <row r="965" spans="1:17">
      <c r="A965">
        <v>1882</v>
      </c>
      <c r="B965">
        <v>620</v>
      </c>
      <c r="C965">
        <v>4.25</v>
      </c>
      <c r="D965">
        <v>0.24399999999999999</v>
      </c>
      <c r="E965">
        <v>0.76729999999999998</v>
      </c>
      <c r="F965">
        <v>85.11</v>
      </c>
      <c r="G965">
        <v>0</v>
      </c>
      <c r="H965">
        <v>12.58</v>
      </c>
      <c r="I965">
        <v>91.83</v>
      </c>
      <c r="J965">
        <v>463</v>
      </c>
      <c r="K965">
        <v>252.15</v>
      </c>
      <c r="L965">
        <v>-133</v>
      </c>
      <c r="M965">
        <v>-30.97</v>
      </c>
      <c r="N965">
        <v>75865</v>
      </c>
      <c r="O965" t="s">
        <v>545</v>
      </c>
      <c r="P965" t="s">
        <v>1460</v>
      </c>
      <c r="Q965" t="s">
        <v>1461</v>
      </c>
    </row>
    <row r="966" spans="1:17">
      <c r="A966">
        <v>1883</v>
      </c>
      <c r="B966">
        <v>743.15</v>
      </c>
      <c r="C966">
        <v>1.9890000000000001</v>
      </c>
      <c r="D966">
        <v>0.27789999999999998</v>
      </c>
      <c r="E966">
        <v>0.18870000000000001</v>
      </c>
      <c r="F966">
        <v>230.16</v>
      </c>
      <c r="G966">
        <v>0</v>
      </c>
      <c r="H966">
        <v>6.28</v>
      </c>
      <c r="I966">
        <v>269.52999999999997</v>
      </c>
      <c r="J966">
        <v>505.65</v>
      </c>
      <c r="K966">
        <v>203.15</v>
      </c>
      <c r="L966">
        <v>-1147</v>
      </c>
      <c r="M966">
        <v>-86</v>
      </c>
      <c r="N966">
        <v>688744</v>
      </c>
      <c r="O966" t="s">
        <v>2083</v>
      </c>
      <c r="P966" t="s">
        <v>2084</v>
      </c>
      <c r="Q966" t="s">
        <v>2085</v>
      </c>
    </row>
    <row r="967" spans="1:17">
      <c r="A967">
        <v>1884</v>
      </c>
      <c r="B967">
        <v>1008</v>
      </c>
      <c r="C967">
        <v>7.84</v>
      </c>
      <c r="D967">
        <v>0.51829999999999998</v>
      </c>
      <c r="E967">
        <v>0.45169999999999999</v>
      </c>
      <c r="F967">
        <v>262.29000000000002</v>
      </c>
      <c r="G967">
        <v>0</v>
      </c>
      <c r="H967">
        <v>9.1300000000000008</v>
      </c>
      <c r="I967">
        <v>244.47</v>
      </c>
      <c r="J967">
        <v>650.15</v>
      </c>
      <c r="K967">
        <v>353.15</v>
      </c>
      <c r="L967">
        <v>314.2</v>
      </c>
      <c r="M967">
        <v>-86</v>
      </c>
      <c r="N967">
        <v>603350</v>
      </c>
      <c r="O967" t="s">
        <v>609</v>
      </c>
      <c r="P967" t="s">
        <v>2469</v>
      </c>
      <c r="Q967" t="s">
        <v>2470</v>
      </c>
    </row>
    <row r="968" spans="1:17">
      <c r="A968">
        <v>1885</v>
      </c>
      <c r="B968">
        <v>-86</v>
      </c>
      <c r="C968">
        <v>-86</v>
      </c>
      <c r="D968">
        <v>-86</v>
      </c>
      <c r="E968">
        <v>-86</v>
      </c>
      <c r="F968">
        <v>179.2</v>
      </c>
      <c r="G968">
        <v>0</v>
      </c>
      <c r="H968">
        <v>8.58</v>
      </c>
      <c r="I968">
        <v>175.7</v>
      </c>
      <c r="J968">
        <v>506.15</v>
      </c>
      <c r="K968">
        <v>280.35000000000002</v>
      </c>
      <c r="L968">
        <v>-467</v>
      </c>
      <c r="M968">
        <v>-86</v>
      </c>
      <c r="N968">
        <v>680319</v>
      </c>
      <c r="O968" t="s">
        <v>2516</v>
      </c>
      <c r="P968" t="s">
        <v>2619</v>
      </c>
      <c r="Q968" t="s">
        <v>2620</v>
      </c>
    </row>
    <row r="969" spans="1:17">
      <c r="A969">
        <v>1886</v>
      </c>
      <c r="B969">
        <v>719</v>
      </c>
      <c r="C969">
        <v>4.4000000000000004</v>
      </c>
      <c r="D969">
        <v>0.245</v>
      </c>
      <c r="E969">
        <v>0.44919999999999999</v>
      </c>
      <c r="F969">
        <v>123.11</v>
      </c>
      <c r="G969">
        <v>0</v>
      </c>
      <c r="H969">
        <v>11.06</v>
      </c>
      <c r="I969">
        <v>102.72</v>
      </c>
      <c r="J969">
        <v>483.95</v>
      </c>
      <c r="K969">
        <v>278.87</v>
      </c>
      <c r="L969">
        <v>67.599999999999994</v>
      </c>
      <c r="M969">
        <v>143</v>
      </c>
      <c r="N969">
        <v>98953</v>
      </c>
      <c r="O969" t="s">
        <v>2488</v>
      </c>
      <c r="P969" t="s">
        <v>2141</v>
      </c>
      <c r="Q969" t="s">
        <v>2489</v>
      </c>
    </row>
    <row r="970" spans="1:17">
      <c r="A970">
        <v>1887</v>
      </c>
      <c r="B970">
        <v>616</v>
      </c>
      <c r="C970">
        <v>7.31</v>
      </c>
      <c r="D970">
        <v>0.2797</v>
      </c>
      <c r="E970">
        <v>1.0591999999999999</v>
      </c>
      <c r="F970">
        <v>76.05</v>
      </c>
      <c r="G970">
        <v>0</v>
      </c>
      <c r="H970">
        <v>16.309999999999999</v>
      </c>
      <c r="I970">
        <v>59.88</v>
      </c>
      <c r="J970">
        <v>443</v>
      </c>
      <c r="K970">
        <v>352.65</v>
      </c>
      <c r="L970">
        <v>-585</v>
      </c>
      <c r="M970">
        <v>-507</v>
      </c>
      <c r="N970">
        <v>79141</v>
      </c>
      <c r="O970" t="s">
        <v>609</v>
      </c>
      <c r="P970" t="s">
        <v>1428</v>
      </c>
      <c r="Q970" t="s">
        <v>1429</v>
      </c>
    </row>
    <row r="971" spans="1:17">
      <c r="A971">
        <v>1889</v>
      </c>
      <c r="B971">
        <v>670.15</v>
      </c>
      <c r="C971">
        <v>5.66</v>
      </c>
      <c r="D971">
        <v>0.26629999999999998</v>
      </c>
      <c r="E971">
        <v>0.36780000000000002</v>
      </c>
      <c r="F971">
        <v>96.09</v>
      </c>
      <c r="G971">
        <v>0</v>
      </c>
      <c r="H971">
        <v>11.54</v>
      </c>
      <c r="I971">
        <v>83.22</v>
      </c>
      <c r="J971">
        <v>434.85</v>
      </c>
      <c r="K971">
        <v>234.45</v>
      </c>
      <c r="L971">
        <v>-151</v>
      </c>
      <c r="M971">
        <v>-102.87</v>
      </c>
      <c r="N971">
        <v>98011</v>
      </c>
      <c r="O971" t="s">
        <v>1750</v>
      </c>
      <c r="P971" t="s">
        <v>1751</v>
      </c>
      <c r="Q971" t="s">
        <v>85</v>
      </c>
    </row>
    <row r="972" spans="1:17">
      <c r="A972">
        <v>1891</v>
      </c>
      <c r="B972">
        <v>782</v>
      </c>
      <c r="C972">
        <v>3.76</v>
      </c>
      <c r="D972">
        <v>0.24399999999999999</v>
      </c>
      <c r="E972">
        <v>0.56130000000000002</v>
      </c>
      <c r="F972">
        <v>153.13999999999999</v>
      </c>
      <c r="G972">
        <v>0</v>
      </c>
      <c r="H972">
        <v>11.73</v>
      </c>
      <c r="I972">
        <v>123.07</v>
      </c>
      <c r="J972">
        <v>546.15</v>
      </c>
      <c r="K972">
        <v>283.64999999999998</v>
      </c>
      <c r="L972">
        <v>-84.5</v>
      </c>
      <c r="M972">
        <v>64.400000000000006</v>
      </c>
      <c r="N972">
        <v>91236</v>
      </c>
      <c r="O972" t="s">
        <v>787</v>
      </c>
      <c r="P972" t="s">
        <v>2245</v>
      </c>
      <c r="Q972" t="s">
        <v>2246</v>
      </c>
    </row>
    <row r="973" spans="1:17">
      <c r="A973">
        <v>1893</v>
      </c>
      <c r="B973">
        <v>378.8</v>
      </c>
      <c r="C973">
        <v>6.3490000000000002</v>
      </c>
      <c r="D973">
        <v>0.28499999999999998</v>
      </c>
      <c r="E973">
        <v>9.7000000000000003E-2</v>
      </c>
      <c r="F973">
        <v>60.08</v>
      </c>
      <c r="G973">
        <v>0</v>
      </c>
      <c r="H973">
        <v>8.86</v>
      </c>
      <c r="I973">
        <v>50.98</v>
      </c>
      <c r="J973">
        <v>223.15</v>
      </c>
      <c r="K973">
        <v>134.35</v>
      </c>
      <c r="L973">
        <v>-138.41</v>
      </c>
      <c r="M973">
        <v>-169.2</v>
      </c>
      <c r="N973">
        <v>463581</v>
      </c>
      <c r="O973" t="s">
        <v>552</v>
      </c>
      <c r="P973" t="s">
        <v>553</v>
      </c>
      <c r="Q973" t="s">
        <v>2848</v>
      </c>
    </row>
    <row r="974" spans="1:17">
      <c r="A974">
        <v>1894</v>
      </c>
      <c r="B974">
        <v>455</v>
      </c>
      <c r="C974">
        <v>5.6740000000000004</v>
      </c>
      <c r="D974">
        <v>0.28499999999999998</v>
      </c>
      <c r="E974">
        <v>0.20130000000000001</v>
      </c>
      <c r="F974">
        <v>98.92</v>
      </c>
      <c r="G974">
        <v>0</v>
      </c>
      <c r="H974">
        <v>8.7200000000000006</v>
      </c>
      <c r="I974">
        <v>70.540000000000006</v>
      </c>
      <c r="J974">
        <v>280.70999999999998</v>
      </c>
      <c r="K974">
        <v>145.37</v>
      </c>
      <c r="L974">
        <v>-220.78</v>
      </c>
      <c r="M974">
        <v>-205.94</v>
      </c>
      <c r="N974">
        <v>75445</v>
      </c>
      <c r="O974" t="s">
        <v>523</v>
      </c>
      <c r="P974" t="s">
        <v>663</v>
      </c>
      <c r="Q974" t="s">
        <v>664</v>
      </c>
    </row>
    <row r="975" spans="1:17">
      <c r="A975">
        <v>1896</v>
      </c>
      <c r="B975">
        <v>689</v>
      </c>
      <c r="C975">
        <v>2.7</v>
      </c>
      <c r="D975">
        <v>0.23330000000000001</v>
      </c>
      <c r="E975">
        <v>0.66180000000000005</v>
      </c>
      <c r="F975">
        <v>170.17</v>
      </c>
      <c r="G975">
        <v>0</v>
      </c>
      <c r="H975">
        <v>9.4499999999999993</v>
      </c>
      <c r="I975">
        <v>156.13999999999999</v>
      </c>
      <c r="J975">
        <v>503</v>
      </c>
      <c r="K975">
        <v>-86</v>
      </c>
      <c r="L975">
        <v>-602</v>
      </c>
      <c r="M975">
        <v>-442</v>
      </c>
      <c r="N975">
        <v>2274115</v>
      </c>
      <c r="O975" t="s">
        <v>545</v>
      </c>
      <c r="P975" t="s">
        <v>1840</v>
      </c>
      <c r="Q975" t="s">
        <v>1841</v>
      </c>
    </row>
    <row r="976" spans="1:17">
      <c r="A976">
        <v>1897</v>
      </c>
      <c r="B976">
        <v>597.9</v>
      </c>
      <c r="C976">
        <v>3.0089999999999999</v>
      </c>
      <c r="D976">
        <v>0.2477</v>
      </c>
      <c r="E976">
        <v>0.48070000000000002</v>
      </c>
      <c r="F976">
        <v>132.16</v>
      </c>
      <c r="G976">
        <v>0</v>
      </c>
      <c r="H976">
        <v>8.98</v>
      </c>
      <c r="I976">
        <v>137.03</v>
      </c>
      <c r="J976">
        <v>418.65</v>
      </c>
      <c r="K976">
        <v>205</v>
      </c>
      <c r="L976">
        <v>-614.79999999999995</v>
      </c>
      <c r="M976">
        <v>-424.8</v>
      </c>
      <c r="N976">
        <v>108656</v>
      </c>
      <c r="O976" t="s">
        <v>1313</v>
      </c>
      <c r="P976" t="s">
        <v>1220</v>
      </c>
      <c r="Q976" t="s">
        <v>1228</v>
      </c>
    </row>
    <row r="977" spans="1:17">
      <c r="A977">
        <v>1898</v>
      </c>
      <c r="B977">
        <v>647</v>
      </c>
      <c r="C977">
        <v>2.27</v>
      </c>
      <c r="D977">
        <v>0.24809999999999999</v>
      </c>
      <c r="E977">
        <v>0.70169999999999999</v>
      </c>
      <c r="F977">
        <v>190.24</v>
      </c>
      <c r="G977">
        <v>0</v>
      </c>
      <c r="H977">
        <v>8.4700000000000006</v>
      </c>
      <c r="I977">
        <v>194.92</v>
      </c>
      <c r="J977">
        <v>482.45</v>
      </c>
      <c r="K977">
        <v>245</v>
      </c>
      <c r="L977">
        <v>-818</v>
      </c>
      <c r="M977">
        <v>-521.79999999999995</v>
      </c>
      <c r="N977">
        <v>88917220</v>
      </c>
      <c r="O977" t="s">
        <v>2516</v>
      </c>
      <c r="P977" t="s">
        <v>2621</v>
      </c>
      <c r="Q977" t="s">
        <v>2622</v>
      </c>
    </row>
    <row r="978" spans="1:17">
      <c r="A978">
        <v>1901</v>
      </c>
      <c r="B978">
        <v>925</v>
      </c>
      <c r="C978">
        <v>6.4</v>
      </c>
      <c r="D978">
        <v>0.14729999999999999</v>
      </c>
      <c r="E978">
        <v>-0.56000000000000005</v>
      </c>
      <c r="F978">
        <v>98.08</v>
      </c>
      <c r="G978">
        <v>0</v>
      </c>
      <c r="H978">
        <v>13.89</v>
      </c>
      <c r="I978">
        <v>53.64</v>
      </c>
      <c r="J978">
        <v>608.6</v>
      </c>
      <c r="K978">
        <v>283.52999999999997</v>
      </c>
      <c r="L978">
        <v>-735.2</v>
      </c>
      <c r="M978">
        <v>-664.5</v>
      </c>
      <c r="N978">
        <v>7664939</v>
      </c>
      <c r="O978" t="s">
        <v>2516</v>
      </c>
      <c r="P978" t="s">
        <v>2623</v>
      </c>
      <c r="Q978" t="s">
        <v>2624</v>
      </c>
    </row>
    <row r="979" spans="1:17">
      <c r="A979">
        <v>1902</v>
      </c>
      <c r="B979">
        <v>1030</v>
      </c>
      <c r="C979">
        <v>5.07</v>
      </c>
      <c r="D979">
        <v>0.20130000000000001</v>
      </c>
      <c r="E979">
        <v>-86</v>
      </c>
      <c r="F979">
        <v>98</v>
      </c>
      <c r="G979">
        <v>0</v>
      </c>
      <c r="H979">
        <v>18.100000000000001</v>
      </c>
      <c r="I979">
        <v>52.78</v>
      </c>
      <c r="J979">
        <v>680</v>
      </c>
      <c r="K979">
        <v>315.51</v>
      </c>
      <c r="L979">
        <v>-1254.2</v>
      </c>
      <c r="M979">
        <v>-1111.7</v>
      </c>
      <c r="N979">
        <v>7664382</v>
      </c>
      <c r="O979" t="s">
        <v>2516</v>
      </c>
      <c r="P979" t="s">
        <v>2625</v>
      </c>
      <c r="Q979" t="s">
        <v>2626</v>
      </c>
    </row>
    <row r="980" spans="1:17">
      <c r="A980">
        <v>1903</v>
      </c>
      <c r="B980">
        <v>520</v>
      </c>
      <c r="C980">
        <v>6.89</v>
      </c>
      <c r="D980">
        <v>0.2311</v>
      </c>
      <c r="E980">
        <v>0.71440000000000003</v>
      </c>
      <c r="F980">
        <v>63.01</v>
      </c>
      <c r="G980">
        <v>0</v>
      </c>
      <c r="H980">
        <v>14.47</v>
      </c>
      <c r="I980">
        <v>41.73</v>
      </c>
      <c r="J980">
        <v>356.15</v>
      </c>
      <c r="K980">
        <v>231.55</v>
      </c>
      <c r="L980">
        <v>-134.30000000000001</v>
      </c>
      <c r="M980">
        <v>-74.010000000000005</v>
      </c>
      <c r="N980">
        <v>7697372</v>
      </c>
      <c r="O980" t="s">
        <v>2516</v>
      </c>
      <c r="P980" t="s">
        <v>2627</v>
      </c>
      <c r="Q980" t="s">
        <v>2628</v>
      </c>
    </row>
    <row r="981" spans="1:17">
      <c r="A981">
        <v>1904</v>
      </c>
      <c r="B981">
        <v>324.64999999999998</v>
      </c>
      <c r="C981">
        <v>8.31</v>
      </c>
      <c r="D981">
        <v>0.249</v>
      </c>
      <c r="E981">
        <v>0.13150000000000001</v>
      </c>
      <c r="F981">
        <v>36.46</v>
      </c>
      <c r="G981">
        <v>0</v>
      </c>
      <c r="H981">
        <v>10.76</v>
      </c>
      <c r="I981">
        <v>30.6</v>
      </c>
      <c r="J981">
        <v>188.15</v>
      </c>
      <c r="K981">
        <v>158.97</v>
      </c>
      <c r="L981">
        <v>-92.31</v>
      </c>
      <c r="M981">
        <v>-95.3</v>
      </c>
      <c r="N981">
        <v>7647010</v>
      </c>
      <c r="O981" t="s">
        <v>368</v>
      </c>
      <c r="P981" t="s">
        <v>502</v>
      </c>
      <c r="Q981" t="s">
        <v>2849</v>
      </c>
    </row>
    <row r="982" spans="1:17">
      <c r="A982">
        <v>1905</v>
      </c>
      <c r="B982">
        <v>461.15</v>
      </c>
      <c r="C982">
        <v>6.48</v>
      </c>
      <c r="D982">
        <v>0.11700000000000001</v>
      </c>
      <c r="E982">
        <v>0.38229999999999997</v>
      </c>
      <c r="F982">
        <v>20.010000000000002</v>
      </c>
      <c r="G982">
        <v>0</v>
      </c>
      <c r="H982">
        <v>7.62</v>
      </c>
      <c r="I982">
        <v>20.9</v>
      </c>
      <c r="J982">
        <v>292.67</v>
      </c>
      <c r="K982">
        <v>189.79</v>
      </c>
      <c r="L982">
        <v>-273.3</v>
      </c>
      <c r="M982">
        <v>-275.39999999999998</v>
      </c>
      <c r="N982">
        <v>7664393</v>
      </c>
      <c r="O982" t="s">
        <v>368</v>
      </c>
      <c r="P982" t="s">
        <v>2498</v>
      </c>
      <c r="Q982" t="s">
        <v>2499</v>
      </c>
    </row>
    <row r="983" spans="1:17">
      <c r="A983">
        <v>1906</v>
      </c>
      <c r="B983">
        <v>363.15</v>
      </c>
      <c r="C983">
        <v>8.5519999999999996</v>
      </c>
      <c r="D983">
        <v>0.31159999999999999</v>
      </c>
      <c r="E983">
        <v>7.3400000000000007E-2</v>
      </c>
      <c r="F983">
        <v>80.91</v>
      </c>
      <c r="G983">
        <v>0</v>
      </c>
      <c r="H983">
        <v>10.220000000000001</v>
      </c>
      <c r="I983">
        <v>37.07</v>
      </c>
      <c r="J983">
        <v>206.45</v>
      </c>
      <c r="K983">
        <v>186.34</v>
      </c>
      <c r="L983">
        <v>-36.29</v>
      </c>
      <c r="M983">
        <v>-53.34</v>
      </c>
      <c r="N983">
        <v>10035106</v>
      </c>
      <c r="O983" t="s">
        <v>526</v>
      </c>
      <c r="P983" t="s">
        <v>527</v>
      </c>
      <c r="Q983" t="s">
        <v>2850</v>
      </c>
    </row>
    <row r="984" spans="1:17">
      <c r="A984">
        <v>1907</v>
      </c>
      <c r="B984">
        <v>423.85</v>
      </c>
      <c r="C984">
        <v>8.31</v>
      </c>
      <c r="D984">
        <v>0.28749999999999998</v>
      </c>
      <c r="E984">
        <v>3.8100000000000002E-2</v>
      </c>
      <c r="F984">
        <v>127.91</v>
      </c>
      <c r="G984">
        <v>0</v>
      </c>
      <c r="H984">
        <v>9.7100000000000009</v>
      </c>
      <c r="I984">
        <v>45.72</v>
      </c>
      <c r="J984">
        <v>237.55</v>
      </c>
      <c r="K984">
        <v>222.38</v>
      </c>
      <c r="L984">
        <v>26.48</v>
      </c>
      <c r="M984">
        <v>1.72</v>
      </c>
      <c r="N984">
        <v>10034852</v>
      </c>
      <c r="O984" t="s">
        <v>605</v>
      </c>
      <c r="P984" t="s">
        <v>606</v>
      </c>
      <c r="Q984" t="s">
        <v>2851</v>
      </c>
    </row>
    <row r="985" spans="1:17">
      <c r="A985">
        <v>1908</v>
      </c>
      <c r="B985">
        <v>-86</v>
      </c>
      <c r="C985">
        <v>-86</v>
      </c>
      <c r="D985">
        <v>-86</v>
      </c>
      <c r="E985">
        <v>-86</v>
      </c>
      <c r="F985">
        <v>82</v>
      </c>
      <c r="G985">
        <v>0</v>
      </c>
      <c r="H985">
        <v>-86</v>
      </c>
      <c r="I985">
        <v>51.34</v>
      </c>
      <c r="J985">
        <v>473.15</v>
      </c>
      <c r="K985">
        <v>347.55</v>
      </c>
      <c r="L985">
        <v>-964.4</v>
      </c>
      <c r="M985">
        <v>-86</v>
      </c>
      <c r="N985">
        <v>13598362</v>
      </c>
      <c r="O985" t="s">
        <v>2516</v>
      </c>
      <c r="P985" t="s">
        <v>2629</v>
      </c>
      <c r="Q985" t="s">
        <v>2630</v>
      </c>
    </row>
    <row r="986" spans="1:17">
      <c r="A986">
        <v>1909</v>
      </c>
      <c r="B986">
        <v>-86</v>
      </c>
      <c r="C986">
        <v>-86</v>
      </c>
      <c r="D986">
        <v>-86</v>
      </c>
      <c r="E986">
        <v>-86</v>
      </c>
      <c r="F986">
        <v>66</v>
      </c>
      <c r="G986">
        <v>0</v>
      </c>
      <c r="H986">
        <v>-86</v>
      </c>
      <c r="I986">
        <v>44.23</v>
      </c>
      <c r="J986">
        <v>403.15</v>
      </c>
      <c r="K986">
        <v>299.64999999999998</v>
      </c>
      <c r="L986">
        <v>-595.4</v>
      </c>
      <c r="M986">
        <v>-86</v>
      </c>
      <c r="N986">
        <v>6303215</v>
      </c>
      <c r="O986" t="s">
        <v>2516</v>
      </c>
      <c r="P986" t="s">
        <v>2631</v>
      </c>
      <c r="Q986" t="s">
        <v>2632</v>
      </c>
    </row>
    <row r="987" spans="1:17">
      <c r="A987">
        <v>1911</v>
      </c>
      <c r="B987">
        <v>405.65</v>
      </c>
      <c r="C987">
        <v>11.28</v>
      </c>
      <c r="D987">
        <v>0.2424</v>
      </c>
      <c r="E987">
        <v>0.25259999999999999</v>
      </c>
      <c r="F987">
        <v>17.03</v>
      </c>
      <c r="G987">
        <v>1</v>
      </c>
      <c r="H987">
        <v>14.29</v>
      </c>
      <c r="I987">
        <v>24.98</v>
      </c>
      <c r="J987">
        <v>239.72</v>
      </c>
      <c r="K987">
        <v>195.41</v>
      </c>
      <c r="L987">
        <v>-45.9</v>
      </c>
      <c r="M987">
        <v>-16.41</v>
      </c>
      <c r="N987">
        <v>7664417</v>
      </c>
      <c r="O987" t="s">
        <v>435</v>
      </c>
      <c r="P987" t="s">
        <v>587</v>
      </c>
      <c r="Q987" t="s">
        <v>588</v>
      </c>
    </row>
    <row r="988" spans="1:17">
      <c r="A988">
        <v>1921</v>
      </c>
      <c r="B988">
        <v>647.1</v>
      </c>
      <c r="C988">
        <v>22.064</v>
      </c>
      <c r="D988">
        <v>0.22919999999999999</v>
      </c>
      <c r="E988">
        <v>0.34489999999999998</v>
      </c>
      <c r="F988">
        <v>18.02</v>
      </c>
      <c r="G988">
        <v>1</v>
      </c>
      <c r="H988">
        <v>23.38</v>
      </c>
      <c r="I988">
        <v>18.07</v>
      </c>
      <c r="J988">
        <v>373.15</v>
      </c>
      <c r="K988">
        <v>273.14999999999998</v>
      </c>
      <c r="L988">
        <v>-241.82</v>
      </c>
      <c r="M988">
        <v>-228.77</v>
      </c>
      <c r="N988">
        <v>7732185</v>
      </c>
      <c r="O988" t="s">
        <v>1607</v>
      </c>
      <c r="P988" t="s">
        <v>40</v>
      </c>
      <c r="Q988" t="s">
        <v>1608</v>
      </c>
    </row>
    <row r="989" spans="1:17">
      <c r="A989">
        <v>1922</v>
      </c>
      <c r="B989">
        <v>373.53</v>
      </c>
      <c r="C989">
        <v>8.9629999999999992</v>
      </c>
      <c r="D989">
        <v>0.28560000000000002</v>
      </c>
      <c r="E989">
        <v>9.4200000000000006E-2</v>
      </c>
      <c r="F989">
        <v>34.08</v>
      </c>
      <c r="G989">
        <v>1</v>
      </c>
      <c r="H989">
        <v>8.8000000000000007</v>
      </c>
      <c r="I989">
        <v>35.86</v>
      </c>
      <c r="J989">
        <v>212.8</v>
      </c>
      <c r="K989">
        <v>187.68</v>
      </c>
      <c r="L989">
        <v>-20.6</v>
      </c>
      <c r="M989">
        <v>-33.44</v>
      </c>
      <c r="N989">
        <v>7783064</v>
      </c>
      <c r="O989" t="s">
        <v>543</v>
      </c>
      <c r="P989" t="s">
        <v>544</v>
      </c>
      <c r="Q989" t="s">
        <v>2852</v>
      </c>
    </row>
    <row r="990" spans="1:17">
      <c r="A990">
        <v>1923</v>
      </c>
      <c r="B990">
        <v>1313.2</v>
      </c>
      <c r="C990">
        <v>18.207999999999998</v>
      </c>
      <c r="D990">
        <v>0.26350000000000001</v>
      </c>
      <c r="E990">
        <v>0.24629999999999999</v>
      </c>
      <c r="F990">
        <v>32.07</v>
      </c>
      <c r="G990">
        <v>0</v>
      </c>
      <c r="H990">
        <v>9.9</v>
      </c>
      <c r="I990">
        <v>17.87</v>
      </c>
      <c r="J990">
        <v>717.75</v>
      </c>
      <c r="K990">
        <v>392.15</v>
      </c>
      <c r="L990">
        <v>277.17</v>
      </c>
      <c r="M990">
        <v>238.28</v>
      </c>
      <c r="N990">
        <v>7704349</v>
      </c>
      <c r="O990" t="s">
        <v>2516</v>
      </c>
      <c r="P990" t="s">
        <v>2633</v>
      </c>
      <c r="Q990" t="s">
        <v>2634</v>
      </c>
    </row>
    <row r="991" spans="1:17">
      <c r="A991">
        <v>1925</v>
      </c>
      <c r="B991">
        <v>563.15</v>
      </c>
      <c r="C991">
        <v>5.67</v>
      </c>
      <c r="D991">
        <v>0.31969999999999998</v>
      </c>
      <c r="E991">
        <v>0.2344</v>
      </c>
      <c r="F991">
        <v>137.33000000000001</v>
      </c>
      <c r="G991">
        <v>0</v>
      </c>
      <c r="H991">
        <v>8.99</v>
      </c>
      <c r="I991">
        <v>87.68</v>
      </c>
      <c r="J991">
        <v>349.25</v>
      </c>
      <c r="K991">
        <v>181.15</v>
      </c>
      <c r="L991">
        <v>-271</v>
      </c>
      <c r="M991">
        <v>-257.5</v>
      </c>
      <c r="N991">
        <v>7719122</v>
      </c>
      <c r="O991" t="s">
        <v>1114</v>
      </c>
      <c r="P991" t="s">
        <v>1115</v>
      </c>
      <c r="Q991" t="s">
        <v>1116</v>
      </c>
    </row>
    <row r="992" spans="1:17">
      <c r="A992">
        <v>1926</v>
      </c>
      <c r="B992">
        <v>645.15</v>
      </c>
      <c r="C992">
        <v>-86</v>
      </c>
      <c r="D992">
        <v>0</v>
      </c>
      <c r="E992">
        <v>-86</v>
      </c>
      <c r="F992">
        <v>208.24</v>
      </c>
      <c r="G992">
        <v>0</v>
      </c>
      <c r="H992">
        <v>-86</v>
      </c>
      <c r="I992">
        <v>0</v>
      </c>
      <c r="J992">
        <v>433</v>
      </c>
      <c r="K992">
        <v>433.15</v>
      </c>
      <c r="L992">
        <v>-360.18</v>
      </c>
      <c r="M992">
        <v>-305.10000000000002</v>
      </c>
      <c r="N992">
        <v>10026138</v>
      </c>
      <c r="O992" t="s">
        <v>2516</v>
      </c>
      <c r="P992" t="s">
        <v>2635</v>
      </c>
      <c r="Q992" t="s">
        <v>2636</v>
      </c>
    </row>
    <row r="993" spans="1:17">
      <c r="A993">
        <v>1927</v>
      </c>
      <c r="B993">
        <v>-86</v>
      </c>
      <c r="C993">
        <v>-86</v>
      </c>
      <c r="D993">
        <v>-86</v>
      </c>
      <c r="E993">
        <v>-86</v>
      </c>
      <c r="F993">
        <v>169.4</v>
      </c>
      <c r="G993">
        <v>0</v>
      </c>
      <c r="H993">
        <v>-86</v>
      </c>
      <c r="I993">
        <v>103.98</v>
      </c>
      <c r="J993">
        <v>398.15</v>
      </c>
      <c r="K993">
        <v>238.15</v>
      </c>
      <c r="L993">
        <v>-363.17</v>
      </c>
      <c r="M993">
        <v>-347.69</v>
      </c>
      <c r="N993">
        <v>3982910</v>
      </c>
      <c r="O993" t="s">
        <v>2516</v>
      </c>
      <c r="P993" t="s">
        <v>2637</v>
      </c>
      <c r="Q993" t="s">
        <v>2638</v>
      </c>
    </row>
    <row r="994" spans="1:17">
      <c r="A994">
        <v>1929</v>
      </c>
      <c r="B994">
        <v>602.15</v>
      </c>
      <c r="C994">
        <v>3.44</v>
      </c>
      <c r="D994">
        <v>0.1381</v>
      </c>
      <c r="E994">
        <v>8.3199999999999996E-2</v>
      </c>
      <c r="F994">
        <v>153.33000000000001</v>
      </c>
      <c r="G994">
        <v>0</v>
      </c>
      <c r="H994">
        <v>9.68</v>
      </c>
      <c r="I994">
        <v>92.01</v>
      </c>
      <c r="J994">
        <v>378.65</v>
      </c>
      <c r="K994">
        <v>274.32</v>
      </c>
      <c r="L994">
        <v>-542.20000000000005</v>
      </c>
      <c r="M994">
        <v>-502.31</v>
      </c>
      <c r="N994">
        <v>10025873</v>
      </c>
      <c r="O994" t="s">
        <v>998</v>
      </c>
      <c r="P994" t="s">
        <v>1346</v>
      </c>
      <c r="Q994" t="s">
        <v>1347</v>
      </c>
    </row>
    <row r="995" spans="1:17">
      <c r="A995">
        <v>1931</v>
      </c>
      <c r="B995">
        <v>697</v>
      </c>
      <c r="C995">
        <v>6.03</v>
      </c>
      <c r="D995">
        <v>0.27889999999999998</v>
      </c>
      <c r="E995">
        <v>0.18579999999999999</v>
      </c>
      <c r="F995">
        <v>192.75</v>
      </c>
      <c r="G995">
        <v>0</v>
      </c>
      <c r="H995">
        <v>9.1300000000000008</v>
      </c>
      <c r="I995">
        <v>105.85</v>
      </c>
      <c r="J995">
        <v>425.15</v>
      </c>
      <c r="K995">
        <v>245.15</v>
      </c>
      <c r="L995">
        <v>-527.1</v>
      </c>
      <c r="M995">
        <v>-491.9</v>
      </c>
      <c r="N995">
        <v>7632511</v>
      </c>
      <c r="O995" t="s">
        <v>787</v>
      </c>
      <c r="P995" t="s">
        <v>1888</v>
      </c>
      <c r="Q995" t="s">
        <v>1889</v>
      </c>
    </row>
    <row r="996" spans="1:17">
      <c r="A996">
        <v>1932</v>
      </c>
      <c r="B996">
        <v>636</v>
      </c>
      <c r="C996">
        <v>3.74</v>
      </c>
      <c r="D996">
        <v>0.2051</v>
      </c>
      <c r="E996">
        <v>0.1305</v>
      </c>
      <c r="F996">
        <v>173.3</v>
      </c>
      <c r="G996">
        <v>0</v>
      </c>
      <c r="H996">
        <v>9.18</v>
      </c>
      <c r="I996">
        <v>105.85</v>
      </c>
      <c r="J996">
        <v>400</v>
      </c>
      <c r="K996">
        <v>193.65</v>
      </c>
      <c r="L996">
        <v>-695.59</v>
      </c>
      <c r="M996">
        <v>-659.3</v>
      </c>
      <c r="N996">
        <v>7727186</v>
      </c>
      <c r="O996" t="s">
        <v>1536</v>
      </c>
      <c r="P996" t="s">
        <v>1537</v>
      </c>
      <c r="Q996" t="s">
        <v>1538</v>
      </c>
    </row>
    <row r="997" spans="1:17">
      <c r="A997">
        <v>1934</v>
      </c>
      <c r="B997">
        <v>794</v>
      </c>
      <c r="C997">
        <v>4.82</v>
      </c>
      <c r="D997">
        <v>0.1986</v>
      </c>
      <c r="E997">
        <v>0.1706</v>
      </c>
      <c r="F997">
        <v>228.12</v>
      </c>
      <c r="G997">
        <v>0</v>
      </c>
      <c r="H997">
        <v>11.55</v>
      </c>
      <c r="I997">
        <v>85.12</v>
      </c>
      <c r="J997">
        <v>493.4</v>
      </c>
      <c r="K997">
        <v>346.35</v>
      </c>
      <c r="L997">
        <v>-313.8</v>
      </c>
      <c r="M997">
        <v>-301.10000000000002</v>
      </c>
      <c r="N997">
        <v>10025919</v>
      </c>
      <c r="O997" t="s">
        <v>2277</v>
      </c>
      <c r="P997" t="s">
        <v>2278</v>
      </c>
      <c r="Q997" t="s">
        <v>2279</v>
      </c>
    </row>
    <row r="998" spans="1:17">
      <c r="A998">
        <v>1935</v>
      </c>
      <c r="B998">
        <v>451.5</v>
      </c>
      <c r="C998">
        <v>4.5990000000000002</v>
      </c>
      <c r="D998">
        <v>0.27789999999999998</v>
      </c>
      <c r="E998">
        <v>0.16300000000000001</v>
      </c>
      <c r="F998">
        <v>101.01</v>
      </c>
      <c r="G998">
        <v>0</v>
      </c>
      <c r="H998">
        <v>8.16</v>
      </c>
      <c r="I998">
        <v>81.96</v>
      </c>
      <c r="J998">
        <v>281.35000000000002</v>
      </c>
      <c r="K998">
        <v>151.15</v>
      </c>
      <c r="L998">
        <v>-320.5</v>
      </c>
      <c r="M998">
        <v>-294.93</v>
      </c>
      <c r="N998">
        <v>4109960</v>
      </c>
      <c r="O998" t="s">
        <v>650</v>
      </c>
      <c r="P998" t="s">
        <v>651</v>
      </c>
      <c r="Q998" t="s">
        <v>652</v>
      </c>
    </row>
    <row r="999" spans="1:17">
      <c r="A999">
        <v>1936</v>
      </c>
      <c r="B999">
        <v>479</v>
      </c>
      <c r="C999">
        <v>4.17</v>
      </c>
      <c r="D999">
        <v>0.28060000000000002</v>
      </c>
      <c r="E999">
        <v>0.2031</v>
      </c>
      <c r="F999">
        <v>135.44999999999999</v>
      </c>
      <c r="G999">
        <v>0</v>
      </c>
      <c r="H999">
        <v>7.57</v>
      </c>
      <c r="I999">
        <v>101.49</v>
      </c>
      <c r="J999">
        <v>306</v>
      </c>
      <c r="K999">
        <v>146.55000000000001</v>
      </c>
      <c r="L999">
        <v>-496.2</v>
      </c>
      <c r="M999">
        <v>-464.93</v>
      </c>
      <c r="N999">
        <v>10025782</v>
      </c>
      <c r="O999" t="s">
        <v>718</v>
      </c>
      <c r="P999" t="s">
        <v>719</v>
      </c>
      <c r="Q999" t="s">
        <v>720</v>
      </c>
    </row>
    <row r="1000" spans="1:17">
      <c r="A1000">
        <v>1937</v>
      </c>
      <c r="B1000">
        <v>507</v>
      </c>
      <c r="C1000">
        <v>3.59</v>
      </c>
      <c r="D1000">
        <v>0.27700000000000002</v>
      </c>
      <c r="E1000">
        <v>0.23180000000000001</v>
      </c>
      <c r="F1000">
        <v>169.9</v>
      </c>
      <c r="G1000">
        <v>0</v>
      </c>
      <c r="H1000">
        <v>7.5</v>
      </c>
      <c r="I1000">
        <v>115.58</v>
      </c>
      <c r="J1000">
        <v>330.72</v>
      </c>
      <c r="K1000">
        <v>204.35</v>
      </c>
      <c r="L1000">
        <v>-657.01</v>
      </c>
      <c r="M1000">
        <v>-622.82000000000005</v>
      </c>
      <c r="N1000">
        <v>10026047</v>
      </c>
      <c r="O1000" t="s">
        <v>523</v>
      </c>
      <c r="P1000" t="s">
        <v>816</v>
      </c>
      <c r="Q1000" t="s">
        <v>817</v>
      </c>
    </row>
    <row r="1001" spans="1:17">
      <c r="A1001">
        <v>1938</v>
      </c>
      <c r="B1001">
        <v>552</v>
      </c>
      <c r="C1001">
        <v>7.9</v>
      </c>
      <c r="D1001">
        <v>0.29249999999999998</v>
      </c>
      <c r="E1001">
        <v>0.11070000000000001</v>
      </c>
      <c r="F1001">
        <v>76.14</v>
      </c>
      <c r="G1001">
        <v>0</v>
      </c>
      <c r="H1001">
        <v>9.98</v>
      </c>
      <c r="I1001">
        <v>60.64</v>
      </c>
      <c r="J1001">
        <v>319.38</v>
      </c>
      <c r="K1001">
        <v>161.58000000000001</v>
      </c>
      <c r="L1001">
        <v>89.71</v>
      </c>
      <c r="M1001">
        <v>66.8</v>
      </c>
      <c r="N1001">
        <v>75150</v>
      </c>
      <c r="O1001" t="s">
        <v>457</v>
      </c>
      <c r="P1001" t="s">
        <v>82</v>
      </c>
      <c r="Q1001" t="s">
        <v>1035</v>
      </c>
    </row>
    <row r="1002" spans="1:17">
      <c r="A1002">
        <v>1940</v>
      </c>
      <c r="B1002">
        <v>318.69</v>
      </c>
      <c r="C1002">
        <v>3.76</v>
      </c>
      <c r="D1002">
        <v>0.28170000000000001</v>
      </c>
      <c r="E1002">
        <v>0.21510000000000001</v>
      </c>
      <c r="F1002">
        <v>146.06</v>
      </c>
      <c r="G1002">
        <v>0</v>
      </c>
      <c r="H1002">
        <v>6.58</v>
      </c>
      <c r="I1002">
        <v>79.17</v>
      </c>
      <c r="J1002">
        <v>205</v>
      </c>
      <c r="K1002">
        <v>222.65</v>
      </c>
      <c r="L1002">
        <v>-1209</v>
      </c>
      <c r="M1002">
        <v>-1105.3</v>
      </c>
      <c r="N1002">
        <v>2551624</v>
      </c>
      <c r="O1002" t="s">
        <v>500</v>
      </c>
      <c r="P1002" t="s">
        <v>501</v>
      </c>
      <c r="Q1002" t="s">
        <v>2853</v>
      </c>
    </row>
    <row r="1003" spans="1:17">
      <c r="A1003">
        <v>1942</v>
      </c>
      <c r="B1003">
        <v>260.89999999999998</v>
      </c>
      <c r="C1003">
        <v>4.99</v>
      </c>
      <c r="D1003">
        <v>0.28610000000000002</v>
      </c>
      <c r="E1003">
        <v>0.43369999999999997</v>
      </c>
      <c r="F1003">
        <v>67.81</v>
      </c>
      <c r="G1003">
        <v>0</v>
      </c>
      <c r="H1003">
        <v>9.36</v>
      </c>
      <c r="I1003">
        <v>43.15</v>
      </c>
      <c r="J1003">
        <v>173.25</v>
      </c>
      <c r="K1003">
        <v>146.44999999999999</v>
      </c>
      <c r="L1003">
        <v>-1137</v>
      </c>
      <c r="M1003">
        <v>-1120.3</v>
      </c>
      <c r="N1003">
        <v>7637072</v>
      </c>
      <c r="O1003" t="s">
        <v>455</v>
      </c>
      <c r="P1003" t="s">
        <v>456</v>
      </c>
      <c r="Q1003" t="s">
        <v>2854</v>
      </c>
    </row>
    <row r="1004" spans="1:17">
      <c r="A1004">
        <v>1949</v>
      </c>
      <c r="B1004">
        <v>694</v>
      </c>
      <c r="C1004">
        <v>3.82</v>
      </c>
      <c r="D1004">
        <v>0.1741</v>
      </c>
      <c r="E1004">
        <v>0.4577</v>
      </c>
      <c r="F1004">
        <v>176.08</v>
      </c>
      <c r="G1004">
        <v>0</v>
      </c>
      <c r="H1004">
        <v>11.5</v>
      </c>
      <c r="I1004">
        <v>85.78</v>
      </c>
      <c r="J1004">
        <v>474</v>
      </c>
      <c r="K1004">
        <v>350.15</v>
      </c>
      <c r="L1004">
        <v>-447.7</v>
      </c>
      <c r="M1004">
        <v>-454.8</v>
      </c>
      <c r="N1004">
        <v>13450903</v>
      </c>
      <c r="O1004" t="s">
        <v>1866</v>
      </c>
      <c r="P1004" t="s">
        <v>1867</v>
      </c>
      <c r="Q1004" t="s">
        <v>1868</v>
      </c>
    </row>
    <row r="1005" spans="1:17">
      <c r="A1005">
        <v>1950</v>
      </c>
      <c r="B1005">
        <v>545</v>
      </c>
      <c r="C1005">
        <v>4.6100000000000003</v>
      </c>
      <c r="D1005">
        <v>0.23810000000000001</v>
      </c>
      <c r="E1005">
        <v>0.1764</v>
      </c>
      <c r="F1005">
        <v>134.97</v>
      </c>
      <c r="G1005">
        <v>0</v>
      </c>
      <c r="H1005">
        <v>9.41</v>
      </c>
      <c r="I1005">
        <v>81.41</v>
      </c>
      <c r="J1005">
        <v>342.65</v>
      </c>
      <c r="K1005">
        <v>219</v>
      </c>
      <c r="L1005">
        <v>-355</v>
      </c>
      <c r="M1005">
        <v>-320</v>
      </c>
      <c r="N1005">
        <v>7791255</v>
      </c>
      <c r="O1005" t="s">
        <v>992</v>
      </c>
      <c r="P1005" t="s">
        <v>993</v>
      </c>
      <c r="Q1005" t="s">
        <v>994</v>
      </c>
    </row>
    <row r="1006" spans="1:17">
      <c r="A1006">
        <v>1951</v>
      </c>
      <c r="B1006">
        <v>567</v>
      </c>
      <c r="C1006">
        <v>4.43</v>
      </c>
      <c r="D1006">
        <v>0.19550000000000001</v>
      </c>
      <c r="E1006">
        <v>9.4600000000000004E-2</v>
      </c>
      <c r="F1006">
        <v>118.97</v>
      </c>
      <c r="G1006">
        <v>0</v>
      </c>
      <c r="H1006">
        <v>9.66</v>
      </c>
      <c r="I1006">
        <v>73</v>
      </c>
      <c r="J1006">
        <v>351.95</v>
      </c>
      <c r="K1006">
        <v>168</v>
      </c>
      <c r="L1006">
        <v>-212.5</v>
      </c>
      <c r="M1006">
        <v>-198.2</v>
      </c>
      <c r="N1006">
        <v>7719097</v>
      </c>
      <c r="O1006" t="s">
        <v>992</v>
      </c>
      <c r="P1006" t="s">
        <v>1144</v>
      </c>
      <c r="Q1006" t="s">
        <v>1145</v>
      </c>
    </row>
    <row r="1007" spans="1:17">
      <c r="A1007">
        <v>1961</v>
      </c>
      <c r="B1007">
        <v>451.95</v>
      </c>
      <c r="C1007">
        <v>3.871</v>
      </c>
      <c r="D1007">
        <v>0.15279999999999999</v>
      </c>
      <c r="E1007">
        <v>0.15049999999999999</v>
      </c>
      <c r="F1007">
        <v>117.17</v>
      </c>
      <c r="G1007">
        <v>0</v>
      </c>
      <c r="H1007">
        <v>7.69</v>
      </c>
      <c r="I1007">
        <v>87.07</v>
      </c>
      <c r="J1007">
        <v>285.64999999999998</v>
      </c>
      <c r="K1007">
        <v>165.85</v>
      </c>
      <c r="L1007">
        <v>-402.96</v>
      </c>
      <c r="M1007">
        <v>-388.72</v>
      </c>
      <c r="N1007">
        <v>10294345</v>
      </c>
      <c r="O1007" t="s">
        <v>655</v>
      </c>
      <c r="P1007" t="s">
        <v>656</v>
      </c>
      <c r="Q1007" t="s">
        <v>2855</v>
      </c>
    </row>
    <row r="1008" spans="1:17">
      <c r="A1008">
        <v>1964</v>
      </c>
      <c r="B1008">
        <v>544</v>
      </c>
      <c r="C1008">
        <v>1.92</v>
      </c>
      <c r="D1008">
        <v>0.26019999999999999</v>
      </c>
      <c r="E1008">
        <v>0.5101</v>
      </c>
      <c r="F1008">
        <v>161.4</v>
      </c>
      <c r="G1008">
        <v>0</v>
      </c>
      <c r="H1008">
        <v>6.66</v>
      </c>
      <c r="I1008">
        <v>209.04</v>
      </c>
      <c r="J1008">
        <v>399.15</v>
      </c>
      <c r="K1008">
        <v>-86</v>
      </c>
      <c r="L1008">
        <v>-476.6</v>
      </c>
      <c r="M1008">
        <v>-86</v>
      </c>
      <c r="N1008">
        <v>999973</v>
      </c>
      <c r="O1008" t="s">
        <v>545</v>
      </c>
      <c r="P1008" t="s">
        <v>986</v>
      </c>
      <c r="Q1008" t="s">
        <v>987</v>
      </c>
    </row>
    <row r="1009" spans="1:17">
      <c r="A1009">
        <v>1965</v>
      </c>
      <c r="B1009">
        <v>519</v>
      </c>
      <c r="C1009">
        <v>1.92</v>
      </c>
      <c r="D1009">
        <v>0.26669999999999999</v>
      </c>
      <c r="E1009">
        <v>0.41420000000000001</v>
      </c>
      <c r="F1009">
        <v>162.38</v>
      </c>
      <c r="G1009">
        <v>0</v>
      </c>
      <c r="H1009">
        <v>6.15</v>
      </c>
      <c r="I1009">
        <v>213.59</v>
      </c>
      <c r="J1009">
        <v>373.67</v>
      </c>
      <c r="K1009">
        <v>214.15</v>
      </c>
      <c r="L1009">
        <v>-777.72</v>
      </c>
      <c r="M1009">
        <v>-534.48</v>
      </c>
      <c r="N1009">
        <v>107460</v>
      </c>
      <c r="O1009" t="s">
        <v>868</v>
      </c>
      <c r="P1009" t="s">
        <v>869</v>
      </c>
      <c r="Q1009" t="s">
        <v>870</v>
      </c>
    </row>
    <row r="1010" spans="1:17">
      <c r="A1010">
        <v>1966</v>
      </c>
      <c r="B1010">
        <v>554.20000000000005</v>
      </c>
      <c r="C1010">
        <v>1.78</v>
      </c>
      <c r="D1010">
        <v>0.2487</v>
      </c>
      <c r="E1010">
        <v>0.49619999999999997</v>
      </c>
      <c r="F1010">
        <v>222.46</v>
      </c>
      <c r="G1010">
        <v>0</v>
      </c>
      <c r="H1010">
        <v>6.09</v>
      </c>
      <c r="I1010">
        <v>250</v>
      </c>
      <c r="J1010">
        <v>407.15</v>
      </c>
      <c r="K1010">
        <v>337.65</v>
      </c>
      <c r="L1010">
        <v>-1770</v>
      </c>
      <c r="M1010">
        <v>-86</v>
      </c>
      <c r="N1010">
        <v>541059</v>
      </c>
      <c r="O1010" t="s">
        <v>787</v>
      </c>
      <c r="P1010" t="s">
        <v>1057</v>
      </c>
      <c r="Q1010" t="s">
        <v>1058</v>
      </c>
    </row>
    <row r="1011" spans="1:17">
      <c r="A1011">
        <v>1967</v>
      </c>
      <c r="B1011">
        <v>259</v>
      </c>
      <c r="C1011">
        <v>3.72</v>
      </c>
      <c r="D1011">
        <v>0.28499999999999998</v>
      </c>
      <c r="E1011">
        <v>0.38579999999999998</v>
      </c>
      <c r="F1011">
        <v>104.08</v>
      </c>
      <c r="G1011">
        <v>0</v>
      </c>
      <c r="H1011">
        <v>7.06</v>
      </c>
      <c r="I1011">
        <v>63.96</v>
      </c>
      <c r="J1011">
        <v>178</v>
      </c>
      <c r="K1011">
        <v>186.35</v>
      </c>
      <c r="L1011">
        <v>-1614.94</v>
      </c>
      <c r="M1011">
        <v>-1572.58</v>
      </c>
      <c r="N1011">
        <v>7783611</v>
      </c>
      <c r="O1011" t="s">
        <v>2516</v>
      </c>
      <c r="P1011" t="s">
        <v>2639</v>
      </c>
      <c r="Q1011" t="s">
        <v>2640</v>
      </c>
    </row>
    <row r="1012" spans="1:17">
      <c r="A1012">
        <v>1969</v>
      </c>
      <c r="B1012">
        <v>628.4</v>
      </c>
      <c r="C1012">
        <v>0.94499999999999995</v>
      </c>
      <c r="D1012">
        <v>0.253</v>
      </c>
      <c r="E1012">
        <v>0.72019999999999995</v>
      </c>
      <c r="F1012">
        <v>384.84</v>
      </c>
      <c r="G1012">
        <v>0</v>
      </c>
      <c r="H1012">
        <v>5.84</v>
      </c>
      <c r="I1012">
        <v>442.1</v>
      </c>
      <c r="J1012">
        <v>503.1</v>
      </c>
      <c r="K1012">
        <v>192</v>
      </c>
      <c r="L1012">
        <v>-2790.7</v>
      </c>
      <c r="M1012">
        <v>-2220</v>
      </c>
      <c r="N1012">
        <v>141639</v>
      </c>
      <c r="O1012" t="s">
        <v>868</v>
      </c>
      <c r="P1012" t="s">
        <v>1506</v>
      </c>
      <c r="Q1012" t="s">
        <v>1507</v>
      </c>
    </row>
    <row r="1013" spans="1:17">
      <c r="A1013">
        <v>1972</v>
      </c>
      <c r="B1013">
        <v>234</v>
      </c>
      <c r="C1013">
        <v>4.4610000000000003</v>
      </c>
      <c r="D1013">
        <v>0.2767</v>
      </c>
      <c r="E1013">
        <v>0.12</v>
      </c>
      <c r="F1013">
        <v>71</v>
      </c>
      <c r="G1013">
        <v>0</v>
      </c>
      <c r="H1013">
        <v>7.33</v>
      </c>
      <c r="I1013">
        <v>45.6</v>
      </c>
      <c r="J1013">
        <v>144.15</v>
      </c>
      <c r="K1013">
        <v>66.349999999999994</v>
      </c>
      <c r="L1013">
        <v>-131.5</v>
      </c>
      <c r="M1013">
        <v>-83.21</v>
      </c>
      <c r="N1013">
        <v>7783542</v>
      </c>
      <c r="O1013" t="s">
        <v>453</v>
      </c>
      <c r="P1013" t="s">
        <v>454</v>
      </c>
      <c r="Q1013" t="s">
        <v>2856</v>
      </c>
    </row>
    <row r="1014" spans="1:17">
      <c r="A1014">
        <v>1980</v>
      </c>
      <c r="B1014">
        <v>432</v>
      </c>
      <c r="C1014">
        <v>5.13</v>
      </c>
      <c r="D1014">
        <v>0.2828</v>
      </c>
      <c r="E1014">
        <v>9.3899999999999997E-2</v>
      </c>
      <c r="F1014">
        <v>62.22</v>
      </c>
      <c r="G1014">
        <v>0</v>
      </c>
      <c r="H1014">
        <v>7.85</v>
      </c>
      <c r="I1014">
        <v>74.02</v>
      </c>
      <c r="J1014">
        <v>259</v>
      </c>
      <c r="K1014">
        <v>140.65</v>
      </c>
      <c r="L1014">
        <v>80.33</v>
      </c>
      <c r="M1014">
        <v>127</v>
      </c>
      <c r="N1014">
        <v>1590870</v>
      </c>
      <c r="O1014" t="s">
        <v>621</v>
      </c>
      <c r="P1014" t="s">
        <v>622</v>
      </c>
      <c r="Q1014" t="s">
        <v>623</v>
      </c>
    </row>
    <row r="1015" spans="1:17">
      <c r="A1015">
        <v>1981</v>
      </c>
      <c r="B1015">
        <v>324.75</v>
      </c>
      <c r="C1015">
        <v>6.54</v>
      </c>
      <c r="D1015">
        <v>0.27350000000000002</v>
      </c>
      <c r="E1015">
        <v>4.5199999999999997E-2</v>
      </c>
      <c r="F1015">
        <v>34</v>
      </c>
      <c r="G1015">
        <v>0</v>
      </c>
      <c r="H1015">
        <v>8.08</v>
      </c>
      <c r="I1015">
        <v>45.72</v>
      </c>
      <c r="J1015">
        <v>185.42</v>
      </c>
      <c r="K1015">
        <v>139.37</v>
      </c>
      <c r="L1015">
        <v>5.5</v>
      </c>
      <c r="M1015">
        <v>25.41</v>
      </c>
      <c r="N1015">
        <v>7803512</v>
      </c>
      <c r="O1015" t="s">
        <v>503</v>
      </c>
      <c r="P1015" t="s">
        <v>504</v>
      </c>
      <c r="Q1015" t="s">
        <v>505</v>
      </c>
    </row>
    <row r="1016" spans="1:17">
      <c r="A1016">
        <v>1982</v>
      </c>
      <c r="B1016">
        <v>269.7</v>
      </c>
      <c r="C1016">
        <v>4.84</v>
      </c>
      <c r="D1016">
        <v>0.2878</v>
      </c>
      <c r="E1016">
        <v>9.3799999999999994E-2</v>
      </c>
      <c r="F1016">
        <v>32.119999999999997</v>
      </c>
      <c r="G1016">
        <v>0</v>
      </c>
      <c r="H1016">
        <v>6.94</v>
      </c>
      <c r="I1016">
        <v>55.13</v>
      </c>
      <c r="J1016">
        <v>161</v>
      </c>
      <c r="K1016">
        <v>88.15</v>
      </c>
      <c r="L1016">
        <v>34.31</v>
      </c>
      <c r="M1016">
        <v>56.9</v>
      </c>
      <c r="N1016">
        <v>7803625</v>
      </c>
      <c r="O1016" t="s">
        <v>460</v>
      </c>
      <c r="P1016" t="s">
        <v>461</v>
      </c>
      <c r="Q1016" t="s">
        <v>462</v>
      </c>
    </row>
    <row r="1017" spans="1:17">
      <c r="A1017">
        <v>1983</v>
      </c>
      <c r="B1017">
        <v>289.8</v>
      </c>
      <c r="C1017">
        <v>4.0529999999999999</v>
      </c>
      <c r="D1017">
        <v>0.28770000000000001</v>
      </c>
      <c r="E1017">
        <v>0.13109999999999999</v>
      </c>
      <c r="F1017">
        <v>27.67</v>
      </c>
      <c r="G1017">
        <v>0</v>
      </c>
      <c r="H1017">
        <v>6.89</v>
      </c>
      <c r="I1017">
        <v>64.53</v>
      </c>
      <c r="J1017">
        <v>180.65</v>
      </c>
      <c r="K1017">
        <v>107.65</v>
      </c>
      <c r="L1017">
        <v>31.51</v>
      </c>
      <c r="M1017">
        <v>86.6</v>
      </c>
      <c r="N1017">
        <v>19287457</v>
      </c>
      <c r="O1017" t="s">
        <v>468</v>
      </c>
      <c r="P1017" t="s">
        <v>469</v>
      </c>
      <c r="Q1017" t="s">
        <v>470</v>
      </c>
    </row>
    <row r="1018" spans="1:17">
      <c r="A1018">
        <v>1984</v>
      </c>
      <c r="B1018">
        <v>450.4</v>
      </c>
      <c r="C1018">
        <v>2.8140000000000001</v>
      </c>
      <c r="D1018">
        <v>0.28029999999999999</v>
      </c>
      <c r="E1018">
        <v>0.224</v>
      </c>
      <c r="F1018">
        <v>88.23</v>
      </c>
      <c r="G1018">
        <v>0</v>
      </c>
      <c r="H1018">
        <v>6.16</v>
      </c>
      <c r="I1018">
        <v>137.69999999999999</v>
      </c>
      <c r="J1018">
        <v>299.35000000000002</v>
      </c>
      <c r="K1018">
        <v>174.15</v>
      </c>
      <c r="L1018">
        <v>-245.4</v>
      </c>
      <c r="M1018">
        <v>-99.91</v>
      </c>
      <c r="N1018">
        <v>75763</v>
      </c>
      <c r="O1018" t="s">
        <v>647</v>
      </c>
      <c r="P1018" t="s">
        <v>648</v>
      </c>
      <c r="Q1018" t="s">
        <v>649</v>
      </c>
    </row>
    <row r="1019" spans="1:17">
      <c r="A1019">
        <v>1986</v>
      </c>
      <c r="B1019">
        <v>440.65</v>
      </c>
      <c r="C1019">
        <v>9.1199999999999992</v>
      </c>
      <c r="D1019">
        <v>0.34620000000000001</v>
      </c>
      <c r="E1019">
        <v>0.30049999999999999</v>
      </c>
      <c r="F1019">
        <v>65.459999999999994</v>
      </c>
      <c r="G1019">
        <v>0</v>
      </c>
      <c r="H1019">
        <v>10.66</v>
      </c>
      <c r="I1019">
        <v>49.41</v>
      </c>
      <c r="J1019">
        <v>266.75</v>
      </c>
      <c r="K1019">
        <v>208.65</v>
      </c>
      <c r="L1019">
        <v>51.76</v>
      </c>
      <c r="M1019">
        <v>66.11</v>
      </c>
      <c r="N1019">
        <v>2696926</v>
      </c>
      <c r="O1019" t="s">
        <v>642</v>
      </c>
      <c r="P1019" t="s">
        <v>643</v>
      </c>
      <c r="Q1019" t="s">
        <v>2857</v>
      </c>
    </row>
    <row r="1020" spans="1:17">
      <c r="A1020">
        <v>1987</v>
      </c>
      <c r="B1020">
        <v>368.4</v>
      </c>
      <c r="C1020">
        <v>5.37</v>
      </c>
      <c r="D1020">
        <v>0.2823</v>
      </c>
      <c r="E1020">
        <v>0.1726</v>
      </c>
      <c r="F1020">
        <v>102.45</v>
      </c>
      <c r="G1020">
        <v>0</v>
      </c>
      <c r="H1020">
        <v>8.3000000000000007</v>
      </c>
      <c r="I1020">
        <v>60.46</v>
      </c>
      <c r="J1020">
        <v>226.48</v>
      </c>
      <c r="K1020">
        <v>125.41</v>
      </c>
      <c r="L1020">
        <v>-23.85</v>
      </c>
      <c r="M1020">
        <v>48.12</v>
      </c>
      <c r="N1020">
        <v>7616946</v>
      </c>
      <c r="O1020" t="s">
        <v>435</v>
      </c>
      <c r="P1020" t="s">
        <v>530</v>
      </c>
      <c r="Q1020" t="s">
        <v>2858</v>
      </c>
    </row>
    <row r="1021" spans="1:17">
      <c r="A1021">
        <v>1988</v>
      </c>
      <c r="B1021">
        <v>586.5</v>
      </c>
      <c r="C1021">
        <v>1.3169999999999999</v>
      </c>
      <c r="D1021">
        <v>0.26879999999999998</v>
      </c>
      <c r="E1021">
        <v>0.5837</v>
      </c>
      <c r="F1021">
        <v>296.62</v>
      </c>
      <c r="G1021">
        <v>0</v>
      </c>
      <c r="H1021">
        <v>6.32</v>
      </c>
      <c r="I1021">
        <v>312.42</v>
      </c>
      <c r="J1021">
        <v>448.15</v>
      </c>
      <c r="K1021">
        <v>290.14999999999998</v>
      </c>
      <c r="L1021">
        <v>-2110</v>
      </c>
      <c r="M1021">
        <v>-86</v>
      </c>
      <c r="N1021">
        <v>556672</v>
      </c>
      <c r="O1021" t="s">
        <v>552</v>
      </c>
      <c r="P1021" t="s">
        <v>1255</v>
      </c>
      <c r="Q1021" t="s">
        <v>1256</v>
      </c>
    </row>
    <row r="1022" spans="1:17">
      <c r="A1022">
        <v>1989</v>
      </c>
      <c r="B1022">
        <v>309.35000000000002</v>
      </c>
      <c r="C1022">
        <v>3.71</v>
      </c>
      <c r="D1022">
        <v>0.29389999999999999</v>
      </c>
      <c r="E1022">
        <v>0.2233</v>
      </c>
      <c r="F1022">
        <v>104.01</v>
      </c>
      <c r="G1022">
        <v>0</v>
      </c>
      <c r="H1022">
        <v>6.51</v>
      </c>
      <c r="I1022">
        <v>74.08</v>
      </c>
      <c r="J1022">
        <v>200.15</v>
      </c>
      <c r="K1022">
        <v>105.15</v>
      </c>
      <c r="L1022">
        <v>-8.3699999999999992</v>
      </c>
      <c r="M1022">
        <v>79.8</v>
      </c>
      <c r="N1022">
        <v>10036472</v>
      </c>
      <c r="O1022" t="s">
        <v>494</v>
      </c>
      <c r="P1022" t="s">
        <v>495</v>
      </c>
      <c r="Q1022" t="s">
        <v>496</v>
      </c>
    </row>
    <row r="1023" spans="1:17">
      <c r="A1023">
        <v>1996</v>
      </c>
      <c r="B1023">
        <v>730.15</v>
      </c>
      <c r="C1023">
        <v>21.7</v>
      </c>
      <c r="D1023">
        <v>0.2777</v>
      </c>
      <c r="E1023">
        <v>0.35820000000000002</v>
      </c>
      <c r="F1023">
        <v>34.020000000000003</v>
      </c>
      <c r="G1023">
        <v>0</v>
      </c>
      <c r="H1023">
        <v>22.41</v>
      </c>
      <c r="I1023">
        <v>23.58</v>
      </c>
      <c r="J1023">
        <v>423.35</v>
      </c>
      <c r="K1023">
        <v>271.45</v>
      </c>
      <c r="L1023">
        <v>-136.31</v>
      </c>
      <c r="M1023">
        <v>-105.57</v>
      </c>
      <c r="N1023">
        <v>7722841</v>
      </c>
      <c r="O1023" t="s">
        <v>2034</v>
      </c>
      <c r="P1023" t="s">
        <v>2035</v>
      </c>
      <c r="Q1023" t="s">
        <v>2036</v>
      </c>
    </row>
    <row r="1024" spans="1:17">
      <c r="A1024">
        <v>1997</v>
      </c>
      <c r="B1024">
        <v>643.89</v>
      </c>
      <c r="C1024">
        <v>21.670999999999999</v>
      </c>
      <c r="D1024">
        <v>0.23069999999999999</v>
      </c>
      <c r="E1024">
        <v>0.36580000000000001</v>
      </c>
      <c r="F1024">
        <v>20.03</v>
      </c>
      <c r="G1024">
        <v>0</v>
      </c>
      <c r="H1024">
        <v>24.06</v>
      </c>
      <c r="I1024">
        <v>18.13</v>
      </c>
      <c r="J1024">
        <v>374.55</v>
      </c>
      <c r="K1024">
        <v>276.97000000000003</v>
      </c>
      <c r="L1024">
        <v>-249.2</v>
      </c>
      <c r="M1024">
        <v>-234.59</v>
      </c>
      <c r="N1024">
        <v>7789200</v>
      </c>
      <c r="O1024" t="s">
        <v>1580</v>
      </c>
      <c r="P1024" t="s">
        <v>1581</v>
      </c>
      <c r="Q1024" t="s">
        <v>1582</v>
      </c>
    </row>
    <row r="1025" spans="1:17">
      <c r="A1025">
        <v>1998</v>
      </c>
      <c r="B1025">
        <v>819.15</v>
      </c>
      <c r="C1025">
        <v>11.654</v>
      </c>
      <c r="D1025">
        <v>0.26519999999999999</v>
      </c>
      <c r="E1025">
        <v>0.1115</v>
      </c>
      <c r="F1025">
        <v>253.81</v>
      </c>
      <c r="G1025">
        <v>0</v>
      </c>
      <c r="H1025">
        <v>12.48</v>
      </c>
      <c r="I1025">
        <v>63.84</v>
      </c>
      <c r="J1025">
        <v>457.56</v>
      </c>
      <c r="K1025">
        <v>386.75</v>
      </c>
      <c r="L1025">
        <v>62.42</v>
      </c>
      <c r="M1025">
        <v>19.38</v>
      </c>
      <c r="N1025">
        <v>7553562</v>
      </c>
      <c r="O1025" t="s">
        <v>435</v>
      </c>
      <c r="P1025" t="s">
        <v>2324</v>
      </c>
      <c r="Q1025" t="s">
        <v>2325</v>
      </c>
    </row>
    <row r="1026" spans="1:17">
      <c r="A1026">
        <v>2081</v>
      </c>
      <c r="B1026">
        <v>844</v>
      </c>
      <c r="C1026">
        <v>0.8</v>
      </c>
      <c r="D1026">
        <v>0.17</v>
      </c>
      <c r="E1026">
        <v>1.3069999999999999</v>
      </c>
      <c r="F1026">
        <v>422.8</v>
      </c>
      <c r="G1026">
        <v>0</v>
      </c>
      <c r="H1026">
        <v>7.6</v>
      </c>
      <c r="I1026">
        <v>540.5</v>
      </c>
      <c r="J1026">
        <v>722</v>
      </c>
      <c r="K1026">
        <v>40.4</v>
      </c>
      <c r="L1026">
        <v>-662.42</v>
      </c>
      <c r="M1026">
        <v>199.58</v>
      </c>
      <c r="N1026">
        <v>638686</v>
      </c>
      <c r="O1026" t="s">
        <v>2516</v>
      </c>
      <c r="P1026" t="s">
        <v>2641</v>
      </c>
      <c r="Q1026" t="s">
        <v>2641</v>
      </c>
    </row>
    <row r="1027" spans="1:17">
      <c r="A1027">
        <v>2082</v>
      </c>
      <c r="B1027">
        <v>855</v>
      </c>
      <c r="C1027">
        <v>0.75</v>
      </c>
      <c r="D1027">
        <v>0.1956</v>
      </c>
      <c r="E1027">
        <v>1.3765000000000001</v>
      </c>
      <c r="F1027">
        <v>450.88</v>
      </c>
      <c r="G1027">
        <v>0</v>
      </c>
      <c r="H1027">
        <v>7.57</v>
      </c>
      <c r="I1027">
        <v>576.61</v>
      </c>
      <c r="J1027">
        <v>740.15</v>
      </c>
      <c r="K1027">
        <v>342.85</v>
      </c>
      <c r="L1027">
        <v>-697.2</v>
      </c>
      <c r="M1027">
        <v>115.4</v>
      </c>
      <c r="N1027">
        <v>544854</v>
      </c>
      <c r="O1027" t="s">
        <v>2804</v>
      </c>
      <c r="P1027" t="s">
        <v>2642</v>
      </c>
      <c r="Q1027" t="s">
        <v>2643</v>
      </c>
    </row>
    <row r="1028" spans="1:17">
      <c r="A1028">
        <v>2086</v>
      </c>
      <c r="B1028">
        <v>874</v>
      </c>
      <c r="C1028">
        <v>0.68</v>
      </c>
      <c r="D1028">
        <v>0.19189999999999999</v>
      </c>
      <c r="E1028">
        <v>1.526</v>
      </c>
      <c r="F1028">
        <v>506.98</v>
      </c>
      <c r="G1028">
        <v>0</v>
      </c>
      <c r="H1028">
        <v>7.5</v>
      </c>
      <c r="I1028">
        <v>648.42999999999995</v>
      </c>
      <c r="J1028">
        <v>770.15</v>
      </c>
      <c r="K1028">
        <v>349.35</v>
      </c>
      <c r="L1028">
        <v>-788.5</v>
      </c>
      <c r="M1028">
        <v>245.4</v>
      </c>
      <c r="N1028">
        <v>630068</v>
      </c>
      <c r="O1028" t="s">
        <v>2804</v>
      </c>
      <c r="P1028" t="s">
        <v>2644</v>
      </c>
      <c r="Q1028" t="s">
        <v>2645</v>
      </c>
    </row>
    <row r="1029" spans="1:17">
      <c r="A1029">
        <v>2088</v>
      </c>
      <c r="B1029">
        <v>684.2</v>
      </c>
      <c r="C1029">
        <v>4.5350000000000001</v>
      </c>
      <c r="D1029">
        <v>0.251</v>
      </c>
      <c r="E1029">
        <v>0.30630000000000002</v>
      </c>
      <c r="F1029">
        <v>96.13</v>
      </c>
      <c r="G1029">
        <v>0</v>
      </c>
      <c r="H1029">
        <v>10.56</v>
      </c>
      <c r="I1029">
        <v>97.4</v>
      </c>
      <c r="J1029">
        <v>445.15</v>
      </c>
      <c r="K1029">
        <v>220.2</v>
      </c>
      <c r="L1029">
        <v>-122.2</v>
      </c>
      <c r="M1029">
        <v>-17.329999999999998</v>
      </c>
      <c r="N1029">
        <v>930687</v>
      </c>
      <c r="O1029" t="s">
        <v>2802</v>
      </c>
      <c r="P1029" t="s">
        <v>2859</v>
      </c>
      <c r="Q1029" t="s">
        <v>2860</v>
      </c>
    </row>
    <row r="1030" spans="1:17">
      <c r="A1030">
        <v>2095</v>
      </c>
      <c r="B1030">
        <v>613.1</v>
      </c>
      <c r="C1030">
        <v>2.173</v>
      </c>
      <c r="D1030">
        <v>0.24929999999999999</v>
      </c>
      <c r="E1030">
        <v>0.42449999999999999</v>
      </c>
      <c r="F1030">
        <v>142.29</v>
      </c>
      <c r="G1030">
        <v>0</v>
      </c>
      <c r="H1030">
        <v>7.49</v>
      </c>
      <c r="I1030">
        <v>193.81</v>
      </c>
      <c r="J1030">
        <v>437.46</v>
      </c>
      <c r="K1030">
        <v>190</v>
      </c>
      <c r="L1030">
        <v>-256.3</v>
      </c>
      <c r="M1030">
        <v>30.3</v>
      </c>
      <c r="N1030">
        <v>7146603</v>
      </c>
      <c r="O1030" t="s">
        <v>568</v>
      </c>
      <c r="P1030" t="s">
        <v>1327</v>
      </c>
      <c r="Q1030" t="s">
        <v>1407</v>
      </c>
    </row>
    <row r="1031" spans="1:17">
      <c r="A1031">
        <v>2096</v>
      </c>
      <c r="B1031">
        <v>600</v>
      </c>
      <c r="C1031">
        <v>2.17</v>
      </c>
      <c r="D1031">
        <v>0.25009999999999999</v>
      </c>
      <c r="E1031">
        <v>0.4345</v>
      </c>
      <c r="F1031">
        <v>142.29</v>
      </c>
      <c r="G1031">
        <v>0</v>
      </c>
      <c r="H1031">
        <v>7.34</v>
      </c>
      <c r="I1031">
        <v>196.97</v>
      </c>
      <c r="J1031">
        <v>429.05</v>
      </c>
      <c r="K1031">
        <v>190</v>
      </c>
      <c r="L1031">
        <v>-262</v>
      </c>
      <c r="M1031">
        <v>28.01</v>
      </c>
      <c r="N1031">
        <v>4032944</v>
      </c>
      <c r="O1031" t="s">
        <v>568</v>
      </c>
      <c r="P1031" t="s">
        <v>1327</v>
      </c>
      <c r="Q1031" t="s">
        <v>1328</v>
      </c>
    </row>
    <row r="1032" spans="1:17">
      <c r="A1032">
        <v>2097</v>
      </c>
      <c r="B1032">
        <v>603</v>
      </c>
      <c r="C1032">
        <v>2.17</v>
      </c>
      <c r="D1032">
        <v>0.24890000000000001</v>
      </c>
      <c r="E1032">
        <v>0.44030000000000002</v>
      </c>
      <c r="F1032">
        <v>142.29</v>
      </c>
      <c r="G1032">
        <v>0</v>
      </c>
      <c r="H1032">
        <v>7.4</v>
      </c>
      <c r="I1032">
        <v>195.88</v>
      </c>
      <c r="J1032">
        <v>431.65</v>
      </c>
      <c r="K1032">
        <v>188.65</v>
      </c>
      <c r="L1032">
        <v>-261.7</v>
      </c>
      <c r="M1032">
        <v>25.92</v>
      </c>
      <c r="N1032">
        <v>15869893</v>
      </c>
      <c r="O1032" t="s">
        <v>568</v>
      </c>
      <c r="P1032" t="s">
        <v>1327</v>
      </c>
      <c r="Q1032" t="s">
        <v>1350</v>
      </c>
    </row>
    <row r="1033" spans="1:17">
      <c r="A1033">
        <v>2098</v>
      </c>
      <c r="B1033">
        <v>606</v>
      </c>
      <c r="C1033">
        <v>2.17</v>
      </c>
      <c r="D1033">
        <v>0.24759999999999999</v>
      </c>
      <c r="E1033">
        <v>0.43859999999999999</v>
      </c>
      <c r="F1033">
        <v>142.29</v>
      </c>
      <c r="G1033">
        <v>0</v>
      </c>
      <c r="H1033">
        <v>7.34</v>
      </c>
      <c r="I1033">
        <v>196.63</v>
      </c>
      <c r="J1033">
        <v>433.53</v>
      </c>
      <c r="K1033">
        <v>220</v>
      </c>
      <c r="L1033">
        <v>-261.39999999999998</v>
      </c>
      <c r="M1033">
        <v>25.5</v>
      </c>
      <c r="N1033">
        <v>2051301</v>
      </c>
      <c r="O1033" t="s">
        <v>568</v>
      </c>
      <c r="P1033" t="s">
        <v>1327</v>
      </c>
      <c r="Q1033" t="s">
        <v>1369</v>
      </c>
    </row>
    <row r="1034" spans="1:17">
      <c r="A1034">
        <v>2099</v>
      </c>
      <c r="B1034">
        <v>604</v>
      </c>
      <c r="C1034">
        <v>2.13</v>
      </c>
      <c r="D1034">
        <v>0.24390000000000001</v>
      </c>
      <c r="E1034">
        <v>0.442</v>
      </c>
      <c r="F1034">
        <v>142.29</v>
      </c>
      <c r="G1034">
        <v>0</v>
      </c>
      <c r="H1034">
        <v>7.36</v>
      </c>
      <c r="I1034">
        <v>197.59</v>
      </c>
      <c r="J1034">
        <v>433.02</v>
      </c>
      <c r="K1034">
        <v>219.15</v>
      </c>
      <c r="L1034">
        <v>-263.5</v>
      </c>
      <c r="M1034">
        <v>26.09</v>
      </c>
      <c r="N1034">
        <v>1072168</v>
      </c>
      <c r="O1034" t="s">
        <v>568</v>
      </c>
      <c r="P1034" t="s">
        <v>1327</v>
      </c>
      <c r="Q1034" t="s">
        <v>1359</v>
      </c>
    </row>
    <row r="1035" spans="1:17">
      <c r="A1035">
        <v>2112</v>
      </c>
      <c r="B1035">
        <v>716.45</v>
      </c>
      <c r="C1035">
        <v>4.29</v>
      </c>
      <c r="D1035">
        <v>0.27900000000000003</v>
      </c>
      <c r="E1035">
        <v>0.51890000000000003</v>
      </c>
      <c r="F1035">
        <v>122.16</v>
      </c>
      <c r="G1035">
        <v>1</v>
      </c>
      <c r="H1035">
        <v>11.41</v>
      </c>
      <c r="I1035">
        <v>121.38</v>
      </c>
      <c r="J1035">
        <v>491.57</v>
      </c>
      <c r="K1035">
        <v>269.14999999999998</v>
      </c>
      <c r="L1035">
        <v>-146.1</v>
      </c>
      <c r="M1035">
        <v>-25.32</v>
      </c>
      <c r="N1035">
        <v>620177</v>
      </c>
      <c r="O1035" t="s">
        <v>423</v>
      </c>
      <c r="P1035" t="s">
        <v>1610</v>
      </c>
      <c r="Q1035" t="s">
        <v>2861</v>
      </c>
    </row>
    <row r="1036" spans="1:17">
      <c r="A1036">
        <v>2113</v>
      </c>
      <c r="B1036">
        <v>720</v>
      </c>
      <c r="C1036">
        <v>2.11</v>
      </c>
      <c r="D1036">
        <v>0.26679999999999998</v>
      </c>
      <c r="E1036">
        <v>0.68579999999999997</v>
      </c>
      <c r="F1036">
        <v>220.36</v>
      </c>
      <c r="G1036">
        <v>1</v>
      </c>
      <c r="H1036">
        <v>8.1199999999999992</v>
      </c>
      <c r="I1036">
        <v>246.07</v>
      </c>
      <c r="J1036">
        <v>538.15</v>
      </c>
      <c r="K1036">
        <v>342</v>
      </c>
      <c r="L1036">
        <v>-341</v>
      </c>
      <c r="M1036">
        <v>1.72</v>
      </c>
      <c r="N1036">
        <v>128370</v>
      </c>
      <c r="O1036" t="s">
        <v>2516</v>
      </c>
      <c r="P1036" t="s">
        <v>2189</v>
      </c>
      <c r="Q1036" t="s">
        <v>2646</v>
      </c>
    </row>
    <row r="1037" spans="1:17">
      <c r="A1037">
        <v>2115</v>
      </c>
      <c r="B1037">
        <v>684</v>
      </c>
      <c r="C1037">
        <v>3.92</v>
      </c>
      <c r="D1037">
        <v>0.26679999999999998</v>
      </c>
      <c r="E1037">
        <v>0.7429</v>
      </c>
      <c r="F1037">
        <v>122.17</v>
      </c>
      <c r="G1037">
        <v>1</v>
      </c>
      <c r="H1037">
        <v>10.75</v>
      </c>
      <c r="I1037">
        <v>120.22</v>
      </c>
      <c r="J1037">
        <v>491.35</v>
      </c>
      <c r="K1037">
        <v>246</v>
      </c>
      <c r="L1037">
        <v>-121</v>
      </c>
      <c r="M1037">
        <v>-2.85</v>
      </c>
      <c r="N1037">
        <v>60128</v>
      </c>
      <c r="O1037" t="s">
        <v>568</v>
      </c>
      <c r="P1037" t="s">
        <v>1610</v>
      </c>
      <c r="Q1037" t="s">
        <v>1809</v>
      </c>
    </row>
    <row r="1038" spans="1:17">
      <c r="A1038">
        <v>2117</v>
      </c>
      <c r="B1038">
        <v>603</v>
      </c>
      <c r="C1038">
        <v>2.5499999999999998</v>
      </c>
      <c r="D1038">
        <v>0.27360000000000001</v>
      </c>
      <c r="E1038">
        <v>0.80220000000000002</v>
      </c>
      <c r="F1038">
        <v>144.26</v>
      </c>
      <c r="G1038">
        <v>1</v>
      </c>
      <c r="H1038">
        <v>8.74</v>
      </c>
      <c r="I1038">
        <v>178.73</v>
      </c>
      <c r="J1038">
        <v>451</v>
      </c>
      <c r="K1038">
        <v>208</v>
      </c>
      <c r="L1038">
        <v>-410</v>
      </c>
      <c r="M1038">
        <v>-130</v>
      </c>
      <c r="N1038">
        <v>108827</v>
      </c>
      <c r="O1038" t="s">
        <v>568</v>
      </c>
      <c r="P1038" t="s">
        <v>1351</v>
      </c>
      <c r="Q1038" t="s">
        <v>1352</v>
      </c>
    </row>
    <row r="1039" spans="1:17">
      <c r="A1039">
        <v>2195</v>
      </c>
      <c r="B1039">
        <v>765</v>
      </c>
      <c r="C1039">
        <v>2.2799999999999998</v>
      </c>
      <c r="D1039">
        <v>0.24349999999999999</v>
      </c>
      <c r="E1039">
        <v>0.63260000000000005</v>
      </c>
      <c r="F1039">
        <v>206.33</v>
      </c>
      <c r="G1039">
        <v>1</v>
      </c>
      <c r="H1039">
        <v>8.58</v>
      </c>
      <c r="I1039">
        <v>223.19</v>
      </c>
      <c r="J1039">
        <v>563.6</v>
      </c>
      <c r="K1039">
        <v>354</v>
      </c>
      <c r="L1039">
        <v>-291</v>
      </c>
      <c r="M1039">
        <v>22.7</v>
      </c>
      <c r="N1039">
        <v>140669</v>
      </c>
      <c r="O1039" t="s">
        <v>2168</v>
      </c>
      <c r="P1039" t="s">
        <v>2169</v>
      </c>
      <c r="Q1039" t="s">
        <v>2170</v>
      </c>
    </row>
    <row r="1040" spans="1:17">
      <c r="A1040">
        <v>2196</v>
      </c>
      <c r="B1040">
        <v>752</v>
      </c>
      <c r="C1040">
        <v>2.98</v>
      </c>
      <c r="D1040">
        <v>0.2606</v>
      </c>
      <c r="E1040">
        <v>0.5635</v>
      </c>
      <c r="F1040">
        <v>164.25</v>
      </c>
      <c r="G1040">
        <v>1</v>
      </c>
      <c r="H1040">
        <v>9.1199999999999992</v>
      </c>
      <c r="I1040">
        <v>180.27</v>
      </c>
      <c r="J1040">
        <v>535.65</v>
      </c>
      <c r="K1040">
        <v>368</v>
      </c>
      <c r="L1040">
        <v>-212</v>
      </c>
      <c r="M1040">
        <v>5.42</v>
      </c>
      <c r="N1040">
        <v>80466</v>
      </c>
      <c r="O1040" t="s">
        <v>568</v>
      </c>
      <c r="P1040" t="s">
        <v>2115</v>
      </c>
      <c r="Q1040" t="s">
        <v>2116</v>
      </c>
    </row>
    <row r="1041" spans="1:17">
      <c r="A1041">
        <v>2197</v>
      </c>
      <c r="B1041">
        <v>834</v>
      </c>
      <c r="C1041">
        <v>2.86</v>
      </c>
      <c r="D1041">
        <v>0.25469999999999998</v>
      </c>
      <c r="E1041">
        <v>0.68879999999999997</v>
      </c>
      <c r="F1041">
        <v>212.29</v>
      </c>
      <c r="G1041">
        <v>1</v>
      </c>
      <c r="H1041">
        <v>9.66</v>
      </c>
      <c r="I1041">
        <v>204.27</v>
      </c>
      <c r="J1041">
        <v>608.15</v>
      </c>
      <c r="K1041">
        <v>346</v>
      </c>
      <c r="L1041">
        <v>-65.599999999999994</v>
      </c>
      <c r="M1041">
        <v>143</v>
      </c>
      <c r="N1041">
        <v>599644</v>
      </c>
      <c r="O1041" t="s">
        <v>568</v>
      </c>
      <c r="P1041" t="s">
        <v>2365</v>
      </c>
      <c r="Q1041" t="s">
        <v>2366</v>
      </c>
    </row>
    <row r="1042" spans="1:17">
      <c r="A1042">
        <v>2198</v>
      </c>
      <c r="B1042">
        <v>902</v>
      </c>
      <c r="C1042">
        <v>1.24</v>
      </c>
      <c r="D1042">
        <v>0.20699999999999999</v>
      </c>
      <c r="E1042">
        <v>1.1246</v>
      </c>
      <c r="F1042">
        <v>346.6</v>
      </c>
      <c r="G1042">
        <v>1</v>
      </c>
      <c r="H1042">
        <v>9.57</v>
      </c>
      <c r="I1042">
        <v>314.25</v>
      </c>
      <c r="J1042">
        <v>722</v>
      </c>
      <c r="K1042">
        <v>-86</v>
      </c>
      <c r="L1042">
        <v>-487</v>
      </c>
      <c r="M1042">
        <v>68.2</v>
      </c>
      <c r="N1042">
        <v>1323655</v>
      </c>
      <c r="O1042" t="s">
        <v>609</v>
      </c>
      <c r="P1042" t="s">
        <v>2440</v>
      </c>
      <c r="Q1042" t="s">
        <v>2441</v>
      </c>
    </row>
    <row r="1043" spans="1:17">
      <c r="A1043">
        <v>2226</v>
      </c>
      <c r="B1043">
        <v>517</v>
      </c>
      <c r="C1043">
        <v>3.19</v>
      </c>
      <c r="D1043">
        <v>0.28310000000000002</v>
      </c>
      <c r="E1043">
        <v>0.26269999999999999</v>
      </c>
      <c r="F1043">
        <v>84.16</v>
      </c>
      <c r="G1043">
        <v>0</v>
      </c>
      <c r="H1043">
        <v>7.68</v>
      </c>
      <c r="I1043">
        <v>121.43</v>
      </c>
      <c r="J1043">
        <v>343.59</v>
      </c>
      <c r="K1043">
        <v>134.71</v>
      </c>
      <c r="L1043">
        <v>-59.91</v>
      </c>
      <c r="M1043">
        <v>70.040000000000006</v>
      </c>
      <c r="N1043">
        <v>616126</v>
      </c>
      <c r="O1043" t="s">
        <v>863</v>
      </c>
      <c r="P1043" t="s">
        <v>722</v>
      </c>
      <c r="Q1043" t="s">
        <v>864</v>
      </c>
    </row>
    <row r="1044" spans="1:17">
      <c r="A1044">
        <v>2252</v>
      </c>
      <c r="B1044">
        <v>567</v>
      </c>
      <c r="C1044">
        <v>2.6</v>
      </c>
      <c r="D1044">
        <v>0.25440000000000002</v>
      </c>
      <c r="E1044">
        <v>0.35510000000000003</v>
      </c>
      <c r="F1044">
        <v>112.22</v>
      </c>
      <c r="G1044">
        <v>0</v>
      </c>
      <c r="H1044">
        <v>7.42</v>
      </c>
      <c r="I1044">
        <v>156.66</v>
      </c>
      <c r="J1044">
        <v>392.37</v>
      </c>
      <c r="K1044">
        <v>185.78</v>
      </c>
      <c r="L1044">
        <v>-96.99</v>
      </c>
      <c r="M1044">
        <v>93.2</v>
      </c>
      <c r="N1044">
        <v>15870107</v>
      </c>
      <c r="O1044" t="s">
        <v>474</v>
      </c>
      <c r="P1044" t="s">
        <v>1022</v>
      </c>
      <c r="Q1044" t="s">
        <v>1146</v>
      </c>
    </row>
    <row r="1045" spans="1:17">
      <c r="A1045">
        <v>2255</v>
      </c>
      <c r="B1045">
        <v>780</v>
      </c>
      <c r="C1045">
        <v>1.44</v>
      </c>
      <c r="D1045">
        <v>0.2094</v>
      </c>
      <c r="E1045">
        <v>1.1870000000000001</v>
      </c>
      <c r="F1045">
        <v>278.44</v>
      </c>
      <c r="G1045">
        <v>0</v>
      </c>
      <c r="H1045">
        <v>9.2799999999999994</v>
      </c>
      <c r="I1045">
        <v>305.14999999999998</v>
      </c>
      <c r="J1045">
        <v>632</v>
      </c>
      <c r="K1045">
        <v>262.64999999999998</v>
      </c>
      <c r="L1045">
        <v>-413.9</v>
      </c>
      <c r="M1045">
        <v>-4.93</v>
      </c>
      <c r="N1045">
        <v>463401</v>
      </c>
      <c r="O1045" t="s">
        <v>961</v>
      </c>
      <c r="P1045" t="s">
        <v>2234</v>
      </c>
      <c r="Q1045" t="s">
        <v>2235</v>
      </c>
    </row>
    <row r="1046" spans="1:17">
      <c r="A1046">
        <v>2256</v>
      </c>
      <c r="B1046">
        <v>832</v>
      </c>
      <c r="C1046">
        <v>1.68</v>
      </c>
      <c r="D1046">
        <v>0.22589999999999999</v>
      </c>
      <c r="E1046">
        <v>1.1288</v>
      </c>
      <c r="F1046">
        <v>302.45999999999998</v>
      </c>
      <c r="G1046">
        <v>0</v>
      </c>
      <c r="H1046">
        <v>9.1199999999999992</v>
      </c>
      <c r="I1046">
        <v>282.07</v>
      </c>
      <c r="J1046">
        <v>649.70000000000005</v>
      </c>
      <c r="K1046">
        <v>446.65</v>
      </c>
      <c r="L1046">
        <v>-537</v>
      </c>
      <c r="M1046">
        <v>-50.9</v>
      </c>
      <c r="N1046">
        <v>514103</v>
      </c>
      <c r="O1046" t="s">
        <v>2516</v>
      </c>
      <c r="P1046" t="s">
        <v>2647</v>
      </c>
      <c r="Q1046" t="s">
        <v>2648</v>
      </c>
    </row>
    <row r="1047" spans="1:17">
      <c r="A1047">
        <v>2257</v>
      </c>
      <c r="B1047">
        <v>844</v>
      </c>
      <c r="C1047">
        <v>2.72</v>
      </c>
      <c r="D1047">
        <v>0.21640000000000001</v>
      </c>
      <c r="E1047">
        <v>0.89229999999999998</v>
      </c>
      <c r="F1047">
        <v>188.22</v>
      </c>
      <c r="G1047">
        <v>0</v>
      </c>
      <c r="H1047">
        <v>11.72</v>
      </c>
      <c r="I1047">
        <v>179.86</v>
      </c>
      <c r="J1047">
        <v>633.15</v>
      </c>
      <c r="K1047">
        <v>383.15</v>
      </c>
      <c r="L1047">
        <v>-927</v>
      </c>
      <c r="M1047">
        <v>-657</v>
      </c>
      <c r="N1047">
        <v>123999</v>
      </c>
      <c r="O1047" t="s">
        <v>2393</v>
      </c>
      <c r="P1047" t="s">
        <v>2394</v>
      </c>
      <c r="Q1047" t="s">
        <v>2395</v>
      </c>
    </row>
    <row r="1048" spans="1:17">
      <c r="A1048">
        <v>2258</v>
      </c>
      <c r="B1048">
        <v>632</v>
      </c>
      <c r="C1048">
        <v>3.89</v>
      </c>
      <c r="D1048">
        <v>0.2487</v>
      </c>
      <c r="E1048">
        <v>0.51280000000000003</v>
      </c>
      <c r="F1048">
        <v>102.13</v>
      </c>
      <c r="G1048">
        <v>0</v>
      </c>
      <c r="H1048">
        <v>11.22</v>
      </c>
      <c r="I1048">
        <v>112.49</v>
      </c>
      <c r="J1048">
        <v>436.95</v>
      </c>
      <c r="K1048">
        <v>308.82</v>
      </c>
      <c r="L1048">
        <v>-491.3</v>
      </c>
      <c r="M1048">
        <v>-337.9</v>
      </c>
      <c r="N1048">
        <v>75989</v>
      </c>
      <c r="O1048" t="s">
        <v>2516</v>
      </c>
      <c r="P1048" t="s">
        <v>369</v>
      </c>
      <c r="Q1048" t="s">
        <v>2649</v>
      </c>
    </row>
    <row r="1049" spans="1:17">
      <c r="A1049">
        <v>2259</v>
      </c>
      <c r="B1049">
        <v>774</v>
      </c>
      <c r="C1049">
        <v>1.57</v>
      </c>
      <c r="D1049">
        <v>0.21709999999999999</v>
      </c>
      <c r="E1049">
        <v>0.96389999999999998</v>
      </c>
      <c r="F1049">
        <v>242.4</v>
      </c>
      <c r="G1049">
        <v>0</v>
      </c>
      <c r="H1049">
        <v>9</v>
      </c>
      <c r="I1049">
        <v>280.89999999999998</v>
      </c>
      <c r="J1049">
        <v>612.04999999999995</v>
      </c>
      <c r="K1049">
        <v>325.75</v>
      </c>
      <c r="L1049">
        <v>-702</v>
      </c>
      <c r="M1049">
        <v>-266</v>
      </c>
      <c r="N1049">
        <v>1002842</v>
      </c>
      <c r="O1049" t="s">
        <v>568</v>
      </c>
      <c r="P1049" t="s">
        <v>2205</v>
      </c>
      <c r="Q1049" t="s">
        <v>2206</v>
      </c>
    </row>
    <row r="1050" spans="1:17">
      <c r="A1050">
        <v>2260</v>
      </c>
      <c r="B1050">
        <v>674.6</v>
      </c>
      <c r="C1050">
        <v>2.778</v>
      </c>
      <c r="D1050">
        <v>0.26200000000000001</v>
      </c>
      <c r="E1050">
        <v>0.80130000000000001</v>
      </c>
      <c r="F1050">
        <v>144.21</v>
      </c>
      <c r="G1050">
        <v>0</v>
      </c>
      <c r="H1050">
        <v>10.56</v>
      </c>
      <c r="I1050">
        <v>159.9</v>
      </c>
      <c r="J1050">
        <v>500.66</v>
      </c>
      <c r="K1050">
        <v>155.15</v>
      </c>
      <c r="L1050">
        <v>-559.5</v>
      </c>
      <c r="M1050">
        <v>-324.89999999999998</v>
      </c>
      <c r="N1050">
        <v>149575</v>
      </c>
      <c r="O1050" t="s">
        <v>2802</v>
      </c>
      <c r="P1050" t="s">
        <v>1340</v>
      </c>
      <c r="Q1050" t="s">
        <v>2862</v>
      </c>
    </row>
    <row r="1051" spans="1:17">
      <c r="A1051">
        <v>2261</v>
      </c>
      <c r="B1051">
        <v>677.3</v>
      </c>
      <c r="C1051">
        <v>3.0430000000000001</v>
      </c>
      <c r="D1051">
        <v>0.23380000000000001</v>
      </c>
      <c r="E1051">
        <v>0.75990000000000002</v>
      </c>
      <c r="F1051">
        <v>130.19</v>
      </c>
      <c r="G1051">
        <v>0</v>
      </c>
      <c r="H1051">
        <v>11.25</v>
      </c>
      <c r="I1051">
        <v>142.56</v>
      </c>
      <c r="J1051">
        <v>496.15</v>
      </c>
      <c r="K1051">
        <v>267</v>
      </c>
      <c r="L1051">
        <v>-537</v>
      </c>
      <c r="M1051">
        <v>-334</v>
      </c>
      <c r="N1051">
        <v>111148</v>
      </c>
      <c r="O1051" t="s">
        <v>568</v>
      </c>
      <c r="P1051" t="s">
        <v>1226</v>
      </c>
      <c r="Q1051" t="s">
        <v>1779</v>
      </c>
    </row>
    <row r="1052" spans="1:17">
      <c r="A1052">
        <v>2265</v>
      </c>
      <c r="B1052">
        <v>813</v>
      </c>
      <c r="C1052">
        <v>1.43</v>
      </c>
      <c r="D1052">
        <v>0.20499999999999999</v>
      </c>
      <c r="E1052">
        <v>1.0663</v>
      </c>
      <c r="F1052">
        <v>270.45999999999998</v>
      </c>
      <c r="G1052">
        <v>0</v>
      </c>
      <c r="H1052">
        <v>8.66</v>
      </c>
      <c r="I1052">
        <v>316.81</v>
      </c>
      <c r="J1052">
        <v>636.95000000000005</v>
      </c>
      <c r="K1052">
        <v>335.65</v>
      </c>
      <c r="L1052">
        <v>-743</v>
      </c>
      <c r="M1052">
        <v>-252</v>
      </c>
      <c r="N1052">
        <v>506127</v>
      </c>
      <c r="O1052" t="s">
        <v>2516</v>
      </c>
      <c r="P1052" t="s">
        <v>2584</v>
      </c>
      <c r="Q1052" t="s">
        <v>2792</v>
      </c>
    </row>
    <row r="1053" spans="1:17">
      <c r="A1053">
        <v>2266</v>
      </c>
      <c r="B1053">
        <v>810</v>
      </c>
      <c r="C1053">
        <v>1.3</v>
      </c>
      <c r="D1053">
        <v>0.20849999999999999</v>
      </c>
      <c r="E1053">
        <v>1.07</v>
      </c>
      <c r="F1053">
        <v>298.51</v>
      </c>
      <c r="G1053">
        <v>0</v>
      </c>
      <c r="H1053">
        <v>8.35</v>
      </c>
      <c r="I1053">
        <v>351.97</v>
      </c>
      <c r="J1053">
        <v>659.15</v>
      </c>
      <c r="K1053">
        <v>341.15</v>
      </c>
      <c r="L1053">
        <v>-784</v>
      </c>
      <c r="M1053">
        <v>-236</v>
      </c>
      <c r="N1053">
        <v>646300</v>
      </c>
      <c r="O1053" t="s">
        <v>2516</v>
      </c>
      <c r="P1053" t="s">
        <v>2793</v>
      </c>
      <c r="Q1053" t="s">
        <v>2794</v>
      </c>
    </row>
    <row r="1054" spans="1:17">
      <c r="A1054">
        <v>2267</v>
      </c>
      <c r="B1054">
        <v>839</v>
      </c>
      <c r="C1054">
        <v>1.24</v>
      </c>
      <c r="D1054">
        <v>0.2009</v>
      </c>
      <c r="E1054">
        <v>1.0855999999999999</v>
      </c>
      <c r="F1054">
        <v>312.54000000000002</v>
      </c>
      <c r="G1054">
        <v>0</v>
      </c>
      <c r="H1054">
        <v>8.2200000000000006</v>
      </c>
      <c r="I1054">
        <v>371.42</v>
      </c>
      <c r="J1054">
        <v>601.15</v>
      </c>
      <c r="K1054">
        <v>350.15</v>
      </c>
      <c r="L1054">
        <v>-812.4</v>
      </c>
      <c r="M1054">
        <v>-234.5</v>
      </c>
      <c r="N1054">
        <v>506309</v>
      </c>
      <c r="O1054" t="s">
        <v>2516</v>
      </c>
      <c r="P1054" t="s">
        <v>2795</v>
      </c>
      <c r="Q1054" t="s">
        <v>2796</v>
      </c>
    </row>
    <row r="1055" spans="1:17">
      <c r="A1055">
        <v>2268</v>
      </c>
      <c r="B1055">
        <v>771</v>
      </c>
      <c r="C1055">
        <v>4.9800000000000004</v>
      </c>
      <c r="D1055">
        <v>0.23069999999999999</v>
      </c>
      <c r="E1055">
        <v>0.98850000000000005</v>
      </c>
      <c r="F1055">
        <v>116.07</v>
      </c>
      <c r="G1055">
        <v>0</v>
      </c>
      <c r="H1055">
        <v>12.01</v>
      </c>
      <c r="I1055">
        <v>108.47</v>
      </c>
      <c r="J1055">
        <v>563.15</v>
      </c>
      <c r="K1055">
        <v>560.15</v>
      </c>
      <c r="L1055">
        <v>-679.5</v>
      </c>
      <c r="M1055">
        <v>-582.20000000000005</v>
      </c>
      <c r="N1055">
        <v>110178</v>
      </c>
      <c r="O1055" t="s">
        <v>787</v>
      </c>
      <c r="P1055" t="s">
        <v>2195</v>
      </c>
      <c r="Q1055" t="s">
        <v>2196</v>
      </c>
    </row>
    <row r="1056" spans="1:17">
      <c r="A1056">
        <v>2269</v>
      </c>
      <c r="B1056">
        <v>842</v>
      </c>
      <c r="C1056">
        <v>3.28</v>
      </c>
      <c r="D1056">
        <v>0.22</v>
      </c>
      <c r="E1056">
        <v>0.81140000000000001</v>
      </c>
      <c r="F1056">
        <v>160.16999999999999</v>
      </c>
      <c r="G1056">
        <v>0</v>
      </c>
      <c r="H1056">
        <v>13.33</v>
      </c>
      <c r="I1056">
        <v>132.72</v>
      </c>
      <c r="J1056">
        <v>615.25</v>
      </c>
      <c r="K1056">
        <v>377.15</v>
      </c>
      <c r="L1056">
        <v>-1009.4</v>
      </c>
      <c r="M1056">
        <v>-673</v>
      </c>
      <c r="N1056">
        <v>111160</v>
      </c>
      <c r="O1056" t="s">
        <v>568</v>
      </c>
      <c r="P1056" t="s">
        <v>1649</v>
      </c>
      <c r="Q1056" t="s">
        <v>2388</v>
      </c>
    </row>
    <row r="1057" spans="1:17">
      <c r="A1057">
        <v>2270</v>
      </c>
      <c r="B1057">
        <v>843</v>
      </c>
      <c r="C1057">
        <v>2.97</v>
      </c>
      <c r="D1057">
        <v>0.21879999999999999</v>
      </c>
      <c r="E1057">
        <v>0.85140000000000005</v>
      </c>
      <c r="F1057">
        <v>174.2</v>
      </c>
      <c r="G1057">
        <v>0</v>
      </c>
      <c r="H1057">
        <v>11.94</v>
      </c>
      <c r="I1057">
        <v>151.85</v>
      </c>
      <c r="J1057">
        <v>573.15</v>
      </c>
      <c r="K1057">
        <v>415.15</v>
      </c>
      <c r="L1057">
        <v>-894.9</v>
      </c>
      <c r="M1057">
        <v>-653.70000000000005</v>
      </c>
      <c r="N1057">
        <v>505486</v>
      </c>
      <c r="O1057" t="s">
        <v>545</v>
      </c>
      <c r="P1057" t="s">
        <v>1718</v>
      </c>
      <c r="Q1057" t="s">
        <v>2389</v>
      </c>
    </row>
    <row r="1058" spans="1:17">
      <c r="A1058">
        <v>2271</v>
      </c>
      <c r="B1058">
        <v>797</v>
      </c>
      <c r="C1058">
        <v>3.54</v>
      </c>
      <c r="D1058">
        <v>0.23019999999999999</v>
      </c>
      <c r="E1058">
        <v>0.71209999999999996</v>
      </c>
      <c r="F1058">
        <v>148.16</v>
      </c>
      <c r="G1058">
        <v>0</v>
      </c>
      <c r="H1058">
        <v>11.76</v>
      </c>
      <c r="I1058">
        <v>138.74</v>
      </c>
      <c r="J1058">
        <v>573.15</v>
      </c>
      <c r="K1058">
        <v>406.65</v>
      </c>
      <c r="L1058">
        <v>-224.6</v>
      </c>
      <c r="M1058">
        <v>-131</v>
      </c>
      <c r="N1058">
        <v>140103</v>
      </c>
      <c r="O1058" t="s">
        <v>568</v>
      </c>
      <c r="P1058" t="s">
        <v>2284</v>
      </c>
      <c r="Q1058" t="s">
        <v>2285</v>
      </c>
    </row>
    <row r="1059" spans="1:17">
      <c r="A1059">
        <v>2275</v>
      </c>
      <c r="B1059">
        <v>845</v>
      </c>
      <c r="C1059">
        <v>2.5</v>
      </c>
      <c r="D1059">
        <v>0.2185</v>
      </c>
      <c r="E1059">
        <v>0.96079999999999999</v>
      </c>
      <c r="F1059">
        <v>202.25</v>
      </c>
      <c r="G1059">
        <v>0</v>
      </c>
      <c r="H1059">
        <v>11.02</v>
      </c>
      <c r="I1059">
        <v>196.07</v>
      </c>
      <c r="J1059">
        <v>625</v>
      </c>
      <c r="K1059">
        <v>407.65</v>
      </c>
      <c r="L1059">
        <v>-921.9</v>
      </c>
      <c r="M1059">
        <v>-623</v>
      </c>
      <c r="N1059">
        <v>111206</v>
      </c>
      <c r="O1059" t="s">
        <v>609</v>
      </c>
      <c r="P1059" t="s">
        <v>2398</v>
      </c>
      <c r="Q1059" t="s">
        <v>2399</v>
      </c>
    </row>
    <row r="1060" spans="1:17">
      <c r="A1060">
        <v>2277</v>
      </c>
      <c r="B1060">
        <v>829</v>
      </c>
      <c r="C1060">
        <v>4.24</v>
      </c>
      <c r="D1060">
        <v>0.2092</v>
      </c>
      <c r="E1060">
        <v>0.92689999999999995</v>
      </c>
      <c r="F1060">
        <v>130.1</v>
      </c>
      <c r="G1060">
        <v>0</v>
      </c>
      <c r="H1060">
        <v>15.5</v>
      </c>
      <c r="I1060">
        <v>94.24</v>
      </c>
      <c r="J1060">
        <v>607</v>
      </c>
      <c r="K1060">
        <v>366.65</v>
      </c>
      <c r="L1060">
        <v>-824.46</v>
      </c>
      <c r="M1060">
        <v>-622</v>
      </c>
      <c r="N1060">
        <v>498237</v>
      </c>
      <c r="O1060" t="s">
        <v>1861</v>
      </c>
      <c r="P1060" t="s">
        <v>2330</v>
      </c>
      <c r="Q1060" t="s">
        <v>2354</v>
      </c>
    </row>
    <row r="1061" spans="1:17">
      <c r="A1061">
        <v>2278</v>
      </c>
      <c r="B1061">
        <v>821</v>
      </c>
      <c r="C1061">
        <v>4.24</v>
      </c>
      <c r="D1061">
        <v>0.2112</v>
      </c>
      <c r="E1061">
        <v>0.92469999999999997</v>
      </c>
      <c r="F1061">
        <v>130.1</v>
      </c>
      <c r="G1061">
        <v>0</v>
      </c>
      <c r="H1061">
        <v>14.11</v>
      </c>
      <c r="I1061">
        <v>102.02</v>
      </c>
      <c r="J1061">
        <v>551</v>
      </c>
      <c r="K1061">
        <v>448.15</v>
      </c>
      <c r="L1061">
        <v>-841.1</v>
      </c>
      <c r="M1061">
        <v>-612</v>
      </c>
      <c r="N1061">
        <v>97654</v>
      </c>
      <c r="O1061" t="s">
        <v>1861</v>
      </c>
      <c r="P1061" t="s">
        <v>2330</v>
      </c>
      <c r="Q1061" t="s">
        <v>2331</v>
      </c>
    </row>
    <row r="1062" spans="1:17">
      <c r="A1062">
        <v>2279</v>
      </c>
      <c r="B1062">
        <v>655</v>
      </c>
      <c r="C1062">
        <v>3.41</v>
      </c>
      <c r="D1062">
        <v>0.24360000000000001</v>
      </c>
      <c r="E1062">
        <v>0.63260000000000005</v>
      </c>
      <c r="F1062">
        <v>116.16</v>
      </c>
      <c r="G1062">
        <v>0</v>
      </c>
      <c r="H1062">
        <v>10.63</v>
      </c>
      <c r="I1062">
        <v>126.34</v>
      </c>
      <c r="J1062">
        <v>466.95</v>
      </c>
      <c r="K1062">
        <v>259.14999999999998</v>
      </c>
      <c r="L1062">
        <v>-517</v>
      </c>
      <c r="M1062">
        <v>-338</v>
      </c>
      <c r="N1062">
        <v>88095</v>
      </c>
      <c r="O1062" t="s">
        <v>568</v>
      </c>
      <c r="P1062" t="s">
        <v>996</v>
      </c>
      <c r="Q1062" t="s">
        <v>1672</v>
      </c>
    </row>
    <row r="1063" spans="1:17">
      <c r="A1063">
        <v>2280</v>
      </c>
      <c r="B1063">
        <v>693</v>
      </c>
      <c r="C1063">
        <v>4.71</v>
      </c>
      <c r="D1063">
        <v>0.25419999999999998</v>
      </c>
      <c r="E1063">
        <v>0.99219999999999997</v>
      </c>
      <c r="F1063">
        <v>118.09</v>
      </c>
      <c r="G1063">
        <v>0</v>
      </c>
      <c r="H1063">
        <v>14.34</v>
      </c>
      <c r="I1063">
        <v>97.45</v>
      </c>
      <c r="J1063">
        <v>508.15</v>
      </c>
      <c r="K1063">
        <v>461.25</v>
      </c>
      <c r="L1063">
        <v>-822.9</v>
      </c>
      <c r="M1063">
        <v>-697.3</v>
      </c>
      <c r="N1063">
        <v>110156</v>
      </c>
      <c r="O1063" t="s">
        <v>2516</v>
      </c>
      <c r="P1063" t="s">
        <v>2790</v>
      </c>
      <c r="Q1063" t="s">
        <v>2791</v>
      </c>
    </row>
    <row r="1064" spans="1:17">
      <c r="A1064">
        <v>2281</v>
      </c>
      <c r="B1064">
        <v>840</v>
      </c>
      <c r="C1064">
        <v>4.2699999999999996</v>
      </c>
      <c r="D1064">
        <v>0.21859999999999999</v>
      </c>
      <c r="E1064">
        <v>0.75260000000000005</v>
      </c>
      <c r="F1064">
        <v>132.12</v>
      </c>
      <c r="G1064">
        <v>0</v>
      </c>
      <c r="H1064">
        <v>14.38</v>
      </c>
      <c r="I1064">
        <v>109.2</v>
      </c>
      <c r="J1064">
        <v>576.15</v>
      </c>
      <c r="K1064">
        <v>372.45</v>
      </c>
      <c r="L1064">
        <v>-844.1</v>
      </c>
      <c r="M1064">
        <v>-689.8</v>
      </c>
      <c r="N1064">
        <v>110941</v>
      </c>
      <c r="O1064" t="s">
        <v>609</v>
      </c>
      <c r="P1064" t="s">
        <v>2382</v>
      </c>
      <c r="Q1064" t="s">
        <v>2383</v>
      </c>
    </row>
    <row r="1065" spans="1:17">
      <c r="A1065">
        <v>2282</v>
      </c>
      <c r="B1065">
        <v>893</v>
      </c>
      <c r="C1065">
        <v>3.14</v>
      </c>
      <c r="D1065">
        <v>0.247</v>
      </c>
      <c r="E1065">
        <v>1.8301000000000001</v>
      </c>
      <c r="F1065">
        <v>254.15</v>
      </c>
      <c r="G1065">
        <v>0</v>
      </c>
      <c r="H1065">
        <v>12.47</v>
      </c>
      <c r="I1065">
        <v>202.28</v>
      </c>
      <c r="J1065">
        <v>722</v>
      </c>
      <c r="K1065">
        <v>539</v>
      </c>
      <c r="L1065">
        <v>-1480</v>
      </c>
      <c r="M1065">
        <v>-1286</v>
      </c>
      <c r="N1065">
        <v>89054</v>
      </c>
      <c r="O1065" t="s">
        <v>2516</v>
      </c>
      <c r="P1065" t="s">
        <v>2797</v>
      </c>
      <c r="Q1065" t="s">
        <v>2798</v>
      </c>
    </row>
    <row r="1066" spans="1:17">
      <c r="A1066">
        <v>2305</v>
      </c>
      <c r="B1066">
        <v>546</v>
      </c>
      <c r="C1066">
        <v>3.58</v>
      </c>
      <c r="D1066">
        <v>0.2586</v>
      </c>
      <c r="E1066">
        <v>0.34889999999999999</v>
      </c>
      <c r="F1066">
        <v>102.13</v>
      </c>
      <c r="G1066">
        <v>0</v>
      </c>
      <c r="H1066">
        <v>8.4700000000000006</v>
      </c>
      <c r="I1066">
        <v>116.32</v>
      </c>
      <c r="J1066">
        <v>366.55</v>
      </c>
      <c r="K1066">
        <v>156</v>
      </c>
      <c r="L1066">
        <v>-445.4</v>
      </c>
      <c r="M1066">
        <v>-301.7</v>
      </c>
      <c r="N1066">
        <v>589402</v>
      </c>
      <c r="O1066" t="s">
        <v>566</v>
      </c>
      <c r="P1066" t="s">
        <v>369</v>
      </c>
      <c r="Q1066" t="s">
        <v>1008</v>
      </c>
    </row>
    <row r="1067" spans="1:17">
      <c r="A1067">
        <v>2306</v>
      </c>
      <c r="B1067">
        <v>537</v>
      </c>
      <c r="C1067">
        <v>3.58</v>
      </c>
      <c r="D1067">
        <v>0.2586</v>
      </c>
      <c r="E1067">
        <v>0.2944</v>
      </c>
      <c r="F1067">
        <v>102.13</v>
      </c>
      <c r="G1067">
        <v>0</v>
      </c>
      <c r="H1067">
        <v>8.09</v>
      </c>
      <c r="I1067">
        <v>117.15</v>
      </c>
      <c r="J1067">
        <v>355.95</v>
      </c>
      <c r="K1067">
        <v>256</v>
      </c>
      <c r="L1067">
        <v>-465.1</v>
      </c>
      <c r="M1067">
        <v>-311.60000000000002</v>
      </c>
      <c r="N1067">
        <v>762754</v>
      </c>
      <c r="O1067" t="s">
        <v>566</v>
      </c>
      <c r="P1067" t="s">
        <v>369</v>
      </c>
      <c r="Q1067" t="s">
        <v>948</v>
      </c>
    </row>
    <row r="1068" spans="1:17">
      <c r="A1068">
        <v>2307</v>
      </c>
      <c r="B1068">
        <v>607</v>
      </c>
      <c r="C1068">
        <v>2.8</v>
      </c>
      <c r="D1068">
        <v>0.25440000000000002</v>
      </c>
      <c r="E1068">
        <v>0.48299999999999998</v>
      </c>
      <c r="F1068">
        <v>130.19</v>
      </c>
      <c r="G1068">
        <v>0</v>
      </c>
      <c r="H1068">
        <v>8.69</v>
      </c>
      <c r="I1068">
        <v>148.80000000000001</v>
      </c>
      <c r="J1068">
        <v>428.65</v>
      </c>
      <c r="K1068">
        <v>210.15</v>
      </c>
      <c r="L1068">
        <v>-469</v>
      </c>
      <c r="M1068">
        <v>-268.39999999999998</v>
      </c>
      <c r="N1068">
        <v>629334</v>
      </c>
      <c r="O1068" t="s">
        <v>566</v>
      </c>
      <c r="P1068" t="s">
        <v>1226</v>
      </c>
      <c r="Q1068" t="s">
        <v>1375</v>
      </c>
    </row>
    <row r="1069" spans="1:17">
      <c r="A1069">
        <v>2308</v>
      </c>
      <c r="B1069">
        <v>628</v>
      </c>
      <c r="C1069">
        <v>2.54</v>
      </c>
      <c r="D1069">
        <v>0.24809999999999999</v>
      </c>
      <c r="E1069">
        <v>0.53369999999999995</v>
      </c>
      <c r="F1069">
        <v>144.21</v>
      </c>
      <c r="G1069">
        <v>0</v>
      </c>
      <c r="H1069">
        <v>8.57</v>
      </c>
      <c r="I1069">
        <v>165.03</v>
      </c>
      <c r="J1069">
        <v>451.25</v>
      </c>
      <c r="K1069">
        <v>221.15</v>
      </c>
      <c r="L1069">
        <v>-489.8</v>
      </c>
      <c r="M1069">
        <v>-260.3</v>
      </c>
      <c r="N1069">
        <v>112232</v>
      </c>
      <c r="O1069" t="s">
        <v>566</v>
      </c>
      <c r="P1069" t="s">
        <v>1340</v>
      </c>
      <c r="Q1069" t="s">
        <v>1505</v>
      </c>
    </row>
    <row r="1070" spans="1:17">
      <c r="A1070">
        <v>2321</v>
      </c>
      <c r="B1070">
        <v>545</v>
      </c>
      <c r="C1070">
        <v>3.17</v>
      </c>
      <c r="D1070">
        <v>0.27210000000000001</v>
      </c>
      <c r="E1070">
        <v>0.33960000000000001</v>
      </c>
      <c r="F1070">
        <v>116.16</v>
      </c>
      <c r="G1070">
        <v>0</v>
      </c>
      <c r="H1070">
        <v>7.94</v>
      </c>
      <c r="I1070">
        <v>134.84</v>
      </c>
      <c r="J1070">
        <v>369.15</v>
      </c>
      <c r="K1070">
        <v>215</v>
      </c>
      <c r="L1070">
        <v>-523</v>
      </c>
      <c r="M1070">
        <v>-339.1</v>
      </c>
      <c r="N1070">
        <v>540885</v>
      </c>
      <c r="O1070" t="s">
        <v>995</v>
      </c>
      <c r="P1070" t="s">
        <v>996</v>
      </c>
      <c r="Q1070" t="s">
        <v>997</v>
      </c>
    </row>
    <row r="1071" spans="1:17">
      <c r="A1071">
        <v>2332</v>
      </c>
      <c r="B1071">
        <v>540.70000000000005</v>
      </c>
      <c r="C1071">
        <v>3.4319999999999999</v>
      </c>
      <c r="D1071">
        <v>0.2586</v>
      </c>
      <c r="E1071">
        <v>0.36370000000000002</v>
      </c>
      <c r="F1071">
        <v>102.13</v>
      </c>
      <c r="G1071">
        <v>0</v>
      </c>
      <c r="H1071">
        <v>8.5399999999999991</v>
      </c>
      <c r="I1071">
        <v>115.58</v>
      </c>
      <c r="J1071">
        <v>363.15</v>
      </c>
      <c r="K1071">
        <v>188.45</v>
      </c>
      <c r="L1071">
        <v>-464</v>
      </c>
      <c r="M1071">
        <v>-316.5</v>
      </c>
      <c r="N1071">
        <v>547637</v>
      </c>
      <c r="O1071" t="s">
        <v>423</v>
      </c>
      <c r="P1071" t="s">
        <v>369</v>
      </c>
      <c r="Q1071" t="s">
        <v>970</v>
      </c>
    </row>
    <row r="1072" spans="1:17">
      <c r="A1072">
        <v>2337</v>
      </c>
      <c r="B1072">
        <v>553.15</v>
      </c>
      <c r="C1072">
        <v>3.04</v>
      </c>
      <c r="D1072">
        <v>0.27100000000000002</v>
      </c>
      <c r="E1072">
        <v>0.4264</v>
      </c>
      <c r="F1072">
        <v>116.16</v>
      </c>
      <c r="G1072">
        <v>0</v>
      </c>
      <c r="H1072">
        <v>8.07</v>
      </c>
      <c r="I1072">
        <v>134.61000000000001</v>
      </c>
      <c r="J1072">
        <v>384</v>
      </c>
      <c r="K1072">
        <v>185</v>
      </c>
      <c r="L1072">
        <v>-496</v>
      </c>
      <c r="M1072">
        <v>-324</v>
      </c>
      <c r="N1072">
        <v>97621</v>
      </c>
      <c r="O1072" t="s">
        <v>1044</v>
      </c>
      <c r="P1072" t="s">
        <v>996</v>
      </c>
      <c r="Q1072" t="s">
        <v>1045</v>
      </c>
    </row>
    <row r="1073" spans="1:17">
      <c r="A1073">
        <v>2350</v>
      </c>
      <c r="B1073">
        <v>698</v>
      </c>
      <c r="C1073">
        <v>3.59</v>
      </c>
      <c r="D1073">
        <v>0.24560000000000001</v>
      </c>
      <c r="E1073">
        <v>0.42030000000000001</v>
      </c>
      <c r="F1073">
        <v>136.15</v>
      </c>
      <c r="G1073">
        <v>0</v>
      </c>
      <c r="H1073">
        <v>10.050000000000001</v>
      </c>
      <c r="I1073">
        <v>126.36</v>
      </c>
      <c r="J1073">
        <v>476.15</v>
      </c>
      <c r="K1073">
        <v>-86</v>
      </c>
      <c r="L1073">
        <v>-256.39999999999998</v>
      </c>
      <c r="M1073">
        <v>-143.5</v>
      </c>
      <c r="N1073">
        <v>104574</v>
      </c>
      <c r="O1073" t="s">
        <v>568</v>
      </c>
      <c r="P1073" t="s">
        <v>1859</v>
      </c>
      <c r="Q1073" t="s">
        <v>1895</v>
      </c>
    </row>
    <row r="1074" spans="1:17">
      <c r="A1074">
        <v>2353</v>
      </c>
      <c r="B1074">
        <v>793</v>
      </c>
      <c r="C1074">
        <v>1.23</v>
      </c>
      <c r="D1074">
        <v>0.20710000000000001</v>
      </c>
      <c r="E1074">
        <v>0.97619999999999996</v>
      </c>
      <c r="F1074">
        <v>310.52</v>
      </c>
      <c r="G1074">
        <v>0</v>
      </c>
      <c r="H1074">
        <v>7.1</v>
      </c>
      <c r="I1074">
        <v>357.47</v>
      </c>
      <c r="J1074">
        <v>640</v>
      </c>
      <c r="K1074">
        <v>288.14999999999998</v>
      </c>
      <c r="L1074">
        <v>-665</v>
      </c>
      <c r="M1074">
        <v>-126</v>
      </c>
      <c r="N1074">
        <v>2495274</v>
      </c>
      <c r="O1074" t="s">
        <v>2516</v>
      </c>
      <c r="P1074" t="s">
        <v>2650</v>
      </c>
      <c r="Q1074" t="s">
        <v>2651</v>
      </c>
    </row>
    <row r="1075" spans="1:17">
      <c r="A1075">
        <v>2354</v>
      </c>
      <c r="B1075">
        <v>600</v>
      </c>
      <c r="C1075">
        <v>3.02</v>
      </c>
      <c r="D1075">
        <v>0.25119999999999998</v>
      </c>
      <c r="E1075">
        <v>0.3881</v>
      </c>
      <c r="F1075">
        <v>126.16</v>
      </c>
      <c r="G1075">
        <v>0</v>
      </c>
      <c r="H1075">
        <v>8.7899999999999991</v>
      </c>
      <c r="I1075">
        <v>135.84</v>
      </c>
      <c r="J1075">
        <v>412.65</v>
      </c>
      <c r="K1075">
        <v>-86</v>
      </c>
      <c r="L1075">
        <v>-184</v>
      </c>
      <c r="M1075">
        <v>-46.5</v>
      </c>
      <c r="N1075">
        <v>96059</v>
      </c>
      <c r="O1075" t="s">
        <v>568</v>
      </c>
      <c r="P1075" t="s">
        <v>1329</v>
      </c>
      <c r="Q1075" t="s">
        <v>1330</v>
      </c>
    </row>
    <row r="1076" spans="1:17">
      <c r="A1076">
        <v>2370</v>
      </c>
      <c r="B1076">
        <v>701.4</v>
      </c>
      <c r="C1076">
        <v>2.3330000000000002</v>
      </c>
      <c r="D1076">
        <v>0.2467</v>
      </c>
      <c r="E1076">
        <v>0.87580000000000002</v>
      </c>
      <c r="F1076">
        <v>218.21</v>
      </c>
      <c r="G1076">
        <v>0</v>
      </c>
      <c r="H1076">
        <v>9.85</v>
      </c>
      <c r="I1076">
        <v>188.97</v>
      </c>
      <c r="J1076">
        <v>532.15</v>
      </c>
      <c r="K1076">
        <v>277.25</v>
      </c>
      <c r="L1076">
        <v>-1210</v>
      </c>
      <c r="M1076">
        <v>-983</v>
      </c>
      <c r="N1076">
        <v>102761</v>
      </c>
      <c r="O1076" t="s">
        <v>568</v>
      </c>
      <c r="P1076" t="s">
        <v>1907</v>
      </c>
      <c r="Q1076" t="s">
        <v>1908</v>
      </c>
    </row>
    <row r="1077" spans="1:17">
      <c r="A1077">
        <v>2375</v>
      </c>
      <c r="B1077">
        <v>776</v>
      </c>
      <c r="C1077">
        <v>2.2599999999999998</v>
      </c>
      <c r="D1077">
        <v>0.2351</v>
      </c>
      <c r="E1077">
        <v>0.62490000000000001</v>
      </c>
      <c r="F1077">
        <v>222.24</v>
      </c>
      <c r="G1077">
        <v>0</v>
      </c>
      <c r="H1077">
        <v>9.8800000000000008</v>
      </c>
      <c r="I1077">
        <v>199.69</v>
      </c>
      <c r="J1077">
        <v>567.15</v>
      </c>
      <c r="K1077">
        <v>232.65</v>
      </c>
      <c r="L1077">
        <v>-688.3</v>
      </c>
      <c r="M1077">
        <v>-494</v>
      </c>
      <c r="N1077">
        <v>84662</v>
      </c>
      <c r="O1077" t="s">
        <v>545</v>
      </c>
      <c r="P1077" t="s">
        <v>2219</v>
      </c>
      <c r="Q1077" t="s">
        <v>2220</v>
      </c>
    </row>
    <row r="1078" spans="1:17">
      <c r="A1078">
        <v>2376</v>
      </c>
      <c r="B1078">
        <v>781</v>
      </c>
      <c r="C1078">
        <v>1.75</v>
      </c>
      <c r="D1078">
        <v>0.22670000000000001</v>
      </c>
      <c r="E1078">
        <v>0.95689999999999997</v>
      </c>
      <c r="F1078">
        <v>278.35000000000002</v>
      </c>
      <c r="G1078">
        <v>0</v>
      </c>
      <c r="H1078">
        <v>9.2799999999999994</v>
      </c>
      <c r="I1078">
        <v>267.22000000000003</v>
      </c>
      <c r="J1078">
        <v>613.15</v>
      </c>
      <c r="K1078">
        <v>238.15</v>
      </c>
      <c r="L1078">
        <v>-730.6</v>
      </c>
      <c r="M1078">
        <v>-439</v>
      </c>
      <c r="N1078">
        <v>84742</v>
      </c>
      <c r="O1078" t="s">
        <v>2240</v>
      </c>
      <c r="P1078" t="s">
        <v>2150</v>
      </c>
      <c r="Q1078" t="s">
        <v>2241</v>
      </c>
    </row>
    <row r="1079" spans="1:17">
      <c r="A1079">
        <v>2377</v>
      </c>
      <c r="B1079">
        <v>766</v>
      </c>
      <c r="C1079">
        <v>2.78</v>
      </c>
      <c r="D1079">
        <v>0.23130000000000001</v>
      </c>
      <c r="E1079">
        <v>0.65680000000000005</v>
      </c>
      <c r="F1079">
        <v>194.19</v>
      </c>
      <c r="G1079">
        <v>0</v>
      </c>
      <c r="H1079">
        <v>10.11</v>
      </c>
      <c r="I1079">
        <v>163.36000000000001</v>
      </c>
      <c r="J1079">
        <v>556.85</v>
      </c>
      <c r="K1079">
        <v>272.14999999999998</v>
      </c>
      <c r="L1079">
        <v>-663</v>
      </c>
      <c r="M1079">
        <v>-526</v>
      </c>
      <c r="N1079">
        <v>131113</v>
      </c>
      <c r="O1079" t="s">
        <v>545</v>
      </c>
      <c r="P1079" t="s">
        <v>2171</v>
      </c>
      <c r="Q1079" t="s">
        <v>2172</v>
      </c>
    </row>
    <row r="1080" spans="1:17">
      <c r="A1080">
        <v>2378</v>
      </c>
      <c r="B1080">
        <v>663</v>
      </c>
      <c r="C1080">
        <v>2.5299999999999998</v>
      </c>
      <c r="D1080">
        <v>0.2364</v>
      </c>
      <c r="E1080">
        <v>0.69950000000000001</v>
      </c>
      <c r="F1080">
        <v>174.2</v>
      </c>
      <c r="G1080">
        <v>0</v>
      </c>
      <c r="H1080">
        <v>9.49</v>
      </c>
      <c r="I1080">
        <v>168.21</v>
      </c>
      <c r="J1080">
        <v>493.65</v>
      </c>
      <c r="K1080">
        <v>252.55</v>
      </c>
      <c r="L1080">
        <v>-851</v>
      </c>
      <c r="M1080">
        <v>-618</v>
      </c>
      <c r="N1080">
        <v>123251</v>
      </c>
      <c r="O1080" t="s">
        <v>1317</v>
      </c>
      <c r="P1080" t="s">
        <v>1718</v>
      </c>
      <c r="Q1080" t="s">
        <v>1719</v>
      </c>
    </row>
    <row r="1081" spans="1:17">
      <c r="A1081">
        <v>2379</v>
      </c>
      <c r="B1081">
        <v>767</v>
      </c>
      <c r="C1081">
        <v>1.32</v>
      </c>
      <c r="D1081">
        <v>0.21879999999999999</v>
      </c>
      <c r="E1081">
        <v>1.0934999999999999</v>
      </c>
      <c r="F1081">
        <v>314.47000000000003</v>
      </c>
      <c r="G1081">
        <v>0</v>
      </c>
      <c r="H1081">
        <v>8.5500000000000007</v>
      </c>
      <c r="I1081">
        <v>337.31</v>
      </c>
      <c r="J1081">
        <v>621.15</v>
      </c>
      <c r="K1081">
        <v>259.35000000000002</v>
      </c>
      <c r="L1081">
        <v>-1020</v>
      </c>
      <c r="M1081">
        <v>-474</v>
      </c>
      <c r="N1081">
        <v>110338</v>
      </c>
      <c r="O1081" t="s">
        <v>1317</v>
      </c>
      <c r="P1081" t="s">
        <v>2178</v>
      </c>
      <c r="Q1081" t="s">
        <v>2179</v>
      </c>
    </row>
    <row r="1082" spans="1:17">
      <c r="A1082">
        <v>2380</v>
      </c>
      <c r="B1082">
        <v>627</v>
      </c>
      <c r="C1082">
        <v>3.14</v>
      </c>
      <c r="D1082">
        <v>0.25059999999999999</v>
      </c>
      <c r="E1082">
        <v>0.52629999999999999</v>
      </c>
      <c r="F1082">
        <v>146.13999999999999</v>
      </c>
      <c r="G1082">
        <v>0</v>
      </c>
      <c r="H1082">
        <v>9.49</v>
      </c>
      <c r="I1082">
        <v>136.65</v>
      </c>
      <c r="J1082">
        <v>442.15</v>
      </c>
      <c r="K1082">
        <v>292</v>
      </c>
      <c r="L1082">
        <v>-850</v>
      </c>
      <c r="M1082">
        <v>-632</v>
      </c>
      <c r="N1082">
        <v>542109</v>
      </c>
      <c r="O1082" t="s">
        <v>1100</v>
      </c>
      <c r="P1082" t="s">
        <v>1499</v>
      </c>
      <c r="Q1082" t="s">
        <v>1500</v>
      </c>
    </row>
    <row r="1083" spans="1:17">
      <c r="A1083">
        <v>2381</v>
      </c>
      <c r="B1083">
        <v>693</v>
      </c>
      <c r="C1083">
        <v>2.33</v>
      </c>
      <c r="D1083">
        <v>0.2374</v>
      </c>
      <c r="E1083">
        <v>0.78859999999999997</v>
      </c>
      <c r="F1083">
        <v>196.2</v>
      </c>
      <c r="G1083">
        <v>0</v>
      </c>
      <c r="H1083">
        <v>9.74</v>
      </c>
      <c r="I1083">
        <v>182.91</v>
      </c>
      <c r="J1083">
        <v>520</v>
      </c>
      <c r="K1083">
        <v>226.15</v>
      </c>
      <c r="L1083">
        <v>-517</v>
      </c>
      <c r="M1083">
        <v>-335</v>
      </c>
      <c r="N1083">
        <v>999213</v>
      </c>
      <c r="O1083" t="s">
        <v>1861</v>
      </c>
      <c r="P1083" t="s">
        <v>1862</v>
      </c>
      <c r="Q1083" t="s">
        <v>1863</v>
      </c>
    </row>
    <row r="1084" spans="1:17">
      <c r="A1084">
        <v>2382</v>
      </c>
      <c r="B1084">
        <v>716</v>
      </c>
      <c r="C1084">
        <v>1.9</v>
      </c>
      <c r="D1084">
        <v>0.22950000000000001</v>
      </c>
      <c r="E1084">
        <v>0.89939999999999998</v>
      </c>
      <c r="F1084">
        <v>228.29</v>
      </c>
      <c r="G1084">
        <v>0</v>
      </c>
      <c r="H1084">
        <v>9.2100000000000009</v>
      </c>
      <c r="I1084">
        <v>230.47</v>
      </c>
      <c r="J1084">
        <v>554.15</v>
      </c>
      <c r="K1084">
        <v>188.15</v>
      </c>
      <c r="L1084">
        <v>-688</v>
      </c>
      <c r="M1084">
        <v>-377</v>
      </c>
      <c r="N1084">
        <v>105760</v>
      </c>
      <c r="O1084" t="s">
        <v>568</v>
      </c>
      <c r="P1084" t="s">
        <v>1968</v>
      </c>
      <c r="Q1084" t="s">
        <v>1969</v>
      </c>
    </row>
    <row r="1085" spans="1:17">
      <c r="A1085">
        <v>2384</v>
      </c>
      <c r="B1085">
        <v>587</v>
      </c>
      <c r="C1085">
        <v>2.95</v>
      </c>
      <c r="D1085">
        <v>0.26929999999999998</v>
      </c>
      <c r="E1085">
        <v>0.4551</v>
      </c>
      <c r="F1085">
        <v>128.16999999999999</v>
      </c>
      <c r="G1085">
        <v>0</v>
      </c>
      <c r="H1085">
        <v>8.3699999999999992</v>
      </c>
      <c r="I1085">
        <v>144.86000000000001</v>
      </c>
      <c r="J1085">
        <v>411.1</v>
      </c>
      <c r="K1085">
        <v>212</v>
      </c>
      <c r="L1085">
        <v>-394</v>
      </c>
      <c r="M1085">
        <v>-229</v>
      </c>
      <c r="N1085">
        <v>106638</v>
      </c>
      <c r="O1085" t="s">
        <v>868</v>
      </c>
      <c r="P1085" t="s">
        <v>1261</v>
      </c>
      <c r="Q1085" t="s">
        <v>1262</v>
      </c>
    </row>
    <row r="1086" spans="1:17">
      <c r="A1086">
        <v>2385</v>
      </c>
      <c r="B1086">
        <v>712</v>
      </c>
      <c r="C1086">
        <v>1.65</v>
      </c>
      <c r="D1086">
        <v>0.2228</v>
      </c>
      <c r="E1086">
        <v>0.66439999999999999</v>
      </c>
      <c r="F1086">
        <v>214.35</v>
      </c>
      <c r="G1086">
        <v>0</v>
      </c>
      <c r="H1086">
        <v>9.1300000000000008</v>
      </c>
      <c r="I1086">
        <v>209.87</v>
      </c>
      <c r="J1086">
        <v>540</v>
      </c>
      <c r="K1086">
        <v>277.95</v>
      </c>
      <c r="L1086">
        <v>-612.29999999999995</v>
      </c>
      <c r="M1086">
        <v>-240</v>
      </c>
      <c r="N1086">
        <v>111820</v>
      </c>
      <c r="O1086" t="s">
        <v>1299</v>
      </c>
      <c r="P1086" t="s">
        <v>1958</v>
      </c>
      <c r="Q1086" t="s">
        <v>1959</v>
      </c>
    </row>
    <row r="1087" spans="1:17">
      <c r="A1087">
        <v>2386</v>
      </c>
      <c r="B1087">
        <v>680</v>
      </c>
      <c r="C1087">
        <v>2.61</v>
      </c>
      <c r="D1087">
        <v>0.23449999999999999</v>
      </c>
      <c r="E1087">
        <v>0.66579999999999995</v>
      </c>
      <c r="F1087">
        <v>172.18</v>
      </c>
      <c r="G1087">
        <v>0</v>
      </c>
      <c r="H1087">
        <v>8.6199999999999992</v>
      </c>
      <c r="I1087">
        <v>179.21</v>
      </c>
      <c r="J1087">
        <v>495.91</v>
      </c>
      <c r="K1087">
        <v>264.35000000000002</v>
      </c>
      <c r="L1087">
        <v>-740</v>
      </c>
      <c r="M1087">
        <v>-544</v>
      </c>
      <c r="N1087">
        <v>141059</v>
      </c>
      <c r="O1087" t="s">
        <v>1036</v>
      </c>
      <c r="P1087" t="s">
        <v>1793</v>
      </c>
      <c r="Q1087" t="s">
        <v>1794</v>
      </c>
    </row>
    <row r="1088" spans="1:17">
      <c r="A1088">
        <v>2387</v>
      </c>
      <c r="B1088">
        <v>675</v>
      </c>
      <c r="C1088">
        <v>3.22</v>
      </c>
      <c r="D1088">
        <v>2.0000000000000001E-4</v>
      </c>
      <c r="E1088">
        <v>0.56240000000000001</v>
      </c>
      <c r="F1088">
        <v>144.13</v>
      </c>
      <c r="G1088">
        <v>0</v>
      </c>
      <c r="H1088">
        <v>10.47</v>
      </c>
      <c r="I1088">
        <v>125.5</v>
      </c>
      <c r="J1088">
        <v>473.55</v>
      </c>
      <c r="K1088">
        <v>255.65</v>
      </c>
      <c r="L1088">
        <v>-612</v>
      </c>
      <c r="M1088">
        <v>-481.4</v>
      </c>
      <c r="N1088">
        <v>624486</v>
      </c>
      <c r="O1088" t="s">
        <v>721</v>
      </c>
      <c r="P1088" t="s">
        <v>363</v>
      </c>
      <c r="Q1088" t="s">
        <v>1771</v>
      </c>
    </row>
    <row r="1089" spans="1:17">
      <c r="A1089">
        <v>2388</v>
      </c>
      <c r="B1089">
        <v>691</v>
      </c>
      <c r="C1089">
        <v>2.2000000000000002</v>
      </c>
      <c r="D1089">
        <v>0.2351</v>
      </c>
      <c r="E1089">
        <v>0.78149999999999997</v>
      </c>
      <c r="F1089">
        <v>200.24</v>
      </c>
      <c r="G1089">
        <v>0</v>
      </c>
      <c r="H1089">
        <v>9.4</v>
      </c>
      <c r="I1089">
        <v>196.32</v>
      </c>
      <c r="J1089">
        <v>521</v>
      </c>
      <c r="K1089">
        <v>-86</v>
      </c>
      <c r="L1089">
        <v>-710</v>
      </c>
      <c r="M1089">
        <v>-457</v>
      </c>
      <c r="N1089">
        <v>2432635</v>
      </c>
      <c r="O1089" t="s">
        <v>545</v>
      </c>
      <c r="P1089" t="s">
        <v>1846</v>
      </c>
      <c r="Q1089" t="s">
        <v>1847</v>
      </c>
    </row>
    <row r="1090" spans="1:17">
      <c r="A1090">
        <v>2391</v>
      </c>
      <c r="B1090">
        <v>548</v>
      </c>
      <c r="C1090">
        <v>4.5</v>
      </c>
      <c r="D1090">
        <v>0.248</v>
      </c>
      <c r="E1090">
        <v>0.3846</v>
      </c>
      <c r="F1090">
        <v>90.08</v>
      </c>
      <c r="G1090">
        <v>0</v>
      </c>
      <c r="H1090">
        <v>9.89</v>
      </c>
      <c r="I1090">
        <v>84.72</v>
      </c>
      <c r="J1090">
        <v>363.4</v>
      </c>
      <c r="K1090">
        <v>273.14999999999998</v>
      </c>
      <c r="L1090">
        <v>-570.1</v>
      </c>
      <c r="M1090">
        <v>-452.4</v>
      </c>
      <c r="N1090">
        <v>606386</v>
      </c>
      <c r="O1090" t="s">
        <v>2802</v>
      </c>
      <c r="P1090" t="s">
        <v>1355</v>
      </c>
      <c r="Q1090" t="s">
        <v>2863</v>
      </c>
    </row>
    <row r="1091" spans="1:17">
      <c r="A1091">
        <v>2392</v>
      </c>
      <c r="B1091">
        <v>710</v>
      </c>
      <c r="C1091">
        <v>2.85</v>
      </c>
      <c r="D1091">
        <v>0.2424</v>
      </c>
      <c r="E1091">
        <v>0.52090000000000003</v>
      </c>
      <c r="F1091">
        <v>164.2</v>
      </c>
      <c r="G1091">
        <v>0</v>
      </c>
      <c r="H1091">
        <v>9.44</v>
      </c>
      <c r="I1091">
        <v>161.09</v>
      </c>
      <c r="J1091">
        <v>484.15</v>
      </c>
      <c r="K1091">
        <v>221.55</v>
      </c>
      <c r="L1091">
        <v>-338.1</v>
      </c>
      <c r="M1091">
        <v>-134.1</v>
      </c>
      <c r="N1091">
        <v>2315686</v>
      </c>
      <c r="O1091" t="s">
        <v>2804</v>
      </c>
      <c r="P1091" t="s">
        <v>2652</v>
      </c>
      <c r="Q1091" t="s">
        <v>2653</v>
      </c>
    </row>
    <row r="1092" spans="1:17">
      <c r="A1092">
        <v>2414</v>
      </c>
      <c r="B1092">
        <v>547</v>
      </c>
      <c r="C1092">
        <v>3.21</v>
      </c>
      <c r="D1092">
        <v>0.2732</v>
      </c>
      <c r="E1092">
        <v>0.37780000000000002</v>
      </c>
      <c r="F1092">
        <v>96.17</v>
      </c>
      <c r="G1092">
        <v>0</v>
      </c>
      <c r="H1092">
        <v>7.9</v>
      </c>
      <c r="I1092">
        <v>131.97</v>
      </c>
      <c r="J1092">
        <v>372.89</v>
      </c>
      <c r="K1092">
        <v>192.25</v>
      </c>
      <c r="L1092">
        <v>103</v>
      </c>
      <c r="M1092">
        <v>227</v>
      </c>
      <c r="N1092">
        <v>628717</v>
      </c>
      <c r="O1092" t="s">
        <v>566</v>
      </c>
      <c r="P1092" t="s">
        <v>1014</v>
      </c>
      <c r="Q1092" t="s">
        <v>1015</v>
      </c>
    </row>
    <row r="1093" spans="1:17">
      <c r="A1093">
        <v>2422</v>
      </c>
      <c r="B1093">
        <v>590</v>
      </c>
      <c r="C1093">
        <v>5.15</v>
      </c>
      <c r="D1093">
        <v>0.251</v>
      </c>
      <c r="E1093">
        <v>0.28910000000000002</v>
      </c>
      <c r="F1093">
        <v>88.11</v>
      </c>
      <c r="G1093">
        <v>0</v>
      </c>
      <c r="H1093">
        <v>10.11</v>
      </c>
      <c r="I1093">
        <v>85.76</v>
      </c>
      <c r="J1093">
        <v>378.15</v>
      </c>
      <c r="K1093">
        <v>228.15</v>
      </c>
      <c r="L1093">
        <v>-342.3</v>
      </c>
      <c r="M1093">
        <v>-209</v>
      </c>
      <c r="N1093">
        <v>505226</v>
      </c>
      <c r="O1093" t="s">
        <v>848</v>
      </c>
      <c r="P1093" t="s">
        <v>887</v>
      </c>
      <c r="Q1093" t="s">
        <v>2514</v>
      </c>
    </row>
    <row r="1094" spans="1:17">
      <c r="A1094">
        <v>2456</v>
      </c>
      <c r="B1094">
        <v>561</v>
      </c>
      <c r="C1094">
        <v>2.93</v>
      </c>
      <c r="D1094">
        <v>0.25230000000000002</v>
      </c>
      <c r="E1094">
        <v>0.48180000000000001</v>
      </c>
      <c r="F1094">
        <v>118.18</v>
      </c>
      <c r="G1094">
        <v>0</v>
      </c>
      <c r="H1094">
        <v>8.31</v>
      </c>
      <c r="I1094">
        <v>140.83000000000001</v>
      </c>
      <c r="J1094">
        <v>394.15</v>
      </c>
      <c r="K1094">
        <v>199.15</v>
      </c>
      <c r="L1094">
        <v>-408.2</v>
      </c>
      <c r="M1094">
        <v>-203.5</v>
      </c>
      <c r="N1094">
        <v>629141</v>
      </c>
      <c r="O1094" t="s">
        <v>507</v>
      </c>
      <c r="P1094" t="s">
        <v>958</v>
      </c>
      <c r="Q1094" t="s">
        <v>1102</v>
      </c>
    </row>
    <row r="1095" spans="1:17">
      <c r="A1095">
        <v>2526</v>
      </c>
      <c r="B1095">
        <v>560</v>
      </c>
      <c r="C1095">
        <v>4.24</v>
      </c>
      <c r="D1095">
        <v>0.24179999999999999</v>
      </c>
      <c r="E1095">
        <v>0.25290000000000001</v>
      </c>
      <c r="F1095">
        <v>112.99</v>
      </c>
      <c r="G1095">
        <v>0</v>
      </c>
      <c r="H1095">
        <v>8.86</v>
      </c>
      <c r="I1095">
        <v>100.36</v>
      </c>
      <c r="J1095">
        <v>361.25</v>
      </c>
      <c r="K1095">
        <v>-86</v>
      </c>
      <c r="L1095">
        <v>-150.80000000000001</v>
      </c>
      <c r="M1095">
        <v>-65</v>
      </c>
      <c r="N1095">
        <v>78999</v>
      </c>
      <c r="O1095" t="s">
        <v>1087</v>
      </c>
      <c r="P1095" t="s">
        <v>1088</v>
      </c>
      <c r="Q1095" t="s">
        <v>1089</v>
      </c>
    </row>
    <row r="1096" spans="1:17">
      <c r="A1096">
        <v>2527</v>
      </c>
      <c r="B1096">
        <v>603</v>
      </c>
      <c r="C1096">
        <v>4.1500000000000004</v>
      </c>
      <c r="D1096">
        <v>0.24460000000000001</v>
      </c>
      <c r="E1096">
        <v>0.29160000000000003</v>
      </c>
      <c r="F1096">
        <v>112.99</v>
      </c>
      <c r="G1096">
        <v>0</v>
      </c>
      <c r="H1096">
        <v>9.69</v>
      </c>
      <c r="I1096">
        <v>95.65</v>
      </c>
      <c r="J1096">
        <v>393.55</v>
      </c>
      <c r="K1096">
        <v>173.65</v>
      </c>
      <c r="L1096">
        <v>-161.5</v>
      </c>
      <c r="M1096">
        <v>-82.59</v>
      </c>
      <c r="N1096">
        <v>142289</v>
      </c>
      <c r="O1096" t="s">
        <v>1353</v>
      </c>
      <c r="P1096" t="s">
        <v>1088</v>
      </c>
      <c r="Q1096" t="s">
        <v>1354</v>
      </c>
    </row>
    <row r="1097" spans="1:17">
      <c r="A1097">
        <v>2545</v>
      </c>
      <c r="B1097">
        <v>578</v>
      </c>
      <c r="C1097">
        <v>4.38</v>
      </c>
      <c r="D1097">
        <v>0.2152</v>
      </c>
      <c r="E1097">
        <v>0.19450000000000001</v>
      </c>
      <c r="F1097">
        <v>110.97</v>
      </c>
      <c r="G1097">
        <v>0</v>
      </c>
      <c r="H1097">
        <v>9.07</v>
      </c>
      <c r="I1097">
        <v>92.4</v>
      </c>
      <c r="J1097">
        <v>367.15</v>
      </c>
      <c r="K1097">
        <v>191.5</v>
      </c>
      <c r="L1097">
        <v>-47.9</v>
      </c>
      <c r="M1097">
        <v>1.39</v>
      </c>
      <c r="N1097">
        <v>78886</v>
      </c>
      <c r="O1097" t="s">
        <v>1215</v>
      </c>
      <c r="P1097" t="s">
        <v>1216</v>
      </c>
      <c r="Q1097" t="s">
        <v>1217</v>
      </c>
    </row>
    <row r="1098" spans="1:17">
      <c r="A1098">
        <v>2593</v>
      </c>
      <c r="B1098">
        <v>718</v>
      </c>
      <c r="C1098">
        <v>3.72</v>
      </c>
      <c r="D1098">
        <v>0.26479999999999998</v>
      </c>
      <c r="E1098">
        <v>0.35959999999999998</v>
      </c>
      <c r="F1098">
        <v>181.45</v>
      </c>
      <c r="G1098">
        <v>0</v>
      </c>
      <c r="H1098">
        <v>9.15</v>
      </c>
      <c r="I1098">
        <v>130.91</v>
      </c>
      <c r="J1098">
        <v>481.15</v>
      </c>
      <c r="K1098">
        <v>336.15</v>
      </c>
      <c r="L1098">
        <v>-6.9</v>
      </c>
      <c r="M1098">
        <v>53.33</v>
      </c>
      <c r="N1098">
        <v>108703</v>
      </c>
      <c r="O1098" t="s">
        <v>568</v>
      </c>
      <c r="P1098" t="s">
        <v>1976</v>
      </c>
      <c r="Q1098" t="s">
        <v>1977</v>
      </c>
    </row>
    <row r="1099" spans="1:17">
      <c r="A1099">
        <v>2619</v>
      </c>
      <c r="B1099">
        <v>429.8</v>
      </c>
      <c r="C1099">
        <v>5.2409999999999997</v>
      </c>
      <c r="D1099">
        <v>0.26300000000000001</v>
      </c>
      <c r="E1099">
        <v>0.32650000000000001</v>
      </c>
      <c r="F1099">
        <v>84.04</v>
      </c>
      <c r="G1099">
        <v>0</v>
      </c>
      <c r="H1099">
        <v>8.84</v>
      </c>
      <c r="I1099">
        <v>69.09</v>
      </c>
      <c r="J1099">
        <v>278.14999999999998</v>
      </c>
      <c r="K1099">
        <v>189.15</v>
      </c>
      <c r="L1099">
        <v>-730.7</v>
      </c>
      <c r="M1099">
        <v>-671</v>
      </c>
      <c r="N1099">
        <v>430660</v>
      </c>
      <c r="O1099" t="s">
        <v>848</v>
      </c>
      <c r="P1099" t="s">
        <v>514</v>
      </c>
      <c r="Q1099" t="s">
        <v>2515</v>
      </c>
    </row>
    <row r="1100" spans="1:17">
      <c r="A1100">
        <v>2623</v>
      </c>
      <c r="B1100">
        <v>423.1</v>
      </c>
      <c r="C1100">
        <v>2.0470000000000002</v>
      </c>
      <c r="D1100">
        <v>0.26800000000000002</v>
      </c>
      <c r="E1100">
        <v>0.40160000000000001</v>
      </c>
      <c r="F1100">
        <v>288.02999999999997</v>
      </c>
      <c r="G1100">
        <v>0</v>
      </c>
      <c r="H1100">
        <v>5.65</v>
      </c>
      <c r="I1100">
        <v>180</v>
      </c>
      <c r="J1100">
        <v>302.39999999999998</v>
      </c>
      <c r="K1100">
        <v>147.51</v>
      </c>
      <c r="L1100">
        <v>-2570</v>
      </c>
      <c r="M1100">
        <v>-2366</v>
      </c>
      <c r="N1100">
        <v>678262</v>
      </c>
      <c r="O1100" t="s">
        <v>2802</v>
      </c>
      <c r="P1100" t="s">
        <v>2864</v>
      </c>
      <c r="Q1100" t="s">
        <v>2865</v>
      </c>
    </row>
    <row r="1101" spans="1:17">
      <c r="A1101">
        <v>2626</v>
      </c>
      <c r="B1101">
        <v>475.65</v>
      </c>
      <c r="C1101">
        <v>1.61</v>
      </c>
      <c r="D1101">
        <v>0.26800000000000002</v>
      </c>
      <c r="E1101">
        <v>0.54290000000000005</v>
      </c>
      <c r="F1101">
        <v>388.05</v>
      </c>
      <c r="G1101">
        <v>0</v>
      </c>
      <c r="H1101">
        <v>5.99</v>
      </c>
      <c r="I1101">
        <v>224.7</v>
      </c>
      <c r="J1101">
        <v>355.66</v>
      </c>
      <c r="K1101">
        <v>221.86</v>
      </c>
      <c r="L1101">
        <v>-3385.4</v>
      </c>
      <c r="M1101">
        <v>-3102</v>
      </c>
      <c r="N1101">
        <v>335579</v>
      </c>
      <c r="O1101" t="s">
        <v>2802</v>
      </c>
      <c r="P1101" t="s">
        <v>2866</v>
      </c>
      <c r="Q1101" t="s">
        <v>2867</v>
      </c>
    </row>
    <row r="1102" spans="1:17">
      <c r="A1102">
        <v>2627</v>
      </c>
      <c r="B1102">
        <v>427.2</v>
      </c>
      <c r="C1102">
        <v>3.64</v>
      </c>
      <c r="D1102">
        <v>0.26500000000000001</v>
      </c>
      <c r="E1102">
        <v>0.3755</v>
      </c>
      <c r="F1102">
        <v>134.05000000000001</v>
      </c>
      <c r="G1102">
        <v>0</v>
      </c>
      <c r="H1102">
        <v>7.55</v>
      </c>
      <c r="I1102">
        <v>100.1</v>
      </c>
      <c r="J1102">
        <v>288.45</v>
      </c>
      <c r="K1102">
        <v>-86</v>
      </c>
      <c r="L1102">
        <v>-1174</v>
      </c>
      <c r="M1102">
        <v>-1029</v>
      </c>
      <c r="N1102">
        <v>460731</v>
      </c>
      <c r="O1102" t="s">
        <v>2802</v>
      </c>
      <c r="P1102" t="s">
        <v>2868</v>
      </c>
      <c r="Q1102" t="s">
        <v>2869</v>
      </c>
    </row>
    <row r="1103" spans="1:17">
      <c r="A1103">
        <v>2628</v>
      </c>
      <c r="B1103">
        <v>447.57</v>
      </c>
      <c r="C1103">
        <v>3.9249999999999998</v>
      </c>
      <c r="D1103">
        <v>0.27</v>
      </c>
      <c r="E1103">
        <v>0.35310000000000002</v>
      </c>
      <c r="F1103">
        <v>134.05000000000001</v>
      </c>
      <c r="G1103">
        <v>0</v>
      </c>
      <c r="H1103">
        <v>7.85</v>
      </c>
      <c r="I1103">
        <v>96.55</v>
      </c>
      <c r="J1103">
        <v>298.39999999999998</v>
      </c>
      <c r="K1103">
        <v>191.15</v>
      </c>
      <c r="L1103">
        <v>-564</v>
      </c>
      <c r="M1103">
        <v>-464.3</v>
      </c>
      <c r="N1103">
        <v>679867</v>
      </c>
      <c r="O1103" t="s">
        <v>2802</v>
      </c>
      <c r="P1103" t="s">
        <v>2868</v>
      </c>
      <c r="Q1103" t="s">
        <v>2870</v>
      </c>
    </row>
    <row r="1104" spans="1:17">
      <c r="A1104">
        <v>2629</v>
      </c>
      <c r="B1104">
        <v>380.11</v>
      </c>
      <c r="C1104">
        <v>3.137</v>
      </c>
      <c r="D1104">
        <v>0.27100000000000002</v>
      </c>
      <c r="E1104">
        <v>0.30459999999999998</v>
      </c>
      <c r="F1104">
        <v>134.05000000000001</v>
      </c>
      <c r="G1104">
        <v>0</v>
      </c>
      <c r="H1104">
        <v>5.83</v>
      </c>
      <c r="I1104">
        <v>113.89</v>
      </c>
      <c r="J1104">
        <v>255.5</v>
      </c>
      <c r="K1104">
        <v>134</v>
      </c>
      <c r="L1104">
        <v>-1111</v>
      </c>
      <c r="M1104">
        <v>-1004</v>
      </c>
      <c r="N1104">
        <v>1814886</v>
      </c>
      <c r="O1104" t="s">
        <v>2802</v>
      </c>
      <c r="P1104" t="s">
        <v>2868</v>
      </c>
      <c r="Q1104" t="s">
        <v>2871</v>
      </c>
    </row>
    <row r="1105" spans="1:17">
      <c r="A1105">
        <v>2630</v>
      </c>
      <c r="B1105">
        <v>374.83</v>
      </c>
      <c r="C1105">
        <v>2.9119999999999999</v>
      </c>
      <c r="D1105">
        <v>0.26500000000000001</v>
      </c>
      <c r="E1105">
        <v>0.35520000000000002</v>
      </c>
      <c r="F1105">
        <v>169</v>
      </c>
      <c r="G1105">
        <v>0</v>
      </c>
      <c r="H1105">
        <v>8.6</v>
      </c>
      <c r="I1105">
        <v>101.2</v>
      </c>
      <c r="J1105">
        <v>255.15</v>
      </c>
      <c r="K1105">
        <v>22.9</v>
      </c>
      <c r="L1105">
        <v>-1348</v>
      </c>
      <c r="M1105">
        <v>-1268</v>
      </c>
      <c r="N1105">
        <v>628626</v>
      </c>
      <c r="O1105" t="s">
        <v>548</v>
      </c>
      <c r="P1105" t="s">
        <v>549</v>
      </c>
      <c r="Q1105" t="s">
        <v>549</v>
      </c>
    </row>
    <row r="1106" spans="1:17">
      <c r="A1106">
        <v>2631</v>
      </c>
      <c r="B1106">
        <v>412.38</v>
      </c>
      <c r="C1106">
        <v>3.4119999999999999</v>
      </c>
      <c r="D1106">
        <v>0.26900000000000002</v>
      </c>
      <c r="E1106">
        <v>0.36880000000000002</v>
      </c>
      <c r="F1106">
        <v>152.04</v>
      </c>
      <c r="G1106">
        <v>0</v>
      </c>
      <c r="H1106">
        <v>6.91</v>
      </c>
      <c r="I1106">
        <v>106.57</v>
      </c>
      <c r="J1106">
        <v>279.39999999999998</v>
      </c>
      <c r="K1106">
        <v>170</v>
      </c>
      <c r="L1106">
        <v>-1333</v>
      </c>
      <c r="M1106">
        <v>-1222</v>
      </c>
      <c r="N1106">
        <v>431630</v>
      </c>
      <c r="O1106" t="s">
        <v>2802</v>
      </c>
      <c r="P1106" t="s">
        <v>2833</v>
      </c>
      <c r="Q1106" t="s">
        <v>2872</v>
      </c>
    </row>
    <row r="1107" spans="1:17">
      <c r="A1107">
        <v>2634</v>
      </c>
      <c r="B1107">
        <v>559.9</v>
      </c>
      <c r="C1107">
        <v>3.21</v>
      </c>
      <c r="D1107">
        <v>0.24629999999999999</v>
      </c>
      <c r="E1107">
        <v>0.29980000000000001</v>
      </c>
      <c r="F1107">
        <v>146.11000000000001</v>
      </c>
      <c r="G1107">
        <v>0</v>
      </c>
      <c r="H1107">
        <v>8.25</v>
      </c>
      <c r="I1107">
        <v>123.71</v>
      </c>
      <c r="J1107">
        <v>375.2</v>
      </c>
      <c r="K1107">
        <v>244.13</v>
      </c>
      <c r="L1107">
        <v>-590.29999999999995</v>
      </c>
      <c r="M1107">
        <v>-492.1</v>
      </c>
      <c r="N1107">
        <v>98088</v>
      </c>
      <c r="O1107" t="s">
        <v>1024</v>
      </c>
      <c r="P1107" t="s">
        <v>1085</v>
      </c>
      <c r="Q1107" t="s">
        <v>1086</v>
      </c>
    </row>
    <row r="1108" spans="1:17">
      <c r="A1108">
        <v>2637</v>
      </c>
      <c r="B1108">
        <v>611</v>
      </c>
      <c r="C1108">
        <v>7.17</v>
      </c>
      <c r="D1108">
        <v>0.31469999999999998</v>
      </c>
      <c r="E1108">
        <v>0.20949999999999999</v>
      </c>
      <c r="F1108">
        <v>173.84</v>
      </c>
      <c r="G1108">
        <v>0</v>
      </c>
      <c r="H1108">
        <v>10.92</v>
      </c>
      <c r="I1108">
        <v>70.040000000000006</v>
      </c>
      <c r="J1108">
        <v>370.05</v>
      </c>
      <c r="K1108">
        <v>220.45</v>
      </c>
      <c r="L1108">
        <v>0</v>
      </c>
      <c r="M1108">
        <v>-86</v>
      </c>
      <c r="N1108">
        <v>74953</v>
      </c>
      <c r="O1108" t="s">
        <v>787</v>
      </c>
      <c r="P1108" t="s">
        <v>1399</v>
      </c>
      <c r="Q1108" t="s">
        <v>1400</v>
      </c>
    </row>
    <row r="1109" spans="1:17">
      <c r="A1109">
        <v>2638</v>
      </c>
      <c r="B1109">
        <v>567</v>
      </c>
      <c r="C1109">
        <v>4.63</v>
      </c>
      <c r="D1109">
        <v>0.31430000000000002</v>
      </c>
      <c r="E1109">
        <v>0.26840000000000003</v>
      </c>
      <c r="F1109">
        <v>137.02000000000001</v>
      </c>
      <c r="G1109">
        <v>0</v>
      </c>
      <c r="H1109">
        <v>8.56</v>
      </c>
      <c r="I1109">
        <v>109.39</v>
      </c>
      <c r="J1109">
        <v>364.37</v>
      </c>
      <c r="K1109">
        <v>161.25</v>
      </c>
      <c r="L1109">
        <v>-118</v>
      </c>
      <c r="M1109">
        <v>-23.8</v>
      </c>
      <c r="N1109">
        <v>78762</v>
      </c>
      <c r="O1109" t="s">
        <v>568</v>
      </c>
      <c r="P1109" t="s">
        <v>1147</v>
      </c>
      <c r="Q1109" t="s">
        <v>1148</v>
      </c>
    </row>
    <row r="1110" spans="1:17">
      <c r="A1110">
        <v>2639</v>
      </c>
      <c r="B1110">
        <v>557</v>
      </c>
      <c r="C1110">
        <v>6.47</v>
      </c>
      <c r="D1110">
        <v>0.3</v>
      </c>
      <c r="E1110">
        <v>0.2064</v>
      </c>
      <c r="F1110">
        <v>129.38</v>
      </c>
      <c r="G1110">
        <v>0</v>
      </c>
      <c r="H1110">
        <v>10.47</v>
      </c>
      <c r="I1110">
        <v>67.16</v>
      </c>
      <c r="J1110">
        <v>341.2</v>
      </c>
      <c r="K1110">
        <v>185.15</v>
      </c>
      <c r="L1110">
        <v>-42.7</v>
      </c>
      <c r="M1110">
        <v>-31.8</v>
      </c>
      <c r="N1110">
        <v>74975</v>
      </c>
      <c r="O1110" t="s">
        <v>787</v>
      </c>
      <c r="P1110" t="s">
        <v>1073</v>
      </c>
      <c r="Q1110" t="s">
        <v>1074</v>
      </c>
    </row>
    <row r="1111" spans="1:17">
      <c r="A1111">
        <v>2640</v>
      </c>
      <c r="B1111">
        <v>496</v>
      </c>
      <c r="C1111">
        <v>3.92</v>
      </c>
      <c r="D1111">
        <v>0.26790000000000003</v>
      </c>
      <c r="E1111">
        <v>0.27500000000000002</v>
      </c>
      <c r="F1111">
        <v>197.38</v>
      </c>
      <c r="G1111">
        <v>0</v>
      </c>
      <c r="H1111">
        <v>7.75</v>
      </c>
      <c r="I1111">
        <v>105.62</v>
      </c>
      <c r="J1111">
        <v>323.35000000000002</v>
      </c>
      <c r="K1111">
        <v>-86</v>
      </c>
      <c r="L1111">
        <v>-705</v>
      </c>
      <c r="M1111">
        <v>-644.66</v>
      </c>
      <c r="N1111">
        <v>151677</v>
      </c>
      <c r="O1111" t="s">
        <v>568</v>
      </c>
      <c r="P1111" t="s">
        <v>759</v>
      </c>
      <c r="Q1111" t="s">
        <v>760</v>
      </c>
    </row>
    <row r="1112" spans="1:17">
      <c r="A1112">
        <v>2641</v>
      </c>
      <c r="B1112">
        <v>606</v>
      </c>
      <c r="C1112">
        <v>4.97</v>
      </c>
      <c r="D1112">
        <v>0.28699999999999998</v>
      </c>
      <c r="E1112">
        <v>0.192</v>
      </c>
      <c r="F1112">
        <v>198.27</v>
      </c>
      <c r="G1112">
        <v>0</v>
      </c>
      <c r="H1112">
        <v>8.9600000000000009</v>
      </c>
      <c r="I1112">
        <v>99.43</v>
      </c>
      <c r="J1112">
        <v>377.85</v>
      </c>
      <c r="K1112">
        <v>252.15</v>
      </c>
      <c r="L1112">
        <v>-46</v>
      </c>
      <c r="M1112">
        <v>-14.04</v>
      </c>
      <c r="N1112">
        <v>75627</v>
      </c>
      <c r="O1112" t="s">
        <v>708</v>
      </c>
      <c r="P1112" t="s">
        <v>1370</v>
      </c>
      <c r="Q1112" t="s">
        <v>1371</v>
      </c>
    </row>
    <row r="1113" spans="1:17">
      <c r="A1113">
        <v>2642</v>
      </c>
      <c r="B1113">
        <v>445</v>
      </c>
      <c r="C1113">
        <v>4.34</v>
      </c>
      <c r="D1113">
        <v>0.254</v>
      </c>
      <c r="E1113">
        <v>0.22239999999999999</v>
      </c>
      <c r="F1113">
        <v>66.05</v>
      </c>
      <c r="G1113">
        <v>0</v>
      </c>
      <c r="H1113">
        <v>9.39</v>
      </c>
      <c r="I1113">
        <v>65.03</v>
      </c>
      <c r="J1113">
        <v>303.64999999999998</v>
      </c>
      <c r="K1113">
        <v>-86</v>
      </c>
      <c r="L1113">
        <v>-431</v>
      </c>
      <c r="M1113">
        <v>-375</v>
      </c>
      <c r="N1113">
        <v>624726</v>
      </c>
      <c r="O1113" t="s">
        <v>644</v>
      </c>
      <c r="P1113" t="s">
        <v>562</v>
      </c>
      <c r="Q1113" t="s">
        <v>645</v>
      </c>
    </row>
    <row r="1114" spans="1:17">
      <c r="A1114">
        <v>2647</v>
      </c>
      <c r="B1114">
        <v>461.6</v>
      </c>
      <c r="C1114">
        <v>3.61</v>
      </c>
      <c r="D1114">
        <v>0.2505</v>
      </c>
      <c r="E1114">
        <v>0.24099999999999999</v>
      </c>
      <c r="F1114">
        <v>152.93</v>
      </c>
      <c r="G1114">
        <v>0</v>
      </c>
      <c r="H1114">
        <v>7.27</v>
      </c>
      <c r="I1114">
        <v>104.39</v>
      </c>
      <c r="J1114">
        <v>300.75</v>
      </c>
      <c r="K1114">
        <v>195.15</v>
      </c>
      <c r="L1114">
        <v>-710</v>
      </c>
      <c r="M1114">
        <v>-639.70000000000005</v>
      </c>
      <c r="N1114">
        <v>354234</v>
      </c>
      <c r="O1114" t="s">
        <v>676</v>
      </c>
      <c r="P1114" t="s">
        <v>667</v>
      </c>
      <c r="Q1114" t="s">
        <v>677</v>
      </c>
    </row>
    <row r="1115" spans="1:17">
      <c r="A1115">
        <v>2648</v>
      </c>
      <c r="B1115">
        <v>395.65</v>
      </c>
      <c r="C1115">
        <v>3.66</v>
      </c>
      <c r="D1115">
        <v>0.26040000000000002</v>
      </c>
      <c r="E1115">
        <v>0.28770000000000001</v>
      </c>
      <c r="F1115">
        <v>136.47999999999999</v>
      </c>
      <c r="G1115">
        <v>0</v>
      </c>
      <c r="H1115">
        <v>6.42</v>
      </c>
      <c r="I1115">
        <v>100.82</v>
      </c>
      <c r="J1115">
        <v>261.41000000000003</v>
      </c>
      <c r="K1115">
        <v>155</v>
      </c>
      <c r="L1115">
        <v>-924.7</v>
      </c>
      <c r="M1115">
        <v>-851.8</v>
      </c>
      <c r="N1115">
        <v>2837890</v>
      </c>
      <c r="O1115" t="s">
        <v>573</v>
      </c>
      <c r="P1115" t="s">
        <v>574</v>
      </c>
      <c r="Q1115" t="s">
        <v>575</v>
      </c>
    </row>
    <row r="1116" spans="1:17">
      <c r="A1116">
        <v>2649</v>
      </c>
      <c r="B1116">
        <v>478.85</v>
      </c>
      <c r="C1116">
        <v>4.34</v>
      </c>
      <c r="D1116">
        <v>0.28179999999999999</v>
      </c>
      <c r="E1116">
        <v>0.22109999999999999</v>
      </c>
      <c r="F1116">
        <v>116.95</v>
      </c>
      <c r="G1116">
        <v>0</v>
      </c>
      <c r="H1116">
        <v>7.66</v>
      </c>
      <c r="I1116">
        <v>94.98</v>
      </c>
      <c r="J1116">
        <v>304.89999999999998</v>
      </c>
      <c r="K1116">
        <v>169.65</v>
      </c>
      <c r="L1116">
        <v>-339.7</v>
      </c>
      <c r="M1116">
        <v>-276.2</v>
      </c>
      <c r="N1116">
        <v>1717006</v>
      </c>
      <c r="O1116" t="s">
        <v>714</v>
      </c>
      <c r="P1116" t="s">
        <v>715</v>
      </c>
      <c r="Q1116" t="s">
        <v>716</v>
      </c>
    </row>
    <row r="1117" spans="1:17">
      <c r="A1117">
        <v>2650</v>
      </c>
      <c r="B1117">
        <v>374.18</v>
      </c>
      <c r="C1117">
        <v>4.056</v>
      </c>
      <c r="D1117">
        <v>0.23710000000000001</v>
      </c>
      <c r="E1117">
        <v>0.32690000000000002</v>
      </c>
      <c r="F1117">
        <v>102.03</v>
      </c>
      <c r="G1117">
        <v>0</v>
      </c>
      <c r="H1117">
        <v>8.08</v>
      </c>
      <c r="I1117">
        <v>74.209999999999994</v>
      </c>
      <c r="J1117">
        <v>247.15</v>
      </c>
      <c r="K1117">
        <v>172.15</v>
      </c>
      <c r="L1117">
        <v>-895.79</v>
      </c>
      <c r="M1117">
        <v>-826.17</v>
      </c>
      <c r="N1117">
        <v>811972</v>
      </c>
      <c r="O1117" t="s">
        <v>545</v>
      </c>
      <c r="P1117" t="s">
        <v>546</v>
      </c>
      <c r="Q1117" t="s">
        <v>547</v>
      </c>
    </row>
    <row r="1118" spans="1:17">
      <c r="A1118">
        <v>2651</v>
      </c>
      <c r="B1118">
        <v>357.14</v>
      </c>
      <c r="C1118">
        <v>2.8370000000000002</v>
      </c>
      <c r="D1118">
        <v>0.31430000000000002</v>
      </c>
      <c r="E1118">
        <v>0.36359999999999998</v>
      </c>
      <c r="F1118">
        <v>166.02</v>
      </c>
      <c r="G1118">
        <v>0</v>
      </c>
      <c r="H1118">
        <v>6.6</v>
      </c>
      <c r="I1118">
        <v>108.16</v>
      </c>
      <c r="J1118">
        <v>245.7</v>
      </c>
      <c r="K1118">
        <v>151.15</v>
      </c>
      <c r="L1118">
        <v>-1460</v>
      </c>
      <c r="M1118">
        <v>-1360</v>
      </c>
      <c r="N1118">
        <v>684162</v>
      </c>
      <c r="O1118" t="s">
        <v>523</v>
      </c>
      <c r="P1118" t="s">
        <v>524</v>
      </c>
      <c r="Q1118" t="s">
        <v>525</v>
      </c>
    </row>
    <row r="1119" spans="1:17">
      <c r="A1119">
        <v>2652</v>
      </c>
      <c r="B1119">
        <v>345.05</v>
      </c>
      <c r="C1119">
        <v>2.68</v>
      </c>
      <c r="D1119">
        <v>0.27929999999999999</v>
      </c>
      <c r="E1119">
        <v>0.32800000000000001</v>
      </c>
      <c r="F1119">
        <v>188.02</v>
      </c>
      <c r="G1119">
        <v>0</v>
      </c>
      <c r="H1119">
        <v>6.02</v>
      </c>
      <c r="I1119">
        <v>117.17</v>
      </c>
      <c r="J1119">
        <v>236.45</v>
      </c>
      <c r="K1119">
        <v>90.15</v>
      </c>
      <c r="L1119">
        <v>-1703.2</v>
      </c>
      <c r="M1119">
        <v>-1577</v>
      </c>
      <c r="N1119">
        <v>76197</v>
      </c>
      <c r="O1119" t="s">
        <v>423</v>
      </c>
      <c r="P1119" t="s">
        <v>512</v>
      </c>
      <c r="Q1119" t="s">
        <v>513</v>
      </c>
    </row>
    <row r="1120" spans="1:17">
      <c r="A1120">
        <v>2653</v>
      </c>
      <c r="B1120">
        <v>392</v>
      </c>
      <c r="C1120">
        <v>2.33</v>
      </c>
      <c r="D1120">
        <v>0.24809999999999999</v>
      </c>
      <c r="E1120">
        <v>0.29220000000000002</v>
      </c>
      <c r="F1120">
        <v>200.03</v>
      </c>
      <c r="G1120">
        <v>0</v>
      </c>
      <c r="H1120">
        <v>6</v>
      </c>
      <c r="I1120">
        <v>129.46</v>
      </c>
      <c r="J1120">
        <v>274.35000000000002</v>
      </c>
      <c r="K1120">
        <v>138.15</v>
      </c>
      <c r="L1120">
        <v>-1650</v>
      </c>
      <c r="M1120">
        <v>-1530</v>
      </c>
      <c r="N1120">
        <v>360894</v>
      </c>
      <c r="O1120" t="s">
        <v>568</v>
      </c>
      <c r="P1120" t="s">
        <v>564</v>
      </c>
      <c r="Q1120" t="s">
        <v>569</v>
      </c>
    </row>
    <row r="1121" spans="1:17">
      <c r="A1121">
        <v>2654</v>
      </c>
      <c r="B1121">
        <v>388.37</v>
      </c>
      <c r="C1121">
        <v>2.778</v>
      </c>
      <c r="D1121">
        <v>0.27939999999999998</v>
      </c>
      <c r="E1121">
        <v>0.35580000000000001</v>
      </c>
      <c r="F1121">
        <v>200.03</v>
      </c>
      <c r="G1121">
        <v>0</v>
      </c>
      <c r="H1121">
        <v>6.36</v>
      </c>
      <c r="I1121">
        <v>123.89</v>
      </c>
      <c r="J1121">
        <v>267.11</v>
      </c>
      <c r="K1121">
        <v>231.75</v>
      </c>
      <c r="L1121">
        <v>-1542.6</v>
      </c>
      <c r="M1121">
        <v>-1398.84</v>
      </c>
      <c r="N1121">
        <v>115253</v>
      </c>
      <c r="O1121" t="s">
        <v>423</v>
      </c>
      <c r="P1121" t="s">
        <v>564</v>
      </c>
      <c r="Q1121" t="s">
        <v>565</v>
      </c>
    </row>
    <row r="1122" spans="1:17">
      <c r="A1122">
        <v>2655</v>
      </c>
      <c r="B1122">
        <v>487.25</v>
      </c>
      <c r="C1122">
        <v>3.41</v>
      </c>
      <c r="D1122">
        <v>0.27360000000000001</v>
      </c>
      <c r="E1122">
        <v>0.2515</v>
      </c>
      <c r="F1122">
        <v>187.38</v>
      </c>
      <c r="G1122">
        <v>0</v>
      </c>
      <c r="H1122">
        <v>7.2</v>
      </c>
      <c r="I1122">
        <v>119.78</v>
      </c>
      <c r="J1122">
        <v>320.72000000000003</v>
      </c>
      <c r="K1122">
        <v>236.75</v>
      </c>
      <c r="L1122">
        <v>-694.96</v>
      </c>
      <c r="M1122">
        <v>-680.8</v>
      </c>
      <c r="N1122">
        <v>76131</v>
      </c>
      <c r="O1122" t="s">
        <v>478</v>
      </c>
      <c r="P1122" t="s">
        <v>735</v>
      </c>
      <c r="Q1122" t="s">
        <v>736</v>
      </c>
    </row>
    <row r="1123" spans="1:17">
      <c r="A1123">
        <v>2656</v>
      </c>
      <c r="B1123">
        <v>551.15</v>
      </c>
      <c r="C1123">
        <v>3.34</v>
      </c>
      <c r="D1123">
        <v>0.2697</v>
      </c>
      <c r="E1123">
        <v>0.27839999999999998</v>
      </c>
      <c r="F1123">
        <v>203.83</v>
      </c>
      <c r="G1123">
        <v>0</v>
      </c>
      <c r="H1123">
        <v>8.0299999999999994</v>
      </c>
      <c r="I1123">
        <v>124.04</v>
      </c>
      <c r="J1123">
        <v>365.95</v>
      </c>
      <c r="K1123">
        <v>299.14999999999998</v>
      </c>
      <c r="L1123">
        <v>-699.57</v>
      </c>
      <c r="M1123">
        <v>-618.54999999999995</v>
      </c>
      <c r="N1123">
        <v>76120</v>
      </c>
      <c r="O1123" t="s">
        <v>2516</v>
      </c>
      <c r="P1123" t="s">
        <v>1037</v>
      </c>
      <c r="Q1123" t="s">
        <v>2654</v>
      </c>
    </row>
    <row r="1124" spans="1:17">
      <c r="A1124">
        <v>2658</v>
      </c>
      <c r="B1124">
        <v>552</v>
      </c>
      <c r="C1124">
        <v>3.34</v>
      </c>
      <c r="D1124">
        <v>0.25580000000000003</v>
      </c>
      <c r="E1124">
        <v>0.25700000000000001</v>
      </c>
      <c r="F1124">
        <v>203.83</v>
      </c>
      <c r="G1124">
        <v>0</v>
      </c>
      <c r="H1124">
        <v>8.07</v>
      </c>
      <c r="I1124">
        <v>120.07</v>
      </c>
      <c r="J1124">
        <v>364.65</v>
      </c>
      <c r="K1124">
        <v>314.14999999999998</v>
      </c>
      <c r="L1124">
        <v>-541</v>
      </c>
      <c r="M1124">
        <v>-457.6</v>
      </c>
      <c r="N1124">
        <v>76119</v>
      </c>
      <c r="O1124" t="s">
        <v>1036</v>
      </c>
      <c r="P1124" t="s">
        <v>1037</v>
      </c>
      <c r="Q1124" t="s">
        <v>1038</v>
      </c>
    </row>
    <row r="1125" spans="1:17">
      <c r="A1125">
        <v>2659</v>
      </c>
      <c r="B1125">
        <v>565</v>
      </c>
      <c r="C1125">
        <v>3.99</v>
      </c>
      <c r="D1125">
        <v>0.25419999999999998</v>
      </c>
      <c r="E1125">
        <v>0.25009999999999999</v>
      </c>
      <c r="F1125">
        <v>151.38999999999999</v>
      </c>
      <c r="G1125">
        <v>0</v>
      </c>
      <c r="H1125">
        <v>9.01</v>
      </c>
      <c r="I1125">
        <v>96.15</v>
      </c>
      <c r="J1125">
        <v>366</v>
      </c>
      <c r="K1125">
        <v>-86</v>
      </c>
      <c r="L1125">
        <v>-302</v>
      </c>
      <c r="M1125">
        <v>-234</v>
      </c>
      <c r="N1125">
        <v>27154332</v>
      </c>
      <c r="O1125" t="s">
        <v>1036</v>
      </c>
      <c r="P1125" t="s">
        <v>1129</v>
      </c>
      <c r="Q1125" t="s">
        <v>1130</v>
      </c>
    </row>
    <row r="1126" spans="1:17">
      <c r="A1126">
        <v>2660</v>
      </c>
      <c r="B1126">
        <v>391.8</v>
      </c>
      <c r="C1126">
        <v>4.6399999999999997</v>
      </c>
      <c r="D1126">
        <v>0.2457</v>
      </c>
      <c r="E1126">
        <v>0.26600000000000001</v>
      </c>
      <c r="F1126">
        <v>102.03</v>
      </c>
      <c r="G1126">
        <v>0</v>
      </c>
      <c r="H1126">
        <v>7.03</v>
      </c>
      <c r="I1126">
        <v>79.02</v>
      </c>
      <c r="J1126">
        <v>249.15</v>
      </c>
      <c r="K1126">
        <v>-86</v>
      </c>
      <c r="L1126">
        <v>-892.4</v>
      </c>
      <c r="M1126">
        <v>-824.6</v>
      </c>
      <c r="N1126">
        <v>359353</v>
      </c>
      <c r="O1126" t="s">
        <v>566</v>
      </c>
      <c r="P1126" t="s">
        <v>546</v>
      </c>
      <c r="Q1126" t="s">
        <v>567</v>
      </c>
    </row>
    <row r="1127" spans="1:17">
      <c r="A1127">
        <v>2661</v>
      </c>
      <c r="B1127">
        <v>699</v>
      </c>
      <c r="C1127">
        <v>4.37</v>
      </c>
      <c r="D1127">
        <v>0.28499999999999998</v>
      </c>
      <c r="E1127">
        <v>0.31790000000000002</v>
      </c>
      <c r="F1127">
        <v>171.04</v>
      </c>
      <c r="G1127">
        <v>0</v>
      </c>
      <c r="H1127">
        <v>9.4499999999999993</v>
      </c>
      <c r="I1127">
        <v>122.42</v>
      </c>
      <c r="J1127">
        <v>457.15</v>
      </c>
      <c r="K1127">
        <v>301.14999999999998</v>
      </c>
      <c r="L1127">
        <v>80.400000000000006</v>
      </c>
      <c r="M1127">
        <v>143</v>
      </c>
      <c r="N1127">
        <v>106387</v>
      </c>
      <c r="O1127" t="s">
        <v>568</v>
      </c>
      <c r="P1127" t="s">
        <v>1903</v>
      </c>
      <c r="Q1127" t="s">
        <v>1904</v>
      </c>
    </row>
    <row r="1128" spans="1:17">
      <c r="A1128">
        <v>2686</v>
      </c>
      <c r="B1128">
        <v>426.15</v>
      </c>
      <c r="C1128">
        <v>4.2539999999999996</v>
      </c>
      <c r="D1128">
        <v>0.2843</v>
      </c>
      <c r="E1128">
        <v>0.18709999999999999</v>
      </c>
      <c r="F1128">
        <v>165.37</v>
      </c>
      <c r="G1128">
        <v>0</v>
      </c>
      <c r="H1128">
        <v>7.46</v>
      </c>
      <c r="I1128">
        <v>86.48</v>
      </c>
      <c r="J1128">
        <v>269.14</v>
      </c>
      <c r="K1128">
        <v>112.15</v>
      </c>
      <c r="L1128">
        <v>-431.37</v>
      </c>
      <c r="M1128">
        <v>-408.28</v>
      </c>
      <c r="N1128">
        <v>353593</v>
      </c>
      <c r="O1128" t="s">
        <v>523</v>
      </c>
      <c r="P1128" t="s">
        <v>612</v>
      </c>
      <c r="Q1128" t="s">
        <v>613</v>
      </c>
    </row>
    <row r="1129" spans="1:17">
      <c r="A1129">
        <v>2687</v>
      </c>
      <c r="B1129">
        <v>340.15</v>
      </c>
      <c r="C1129">
        <v>3.97</v>
      </c>
      <c r="D1129">
        <v>0.28079999999999999</v>
      </c>
      <c r="E1129">
        <v>0.1704</v>
      </c>
      <c r="F1129">
        <v>148.91</v>
      </c>
      <c r="G1129">
        <v>0</v>
      </c>
      <c r="H1129">
        <v>7.07</v>
      </c>
      <c r="I1129">
        <v>74.73</v>
      </c>
      <c r="J1129">
        <v>214.15</v>
      </c>
      <c r="K1129">
        <v>105.15</v>
      </c>
      <c r="L1129">
        <v>-650.11</v>
      </c>
      <c r="M1129">
        <v>-616.29999999999995</v>
      </c>
      <c r="N1129">
        <v>75638</v>
      </c>
      <c r="O1129" t="s">
        <v>423</v>
      </c>
      <c r="P1129" t="s">
        <v>510</v>
      </c>
      <c r="Q1129" t="s">
        <v>511</v>
      </c>
    </row>
    <row r="1130" spans="1:17">
      <c r="A1130">
        <v>2688</v>
      </c>
      <c r="B1130">
        <v>478</v>
      </c>
      <c r="C1130">
        <v>4.07</v>
      </c>
      <c r="D1130">
        <v>0.27360000000000001</v>
      </c>
      <c r="E1130">
        <v>0.1085</v>
      </c>
      <c r="F1130">
        <v>209.82</v>
      </c>
      <c r="G1130">
        <v>0</v>
      </c>
      <c r="H1130">
        <v>7.52</v>
      </c>
      <c r="I1130">
        <v>91.69</v>
      </c>
      <c r="J1130">
        <v>295.94</v>
      </c>
      <c r="K1130">
        <v>163.15</v>
      </c>
      <c r="L1130">
        <v>-397.5</v>
      </c>
      <c r="M1130">
        <v>-376</v>
      </c>
      <c r="N1130">
        <v>75616</v>
      </c>
      <c r="O1130" t="s">
        <v>711</v>
      </c>
      <c r="P1130" t="s">
        <v>712</v>
      </c>
      <c r="Q1130" t="s">
        <v>713</v>
      </c>
    </row>
    <row r="1131" spans="1:17">
      <c r="A1131">
        <v>2690</v>
      </c>
      <c r="B1131">
        <v>432</v>
      </c>
      <c r="C1131">
        <v>4.4800000000000004</v>
      </c>
      <c r="D1131">
        <v>0.2777</v>
      </c>
      <c r="E1131">
        <v>0.1754</v>
      </c>
      <c r="F1131">
        <v>160.91999999999999</v>
      </c>
      <c r="G1131">
        <v>0</v>
      </c>
      <c r="H1131">
        <v>7.65</v>
      </c>
      <c r="I1131">
        <v>82.98</v>
      </c>
      <c r="J1131">
        <v>270.64999999999998</v>
      </c>
      <c r="K1131">
        <v>-86</v>
      </c>
      <c r="L1131">
        <v>-455</v>
      </c>
      <c r="M1131">
        <v>-438</v>
      </c>
      <c r="N1131">
        <v>598732</v>
      </c>
      <c r="O1131" t="s">
        <v>624</v>
      </c>
      <c r="P1131" t="s">
        <v>625</v>
      </c>
      <c r="Q1131" t="s">
        <v>626</v>
      </c>
    </row>
    <row r="1132" spans="1:17">
      <c r="A1132">
        <v>2691</v>
      </c>
      <c r="B1132">
        <v>379.15</v>
      </c>
      <c r="C1132">
        <v>4.0529999999999999</v>
      </c>
      <c r="D1132">
        <v>0.27260000000000001</v>
      </c>
      <c r="E1132">
        <v>0.2442</v>
      </c>
      <c r="F1132">
        <v>116.47</v>
      </c>
      <c r="G1132">
        <v>0</v>
      </c>
      <c r="H1132">
        <v>7.63</v>
      </c>
      <c r="I1132">
        <v>79.37</v>
      </c>
      <c r="J1132">
        <v>245.3</v>
      </c>
      <c r="K1132">
        <v>115.65</v>
      </c>
      <c r="L1132">
        <v>-572.70000000000005</v>
      </c>
      <c r="M1132">
        <v>-542</v>
      </c>
      <c r="N1132">
        <v>79389</v>
      </c>
      <c r="O1132" t="s">
        <v>523</v>
      </c>
      <c r="P1132" t="s">
        <v>554</v>
      </c>
      <c r="Q1132" t="s">
        <v>555</v>
      </c>
    </row>
    <row r="1133" spans="1:17">
      <c r="A1133">
        <v>2692</v>
      </c>
      <c r="B1133">
        <v>353.15</v>
      </c>
      <c r="C1133">
        <v>3.157</v>
      </c>
      <c r="D1133">
        <v>0.27100000000000002</v>
      </c>
      <c r="E1133">
        <v>0.25140000000000001</v>
      </c>
      <c r="F1133">
        <v>154.47</v>
      </c>
      <c r="G1133">
        <v>0</v>
      </c>
      <c r="H1133">
        <v>6.46</v>
      </c>
      <c r="I1133">
        <v>99.67</v>
      </c>
      <c r="J1133">
        <v>235.2</v>
      </c>
      <c r="K1133">
        <v>173.71</v>
      </c>
      <c r="L1133">
        <v>-1110</v>
      </c>
      <c r="M1133">
        <v>-1042</v>
      </c>
      <c r="N1133">
        <v>76153</v>
      </c>
      <c r="O1133" t="s">
        <v>423</v>
      </c>
      <c r="P1133" t="s">
        <v>521</v>
      </c>
      <c r="Q1133" t="s">
        <v>522</v>
      </c>
    </row>
    <row r="1134" spans="1:17">
      <c r="A1134">
        <v>2693</v>
      </c>
      <c r="B1134">
        <v>293.02999999999997</v>
      </c>
      <c r="C1134">
        <v>3.0430000000000001</v>
      </c>
      <c r="D1134">
        <v>0.27400000000000002</v>
      </c>
      <c r="E1134">
        <v>0.25490000000000002</v>
      </c>
      <c r="F1134">
        <v>138.01</v>
      </c>
      <c r="G1134">
        <v>0</v>
      </c>
      <c r="H1134">
        <v>6.33</v>
      </c>
      <c r="I1134">
        <v>86.37</v>
      </c>
      <c r="J1134">
        <v>194.87</v>
      </c>
      <c r="K1134">
        <v>172.55</v>
      </c>
      <c r="L1134">
        <v>-1343.06</v>
      </c>
      <c r="M1134">
        <v>-1257.3800000000001</v>
      </c>
      <c r="N1134">
        <v>76164</v>
      </c>
      <c r="O1134" t="s">
        <v>471</v>
      </c>
      <c r="P1134" t="s">
        <v>472</v>
      </c>
      <c r="Q1134" t="s">
        <v>473</v>
      </c>
    </row>
    <row r="1135" spans="1:17">
      <c r="A1135">
        <v>2694</v>
      </c>
      <c r="B1135">
        <v>473</v>
      </c>
      <c r="C1135">
        <v>7.093</v>
      </c>
      <c r="D1135">
        <v>0.36070000000000002</v>
      </c>
      <c r="E1135">
        <v>0.27650000000000002</v>
      </c>
      <c r="F1135">
        <v>106.95</v>
      </c>
      <c r="G1135">
        <v>0</v>
      </c>
      <c r="H1135">
        <v>8.7100000000000009</v>
      </c>
      <c r="I1135">
        <v>69.760000000000005</v>
      </c>
      <c r="J1135">
        <v>288.95</v>
      </c>
      <c r="K1135">
        <v>135.35</v>
      </c>
      <c r="L1135">
        <v>79.3</v>
      </c>
      <c r="M1135">
        <v>80.77</v>
      </c>
      <c r="N1135">
        <v>593602</v>
      </c>
      <c r="O1135" t="s">
        <v>2516</v>
      </c>
      <c r="P1135" t="s">
        <v>2655</v>
      </c>
      <c r="Q1135" t="s">
        <v>2656</v>
      </c>
    </row>
    <row r="1136" spans="1:17">
      <c r="A1136">
        <v>2695</v>
      </c>
      <c r="B1136">
        <v>410.29</v>
      </c>
      <c r="C1136">
        <v>4.0410000000000004</v>
      </c>
      <c r="D1136">
        <v>0.27929999999999999</v>
      </c>
      <c r="E1136">
        <v>0.23069999999999999</v>
      </c>
      <c r="F1136">
        <v>100.5</v>
      </c>
      <c r="G1136">
        <v>0</v>
      </c>
      <c r="H1136">
        <v>7.61</v>
      </c>
      <c r="I1136">
        <v>83.73</v>
      </c>
      <c r="J1136">
        <v>263.64999999999998</v>
      </c>
      <c r="K1136">
        <v>142.15</v>
      </c>
      <c r="L1136">
        <v>-487</v>
      </c>
      <c r="M1136">
        <v>-423</v>
      </c>
      <c r="N1136">
        <v>75683</v>
      </c>
      <c r="O1136" t="s">
        <v>471</v>
      </c>
      <c r="P1136" t="s">
        <v>591</v>
      </c>
      <c r="Q1136" t="s">
        <v>592</v>
      </c>
    </row>
    <row r="1137" spans="1:17">
      <c r="A1137">
        <v>2696</v>
      </c>
      <c r="B1137">
        <v>327.8</v>
      </c>
      <c r="C1137">
        <v>5.24</v>
      </c>
      <c r="D1137">
        <v>0.27679999999999999</v>
      </c>
      <c r="E1137">
        <v>0.1429</v>
      </c>
      <c r="F1137">
        <v>46.04</v>
      </c>
      <c r="G1137">
        <v>0</v>
      </c>
      <c r="H1137">
        <v>8.66</v>
      </c>
      <c r="I1137">
        <v>53.09</v>
      </c>
      <c r="J1137">
        <v>200.95</v>
      </c>
      <c r="K1137">
        <v>112.65</v>
      </c>
      <c r="L1137">
        <v>-138.80000000000001</v>
      </c>
      <c r="M1137">
        <v>-125.07</v>
      </c>
      <c r="N1137">
        <v>75025</v>
      </c>
      <c r="O1137" t="s">
        <v>423</v>
      </c>
      <c r="P1137" t="s">
        <v>506</v>
      </c>
      <c r="Q1137" t="s">
        <v>2873</v>
      </c>
    </row>
    <row r="1138" spans="1:17">
      <c r="A1138">
        <v>2706</v>
      </c>
      <c r="B1138">
        <v>584</v>
      </c>
      <c r="C1138">
        <v>3.18</v>
      </c>
      <c r="D1138">
        <v>0.2742</v>
      </c>
      <c r="E1138">
        <v>0.4577</v>
      </c>
      <c r="F1138">
        <v>101.19</v>
      </c>
      <c r="G1138">
        <v>0</v>
      </c>
      <c r="H1138">
        <v>8.64</v>
      </c>
      <c r="I1138">
        <v>133</v>
      </c>
      <c r="J1138">
        <v>404.65</v>
      </c>
      <c r="K1138">
        <v>251.85</v>
      </c>
      <c r="L1138">
        <v>-131.09</v>
      </c>
      <c r="M1138">
        <v>84.52</v>
      </c>
      <c r="N1138">
        <v>111262</v>
      </c>
      <c r="O1138" t="s">
        <v>568</v>
      </c>
      <c r="P1138" t="s">
        <v>927</v>
      </c>
      <c r="Q1138" t="s">
        <v>1240</v>
      </c>
    </row>
    <row r="1139" spans="1:17">
      <c r="A1139">
        <v>2707</v>
      </c>
      <c r="B1139">
        <v>607</v>
      </c>
      <c r="C1139">
        <v>2.85</v>
      </c>
      <c r="D1139">
        <v>0.25690000000000002</v>
      </c>
      <c r="E1139">
        <v>0.50770000000000004</v>
      </c>
      <c r="F1139">
        <v>115.22</v>
      </c>
      <c r="G1139">
        <v>0</v>
      </c>
      <c r="H1139">
        <v>8.6300000000000008</v>
      </c>
      <c r="I1139">
        <v>149.31</v>
      </c>
      <c r="J1139">
        <v>430.05</v>
      </c>
      <c r="K1139">
        <v>254.15</v>
      </c>
      <c r="L1139">
        <v>-152</v>
      </c>
      <c r="M1139">
        <v>95.9</v>
      </c>
      <c r="N1139">
        <v>111682</v>
      </c>
      <c r="O1139" t="s">
        <v>1376</v>
      </c>
      <c r="P1139" t="s">
        <v>1377</v>
      </c>
      <c r="Q1139" t="s">
        <v>1378</v>
      </c>
    </row>
    <row r="1140" spans="1:17">
      <c r="A1140">
        <v>2708</v>
      </c>
      <c r="B1140">
        <v>627</v>
      </c>
      <c r="C1140">
        <v>2.58</v>
      </c>
      <c r="D1140">
        <v>0.25929999999999997</v>
      </c>
      <c r="E1140">
        <v>0.56940000000000002</v>
      </c>
      <c r="F1140">
        <v>129.25</v>
      </c>
      <c r="G1140">
        <v>0</v>
      </c>
      <c r="H1140">
        <v>8.42</v>
      </c>
      <c r="I1140">
        <v>165.98</v>
      </c>
      <c r="J1140">
        <v>452.75</v>
      </c>
      <c r="K1140">
        <v>272.75</v>
      </c>
      <c r="L1140">
        <v>-172</v>
      </c>
      <c r="M1140">
        <v>83.03</v>
      </c>
      <c r="N1140">
        <v>111864</v>
      </c>
      <c r="O1140" t="s">
        <v>633</v>
      </c>
      <c r="P1140" t="s">
        <v>1229</v>
      </c>
      <c r="Q1140" t="s">
        <v>1501</v>
      </c>
    </row>
    <row r="1141" spans="1:17">
      <c r="A1141">
        <v>2709</v>
      </c>
      <c r="B1141">
        <v>648</v>
      </c>
      <c r="C1141">
        <v>2.36</v>
      </c>
      <c r="D1141">
        <v>0.25269999999999998</v>
      </c>
      <c r="E1141">
        <v>0.61709999999999998</v>
      </c>
      <c r="F1141">
        <v>143.27000000000001</v>
      </c>
      <c r="G1141">
        <v>0</v>
      </c>
      <c r="H1141">
        <v>8.4700000000000006</v>
      </c>
      <c r="I1141">
        <v>182.44</v>
      </c>
      <c r="J1141">
        <v>475.35</v>
      </c>
      <c r="K1141">
        <v>273.14999999999998</v>
      </c>
      <c r="L1141">
        <v>-193</v>
      </c>
      <c r="M1141">
        <v>118.7</v>
      </c>
      <c r="N1141">
        <v>112209</v>
      </c>
      <c r="O1141" t="s">
        <v>633</v>
      </c>
      <c r="P1141" t="s">
        <v>1614</v>
      </c>
      <c r="Q1141" t="s">
        <v>1615</v>
      </c>
    </row>
    <row r="1142" spans="1:17">
      <c r="A1142">
        <v>2710</v>
      </c>
      <c r="B1142">
        <v>663</v>
      </c>
      <c r="C1142">
        <v>2.1800000000000002</v>
      </c>
      <c r="D1142">
        <v>0.24879999999999999</v>
      </c>
      <c r="E1142">
        <v>0.66639999999999999</v>
      </c>
      <c r="F1142">
        <v>157.30000000000001</v>
      </c>
      <c r="G1142">
        <v>0</v>
      </c>
      <c r="H1142">
        <v>8.33</v>
      </c>
      <c r="I1142">
        <v>198.9</v>
      </c>
      <c r="J1142">
        <v>506.15</v>
      </c>
      <c r="K1142">
        <v>288.85000000000002</v>
      </c>
      <c r="L1142">
        <v>-214</v>
      </c>
      <c r="M1142">
        <v>130</v>
      </c>
      <c r="N1142">
        <v>2016571</v>
      </c>
      <c r="O1142" t="s">
        <v>633</v>
      </c>
      <c r="P1142" t="s">
        <v>1558</v>
      </c>
      <c r="Q1142" t="s">
        <v>1720</v>
      </c>
    </row>
    <row r="1143" spans="1:17">
      <c r="A1143">
        <v>2712</v>
      </c>
      <c r="B1143">
        <v>696</v>
      </c>
      <c r="C1143">
        <v>1.88</v>
      </c>
      <c r="D1143">
        <v>0.2419</v>
      </c>
      <c r="E1143">
        <v>0.76380000000000003</v>
      </c>
      <c r="F1143">
        <v>185.35</v>
      </c>
      <c r="G1143">
        <v>0</v>
      </c>
      <c r="H1143">
        <v>8.2899999999999991</v>
      </c>
      <c r="I1143">
        <v>235.12</v>
      </c>
      <c r="J1143">
        <v>521.15</v>
      </c>
      <c r="K1143">
        <v>301.47000000000003</v>
      </c>
      <c r="L1143">
        <v>-256</v>
      </c>
      <c r="M1143">
        <v>116.49</v>
      </c>
      <c r="N1143">
        <v>124221</v>
      </c>
      <c r="O1143" t="s">
        <v>823</v>
      </c>
      <c r="P1143" t="s">
        <v>1584</v>
      </c>
      <c r="Q1143" t="s">
        <v>1883</v>
      </c>
    </row>
    <row r="1144" spans="1:17">
      <c r="A1144">
        <v>2716</v>
      </c>
      <c r="B1144">
        <v>644</v>
      </c>
      <c r="C1144">
        <v>1.8</v>
      </c>
      <c r="D1144">
        <v>0.24709999999999999</v>
      </c>
      <c r="E1144">
        <v>0.69430000000000003</v>
      </c>
      <c r="F1144">
        <v>185.35</v>
      </c>
      <c r="G1144">
        <v>0</v>
      </c>
      <c r="H1144">
        <v>7.83</v>
      </c>
      <c r="I1144">
        <v>239.21</v>
      </c>
      <c r="J1144">
        <v>487.15</v>
      </c>
      <c r="K1144">
        <v>203</v>
      </c>
      <c r="L1144">
        <v>-233</v>
      </c>
      <c r="M1144">
        <v>146</v>
      </c>
      <c r="N1144">
        <v>102829</v>
      </c>
      <c r="O1144" t="s">
        <v>568</v>
      </c>
      <c r="P1144" t="s">
        <v>1584</v>
      </c>
      <c r="Q1144" t="s">
        <v>1585</v>
      </c>
    </row>
    <row r="1145" spans="1:17">
      <c r="A1145">
        <v>2717</v>
      </c>
      <c r="B1145">
        <v>676</v>
      </c>
      <c r="C1145">
        <v>4.22</v>
      </c>
      <c r="D1145">
        <v>0.31990000000000002</v>
      </c>
      <c r="E1145">
        <v>0.70020000000000004</v>
      </c>
      <c r="F1145">
        <v>103.17</v>
      </c>
      <c r="G1145">
        <v>0</v>
      </c>
      <c r="H1145">
        <v>10.86</v>
      </c>
      <c r="I1145">
        <v>108.09</v>
      </c>
      <c r="J1145">
        <v>480</v>
      </c>
      <c r="K1145">
        <v>234</v>
      </c>
      <c r="L1145">
        <v>-5.86</v>
      </c>
      <c r="M1145">
        <v>207.29</v>
      </c>
      <c r="N1145">
        <v>111400</v>
      </c>
      <c r="O1145" t="s">
        <v>2516</v>
      </c>
      <c r="P1145" t="s">
        <v>2657</v>
      </c>
      <c r="Q1145" t="s">
        <v>2658</v>
      </c>
    </row>
    <row r="1146" spans="1:17">
      <c r="A1146">
        <v>2718</v>
      </c>
      <c r="B1146">
        <v>774</v>
      </c>
      <c r="C1146">
        <v>2.5299999999999998</v>
      </c>
      <c r="D1146">
        <v>0.2949</v>
      </c>
      <c r="E1146">
        <v>1.2364999999999999</v>
      </c>
      <c r="F1146">
        <v>189.3</v>
      </c>
      <c r="G1146">
        <v>0</v>
      </c>
      <c r="H1146">
        <v>11.85</v>
      </c>
      <c r="I1146">
        <v>190.37</v>
      </c>
      <c r="J1146">
        <v>613.15</v>
      </c>
      <c r="K1146">
        <v>233.15</v>
      </c>
      <c r="L1146">
        <v>12.6</v>
      </c>
      <c r="M1146">
        <v>413.08</v>
      </c>
      <c r="N1146">
        <v>112572</v>
      </c>
      <c r="O1146" t="s">
        <v>2804</v>
      </c>
      <c r="P1146" t="s">
        <v>2659</v>
      </c>
      <c r="Q1146" t="s">
        <v>2660</v>
      </c>
    </row>
    <row r="1147" spans="1:17">
      <c r="A1147">
        <v>2719</v>
      </c>
      <c r="B1147">
        <v>577.45000000000005</v>
      </c>
      <c r="C1147">
        <v>2.23</v>
      </c>
      <c r="D1147">
        <v>0.26750000000000002</v>
      </c>
      <c r="E1147">
        <v>0.69940000000000002</v>
      </c>
      <c r="F1147">
        <v>143.27000000000001</v>
      </c>
      <c r="G1147">
        <v>0</v>
      </c>
      <c r="H1147">
        <v>7.41</v>
      </c>
      <c r="I1147">
        <v>189.96</v>
      </c>
      <c r="J1147">
        <v>429.65</v>
      </c>
      <c r="K1147">
        <v>179.65</v>
      </c>
      <c r="L1147">
        <v>-171</v>
      </c>
      <c r="M1147">
        <v>133.69</v>
      </c>
      <c r="N1147">
        <v>102692</v>
      </c>
      <c r="O1147" t="s">
        <v>2516</v>
      </c>
      <c r="P1147" t="s">
        <v>1614</v>
      </c>
      <c r="Q1147" t="s">
        <v>2661</v>
      </c>
    </row>
    <row r="1148" spans="1:17">
      <c r="A1148">
        <v>2720</v>
      </c>
      <c r="B1148">
        <v>584</v>
      </c>
      <c r="C1148">
        <v>3.88</v>
      </c>
      <c r="D1148">
        <v>0.20699999999999999</v>
      </c>
      <c r="E1148">
        <v>0.37819999999999998</v>
      </c>
      <c r="F1148">
        <v>67.09</v>
      </c>
      <c r="G1148">
        <v>0</v>
      </c>
      <c r="H1148">
        <v>10.54</v>
      </c>
      <c r="I1148">
        <v>80.95</v>
      </c>
      <c r="J1148">
        <v>391.65</v>
      </c>
      <c r="K1148">
        <v>186.15</v>
      </c>
      <c r="L1148">
        <v>157.80000000000001</v>
      </c>
      <c r="M1148">
        <v>200.5</v>
      </c>
      <c r="N1148">
        <v>109751</v>
      </c>
      <c r="O1148" t="s">
        <v>1100</v>
      </c>
      <c r="P1148" t="s">
        <v>1052</v>
      </c>
      <c r="Q1148" t="s">
        <v>1241</v>
      </c>
    </row>
    <row r="1149" spans="1:17">
      <c r="A1149">
        <v>2722</v>
      </c>
      <c r="B1149">
        <v>568</v>
      </c>
      <c r="C1149">
        <v>3.44</v>
      </c>
      <c r="D1149">
        <v>0.26219999999999999</v>
      </c>
      <c r="E1149">
        <v>0.41449999999999998</v>
      </c>
      <c r="F1149">
        <v>99.13</v>
      </c>
      <c r="G1149">
        <v>0</v>
      </c>
      <c r="H1149">
        <v>9.16</v>
      </c>
      <c r="I1149">
        <v>112.99</v>
      </c>
      <c r="J1149">
        <v>388.15</v>
      </c>
      <c r="K1149">
        <v>-86</v>
      </c>
      <c r="L1149">
        <v>-127</v>
      </c>
      <c r="M1149">
        <v>1.96</v>
      </c>
      <c r="N1149">
        <v>111364</v>
      </c>
      <c r="O1149" t="s">
        <v>757</v>
      </c>
      <c r="P1149" t="s">
        <v>1154</v>
      </c>
      <c r="Q1149" t="s">
        <v>1155</v>
      </c>
    </row>
    <row r="1150" spans="1:17">
      <c r="A1150">
        <v>2723</v>
      </c>
      <c r="B1150">
        <v>633</v>
      </c>
      <c r="C1150">
        <v>3.47</v>
      </c>
      <c r="D1150">
        <v>0.26900000000000002</v>
      </c>
      <c r="E1150">
        <v>0.52470000000000006</v>
      </c>
      <c r="F1150">
        <v>125.17</v>
      </c>
      <c r="G1150">
        <v>0</v>
      </c>
      <c r="H1150">
        <v>10.38</v>
      </c>
      <c r="I1150">
        <v>115.33</v>
      </c>
      <c r="J1150">
        <v>442.15</v>
      </c>
      <c r="K1150">
        <v>-86</v>
      </c>
      <c r="L1150">
        <v>-140</v>
      </c>
      <c r="M1150">
        <v>32.799999999999997</v>
      </c>
      <c r="N1150">
        <v>3173533</v>
      </c>
      <c r="O1150" t="s">
        <v>757</v>
      </c>
      <c r="P1150" t="s">
        <v>1529</v>
      </c>
      <c r="Q1150" t="s">
        <v>1530</v>
      </c>
    </row>
    <row r="1151" spans="1:17">
      <c r="A1151">
        <v>2724</v>
      </c>
      <c r="B1151">
        <v>704</v>
      </c>
      <c r="C1151">
        <v>3.74</v>
      </c>
      <c r="D1151">
        <v>0.2722</v>
      </c>
      <c r="E1151">
        <v>0.46200000000000002</v>
      </c>
      <c r="F1151">
        <v>121.18</v>
      </c>
      <c r="G1151">
        <v>0</v>
      </c>
      <c r="H1151">
        <v>10.42</v>
      </c>
      <c r="I1151">
        <v>124.05</v>
      </c>
      <c r="J1151">
        <v>483.15</v>
      </c>
      <c r="K1151">
        <v>229.15</v>
      </c>
      <c r="L1151">
        <v>33.299999999999997</v>
      </c>
      <c r="M1151">
        <v>170</v>
      </c>
      <c r="N1151">
        <v>578541</v>
      </c>
      <c r="O1151" t="s">
        <v>757</v>
      </c>
      <c r="P1151" t="s">
        <v>1653</v>
      </c>
      <c r="Q1151" t="s">
        <v>1925</v>
      </c>
    </row>
    <row r="1152" spans="1:17">
      <c r="A1152">
        <v>2725</v>
      </c>
      <c r="B1152">
        <v>781</v>
      </c>
      <c r="C1152">
        <v>5.18</v>
      </c>
      <c r="D1152">
        <v>0.30070000000000002</v>
      </c>
      <c r="E1152">
        <v>0.53890000000000005</v>
      </c>
      <c r="F1152">
        <v>108.14</v>
      </c>
      <c r="G1152">
        <v>0</v>
      </c>
      <c r="H1152">
        <v>12.1</v>
      </c>
      <c r="I1152">
        <v>100.07</v>
      </c>
      <c r="J1152">
        <v>530</v>
      </c>
      <c r="K1152">
        <v>377.15</v>
      </c>
      <c r="L1152">
        <v>91.2</v>
      </c>
      <c r="M1152">
        <v>207</v>
      </c>
      <c r="N1152">
        <v>95545</v>
      </c>
      <c r="O1152" t="s">
        <v>568</v>
      </c>
      <c r="P1152" t="s">
        <v>2076</v>
      </c>
      <c r="Q1152" t="s">
        <v>2242</v>
      </c>
    </row>
    <row r="1153" spans="1:17">
      <c r="A1153">
        <v>2726</v>
      </c>
      <c r="B1153">
        <v>539.9</v>
      </c>
      <c r="C1153">
        <v>5.4790000000000001</v>
      </c>
      <c r="D1153">
        <v>0.2994</v>
      </c>
      <c r="E1153">
        <v>0.22950000000000001</v>
      </c>
      <c r="F1153">
        <v>57.1</v>
      </c>
      <c r="G1153">
        <v>0</v>
      </c>
      <c r="H1153">
        <v>10.01</v>
      </c>
      <c r="I1153">
        <v>71.209999999999994</v>
      </c>
      <c r="J1153">
        <v>340</v>
      </c>
      <c r="K1153">
        <v>229</v>
      </c>
      <c r="L1153">
        <v>88.8</v>
      </c>
      <c r="M1153">
        <v>173</v>
      </c>
      <c r="N1153">
        <v>75558</v>
      </c>
      <c r="O1153" t="s">
        <v>609</v>
      </c>
      <c r="P1153" t="s">
        <v>801</v>
      </c>
      <c r="Q1153" t="s">
        <v>960</v>
      </c>
    </row>
    <row r="1154" spans="1:17">
      <c r="A1154">
        <v>2727</v>
      </c>
      <c r="B1154">
        <v>824</v>
      </c>
      <c r="C1154">
        <v>5.18</v>
      </c>
      <c r="D1154">
        <v>0.28499999999999998</v>
      </c>
      <c r="E1154">
        <v>0.5464</v>
      </c>
      <c r="F1154">
        <v>108.14</v>
      </c>
      <c r="G1154">
        <v>0</v>
      </c>
      <c r="H1154">
        <v>12.51</v>
      </c>
      <c r="I1154">
        <v>97.72</v>
      </c>
      <c r="J1154">
        <v>559</v>
      </c>
      <c r="K1154">
        <v>334</v>
      </c>
      <c r="L1154">
        <v>91.2</v>
      </c>
      <c r="M1154">
        <v>207</v>
      </c>
      <c r="N1154">
        <v>108452</v>
      </c>
      <c r="O1154" t="s">
        <v>568</v>
      </c>
      <c r="P1154" t="s">
        <v>2076</v>
      </c>
      <c r="Q1154" t="s">
        <v>2341</v>
      </c>
    </row>
    <row r="1155" spans="1:17">
      <c r="A1155">
        <v>2730</v>
      </c>
      <c r="B1155">
        <v>737</v>
      </c>
      <c r="C1155">
        <v>2.52</v>
      </c>
      <c r="D1155">
        <v>0.25459999999999999</v>
      </c>
      <c r="E1155">
        <v>0.51329999999999998</v>
      </c>
      <c r="F1155">
        <v>181.32</v>
      </c>
      <c r="G1155">
        <v>0</v>
      </c>
      <c r="H1155">
        <v>8.4</v>
      </c>
      <c r="I1155">
        <v>199.42</v>
      </c>
      <c r="J1155">
        <v>529</v>
      </c>
      <c r="K1155">
        <v>271.14999999999998</v>
      </c>
      <c r="L1155">
        <v>-185</v>
      </c>
      <c r="M1155">
        <v>170.45</v>
      </c>
      <c r="N1155">
        <v>101837</v>
      </c>
      <c r="O1155" t="s">
        <v>2516</v>
      </c>
      <c r="P1155" t="s">
        <v>2662</v>
      </c>
      <c r="Q1155" t="s">
        <v>2663</v>
      </c>
    </row>
    <row r="1156" spans="1:17">
      <c r="A1156">
        <v>2731</v>
      </c>
      <c r="B1156">
        <v>622</v>
      </c>
      <c r="C1156">
        <v>3.49</v>
      </c>
      <c r="D1156">
        <v>0.2787</v>
      </c>
      <c r="E1156">
        <v>0.38550000000000001</v>
      </c>
      <c r="F1156">
        <v>113.2</v>
      </c>
      <c r="G1156">
        <v>0</v>
      </c>
      <c r="H1156">
        <v>8.9700000000000006</v>
      </c>
      <c r="I1156">
        <v>130.82</v>
      </c>
      <c r="J1156">
        <v>422</v>
      </c>
      <c r="K1156">
        <v>264.64999999999998</v>
      </c>
      <c r="L1156">
        <v>-103</v>
      </c>
      <c r="M1156">
        <v>117</v>
      </c>
      <c r="N1156">
        <v>100607</v>
      </c>
      <c r="O1156" t="s">
        <v>545</v>
      </c>
      <c r="P1156" t="s">
        <v>1475</v>
      </c>
      <c r="Q1156" t="s">
        <v>1476</v>
      </c>
    </row>
    <row r="1157" spans="1:17">
      <c r="A1157">
        <v>2732</v>
      </c>
      <c r="B1157">
        <v>698</v>
      </c>
      <c r="C1157">
        <v>4.46</v>
      </c>
      <c r="D1157">
        <v>0.2974</v>
      </c>
      <c r="E1157">
        <v>1.0472999999999999</v>
      </c>
      <c r="F1157">
        <v>104.15</v>
      </c>
      <c r="G1157">
        <v>0</v>
      </c>
      <c r="H1157">
        <v>14.29</v>
      </c>
      <c r="I1157">
        <v>101.52</v>
      </c>
      <c r="J1157">
        <v>517</v>
      </c>
      <c r="K1157">
        <v>-86</v>
      </c>
      <c r="L1157">
        <v>-191</v>
      </c>
      <c r="M1157">
        <v>3.81</v>
      </c>
      <c r="N1157">
        <v>111411</v>
      </c>
      <c r="O1157" t="s">
        <v>568</v>
      </c>
      <c r="P1157" t="s">
        <v>1896</v>
      </c>
      <c r="Q1157" t="s">
        <v>1897</v>
      </c>
    </row>
    <row r="1158" spans="1:17">
      <c r="A1158">
        <v>2733</v>
      </c>
      <c r="B1158">
        <v>796</v>
      </c>
      <c r="C1158">
        <v>2.95</v>
      </c>
      <c r="D1158">
        <v>0.20130000000000001</v>
      </c>
      <c r="E1158">
        <v>0.66390000000000005</v>
      </c>
      <c r="F1158">
        <v>106.13</v>
      </c>
      <c r="G1158">
        <v>0</v>
      </c>
      <c r="H1158">
        <v>12.56</v>
      </c>
      <c r="I1158">
        <v>99.93</v>
      </c>
      <c r="J1158">
        <v>501</v>
      </c>
      <c r="K1158">
        <v>249</v>
      </c>
      <c r="L1158">
        <v>271</v>
      </c>
      <c r="M1158">
        <v>342</v>
      </c>
      <c r="N1158">
        <v>2141584</v>
      </c>
      <c r="O1158" t="s">
        <v>609</v>
      </c>
      <c r="P1158" t="s">
        <v>2123</v>
      </c>
      <c r="Q1158" t="s">
        <v>2282</v>
      </c>
    </row>
    <row r="1159" spans="1:17">
      <c r="A1159">
        <v>2734</v>
      </c>
      <c r="B1159">
        <v>689</v>
      </c>
      <c r="C1159">
        <v>2.95</v>
      </c>
      <c r="D1159">
        <v>0.2019</v>
      </c>
      <c r="E1159">
        <v>0.6643</v>
      </c>
      <c r="F1159">
        <v>106.13</v>
      </c>
      <c r="G1159">
        <v>0</v>
      </c>
      <c r="H1159">
        <v>12.45</v>
      </c>
      <c r="I1159">
        <v>100.65</v>
      </c>
      <c r="J1159">
        <v>499</v>
      </c>
      <c r="K1159">
        <v>260</v>
      </c>
      <c r="L1159">
        <v>267</v>
      </c>
      <c r="M1159">
        <v>340</v>
      </c>
      <c r="N1159">
        <v>2141595</v>
      </c>
      <c r="O1159" t="s">
        <v>2516</v>
      </c>
      <c r="P1159" t="s">
        <v>2123</v>
      </c>
      <c r="Q1159" t="s">
        <v>2664</v>
      </c>
    </row>
    <row r="1160" spans="1:17">
      <c r="A1160">
        <v>2735</v>
      </c>
      <c r="B1160">
        <v>755</v>
      </c>
      <c r="C1160">
        <v>2.95</v>
      </c>
      <c r="D1160">
        <v>0.1842</v>
      </c>
      <c r="E1160">
        <v>0.66679999999999995</v>
      </c>
      <c r="F1160">
        <v>106.13</v>
      </c>
      <c r="G1160">
        <v>0</v>
      </c>
      <c r="H1160">
        <v>12.24</v>
      </c>
      <c r="I1160">
        <v>110.96</v>
      </c>
      <c r="J1160">
        <v>547</v>
      </c>
      <c r="K1160">
        <v>348</v>
      </c>
      <c r="L1160">
        <v>261</v>
      </c>
      <c r="M1160">
        <v>328</v>
      </c>
      <c r="N1160">
        <v>1119853</v>
      </c>
      <c r="O1160" t="s">
        <v>545</v>
      </c>
      <c r="P1160" t="s">
        <v>2123</v>
      </c>
      <c r="Q1160" t="s">
        <v>2124</v>
      </c>
    </row>
    <row r="1161" spans="1:17">
      <c r="A1161">
        <v>2736</v>
      </c>
      <c r="B1161">
        <v>802</v>
      </c>
      <c r="C1161">
        <v>2.2799999999999998</v>
      </c>
      <c r="D1161">
        <v>0.25440000000000002</v>
      </c>
      <c r="E1161">
        <v>0.95</v>
      </c>
      <c r="F1161">
        <v>250.26</v>
      </c>
      <c r="G1161">
        <v>0</v>
      </c>
      <c r="H1161">
        <v>10.07</v>
      </c>
      <c r="I1161">
        <v>208.49</v>
      </c>
      <c r="J1161">
        <v>609</v>
      </c>
      <c r="K1161">
        <v>310.39999999999998</v>
      </c>
      <c r="L1161">
        <v>-55.8</v>
      </c>
      <c r="M1161">
        <v>-86</v>
      </c>
      <c r="N1161">
        <v>101688</v>
      </c>
      <c r="O1161" t="s">
        <v>2516</v>
      </c>
      <c r="P1161" t="s">
        <v>2665</v>
      </c>
      <c r="Q1161" t="s">
        <v>2666</v>
      </c>
    </row>
    <row r="1162" spans="1:17">
      <c r="A1162">
        <v>2737</v>
      </c>
      <c r="B1162">
        <v>906</v>
      </c>
      <c r="C1162">
        <v>2.31</v>
      </c>
      <c r="D1162">
        <v>0.2505</v>
      </c>
      <c r="E1162">
        <v>0.87609999999999999</v>
      </c>
      <c r="F1162">
        <v>260.33999999999997</v>
      </c>
      <c r="G1162">
        <v>0</v>
      </c>
      <c r="H1162">
        <v>9.6</v>
      </c>
      <c r="I1162">
        <v>255.46</v>
      </c>
      <c r="J1162">
        <v>688</v>
      </c>
      <c r="K1162">
        <v>417</v>
      </c>
      <c r="L1162">
        <v>321</v>
      </c>
      <c r="M1162">
        <v>564</v>
      </c>
      <c r="N1162">
        <v>74317</v>
      </c>
      <c r="O1162" t="s">
        <v>2516</v>
      </c>
      <c r="P1162" t="s">
        <v>2667</v>
      </c>
      <c r="Q1162" t="s">
        <v>2668</v>
      </c>
    </row>
    <row r="1163" spans="1:17">
      <c r="A1163">
        <v>2738</v>
      </c>
      <c r="B1163">
        <v>835</v>
      </c>
      <c r="C1163">
        <v>2.87</v>
      </c>
      <c r="D1163">
        <v>0.25750000000000001</v>
      </c>
      <c r="E1163">
        <v>0.76690000000000003</v>
      </c>
      <c r="F1163">
        <v>214.22</v>
      </c>
      <c r="G1163">
        <v>0</v>
      </c>
      <c r="H1163">
        <v>9.4700000000000006</v>
      </c>
      <c r="I1163">
        <v>195.4</v>
      </c>
      <c r="J1163">
        <v>616</v>
      </c>
      <c r="K1163">
        <v>348.65</v>
      </c>
      <c r="L1163">
        <v>188</v>
      </c>
      <c r="M1163">
        <v>376</v>
      </c>
      <c r="N1163">
        <v>119755</v>
      </c>
      <c r="O1163" t="s">
        <v>545</v>
      </c>
      <c r="P1163" t="s">
        <v>2373</v>
      </c>
      <c r="Q1163" t="s">
        <v>2374</v>
      </c>
    </row>
    <row r="1164" spans="1:17">
      <c r="A1164">
        <v>2739</v>
      </c>
      <c r="B1164">
        <v>556</v>
      </c>
      <c r="C1164">
        <v>3.32</v>
      </c>
      <c r="D1164">
        <v>0.26650000000000001</v>
      </c>
      <c r="E1164">
        <v>0.44829999999999998</v>
      </c>
      <c r="F1164">
        <v>97.16</v>
      </c>
      <c r="G1164">
        <v>0</v>
      </c>
      <c r="H1164">
        <v>8.74</v>
      </c>
      <c r="I1164">
        <v>124.35</v>
      </c>
      <c r="J1164">
        <v>382.15</v>
      </c>
      <c r="K1164">
        <v>185.15</v>
      </c>
      <c r="L1164">
        <v>133.5</v>
      </c>
      <c r="M1164">
        <v>262.10000000000002</v>
      </c>
      <c r="N1164">
        <v>124027</v>
      </c>
      <c r="O1164" t="s">
        <v>721</v>
      </c>
      <c r="P1164" t="s">
        <v>1067</v>
      </c>
      <c r="Q1164" t="s">
        <v>1068</v>
      </c>
    </row>
    <row r="1165" spans="1:17">
      <c r="A1165">
        <v>2740</v>
      </c>
      <c r="B1165">
        <v>805</v>
      </c>
      <c r="C1165">
        <v>3.85</v>
      </c>
      <c r="D1165">
        <v>0.24959999999999999</v>
      </c>
      <c r="E1165">
        <v>0.68169999999999997</v>
      </c>
      <c r="F1165">
        <v>168.11</v>
      </c>
      <c r="G1165">
        <v>0</v>
      </c>
      <c r="H1165">
        <v>12.12</v>
      </c>
      <c r="I1165">
        <v>123.73</v>
      </c>
      <c r="J1165">
        <v>574</v>
      </c>
      <c r="K1165">
        <v>363.23</v>
      </c>
      <c r="L1165">
        <v>-27.6</v>
      </c>
      <c r="M1165">
        <v>-86</v>
      </c>
      <c r="N1165">
        <v>99650</v>
      </c>
      <c r="O1165" t="s">
        <v>2516</v>
      </c>
      <c r="P1165" t="s">
        <v>2669</v>
      </c>
      <c r="Q1165" t="s">
        <v>2670</v>
      </c>
    </row>
    <row r="1166" spans="1:17">
      <c r="A1166">
        <v>2741</v>
      </c>
      <c r="B1166">
        <v>831</v>
      </c>
      <c r="C1166">
        <v>3.85</v>
      </c>
      <c r="D1166">
        <v>0.24179999999999999</v>
      </c>
      <c r="E1166">
        <v>0.68740000000000001</v>
      </c>
      <c r="F1166">
        <v>168.11</v>
      </c>
      <c r="G1166">
        <v>0</v>
      </c>
      <c r="H1166">
        <v>11.82</v>
      </c>
      <c r="I1166">
        <v>132.94</v>
      </c>
      <c r="J1166">
        <v>592</v>
      </c>
      <c r="K1166">
        <v>390.08</v>
      </c>
      <c r="L1166">
        <v>-1.8</v>
      </c>
      <c r="M1166">
        <v>-86</v>
      </c>
      <c r="N1166">
        <v>528290</v>
      </c>
      <c r="O1166" t="s">
        <v>2516</v>
      </c>
      <c r="P1166" t="s">
        <v>2669</v>
      </c>
      <c r="Q1166" t="s">
        <v>2671</v>
      </c>
    </row>
    <row r="1167" spans="1:17">
      <c r="A1167">
        <v>2742</v>
      </c>
      <c r="B1167">
        <v>803</v>
      </c>
      <c r="C1167">
        <v>3.85</v>
      </c>
      <c r="D1167">
        <v>0.25030000000000002</v>
      </c>
      <c r="E1167">
        <v>0.68610000000000004</v>
      </c>
      <c r="F1167">
        <v>168.11</v>
      </c>
      <c r="G1167">
        <v>0</v>
      </c>
      <c r="H1167">
        <v>10.69</v>
      </c>
      <c r="I1167">
        <v>144.43</v>
      </c>
      <c r="J1167">
        <v>572</v>
      </c>
      <c r="K1167">
        <v>446.6</v>
      </c>
      <c r="L1167">
        <v>-38.6</v>
      </c>
      <c r="M1167">
        <v>-86</v>
      </c>
      <c r="N1167">
        <v>100254</v>
      </c>
      <c r="O1167" t="s">
        <v>2516</v>
      </c>
      <c r="P1167" t="s">
        <v>2669</v>
      </c>
      <c r="Q1167" t="s">
        <v>2672</v>
      </c>
    </row>
    <row r="1168" spans="1:17">
      <c r="A1168">
        <v>2743</v>
      </c>
      <c r="B1168">
        <v>814</v>
      </c>
      <c r="C1168">
        <v>3.4</v>
      </c>
      <c r="D1168">
        <v>0.2447</v>
      </c>
      <c r="E1168">
        <v>0.71809999999999996</v>
      </c>
      <c r="F1168">
        <v>182.14</v>
      </c>
      <c r="G1168">
        <v>0</v>
      </c>
      <c r="H1168">
        <v>12.25</v>
      </c>
      <c r="I1168">
        <v>137.21</v>
      </c>
      <c r="J1168">
        <v>553</v>
      </c>
      <c r="K1168">
        <v>333</v>
      </c>
      <c r="L1168">
        <v>-64.2</v>
      </c>
      <c r="M1168">
        <v>-86</v>
      </c>
      <c r="N1168">
        <v>121142</v>
      </c>
      <c r="O1168" t="s">
        <v>2516</v>
      </c>
      <c r="P1168" t="s">
        <v>2673</v>
      </c>
      <c r="Q1168" t="s">
        <v>2674</v>
      </c>
    </row>
    <row r="1169" spans="1:17">
      <c r="A1169">
        <v>2744</v>
      </c>
      <c r="B1169">
        <v>780</v>
      </c>
      <c r="C1169">
        <v>3.4</v>
      </c>
      <c r="D1169">
        <v>0.25530000000000003</v>
      </c>
      <c r="E1169">
        <v>0.73780000000000001</v>
      </c>
      <c r="F1169">
        <v>182.14</v>
      </c>
      <c r="G1169">
        <v>0</v>
      </c>
      <c r="H1169">
        <v>11.58</v>
      </c>
      <c r="I1169">
        <v>136.75</v>
      </c>
      <c r="J1169">
        <v>553</v>
      </c>
      <c r="K1169">
        <v>339</v>
      </c>
      <c r="L1169">
        <v>-51.1</v>
      </c>
      <c r="M1169">
        <v>-86</v>
      </c>
      <c r="N1169">
        <v>606202</v>
      </c>
      <c r="O1169" t="s">
        <v>2516</v>
      </c>
      <c r="P1169" t="s">
        <v>2673</v>
      </c>
      <c r="Q1169" t="s">
        <v>2675</v>
      </c>
    </row>
    <row r="1170" spans="1:17">
      <c r="A1170">
        <v>2745</v>
      </c>
      <c r="B1170">
        <v>842</v>
      </c>
      <c r="C1170">
        <v>3.4</v>
      </c>
      <c r="D1170">
        <v>0.23649999999999999</v>
      </c>
      <c r="E1170">
        <v>0.73709999999999998</v>
      </c>
      <c r="F1170">
        <v>182.14</v>
      </c>
      <c r="G1170">
        <v>0</v>
      </c>
      <c r="H1170">
        <v>12.22</v>
      </c>
      <c r="I1170">
        <v>139.24</v>
      </c>
      <c r="J1170">
        <v>610</v>
      </c>
      <c r="K1170">
        <v>331</v>
      </c>
      <c r="L1170">
        <v>35.799999999999997</v>
      </c>
      <c r="M1170">
        <v>-86</v>
      </c>
      <c r="N1170">
        <v>610399</v>
      </c>
      <c r="O1170" t="s">
        <v>2516</v>
      </c>
      <c r="P1170" t="s">
        <v>2673</v>
      </c>
      <c r="Q1170" t="s">
        <v>2676</v>
      </c>
    </row>
    <row r="1171" spans="1:17">
      <c r="A1171">
        <v>2746</v>
      </c>
      <c r="B1171">
        <v>1005</v>
      </c>
      <c r="C1171">
        <v>3.39</v>
      </c>
      <c r="D1171">
        <v>0.21099999999999999</v>
      </c>
      <c r="E1171">
        <v>0.80820000000000003</v>
      </c>
      <c r="F1171">
        <v>213.11</v>
      </c>
      <c r="G1171">
        <v>0</v>
      </c>
      <c r="H1171">
        <v>11.18</v>
      </c>
      <c r="I1171">
        <v>135.25</v>
      </c>
      <c r="J1171">
        <v>748</v>
      </c>
      <c r="K1171">
        <v>395.15</v>
      </c>
      <c r="L1171">
        <v>-37.4</v>
      </c>
      <c r="M1171">
        <v>-86</v>
      </c>
      <c r="N1171">
        <v>99354</v>
      </c>
      <c r="O1171" t="s">
        <v>2516</v>
      </c>
      <c r="P1171" t="s">
        <v>2677</v>
      </c>
      <c r="Q1171" t="s">
        <v>2678</v>
      </c>
    </row>
    <row r="1172" spans="1:17">
      <c r="A1172">
        <v>2747</v>
      </c>
      <c r="B1172">
        <v>795</v>
      </c>
      <c r="C1172">
        <v>3.04</v>
      </c>
      <c r="D1172">
        <v>0.2208</v>
      </c>
      <c r="E1172">
        <v>-86</v>
      </c>
      <c r="F1172">
        <v>227.13</v>
      </c>
      <c r="G1172">
        <v>0</v>
      </c>
      <c r="H1172">
        <v>9.7899999999999991</v>
      </c>
      <c r="I1172">
        <v>155.11000000000001</v>
      </c>
      <c r="J1172">
        <v>573</v>
      </c>
      <c r="K1172">
        <v>355</v>
      </c>
      <c r="L1172">
        <v>-67.099999999999994</v>
      </c>
      <c r="M1172">
        <v>280</v>
      </c>
      <c r="N1172">
        <v>118967</v>
      </c>
      <c r="O1172" t="s">
        <v>2516</v>
      </c>
      <c r="P1172" t="s">
        <v>2679</v>
      </c>
      <c r="Q1172" t="s">
        <v>2680</v>
      </c>
    </row>
    <row r="1173" spans="1:17">
      <c r="A1173">
        <v>2748</v>
      </c>
      <c r="B1173">
        <v>814</v>
      </c>
      <c r="C1173">
        <v>3.4</v>
      </c>
      <c r="D1173">
        <v>0.2447</v>
      </c>
      <c r="E1173">
        <v>0.74009999999999998</v>
      </c>
      <c r="F1173">
        <v>182.14</v>
      </c>
      <c r="G1173">
        <v>0</v>
      </c>
      <c r="H1173">
        <v>12.15</v>
      </c>
      <c r="I1173">
        <v>135.88</v>
      </c>
      <c r="J1173">
        <v>590</v>
      </c>
      <c r="K1173">
        <v>325.64999999999998</v>
      </c>
      <c r="L1173">
        <v>-34</v>
      </c>
      <c r="M1173">
        <v>-86</v>
      </c>
      <c r="N1173">
        <v>619158</v>
      </c>
      <c r="O1173" t="s">
        <v>2516</v>
      </c>
      <c r="P1173" t="s">
        <v>2673</v>
      </c>
      <c r="Q1173" t="s">
        <v>2681</v>
      </c>
    </row>
    <row r="1174" spans="1:17">
      <c r="A1174">
        <v>2749</v>
      </c>
      <c r="B1174">
        <v>800</v>
      </c>
      <c r="C1174">
        <v>2.15</v>
      </c>
      <c r="D1174">
        <v>0.15740000000000001</v>
      </c>
      <c r="E1174">
        <v>0.70230000000000004</v>
      </c>
      <c r="F1174">
        <v>182.14</v>
      </c>
      <c r="G1174">
        <v>0</v>
      </c>
      <c r="H1174">
        <v>10.37</v>
      </c>
      <c r="I1174">
        <v>140.54</v>
      </c>
      <c r="J1174">
        <v>588</v>
      </c>
      <c r="K1174">
        <v>366.15</v>
      </c>
      <c r="L1174">
        <v>-43</v>
      </c>
      <c r="M1174">
        <v>-86</v>
      </c>
      <c r="N1174">
        <v>618859</v>
      </c>
      <c r="O1174" t="s">
        <v>2516</v>
      </c>
      <c r="P1174" t="s">
        <v>2673</v>
      </c>
      <c r="Q1174" t="s">
        <v>2682</v>
      </c>
    </row>
    <row r="1175" spans="1:17">
      <c r="A1175">
        <v>2750</v>
      </c>
      <c r="B1175">
        <v>796</v>
      </c>
      <c r="C1175">
        <v>5.18</v>
      </c>
      <c r="D1175">
        <v>0.29509999999999997</v>
      </c>
      <c r="E1175">
        <v>0.53859999999999997</v>
      </c>
      <c r="F1175">
        <v>108.14</v>
      </c>
      <c r="G1175">
        <v>0</v>
      </c>
      <c r="H1175">
        <v>12.13</v>
      </c>
      <c r="I1175">
        <v>102.2</v>
      </c>
      <c r="J1175">
        <v>540</v>
      </c>
      <c r="K1175">
        <v>419</v>
      </c>
      <c r="L1175">
        <v>91.2</v>
      </c>
      <c r="M1175">
        <v>210</v>
      </c>
      <c r="N1175">
        <v>106503</v>
      </c>
      <c r="O1175" t="s">
        <v>568</v>
      </c>
      <c r="P1175" t="s">
        <v>2076</v>
      </c>
      <c r="Q1175" t="s">
        <v>2283</v>
      </c>
    </row>
    <row r="1176" spans="1:17">
      <c r="A1176">
        <v>2751</v>
      </c>
      <c r="B1176">
        <v>653</v>
      </c>
      <c r="C1176">
        <v>4.0599999999999996</v>
      </c>
      <c r="D1176">
        <v>0.27879999999999999</v>
      </c>
      <c r="E1176">
        <v>0.4123</v>
      </c>
      <c r="F1176">
        <v>119.12</v>
      </c>
      <c r="G1176">
        <v>0</v>
      </c>
      <c r="H1176">
        <v>9.8000000000000007</v>
      </c>
      <c r="I1176">
        <v>108.99</v>
      </c>
      <c r="J1176">
        <v>435.65</v>
      </c>
      <c r="K1176">
        <v>243.15</v>
      </c>
      <c r="L1176">
        <v>51.4</v>
      </c>
      <c r="M1176">
        <v>116</v>
      </c>
      <c r="N1176">
        <v>103719</v>
      </c>
      <c r="O1176" t="s">
        <v>568</v>
      </c>
      <c r="P1176" t="s">
        <v>1651</v>
      </c>
      <c r="Q1176" t="s">
        <v>1652</v>
      </c>
    </row>
    <row r="1177" spans="1:17">
      <c r="A1177">
        <v>2752</v>
      </c>
      <c r="B1177">
        <v>638</v>
      </c>
      <c r="C1177">
        <v>5.53</v>
      </c>
      <c r="D1177">
        <v>0.32319999999999999</v>
      </c>
      <c r="E1177">
        <v>0.4138</v>
      </c>
      <c r="F1177">
        <v>86.14</v>
      </c>
      <c r="G1177">
        <v>0</v>
      </c>
      <c r="H1177">
        <v>8.7799999999999994</v>
      </c>
      <c r="I1177">
        <v>129.37</v>
      </c>
      <c r="J1177">
        <v>419.15</v>
      </c>
      <c r="K1177">
        <v>379.15</v>
      </c>
      <c r="L1177">
        <v>-45.6</v>
      </c>
      <c r="M1177">
        <v>185</v>
      </c>
      <c r="N1177">
        <v>110850</v>
      </c>
      <c r="O1177" t="s">
        <v>1100</v>
      </c>
      <c r="P1177" t="s">
        <v>1549</v>
      </c>
      <c r="Q1177" t="s">
        <v>1550</v>
      </c>
    </row>
    <row r="1178" spans="1:17">
      <c r="A1178">
        <v>2773</v>
      </c>
      <c r="B1178">
        <v>731</v>
      </c>
      <c r="C1178">
        <v>3.54</v>
      </c>
      <c r="D1178">
        <v>0.2079</v>
      </c>
      <c r="E1178">
        <v>0.71919999999999995</v>
      </c>
      <c r="F1178">
        <v>95.1</v>
      </c>
      <c r="G1178">
        <v>0</v>
      </c>
      <c r="H1178">
        <v>13.07</v>
      </c>
      <c r="I1178">
        <v>96.91</v>
      </c>
      <c r="J1178">
        <v>527</v>
      </c>
      <c r="K1178">
        <v>351.15</v>
      </c>
      <c r="L1178">
        <v>252.4</v>
      </c>
      <c r="M1178">
        <v>336.3</v>
      </c>
      <c r="N1178">
        <v>628875</v>
      </c>
      <c r="O1178" t="s">
        <v>545</v>
      </c>
      <c r="P1178" t="s">
        <v>2042</v>
      </c>
      <c r="Q1178" t="s">
        <v>2043</v>
      </c>
    </row>
    <row r="1179" spans="1:17">
      <c r="A1179">
        <v>2774</v>
      </c>
      <c r="B1179">
        <v>823</v>
      </c>
      <c r="C1179">
        <v>2.64</v>
      </c>
      <c r="D1179">
        <v>0.18709999999999999</v>
      </c>
      <c r="E1179">
        <v>0.92400000000000004</v>
      </c>
      <c r="F1179">
        <v>134.13999999999999</v>
      </c>
      <c r="G1179">
        <v>0</v>
      </c>
      <c r="H1179">
        <v>13.28</v>
      </c>
      <c r="I1179">
        <v>121.08</v>
      </c>
      <c r="J1179">
        <v>623</v>
      </c>
      <c r="K1179">
        <v>401.15</v>
      </c>
      <c r="L1179">
        <v>384</v>
      </c>
      <c r="M1179">
        <v>500</v>
      </c>
      <c r="N1179">
        <v>7327608</v>
      </c>
      <c r="O1179" t="s">
        <v>545</v>
      </c>
      <c r="P1179" t="s">
        <v>2334</v>
      </c>
      <c r="Q1179" t="s">
        <v>2335</v>
      </c>
    </row>
    <row r="1180" spans="1:17">
      <c r="A1180">
        <v>2778</v>
      </c>
      <c r="B1180">
        <v>676</v>
      </c>
      <c r="C1180">
        <v>2.2400000000000002</v>
      </c>
      <c r="D1180">
        <v>0.2913</v>
      </c>
      <c r="E1180">
        <v>1.4514</v>
      </c>
      <c r="F1180">
        <v>316.14</v>
      </c>
      <c r="G1180">
        <v>0</v>
      </c>
      <c r="H1180">
        <v>8.5</v>
      </c>
      <c r="I1180">
        <v>284.67</v>
      </c>
      <c r="J1180">
        <v>543</v>
      </c>
      <c r="K1180">
        <v>413.65</v>
      </c>
      <c r="L1180">
        <v>-386.7</v>
      </c>
      <c r="M1180">
        <v>-86</v>
      </c>
      <c r="N1180">
        <v>78115</v>
      </c>
      <c r="O1180" t="s">
        <v>2516</v>
      </c>
      <c r="P1180" t="s">
        <v>2683</v>
      </c>
      <c r="Q1180" t="s">
        <v>2684</v>
      </c>
    </row>
    <row r="1181" spans="1:17">
      <c r="A1181">
        <v>2779</v>
      </c>
      <c r="B1181">
        <v>680</v>
      </c>
      <c r="C1181">
        <v>3</v>
      </c>
      <c r="D1181">
        <v>0.2223</v>
      </c>
      <c r="E1181">
        <v>1.1840999999999999</v>
      </c>
      <c r="F1181">
        <v>227.09</v>
      </c>
      <c r="G1181">
        <v>0</v>
      </c>
      <c r="H1181">
        <v>12.24</v>
      </c>
      <c r="I1181">
        <v>143.13999999999999</v>
      </c>
      <c r="J1181">
        <v>523</v>
      </c>
      <c r="K1181">
        <v>286.14999999999998</v>
      </c>
      <c r="L1181">
        <v>-270.89999999999998</v>
      </c>
      <c r="M1181">
        <v>-86</v>
      </c>
      <c r="N1181">
        <v>55630</v>
      </c>
      <c r="O1181" t="s">
        <v>2516</v>
      </c>
      <c r="P1181" t="s">
        <v>2685</v>
      </c>
      <c r="Q1181" t="s">
        <v>2686</v>
      </c>
    </row>
    <row r="1182" spans="1:17">
      <c r="A1182">
        <v>2780</v>
      </c>
      <c r="B1182">
        <v>784</v>
      </c>
      <c r="C1182">
        <v>4.42</v>
      </c>
      <c r="D1182">
        <v>0.27529999999999999</v>
      </c>
      <c r="E1182">
        <v>0.74099999999999999</v>
      </c>
      <c r="F1182">
        <v>138.13</v>
      </c>
      <c r="G1182">
        <v>0</v>
      </c>
      <c r="H1182">
        <v>11.88</v>
      </c>
      <c r="I1182">
        <v>135.80000000000001</v>
      </c>
      <c r="J1182">
        <v>557</v>
      </c>
      <c r="K1182">
        <v>342.45</v>
      </c>
      <c r="L1182">
        <v>63.8</v>
      </c>
      <c r="M1182">
        <v>195</v>
      </c>
      <c r="N1182">
        <v>88744</v>
      </c>
      <c r="O1182" t="s">
        <v>2516</v>
      </c>
      <c r="P1182" t="s">
        <v>2315</v>
      </c>
      <c r="Q1182" t="s">
        <v>2687</v>
      </c>
    </row>
    <row r="1183" spans="1:17">
      <c r="A1183">
        <v>2781</v>
      </c>
      <c r="B1183">
        <v>851</v>
      </c>
      <c r="C1183">
        <v>4.42</v>
      </c>
      <c r="D1183">
        <v>0.25359999999999999</v>
      </c>
      <c r="E1183">
        <v>0.78239999999999998</v>
      </c>
      <c r="F1183">
        <v>138.13</v>
      </c>
      <c r="G1183">
        <v>0</v>
      </c>
      <c r="H1183">
        <v>12.48</v>
      </c>
      <c r="I1183">
        <v>129.75</v>
      </c>
      <c r="J1183">
        <v>605.15</v>
      </c>
      <c r="K1183">
        <v>420.65</v>
      </c>
      <c r="L1183">
        <v>59.5</v>
      </c>
      <c r="M1183">
        <v>192</v>
      </c>
      <c r="N1183">
        <v>100016</v>
      </c>
      <c r="O1183" t="s">
        <v>609</v>
      </c>
      <c r="P1183" t="s">
        <v>2315</v>
      </c>
      <c r="Q1183" t="s">
        <v>2404</v>
      </c>
    </row>
    <row r="1184" spans="1:17">
      <c r="A1184">
        <v>2782</v>
      </c>
      <c r="B1184">
        <v>815</v>
      </c>
      <c r="C1184">
        <v>4.42</v>
      </c>
      <c r="D1184">
        <v>0.26479999999999998</v>
      </c>
      <c r="E1184">
        <v>0.72970000000000002</v>
      </c>
      <c r="F1184">
        <v>138.13</v>
      </c>
      <c r="G1184">
        <v>0</v>
      </c>
      <c r="H1184">
        <v>11.89</v>
      </c>
      <c r="I1184">
        <v>134.6</v>
      </c>
      <c r="J1184">
        <v>579</v>
      </c>
      <c r="K1184">
        <v>384.95</v>
      </c>
      <c r="L1184">
        <v>58.5</v>
      </c>
      <c r="M1184">
        <v>190</v>
      </c>
      <c r="N1184">
        <v>99092</v>
      </c>
      <c r="O1184" t="s">
        <v>609</v>
      </c>
      <c r="P1184" t="s">
        <v>2315</v>
      </c>
      <c r="Q1184" t="s">
        <v>2316</v>
      </c>
    </row>
    <row r="1185" spans="1:17">
      <c r="A1185">
        <v>2783</v>
      </c>
      <c r="B1185">
        <v>939</v>
      </c>
      <c r="C1185">
        <v>3.09</v>
      </c>
      <c r="D1185">
        <v>0.4083</v>
      </c>
      <c r="E1185">
        <v>0.67179999999999995</v>
      </c>
      <c r="F1185">
        <v>184.24</v>
      </c>
      <c r="G1185">
        <v>0</v>
      </c>
      <c r="H1185">
        <v>9.5500000000000007</v>
      </c>
      <c r="I1185">
        <v>186</v>
      </c>
      <c r="J1185">
        <v>573</v>
      </c>
      <c r="K1185">
        <v>404.15</v>
      </c>
      <c r="L1185">
        <v>220.6</v>
      </c>
      <c r="M1185">
        <v>495</v>
      </c>
      <c r="N1185">
        <v>122667</v>
      </c>
      <c r="O1185" t="s">
        <v>583</v>
      </c>
      <c r="P1185" t="s">
        <v>2418</v>
      </c>
      <c r="Q1185" t="s">
        <v>2454</v>
      </c>
    </row>
    <row r="1186" spans="1:17">
      <c r="A1186">
        <v>2784</v>
      </c>
      <c r="B1186">
        <v>790</v>
      </c>
      <c r="C1186">
        <v>4.3</v>
      </c>
      <c r="D1186">
        <v>0.22939999999999999</v>
      </c>
      <c r="E1186">
        <v>0.37630000000000002</v>
      </c>
      <c r="F1186">
        <v>117.15</v>
      </c>
      <c r="G1186">
        <v>0</v>
      </c>
      <c r="H1186">
        <v>11.97</v>
      </c>
      <c r="I1186">
        <v>108.31</v>
      </c>
      <c r="J1186">
        <v>526.15</v>
      </c>
      <c r="K1186">
        <v>326.14999999999998</v>
      </c>
      <c r="L1186">
        <v>156.6</v>
      </c>
      <c r="M1186">
        <v>237.3</v>
      </c>
      <c r="N1186">
        <v>120729</v>
      </c>
      <c r="O1186" t="s">
        <v>2267</v>
      </c>
      <c r="P1186" t="s">
        <v>2044</v>
      </c>
      <c r="Q1186" t="s">
        <v>2268</v>
      </c>
    </row>
    <row r="1187" spans="1:17">
      <c r="A1187">
        <v>2785</v>
      </c>
      <c r="B1187">
        <v>803.15</v>
      </c>
      <c r="C1187">
        <v>5.0999999999999996</v>
      </c>
      <c r="D1187">
        <v>0.30049999999999999</v>
      </c>
      <c r="E1187">
        <v>0.30349999999999999</v>
      </c>
      <c r="F1187">
        <v>129.16</v>
      </c>
      <c r="G1187">
        <v>0</v>
      </c>
      <c r="H1187">
        <v>10.75</v>
      </c>
      <c r="I1187">
        <v>118.25</v>
      </c>
      <c r="J1187">
        <v>516.4</v>
      </c>
      <c r="K1187">
        <v>299.45</v>
      </c>
      <c r="L1187">
        <v>208.4</v>
      </c>
      <c r="M1187">
        <v>279.7</v>
      </c>
      <c r="N1187">
        <v>119653</v>
      </c>
      <c r="O1187" t="s">
        <v>2296</v>
      </c>
      <c r="P1187" t="s">
        <v>2248</v>
      </c>
      <c r="Q1187" t="s">
        <v>2297</v>
      </c>
    </row>
    <row r="1188" spans="1:17">
      <c r="A1188">
        <v>2786</v>
      </c>
      <c r="B1188">
        <v>877</v>
      </c>
      <c r="C1188">
        <v>2.9</v>
      </c>
      <c r="D1188">
        <v>0.25530000000000003</v>
      </c>
      <c r="E1188">
        <v>0.63449999999999995</v>
      </c>
      <c r="F1188">
        <v>197.24</v>
      </c>
      <c r="G1188">
        <v>0</v>
      </c>
      <c r="H1188">
        <v>9.66</v>
      </c>
      <c r="I1188">
        <v>203.51</v>
      </c>
      <c r="J1188">
        <v>633</v>
      </c>
      <c r="K1188">
        <v>398</v>
      </c>
      <c r="L1188">
        <v>330</v>
      </c>
      <c r="M1188">
        <v>500</v>
      </c>
      <c r="N1188">
        <v>60093</v>
      </c>
      <c r="O1188" t="s">
        <v>1449</v>
      </c>
      <c r="P1188" t="s">
        <v>2396</v>
      </c>
      <c r="Q1188" t="s">
        <v>2427</v>
      </c>
    </row>
    <row r="1189" spans="1:17">
      <c r="A1189">
        <v>2787</v>
      </c>
      <c r="B1189">
        <v>867</v>
      </c>
      <c r="C1189">
        <v>3.29</v>
      </c>
      <c r="D1189">
        <v>0.2611</v>
      </c>
      <c r="E1189">
        <v>0.54190000000000005</v>
      </c>
      <c r="F1189">
        <v>169.23</v>
      </c>
      <c r="G1189">
        <v>0</v>
      </c>
      <c r="H1189">
        <v>10.1</v>
      </c>
      <c r="I1189">
        <v>168.7</v>
      </c>
      <c r="J1189">
        <v>575</v>
      </c>
      <c r="K1189">
        <v>326</v>
      </c>
      <c r="L1189">
        <v>184</v>
      </c>
      <c r="M1189">
        <v>318</v>
      </c>
      <c r="N1189">
        <v>92671</v>
      </c>
      <c r="O1189" t="s">
        <v>568</v>
      </c>
      <c r="P1189" t="s">
        <v>2317</v>
      </c>
      <c r="Q1189" t="s">
        <v>2420</v>
      </c>
    </row>
    <row r="1190" spans="1:17">
      <c r="A1190">
        <v>2789</v>
      </c>
      <c r="B1190">
        <v>899</v>
      </c>
      <c r="C1190">
        <v>3.26</v>
      </c>
      <c r="D1190">
        <v>0.2102</v>
      </c>
      <c r="E1190">
        <v>0.49380000000000002</v>
      </c>
      <c r="F1190">
        <v>167.21</v>
      </c>
      <c r="G1190">
        <v>0</v>
      </c>
      <c r="H1190">
        <v>10.18</v>
      </c>
      <c r="I1190">
        <v>141.97999999999999</v>
      </c>
      <c r="J1190">
        <v>627.91</v>
      </c>
      <c r="K1190">
        <v>517.95000000000005</v>
      </c>
      <c r="L1190">
        <v>209.6</v>
      </c>
      <c r="M1190">
        <v>361</v>
      </c>
      <c r="N1190">
        <v>86748</v>
      </c>
      <c r="O1190" t="s">
        <v>568</v>
      </c>
      <c r="P1190" t="s">
        <v>2436</v>
      </c>
      <c r="Q1190" t="s">
        <v>2437</v>
      </c>
    </row>
    <row r="1191" spans="1:17">
      <c r="A1191">
        <v>2791</v>
      </c>
      <c r="B1191">
        <v>678</v>
      </c>
      <c r="C1191">
        <v>3.12</v>
      </c>
      <c r="D1191">
        <v>0.29499999999999998</v>
      </c>
      <c r="E1191">
        <v>0.95379999999999998</v>
      </c>
      <c r="F1191">
        <v>149.24</v>
      </c>
      <c r="G1191">
        <v>0</v>
      </c>
      <c r="H1191">
        <v>10.66</v>
      </c>
      <c r="I1191">
        <v>165.4</v>
      </c>
      <c r="J1191">
        <v>508.65</v>
      </c>
      <c r="K1191">
        <v>276.64999999999998</v>
      </c>
      <c r="L1191">
        <v>-20.5</v>
      </c>
      <c r="M1191">
        <v>176</v>
      </c>
      <c r="N1191">
        <v>579668</v>
      </c>
      <c r="O1191" t="s">
        <v>2516</v>
      </c>
      <c r="P1191" t="s">
        <v>1913</v>
      </c>
      <c r="Q1191" t="s">
        <v>2688</v>
      </c>
    </row>
    <row r="1192" spans="1:17">
      <c r="A1192">
        <v>2793</v>
      </c>
      <c r="B1192">
        <v>488</v>
      </c>
      <c r="C1192">
        <v>5.48</v>
      </c>
      <c r="D1192">
        <v>0.24970000000000001</v>
      </c>
      <c r="E1192">
        <v>0.30070000000000002</v>
      </c>
      <c r="F1192">
        <v>57.05</v>
      </c>
      <c r="G1192">
        <v>0</v>
      </c>
      <c r="H1192">
        <v>9.84</v>
      </c>
      <c r="I1192">
        <v>61.62</v>
      </c>
      <c r="J1192">
        <v>311</v>
      </c>
      <c r="K1192">
        <v>256.14999999999998</v>
      </c>
      <c r="L1192">
        <v>-57.78</v>
      </c>
      <c r="M1192">
        <v>-17.7</v>
      </c>
      <c r="N1192">
        <v>624839</v>
      </c>
      <c r="O1192" t="s">
        <v>739</v>
      </c>
      <c r="P1192" t="s">
        <v>740</v>
      </c>
      <c r="Q1192" t="s">
        <v>741</v>
      </c>
    </row>
    <row r="1193" spans="1:17">
      <c r="A1193">
        <v>2795</v>
      </c>
      <c r="B1193">
        <v>653</v>
      </c>
      <c r="C1193">
        <v>3.33</v>
      </c>
      <c r="D1193">
        <v>0.26050000000000001</v>
      </c>
      <c r="E1193">
        <v>0.37490000000000001</v>
      </c>
      <c r="F1193">
        <v>121.18</v>
      </c>
      <c r="G1193">
        <v>0</v>
      </c>
      <c r="H1193">
        <v>9.27</v>
      </c>
      <c r="I1193">
        <v>132.79</v>
      </c>
      <c r="J1193">
        <v>444</v>
      </c>
      <c r="K1193">
        <v>229</v>
      </c>
      <c r="L1193">
        <v>23.5</v>
      </c>
      <c r="M1193">
        <v>138</v>
      </c>
      <c r="N1193">
        <v>108758</v>
      </c>
      <c r="O1193" t="s">
        <v>609</v>
      </c>
      <c r="P1193" t="s">
        <v>1653</v>
      </c>
      <c r="Q1193" t="s">
        <v>1654</v>
      </c>
    </row>
    <row r="1194" spans="1:17">
      <c r="A1194">
        <v>2796</v>
      </c>
      <c r="B1194">
        <v>623.75</v>
      </c>
      <c r="C1194">
        <v>3.75</v>
      </c>
      <c r="D1194">
        <v>0.2303</v>
      </c>
      <c r="E1194">
        <v>0.3453</v>
      </c>
      <c r="F1194">
        <v>107.16</v>
      </c>
      <c r="G1194">
        <v>0</v>
      </c>
      <c r="H1194">
        <v>9.43</v>
      </c>
      <c r="I1194">
        <v>116.78</v>
      </c>
      <c r="J1194">
        <v>417.15</v>
      </c>
      <c r="K1194">
        <v>267</v>
      </c>
      <c r="L1194">
        <v>58.7</v>
      </c>
      <c r="M1194">
        <v>168.4</v>
      </c>
      <c r="N1194">
        <v>108485</v>
      </c>
      <c r="O1194" t="s">
        <v>727</v>
      </c>
      <c r="P1194" t="s">
        <v>1482</v>
      </c>
      <c r="Q1194" t="s">
        <v>1483</v>
      </c>
    </row>
    <row r="1195" spans="1:17">
      <c r="A1195">
        <v>2797</v>
      </c>
      <c r="B1195">
        <v>645</v>
      </c>
      <c r="C1195">
        <v>4.66</v>
      </c>
      <c r="D1195">
        <v>0.26140000000000002</v>
      </c>
      <c r="E1195">
        <v>0.29780000000000001</v>
      </c>
      <c r="F1195">
        <v>93.13</v>
      </c>
      <c r="G1195">
        <v>0</v>
      </c>
      <c r="H1195">
        <v>10.130000000000001</v>
      </c>
      <c r="I1195">
        <v>97.83</v>
      </c>
      <c r="J1195">
        <v>417.29</v>
      </c>
      <c r="K1195">
        <v>254.9</v>
      </c>
      <c r="L1195">
        <v>106.4</v>
      </c>
      <c r="M1195">
        <v>184.26</v>
      </c>
      <c r="N1195">
        <v>108996</v>
      </c>
      <c r="O1195" t="s">
        <v>980</v>
      </c>
      <c r="P1195" t="s">
        <v>1466</v>
      </c>
      <c r="Q1195" t="s">
        <v>1593</v>
      </c>
    </row>
    <row r="1196" spans="1:17">
      <c r="A1196">
        <v>2798</v>
      </c>
      <c r="B1196">
        <v>742</v>
      </c>
      <c r="C1196">
        <v>2.88</v>
      </c>
      <c r="D1196">
        <v>0.18859999999999999</v>
      </c>
      <c r="E1196">
        <v>0.6381</v>
      </c>
      <c r="F1196">
        <v>108.14</v>
      </c>
      <c r="G1196">
        <v>0</v>
      </c>
      <c r="H1196">
        <v>12.2</v>
      </c>
      <c r="I1196">
        <v>113.84</v>
      </c>
      <c r="J1196">
        <v>536.15</v>
      </c>
      <c r="K1196">
        <v>228.15</v>
      </c>
      <c r="L1196">
        <v>142</v>
      </c>
      <c r="M1196">
        <v>249</v>
      </c>
      <c r="N1196">
        <v>4553622</v>
      </c>
      <c r="O1196" t="s">
        <v>757</v>
      </c>
      <c r="P1196" t="s">
        <v>2076</v>
      </c>
      <c r="Q1196" t="s">
        <v>2077</v>
      </c>
    </row>
    <row r="1197" spans="1:17">
      <c r="A1197">
        <v>2799</v>
      </c>
      <c r="B1197">
        <v>646.15</v>
      </c>
      <c r="C1197">
        <v>4.66</v>
      </c>
      <c r="D1197">
        <v>0.28249999999999997</v>
      </c>
      <c r="E1197">
        <v>0.30099999999999999</v>
      </c>
      <c r="F1197">
        <v>93.13</v>
      </c>
      <c r="G1197">
        <v>0</v>
      </c>
      <c r="H1197">
        <v>10.09</v>
      </c>
      <c r="I1197">
        <v>98.08</v>
      </c>
      <c r="J1197">
        <v>418.05</v>
      </c>
      <c r="K1197">
        <v>276.85000000000002</v>
      </c>
      <c r="L1197">
        <v>103.8</v>
      </c>
      <c r="M1197">
        <v>182.08</v>
      </c>
      <c r="N1197">
        <v>108894</v>
      </c>
      <c r="O1197" t="s">
        <v>1604</v>
      </c>
      <c r="P1197" t="s">
        <v>1466</v>
      </c>
      <c r="Q1197" t="s">
        <v>1605</v>
      </c>
    </row>
    <row r="1198" spans="1:17">
      <c r="A1198">
        <v>2823</v>
      </c>
      <c r="B1198">
        <v>897</v>
      </c>
      <c r="C1198">
        <v>3.86</v>
      </c>
      <c r="D1198">
        <v>0.23649999999999999</v>
      </c>
      <c r="E1198">
        <v>0.39829999999999999</v>
      </c>
      <c r="F1198">
        <v>184.26</v>
      </c>
      <c r="G1198">
        <v>0</v>
      </c>
      <c r="H1198">
        <v>9.7799999999999994</v>
      </c>
      <c r="I1198">
        <v>163.81</v>
      </c>
      <c r="J1198">
        <v>605.65</v>
      </c>
      <c r="K1198">
        <v>371</v>
      </c>
      <c r="L1198">
        <v>252.5</v>
      </c>
      <c r="M1198">
        <v>323.60000000000002</v>
      </c>
      <c r="N1198">
        <v>132650</v>
      </c>
      <c r="O1198" t="s">
        <v>545</v>
      </c>
      <c r="P1198" t="s">
        <v>2434</v>
      </c>
      <c r="Q1198" t="s">
        <v>2435</v>
      </c>
    </row>
    <row r="1199" spans="1:17">
      <c r="A1199">
        <v>2838</v>
      </c>
      <c r="B1199">
        <v>691</v>
      </c>
      <c r="C1199">
        <v>1.86</v>
      </c>
      <c r="D1199">
        <v>0.23599999999999999</v>
      </c>
      <c r="E1199">
        <v>0.60980000000000001</v>
      </c>
      <c r="F1199">
        <v>202.4</v>
      </c>
      <c r="G1199">
        <v>0</v>
      </c>
      <c r="H1199">
        <v>7.97</v>
      </c>
      <c r="I1199">
        <v>236.94</v>
      </c>
      <c r="J1199">
        <v>510.65</v>
      </c>
      <c r="K1199">
        <v>-86</v>
      </c>
      <c r="L1199">
        <v>-273.39999999999998</v>
      </c>
      <c r="M1199">
        <v>68.23</v>
      </c>
      <c r="N1199">
        <v>25103586</v>
      </c>
      <c r="O1199" t="s">
        <v>545</v>
      </c>
      <c r="P1199" t="s">
        <v>1848</v>
      </c>
      <c r="Q1199" t="s">
        <v>1849</v>
      </c>
    </row>
    <row r="1200" spans="1:17">
      <c r="A1200">
        <v>2844</v>
      </c>
      <c r="B1200">
        <v>609</v>
      </c>
      <c r="C1200">
        <v>4.91</v>
      </c>
      <c r="D1200">
        <v>0.25469999999999998</v>
      </c>
      <c r="E1200">
        <v>0.2389</v>
      </c>
      <c r="F1200">
        <v>98.17</v>
      </c>
      <c r="G1200">
        <v>0</v>
      </c>
      <c r="H1200">
        <v>9.4700000000000006</v>
      </c>
      <c r="I1200">
        <v>96.8</v>
      </c>
      <c r="J1200">
        <v>385.71</v>
      </c>
      <c r="K1200">
        <v>209.77</v>
      </c>
      <c r="L1200">
        <v>83.85</v>
      </c>
      <c r="M1200">
        <v>123.7</v>
      </c>
      <c r="N1200">
        <v>554143</v>
      </c>
      <c r="O1200" t="s">
        <v>566</v>
      </c>
      <c r="P1200" t="s">
        <v>1387</v>
      </c>
      <c r="Q1200" t="s">
        <v>1388</v>
      </c>
    </row>
    <row r="1201" spans="1:17">
      <c r="A1201">
        <v>2845</v>
      </c>
      <c r="B1201">
        <v>613</v>
      </c>
      <c r="C1201">
        <v>4.91</v>
      </c>
      <c r="D1201">
        <v>0.25259999999999999</v>
      </c>
      <c r="E1201">
        <v>0.2397</v>
      </c>
      <c r="F1201">
        <v>98.17</v>
      </c>
      <c r="G1201">
        <v>0</v>
      </c>
      <c r="H1201">
        <v>9.56</v>
      </c>
      <c r="I1201">
        <v>96.59</v>
      </c>
      <c r="J1201">
        <v>388.58</v>
      </c>
      <c r="K1201">
        <v>204.21</v>
      </c>
      <c r="L1201">
        <v>82.93</v>
      </c>
      <c r="M1201">
        <v>122.5</v>
      </c>
      <c r="N1201">
        <v>616444</v>
      </c>
      <c r="O1201" t="s">
        <v>566</v>
      </c>
      <c r="P1201" t="s">
        <v>1387</v>
      </c>
      <c r="Q1201" t="s">
        <v>1406</v>
      </c>
    </row>
    <row r="1202" spans="1:17">
      <c r="A1202">
        <v>2850</v>
      </c>
      <c r="B1202">
        <v>709</v>
      </c>
      <c r="C1202">
        <v>2.99</v>
      </c>
      <c r="D1202">
        <v>0.23330000000000001</v>
      </c>
      <c r="E1202">
        <v>0.31900000000000001</v>
      </c>
      <c r="F1202">
        <v>152.24</v>
      </c>
      <c r="G1202">
        <v>0</v>
      </c>
      <c r="H1202">
        <v>7.22</v>
      </c>
      <c r="I1202">
        <v>182.36</v>
      </c>
      <c r="J1202">
        <v>480.57</v>
      </c>
      <c r="K1202">
        <v>451.9</v>
      </c>
      <c r="L1202">
        <v>-291</v>
      </c>
      <c r="M1202">
        <v>-25</v>
      </c>
      <c r="N1202">
        <v>76222</v>
      </c>
      <c r="O1202" t="s">
        <v>568</v>
      </c>
      <c r="P1202" t="s">
        <v>1947</v>
      </c>
      <c r="Q1202" t="s">
        <v>1948</v>
      </c>
    </row>
    <row r="1203" spans="1:17">
      <c r="A1203">
        <v>2851</v>
      </c>
      <c r="B1203">
        <v>771</v>
      </c>
      <c r="C1203">
        <v>7.8</v>
      </c>
      <c r="D1203">
        <v>0.1983</v>
      </c>
      <c r="E1203">
        <v>0.41239999999999999</v>
      </c>
      <c r="F1203">
        <v>45.04</v>
      </c>
      <c r="G1203">
        <v>1</v>
      </c>
      <c r="H1203">
        <v>18.86</v>
      </c>
      <c r="I1203">
        <v>39.89</v>
      </c>
      <c r="J1203">
        <v>493</v>
      </c>
      <c r="K1203">
        <v>275.7</v>
      </c>
      <c r="L1203">
        <v>-192.2</v>
      </c>
      <c r="M1203">
        <v>-147.1</v>
      </c>
      <c r="N1203">
        <v>75127</v>
      </c>
      <c r="O1203" t="s">
        <v>2197</v>
      </c>
      <c r="P1203" t="s">
        <v>2198</v>
      </c>
      <c r="Q1203" t="s">
        <v>2199</v>
      </c>
    </row>
    <row r="1204" spans="1:17">
      <c r="A1204">
        <v>2852</v>
      </c>
      <c r="B1204">
        <v>721</v>
      </c>
      <c r="C1204">
        <v>5.62</v>
      </c>
      <c r="D1204">
        <v>0.2016</v>
      </c>
      <c r="E1204">
        <v>0.41</v>
      </c>
      <c r="F1204">
        <v>59.07</v>
      </c>
      <c r="G1204">
        <v>1</v>
      </c>
      <c r="H1204">
        <v>14.91</v>
      </c>
      <c r="I1204">
        <v>59.12</v>
      </c>
      <c r="J1204">
        <v>472.66</v>
      </c>
      <c r="K1204">
        <v>269.35000000000002</v>
      </c>
      <c r="L1204">
        <v>-184</v>
      </c>
      <c r="M1204">
        <v>-108</v>
      </c>
      <c r="N1204">
        <v>123397</v>
      </c>
      <c r="O1204" t="s">
        <v>811</v>
      </c>
      <c r="P1204" t="s">
        <v>1993</v>
      </c>
      <c r="Q1204" t="s">
        <v>1994</v>
      </c>
    </row>
    <row r="1205" spans="1:17">
      <c r="A1205">
        <v>2853</v>
      </c>
      <c r="B1205">
        <v>761</v>
      </c>
      <c r="C1205">
        <v>6.6</v>
      </c>
      <c r="D1205">
        <v>0.2243</v>
      </c>
      <c r="E1205">
        <v>0.42099999999999999</v>
      </c>
      <c r="F1205">
        <v>59.07</v>
      </c>
      <c r="G1205">
        <v>1</v>
      </c>
      <c r="H1205">
        <v>15.51</v>
      </c>
      <c r="I1205">
        <v>59.05</v>
      </c>
      <c r="J1205">
        <v>494.3</v>
      </c>
      <c r="K1205">
        <v>354.15</v>
      </c>
      <c r="L1205">
        <v>-238.3</v>
      </c>
      <c r="M1205">
        <v>-159.6</v>
      </c>
      <c r="N1205">
        <v>60355</v>
      </c>
      <c r="O1205" t="s">
        <v>1061</v>
      </c>
      <c r="P1205" t="s">
        <v>1993</v>
      </c>
      <c r="Q1205" t="s">
        <v>2149</v>
      </c>
    </row>
    <row r="1206" spans="1:17">
      <c r="A1206">
        <v>2854</v>
      </c>
      <c r="B1206">
        <v>606</v>
      </c>
      <c r="C1206">
        <v>3.5</v>
      </c>
      <c r="D1206">
        <v>0.26879999999999998</v>
      </c>
      <c r="E1206">
        <v>0.76839999999999997</v>
      </c>
      <c r="F1206">
        <v>116.16</v>
      </c>
      <c r="G1206">
        <v>1</v>
      </c>
      <c r="H1206">
        <v>9.5500000000000007</v>
      </c>
      <c r="I1206">
        <v>124.34</v>
      </c>
      <c r="J1206">
        <v>437.59</v>
      </c>
      <c r="K1206">
        <v>228.95</v>
      </c>
      <c r="L1206">
        <v>-542.9</v>
      </c>
      <c r="M1206">
        <v>-368.7</v>
      </c>
      <c r="N1206">
        <v>123422</v>
      </c>
      <c r="O1206" t="s">
        <v>2516</v>
      </c>
      <c r="P1206" t="s">
        <v>996</v>
      </c>
      <c r="Q1206" t="s">
        <v>2689</v>
      </c>
    </row>
    <row r="1207" spans="1:17">
      <c r="A1207">
        <v>2855</v>
      </c>
      <c r="B1207">
        <v>632</v>
      </c>
      <c r="C1207">
        <v>5.35</v>
      </c>
      <c r="D1207">
        <v>0.26779999999999998</v>
      </c>
      <c r="E1207">
        <v>0.73409999999999997</v>
      </c>
      <c r="F1207">
        <v>98.1</v>
      </c>
      <c r="G1207">
        <v>1</v>
      </c>
      <c r="H1207">
        <v>12.27</v>
      </c>
      <c r="I1207">
        <v>87.06</v>
      </c>
      <c r="J1207">
        <v>443.15</v>
      </c>
      <c r="K1207">
        <v>258.52</v>
      </c>
      <c r="L1207">
        <v>-212</v>
      </c>
      <c r="M1207">
        <v>-154</v>
      </c>
      <c r="N1207">
        <v>98000</v>
      </c>
      <c r="O1207" t="s">
        <v>568</v>
      </c>
      <c r="P1207" t="s">
        <v>1523</v>
      </c>
      <c r="Q1207" t="s">
        <v>1524</v>
      </c>
    </row>
    <row r="1208" spans="1:17">
      <c r="A1208">
        <v>2856</v>
      </c>
      <c r="B1208">
        <v>658</v>
      </c>
      <c r="C1208">
        <v>4.03</v>
      </c>
      <c r="D1208">
        <v>0.23599999999999999</v>
      </c>
      <c r="E1208">
        <v>0.36349999999999999</v>
      </c>
      <c r="F1208">
        <v>87.12</v>
      </c>
      <c r="G1208">
        <v>1</v>
      </c>
      <c r="H1208">
        <v>10.93</v>
      </c>
      <c r="I1208">
        <v>93.03</v>
      </c>
      <c r="J1208">
        <v>439.25</v>
      </c>
      <c r="K1208">
        <v>253.15</v>
      </c>
      <c r="L1208">
        <v>-225</v>
      </c>
      <c r="M1208">
        <v>-88.5</v>
      </c>
      <c r="N1208">
        <v>127195</v>
      </c>
      <c r="O1208" t="s">
        <v>1695</v>
      </c>
      <c r="P1208" t="s">
        <v>1443</v>
      </c>
      <c r="Q1208" t="s">
        <v>1696</v>
      </c>
    </row>
    <row r="1209" spans="1:17">
      <c r="A1209">
        <v>2857</v>
      </c>
      <c r="B1209">
        <v>736</v>
      </c>
      <c r="C1209">
        <v>4.26</v>
      </c>
      <c r="D1209">
        <v>0.23699999999999999</v>
      </c>
      <c r="E1209">
        <v>0.79969999999999997</v>
      </c>
      <c r="F1209">
        <v>151.19999999999999</v>
      </c>
      <c r="G1209">
        <v>1</v>
      </c>
      <c r="H1209">
        <v>12.4</v>
      </c>
      <c r="I1209">
        <v>145.1</v>
      </c>
      <c r="J1209">
        <v>560.20000000000005</v>
      </c>
      <c r="K1209">
        <v>41</v>
      </c>
      <c r="L1209">
        <v>-264.60000000000002</v>
      </c>
      <c r="M1209">
        <v>-103.2</v>
      </c>
      <c r="N1209">
        <v>103902</v>
      </c>
      <c r="O1209" t="s">
        <v>368</v>
      </c>
      <c r="P1209" t="s">
        <v>1919</v>
      </c>
      <c r="Q1209" t="s">
        <v>1920</v>
      </c>
    </row>
    <row r="1210" spans="1:17">
      <c r="A1210">
        <v>2859</v>
      </c>
      <c r="B1210">
        <v>758</v>
      </c>
      <c r="C1210">
        <v>4.97</v>
      </c>
      <c r="D1210">
        <v>0.2697</v>
      </c>
      <c r="E1210">
        <v>0.54049999999999998</v>
      </c>
      <c r="F1210">
        <v>124.14</v>
      </c>
      <c r="G1210">
        <v>1</v>
      </c>
      <c r="H1210">
        <v>11.82</v>
      </c>
      <c r="I1210">
        <v>110.61</v>
      </c>
      <c r="J1210">
        <v>516</v>
      </c>
      <c r="K1210">
        <v>330</v>
      </c>
      <c r="L1210">
        <v>-249</v>
      </c>
      <c r="M1210">
        <v>-139</v>
      </c>
      <c r="N1210">
        <v>150765</v>
      </c>
      <c r="O1210" t="s">
        <v>2516</v>
      </c>
      <c r="P1210" t="s">
        <v>2690</v>
      </c>
      <c r="Q1210" t="s">
        <v>2691</v>
      </c>
    </row>
    <row r="1211" spans="1:17">
      <c r="A1211">
        <v>2860</v>
      </c>
      <c r="B1211">
        <v>597.6</v>
      </c>
      <c r="C1211">
        <v>5.2850000000000001</v>
      </c>
      <c r="D1211">
        <v>0.2586</v>
      </c>
      <c r="E1211">
        <v>0.45429999999999998</v>
      </c>
      <c r="F1211">
        <v>76.099999999999994</v>
      </c>
      <c r="G1211">
        <v>1</v>
      </c>
      <c r="H1211">
        <v>11.34</v>
      </c>
      <c r="I1211">
        <v>79.290000000000006</v>
      </c>
      <c r="J1211">
        <v>397.75</v>
      </c>
      <c r="K1211">
        <v>188.05</v>
      </c>
      <c r="L1211">
        <v>-366</v>
      </c>
      <c r="M1211">
        <v>-319</v>
      </c>
      <c r="N1211">
        <v>109864</v>
      </c>
      <c r="O1211" t="s">
        <v>545</v>
      </c>
      <c r="P1211" t="s">
        <v>725</v>
      </c>
      <c r="Q1211" t="s">
        <v>1312</v>
      </c>
    </row>
    <row r="1212" spans="1:17">
      <c r="A1212">
        <v>2861</v>
      </c>
      <c r="B1212">
        <v>569</v>
      </c>
      <c r="C1212">
        <v>4.24</v>
      </c>
      <c r="D1212">
        <v>0.26350000000000001</v>
      </c>
      <c r="E1212">
        <v>0.75819999999999999</v>
      </c>
      <c r="F1212">
        <v>90.12</v>
      </c>
      <c r="G1212">
        <v>1</v>
      </c>
      <c r="H1212">
        <v>10.53</v>
      </c>
      <c r="I1212">
        <v>97.46</v>
      </c>
      <c r="J1212">
        <v>408.75</v>
      </c>
      <c r="K1212">
        <v>-86</v>
      </c>
      <c r="L1212">
        <v>-400</v>
      </c>
      <c r="M1212">
        <v>-256</v>
      </c>
      <c r="N1212">
        <v>110805</v>
      </c>
      <c r="O1212" t="s">
        <v>2804</v>
      </c>
      <c r="P1212" t="s">
        <v>938</v>
      </c>
      <c r="Q1212" t="s">
        <v>2692</v>
      </c>
    </row>
    <row r="1213" spans="1:17">
      <c r="A1213">
        <v>2862</v>
      </c>
      <c r="B1213">
        <v>633.9</v>
      </c>
      <c r="C1213">
        <v>3.27</v>
      </c>
      <c r="D1213">
        <v>0.25979999999999998</v>
      </c>
      <c r="E1213">
        <v>0.51429999999999998</v>
      </c>
      <c r="F1213">
        <v>118.18</v>
      </c>
      <c r="G1213">
        <v>1</v>
      </c>
      <c r="H1213">
        <v>9.9</v>
      </c>
      <c r="I1213">
        <v>131.84</v>
      </c>
      <c r="J1213">
        <v>443.25</v>
      </c>
      <c r="K1213">
        <v>203.15</v>
      </c>
      <c r="L1213">
        <v>-441</v>
      </c>
      <c r="M1213">
        <v>-240</v>
      </c>
      <c r="N1213">
        <v>111762</v>
      </c>
      <c r="O1213" t="s">
        <v>568</v>
      </c>
      <c r="P1213" t="s">
        <v>958</v>
      </c>
      <c r="Q1213" t="s">
        <v>1533</v>
      </c>
    </row>
    <row r="1214" spans="1:17">
      <c r="A1214">
        <v>2863</v>
      </c>
      <c r="B1214">
        <v>630</v>
      </c>
      <c r="C1214">
        <v>3.54</v>
      </c>
      <c r="D1214">
        <v>0.248</v>
      </c>
      <c r="E1214">
        <v>0.87039999999999995</v>
      </c>
      <c r="F1214">
        <v>120.15</v>
      </c>
      <c r="G1214">
        <v>1</v>
      </c>
      <c r="H1214">
        <v>11.16</v>
      </c>
      <c r="I1214">
        <v>118.17</v>
      </c>
      <c r="J1214">
        <v>467.25</v>
      </c>
      <c r="K1214">
        <v>197.15</v>
      </c>
      <c r="L1214">
        <v>-530</v>
      </c>
      <c r="M1214">
        <v>-367</v>
      </c>
      <c r="N1214">
        <v>111773</v>
      </c>
      <c r="O1214" t="s">
        <v>2516</v>
      </c>
      <c r="P1214" t="s">
        <v>2693</v>
      </c>
      <c r="Q1214" t="s">
        <v>2694</v>
      </c>
    </row>
    <row r="1215" spans="1:17">
      <c r="A1215">
        <v>2864</v>
      </c>
      <c r="B1215">
        <v>632</v>
      </c>
      <c r="C1215">
        <v>3.14</v>
      </c>
      <c r="D1215">
        <v>0.251</v>
      </c>
      <c r="E1215">
        <v>0.90090000000000003</v>
      </c>
      <c r="F1215">
        <v>134.18</v>
      </c>
      <c r="G1215">
        <v>1</v>
      </c>
      <c r="H1215">
        <v>10.45</v>
      </c>
      <c r="I1215">
        <v>136.31</v>
      </c>
      <c r="J1215">
        <v>475.15</v>
      </c>
      <c r="K1215">
        <v>195.15</v>
      </c>
      <c r="L1215">
        <v>-565</v>
      </c>
      <c r="M1215">
        <v>-345</v>
      </c>
      <c r="N1215">
        <v>111900</v>
      </c>
      <c r="O1215" t="s">
        <v>2516</v>
      </c>
      <c r="P1215" t="s">
        <v>1382</v>
      </c>
      <c r="Q1215" t="s">
        <v>2695</v>
      </c>
    </row>
    <row r="1216" spans="1:17">
      <c r="A1216">
        <v>2865</v>
      </c>
      <c r="B1216">
        <v>735</v>
      </c>
      <c r="C1216">
        <v>5.9</v>
      </c>
      <c r="D1216">
        <v>0.26329999999999998</v>
      </c>
      <c r="E1216">
        <v>0.55979999999999996</v>
      </c>
      <c r="F1216">
        <v>105.14</v>
      </c>
      <c r="G1216">
        <v>1</v>
      </c>
      <c r="H1216">
        <v>14.01</v>
      </c>
      <c r="I1216">
        <v>100.04</v>
      </c>
      <c r="J1216">
        <v>494.15</v>
      </c>
      <c r="K1216">
        <v>-86</v>
      </c>
      <c r="L1216">
        <v>-365</v>
      </c>
      <c r="M1216">
        <v>-187</v>
      </c>
      <c r="N1216">
        <v>929066</v>
      </c>
      <c r="O1216" t="s">
        <v>545</v>
      </c>
      <c r="P1216" t="s">
        <v>2052</v>
      </c>
      <c r="Q1216" t="s">
        <v>2053</v>
      </c>
    </row>
    <row r="1217" spans="1:17">
      <c r="A1217">
        <v>2866</v>
      </c>
      <c r="B1217">
        <v>618</v>
      </c>
      <c r="C1217">
        <v>3.79</v>
      </c>
      <c r="D1217">
        <v>0.2412</v>
      </c>
      <c r="E1217">
        <v>0.39319999999999999</v>
      </c>
      <c r="F1217">
        <v>122.55</v>
      </c>
      <c r="G1217">
        <v>1</v>
      </c>
      <c r="H1217">
        <v>9.94</v>
      </c>
      <c r="I1217">
        <v>107.1</v>
      </c>
      <c r="J1217">
        <v>416.15</v>
      </c>
      <c r="K1217">
        <v>247.15</v>
      </c>
      <c r="L1217">
        <v>-5035.6000000000004</v>
      </c>
      <c r="M1217">
        <v>-354</v>
      </c>
      <c r="N1217">
        <v>105395</v>
      </c>
      <c r="O1217" t="s">
        <v>568</v>
      </c>
      <c r="P1217" t="s">
        <v>1445</v>
      </c>
      <c r="Q1217" t="s">
        <v>1446</v>
      </c>
    </row>
    <row r="1218" spans="1:17">
      <c r="A1218">
        <v>2868</v>
      </c>
      <c r="B1218">
        <v>444.03</v>
      </c>
      <c r="C1218">
        <v>3.42</v>
      </c>
      <c r="D1218">
        <v>0.26800000000000002</v>
      </c>
      <c r="E1218">
        <v>0.38869999999999999</v>
      </c>
      <c r="F1218">
        <v>150.05000000000001</v>
      </c>
      <c r="G1218">
        <v>1</v>
      </c>
      <c r="H1218">
        <v>7.5</v>
      </c>
      <c r="I1218">
        <v>108.24</v>
      </c>
      <c r="J1218">
        <v>302.14999999999998</v>
      </c>
      <c r="K1218">
        <v>150</v>
      </c>
      <c r="L1218">
        <v>-86</v>
      </c>
      <c r="M1218">
        <v>-86</v>
      </c>
      <c r="N1218">
        <v>1885489</v>
      </c>
      <c r="O1218" t="s">
        <v>2802</v>
      </c>
      <c r="P1218" t="s">
        <v>2874</v>
      </c>
      <c r="Q1218" t="s">
        <v>2875</v>
      </c>
    </row>
    <row r="1219" spans="1:17">
      <c r="A1219">
        <v>2871</v>
      </c>
      <c r="B1219">
        <v>966</v>
      </c>
      <c r="C1219">
        <v>3.82</v>
      </c>
      <c r="D1219">
        <v>0.2417</v>
      </c>
      <c r="E1219">
        <v>0.81740000000000002</v>
      </c>
      <c r="F1219">
        <v>150.13</v>
      </c>
      <c r="G1219">
        <v>1</v>
      </c>
      <c r="H1219">
        <v>14.71</v>
      </c>
      <c r="I1219">
        <v>102.51</v>
      </c>
      <c r="J1219">
        <v>543</v>
      </c>
      <c r="K1219">
        <v>520.15</v>
      </c>
      <c r="L1219">
        <v>-432</v>
      </c>
      <c r="M1219">
        <v>-342</v>
      </c>
      <c r="N1219">
        <v>619669</v>
      </c>
      <c r="O1219" t="s">
        <v>1861</v>
      </c>
      <c r="P1219" t="s">
        <v>2457</v>
      </c>
      <c r="Q1219" t="s">
        <v>2458</v>
      </c>
    </row>
    <row r="1220" spans="1:17">
      <c r="A1220">
        <v>2872</v>
      </c>
      <c r="B1220">
        <v>733</v>
      </c>
      <c r="C1220">
        <v>6.1</v>
      </c>
      <c r="D1220">
        <v>0.22919999999999999</v>
      </c>
      <c r="E1220">
        <v>0.55979999999999996</v>
      </c>
      <c r="F1220">
        <v>92.12</v>
      </c>
      <c r="G1220">
        <v>1</v>
      </c>
      <c r="H1220">
        <v>14.1</v>
      </c>
      <c r="I1220">
        <v>69.8</v>
      </c>
      <c r="J1220">
        <v>493</v>
      </c>
      <c r="K1220">
        <v>256.64999999999998</v>
      </c>
      <c r="L1220">
        <v>-394</v>
      </c>
      <c r="M1220">
        <v>-344.2</v>
      </c>
      <c r="N1220">
        <v>68111</v>
      </c>
      <c r="O1220" t="s">
        <v>568</v>
      </c>
      <c r="P1220" t="s">
        <v>2048</v>
      </c>
      <c r="Q1220" t="s">
        <v>2049</v>
      </c>
    </row>
    <row r="1221" spans="1:17">
      <c r="A1221">
        <v>2882</v>
      </c>
      <c r="B1221">
        <v>742</v>
      </c>
      <c r="C1221">
        <v>3.98</v>
      </c>
      <c r="D1221">
        <v>0.2787</v>
      </c>
      <c r="E1221">
        <v>0.4919</v>
      </c>
      <c r="F1221">
        <v>157.56</v>
      </c>
      <c r="G1221">
        <v>1</v>
      </c>
      <c r="H1221">
        <v>10.43</v>
      </c>
      <c r="I1221">
        <v>116.91</v>
      </c>
      <c r="J1221">
        <v>508.15</v>
      </c>
      <c r="K1221">
        <v>317.31</v>
      </c>
      <c r="L1221">
        <v>37.200000000000003</v>
      </c>
      <c r="M1221">
        <v>137</v>
      </c>
      <c r="N1221">
        <v>121733</v>
      </c>
      <c r="O1221" t="s">
        <v>787</v>
      </c>
      <c r="P1221" t="s">
        <v>2078</v>
      </c>
      <c r="Q1221" t="s">
        <v>2079</v>
      </c>
    </row>
    <row r="1222" spans="1:17">
      <c r="A1222">
        <v>2887</v>
      </c>
      <c r="B1222">
        <v>754</v>
      </c>
      <c r="C1222">
        <v>3.57</v>
      </c>
      <c r="D1222">
        <v>0.254</v>
      </c>
      <c r="E1222">
        <v>0.53510000000000002</v>
      </c>
      <c r="F1222">
        <v>137.18</v>
      </c>
      <c r="G1222">
        <v>1</v>
      </c>
      <c r="H1222">
        <v>11.12</v>
      </c>
      <c r="I1222">
        <v>129.85</v>
      </c>
      <c r="J1222">
        <v>523</v>
      </c>
      <c r="K1222">
        <v>277</v>
      </c>
      <c r="L1222">
        <v>-103</v>
      </c>
      <c r="M1222">
        <v>53.6</v>
      </c>
      <c r="N1222">
        <v>156434</v>
      </c>
      <c r="O1222" t="s">
        <v>545</v>
      </c>
      <c r="P1222" t="s">
        <v>2120</v>
      </c>
      <c r="Q1222" t="s">
        <v>2121</v>
      </c>
    </row>
    <row r="1223" spans="1:17">
      <c r="A1223">
        <v>2889</v>
      </c>
      <c r="B1223">
        <v>596</v>
      </c>
      <c r="C1223">
        <v>5.74</v>
      </c>
      <c r="D1223">
        <v>0.2641</v>
      </c>
      <c r="E1223">
        <v>0.77359999999999995</v>
      </c>
      <c r="F1223">
        <v>74.08</v>
      </c>
      <c r="G1223">
        <v>1</v>
      </c>
      <c r="H1223">
        <v>12.59</v>
      </c>
      <c r="I1223">
        <v>68.88</v>
      </c>
      <c r="J1223">
        <v>418.65</v>
      </c>
      <c r="K1223">
        <v>256.14999999999998</v>
      </c>
      <c r="L1223">
        <v>-366</v>
      </c>
      <c r="M1223">
        <v>-285</v>
      </c>
      <c r="N1223">
        <v>116096</v>
      </c>
      <c r="O1223" t="s">
        <v>2516</v>
      </c>
      <c r="P1223" t="s">
        <v>807</v>
      </c>
      <c r="Q1223" t="s">
        <v>2696</v>
      </c>
    </row>
    <row r="1224" spans="1:17">
      <c r="A1224">
        <v>2892</v>
      </c>
      <c r="B1224">
        <v>675</v>
      </c>
      <c r="C1224">
        <v>5</v>
      </c>
      <c r="D1224">
        <v>0.28960000000000002</v>
      </c>
      <c r="E1224">
        <v>0.43719999999999998</v>
      </c>
      <c r="F1224">
        <v>128.56</v>
      </c>
      <c r="G1224">
        <v>1</v>
      </c>
      <c r="H1224">
        <v>10.46</v>
      </c>
      <c r="I1224">
        <v>102.43</v>
      </c>
      <c r="J1224">
        <v>448.05</v>
      </c>
      <c r="K1224">
        <v>282</v>
      </c>
      <c r="L1224">
        <v>-123</v>
      </c>
      <c r="M1224">
        <v>-56.3</v>
      </c>
      <c r="N1224">
        <v>95578</v>
      </c>
      <c r="O1224" t="s">
        <v>1190</v>
      </c>
      <c r="P1224" t="s">
        <v>1772</v>
      </c>
      <c r="Q1224" t="s">
        <v>1773</v>
      </c>
    </row>
    <row r="1225" spans="1:17">
      <c r="A1225">
        <v>2893</v>
      </c>
      <c r="B1225">
        <v>729</v>
      </c>
      <c r="C1225">
        <v>5.32</v>
      </c>
      <c r="D1225">
        <v>0.25390000000000001</v>
      </c>
      <c r="E1225">
        <v>0.48559999999999998</v>
      </c>
      <c r="F1225">
        <v>128.56</v>
      </c>
      <c r="G1225">
        <v>1</v>
      </c>
      <c r="H1225">
        <v>10.82</v>
      </c>
      <c r="I1225">
        <v>101.74</v>
      </c>
      <c r="J1225">
        <v>487</v>
      </c>
      <c r="K1225">
        <v>307</v>
      </c>
      <c r="L1225">
        <v>-153.30000000000001</v>
      </c>
      <c r="M1225">
        <v>-86.6</v>
      </c>
      <c r="N1225">
        <v>108430</v>
      </c>
      <c r="O1225" t="s">
        <v>1190</v>
      </c>
      <c r="P1225" t="s">
        <v>1772</v>
      </c>
      <c r="Q1225" t="s">
        <v>2031</v>
      </c>
    </row>
    <row r="1226" spans="1:17">
      <c r="A1226">
        <v>2894</v>
      </c>
      <c r="B1226">
        <v>738</v>
      </c>
      <c r="C1226">
        <v>5.32</v>
      </c>
      <c r="D1226">
        <v>0.25430000000000003</v>
      </c>
      <c r="E1226">
        <v>0.4849</v>
      </c>
      <c r="F1226">
        <v>128.56</v>
      </c>
      <c r="G1226">
        <v>1</v>
      </c>
      <c r="H1226">
        <v>11.06</v>
      </c>
      <c r="I1226">
        <v>100.92</v>
      </c>
      <c r="J1226">
        <v>493.15</v>
      </c>
      <c r="K1226">
        <v>317.05</v>
      </c>
      <c r="L1226">
        <v>-145.80000000000001</v>
      </c>
      <c r="M1226">
        <v>-77.3</v>
      </c>
      <c r="N1226">
        <v>106489</v>
      </c>
      <c r="O1226" t="s">
        <v>1190</v>
      </c>
      <c r="P1226" t="s">
        <v>1772</v>
      </c>
      <c r="Q1226" t="s">
        <v>2066</v>
      </c>
    </row>
    <row r="1227" spans="1:17">
      <c r="A1227">
        <v>2898</v>
      </c>
      <c r="B1227">
        <v>585</v>
      </c>
      <c r="C1227">
        <v>5.92</v>
      </c>
      <c r="D1227">
        <v>0.25800000000000001</v>
      </c>
      <c r="E1227">
        <v>0.65780000000000005</v>
      </c>
      <c r="F1227">
        <v>80.510000000000005</v>
      </c>
      <c r="G1227">
        <v>1</v>
      </c>
      <c r="H1227">
        <v>12.41</v>
      </c>
      <c r="I1227">
        <v>67.31</v>
      </c>
      <c r="J1227">
        <v>401.95</v>
      </c>
      <c r="K1227">
        <v>204.15</v>
      </c>
      <c r="L1227">
        <v>-258</v>
      </c>
      <c r="M1227">
        <v>-193</v>
      </c>
      <c r="N1227">
        <v>107073</v>
      </c>
      <c r="O1227" t="s">
        <v>568</v>
      </c>
      <c r="P1227" t="s">
        <v>883</v>
      </c>
      <c r="Q1227" t="s">
        <v>1248</v>
      </c>
    </row>
    <row r="1228" spans="1:17">
      <c r="A1228">
        <v>2899</v>
      </c>
      <c r="B1228">
        <v>768</v>
      </c>
      <c r="C1228">
        <v>3.33</v>
      </c>
      <c r="D1228">
        <v>0.24560000000000001</v>
      </c>
      <c r="E1228">
        <v>0.64549999999999996</v>
      </c>
      <c r="F1228">
        <v>203.02</v>
      </c>
      <c r="G1228">
        <v>0</v>
      </c>
      <c r="H1228">
        <v>10.9</v>
      </c>
      <c r="I1228">
        <v>145.9</v>
      </c>
      <c r="J1228">
        <v>549</v>
      </c>
      <c r="K1228">
        <v>317</v>
      </c>
      <c r="L1228">
        <v>-302</v>
      </c>
      <c r="M1228">
        <v>-221</v>
      </c>
      <c r="N1228">
        <v>99638</v>
      </c>
      <c r="O1228" t="s">
        <v>545</v>
      </c>
      <c r="P1228" t="s">
        <v>2183</v>
      </c>
      <c r="Q1228" t="s">
        <v>2184</v>
      </c>
    </row>
    <row r="1229" spans="1:17">
      <c r="A1229">
        <v>2906</v>
      </c>
      <c r="B1229">
        <v>700</v>
      </c>
      <c r="C1229">
        <v>8.5</v>
      </c>
      <c r="D1229">
        <v>0.2848</v>
      </c>
      <c r="E1229">
        <v>0.30099999999999999</v>
      </c>
      <c r="F1229">
        <v>116.53</v>
      </c>
      <c r="G1229">
        <v>0</v>
      </c>
      <c r="H1229">
        <v>12.77</v>
      </c>
      <c r="I1229">
        <v>66.94</v>
      </c>
      <c r="J1229">
        <v>425</v>
      </c>
      <c r="K1229">
        <v>193.15</v>
      </c>
      <c r="L1229">
        <v>-603</v>
      </c>
      <c r="M1229">
        <v>-541</v>
      </c>
      <c r="N1229">
        <v>7790945</v>
      </c>
      <c r="O1229" t="s">
        <v>2516</v>
      </c>
      <c r="P1229" t="s">
        <v>2697</v>
      </c>
      <c r="Q1229" t="s">
        <v>2698</v>
      </c>
    </row>
    <row r="1230" spans="1:17">
      <c r="A1230">
        <v>2921</v>
      </c>
      <c r="B1230">
        <v>533</v>
      </c>
      <c r="C1230">
        <v>6.17</v>
      </c>
      <c r="D1230">
        <v>0.27989999999999998</v>
      </c>
      <c r="E1230">
        <v>0.41820000000000002</v>
      </c>
      <c r="F1230">
        <v>120.37</v>
      </c>
      <c r="G1230">
        <v>0</v>
      </c>
      <c r="H1230">
        <v>10.029999999999999</v>
      </c>
      <c r="I1230">
        <v>73.41</v>
      </c>
      <c r="J1230">
        <v>344.15</v>
      </c>
      <c r="K1230">
        <v>233.15</v>
      </c>
      <c r="L1230">
        <v>-229</v>
      </c>
      <c r="M1230">
        <v>269.60000000000002</v>
      </c>
      <c r="N1230">
        <v>10025851</v>
      </c>
      <c r="O1230" t="s">
        <v>2516</v>
      </c>
      <c r="P1230" t="s">
        <v>2699</v>
      </c>
      <c r="Q1230" t="s">
        <v>2700</v>
      </c>
    </row>
    <row r="1231" spans="1:17">
      <c r="A1231">
        <v>2926</v>
      </c>
      <c r="B1231">
        <v>629</v>
      </c>
      <c r="C1231">
        <v>2.63</v>
      </c>
      <c r="D1231">
        <v>0.1313</v>
      </c>
      <c r="E1231">
        <v>0.35549999999999998</v>
      </c>
      <c r="F1231">
        <v>133.34</v>
      </c>
      <c r="G1231">
        <v>0</v>
      </c>
      <c r="H1231">
        <v>9.0399999999999991</v>
      </c>
      <c r="I1231">
        <v>103.45</v>
      </c>
      <c r="J1231">
        <v>453.15</v>
      </c>
      <c r="K1231">
        <v>465.7</v>
      </c>
      <c r="L1231">
        <v>-583.20000000000005</v>
      </c>
      <c r="M1231">
        <v>-570.04999999999995</v>
      </c>
      <c r="N1231">
        <v>7446700</v>
      </c>
      <c r="O1231" t="s">
        <v>2516</v>
      </c>
      <c r="P1231" t="s">
        <v>2701</v>
      </c>
      <c r="Q1231" t="s">
        <v>2702</v>
      </c>
    </row>
    <row r="1232" spans="1:17">
      <c r="A1232">
        <v>2928</v>
      </c>
      <c r="B1232">
        <v>882</v>
      </c>
      <c r="C1232">
        <v>1.64</v>
      </c>
      <c r="D1232">
        <v>3.6900000000000002E-2</v>
      </c>
      <c r="E1232">
        <v>-86</v>
      </c>
      <c r="F1232">
        <v>53.49</v>
      </c>
      <c r="G1232">
        <v>0</v>
      </c>
      <c r="H1232">
        <v>-86</v>
      </c>
      <c r="I1232">
        <v>0</v>
      </c>
      <c r="J1232">
        <v>612</v>
      </c>
      <c r="K1232">
        <v>793.2</v>
      </c>
      <c r="L1232">
        <v>-314.43</v>
      </c>
      <c r="M1232">
        <v>-202.87</v>
      </c>
      <c r="N1232">
        <v>12125029</v>
      </c>
      <c r="O1232" t="s">
        <v>2516</v>
      </c>
      <c r="P1232" t="s">
        <v>2703</v>
      </c>
      <c r="Q1232" t="s">
        <v>2704</v>
      </c>
    </row>
    <row r="1233" spans="1:17">
      <c r="A1233">
        <v>2929</v>
      </c>
      <c r="B1233">
        <v>-86</v>
      </c>
      <c r="C1233">
        <v>-86</v>
      </c>
      <c r="D1233">
        <v>-86</v>
      </c>
      <c r="E1233">
        <v>-86</v>
      </c>
      <c r="F1233">
        <v>77.08</v>
      </c>
      <c r="G1233">
        <v>0</v>
      </c>
      <c r="H1233">
        <v>-86</v>
      </c>
      <c r="I1233">
        <v>0</v>
      </c>
      <c r="J1233">
        <v>-86</v>
      </c>
      <c r="K1233">
        <v>387.15</v>
      </c>
      <c r="L1233">
        <v>-616.14</v>
      </c>
      <c r="M1233">
        <v>-86</v>
      </c>
      <c r="N1233">
        <v>631618</v>
      </c>
      <c r="O1233" t="s">
        <v>2516</v>
      </c>
      <c r="P1233" t="s">
        <v>2705</v>
      </c>
      <c r="Q1233" t="s">
        <v>2706</v>
      </c>
    </row>
    <row r="1234" spans="1:17">
      <c r="A1234">
        <v>2930</v>
      </c>
      <c r="B1234">
        <v>1735</v>
      </c>
      <c r="C1234">
        <v>160.803</v>
      </c>
      <c r="D1234">
        <v>0.39</v>
      </c>
      <c r="E1234">
        <v>-0.16450000000000001</v>
      </c>
      <c r="F1234">
        <v>200.59</v>
      </c>
      <c r="G1234">
        <v>0</v>
      </c>
      <c r="H1234">
        <v>31.63</v>
      </c>
      <c r="I1234">
        <v>14.87</v>
      </c>
      <c r="J1234">
        <v>629.73</v>
      </c>
      <c r="K1234">
        <v>234.29</v>
      </c>
      <c r="L1234">
        <v>61.32</v>
      </c>
      <c r="M1234">
        <v>31.82</v>
      </c>
      <c r="N1234">
        <v>7439976</v>
      </c>
      <c r="O1234" t="s">
        <v>2476</v>
      </c>
      <c r="P1234" t="s">
        <v>2477</v>
      </c>
      <c r="Q1234" t="s">
        <v>2478</v>
      </c>
    </row>
    <row r="1235" spans="1:17">
      <c r="A1235">
        <v>2965</v>
      </c>
      <c r="B1235">
        <v>638</v>
      </c>
      <c r="C1235">
        <v>4.6609999999999996</v>
      </c>
      <c r="D1235">
        <v>0.29870000000000002</v>
      </c>
      <c r="E1235">
        <v>0.23</v>
      </c>
      <c r="F1235">
        <v>189.69</v>
      </c>
      <c r="G1235">
        <v>0</v>
      </c>
      <c r="H1235">
        <v>8.9</v>
      </c>
      <c r="I1235">
        <v>110.5</v>
      </c>
      <c r="J1235">
        <v>409.55</v>
      </c>
      <c r="K1235">
        <v>248.15</v>
      </c>
      <c r="L1235">
        <v>-763.16</v>
      </c>
      <c r="M1235">
        <v>-726.7</v>
      </c>
      <c r="N1235">
        <v>7550450</v>
      </c>
      <c r="O1235" t="s">
        <v>2516</v>
      </c>
      <c r="P1235" t="s">
        <v>2707</v>
      </c>
      <c r="Q1235" t="s">
        <v>2708</v>
      </c>
    </row>
    <row r="1236" spans="1:17">
      <c r="A1236">
        <v>2966</v>
      </c>
      <c r="B1236">
        <v>308</v>
      </c>
      <c r="C1236">
        <v>5.55</v>
      </c>
      <c r="D1236">
        <v>0.28199999999999997</v>
      </c>
      <c r="E1236">
        <v>0.15060000000000001</v>
      </c>
      <c r="F1236">
        <v>76.64</v>
      </c>
      <c r="G1236">
        <v>0</v>
      </c>
      <c r="H1236">
        <v>7.45</v>
      </c>
      <c r="I1236">
        <v>55.65</v>
      </c>
      <c r="J1236">
        <v>184.25</v>
      </c>
      <c r="K1236">
        <v>108.15</v>
      </c>
      <c r="L1236">
        <v>90.8</v>
      </c>
      <c r="M1236">
        <v>113.4</v>
      </c>
      <c r="N1236">
        <v>7782652</v>
      </c>
      <c r="O1236" t="s">
        <v>489</v>
      </c>
      <c r="P1236" t="s">
        <v>490</v>
      </c>
      <c r="Q1236" t="s">
        <v>2876</v>
      </c>
    </row>
    <row r="1237" spans="1:17">
      <c r="A1237">
        <v>2969</v>
      </c>
      <c r="B1237">
        <v>619</v>
      </c>
      <c r="C1237">
        <v>3.62</v>
      </c>
      <c r="D1237">
        <v>0.22509999999999999</v>
      </c>
      <c r="E1237">
        <v>0.18340000000000001</v>
      </c>
      <c r="F1237">
        <v>92.5</v>
      </c>
      <c r="G1237">
        <v>0</v>
      </c>
      <c r="H1237">
        <v>9.85</v>
      </c>
      <c r="I1237">
        <v>93.17</v>
      </c>
      <c r="J1237">
        <v>399.65</v>
      </c>
      <c r="K1237">
        <v>223.15</v>
      </c>
      <c r="L1237">
        <v>0</v>
      </c>
      <c r="M1237">
        <v>-86</v>
      </c>
      <c r="N1237">
        <v>1184583</v>
      </c>
      <c r="O1237" t="s">
        <v>1449</v>
      </c>
      <c r="P1237" t="s">
        <v>1450</v>
      </c>
      <c r="Q1237" t="s">
        <v>1451</v>
      </c>
    </row>
    <row r="1238" spans="1:17">
      <c r="A1238">
        <v>2977</v>
      </c>
      <c r="B1238">
        <v>465</v>
      </c>
      <c r="C1238">
        <v>8.6129999999999995</v>
      </c>
      <c r="D1238">
        <v>0</v>
      </c>
      <c r="E1238">
        <v>0.35639999999999999</v>
      </c>
      <c r="F1238">
        <v>67.45</v>
      </c>
      <c r="G1238">
        <v>0</v>
      </c>
      <c r="H1238">
        <v>11.7</v>
      </c>
      <c r="I1238">
        <v>41.85</v>
      </c>
      <c r="J1238">
        <v>284</v>
      </c>
      <c r="K1238">
        <v>214</v>
      </c>
      <c r="L1238">
        <v>102.5</v>
      </c>
      <c r="M1238">
        <v>120.33</v>
      </c>
      <c r="N1238">
        <v>10049044</v>
      </c>
      <c r="O1238" t="s">
        <v>2516</v>
      </c>
      <c r="P1238" t="s">
        <v>2709</v>
      </c>
      <c r="Q1238" t="s">
        <v>2710</v>
      </c>
    </row>
    <row r="1239" spans="1:17">
      <c r="A1239">
        <v>2983</v>
      </c>
      <c r="B1239">
        <v>631</v>
      </c>
      <c r="C1239">
        <v>3.86</v>
      </c>
      <c r="D1239">
        <v>0.1236</v>
      </c>
      <c r="E1239">
        <v>4.9799999999999997E-2</v>
      </c>
      <c r="F1239">
        <v>100.46</v>
      </c>
      <c r="G1239">
        <v>0</v>
      </c>
      <c r="H1239">
        <v>10.88</v>
      </c>
      <c r="I1239">
        <v>57.09</v>
      </c>
      <c r="J1239">
        <v>385</v>
      </c>
      <c r="K1239">
        <v>161.15</v>
      </c>
      <c r="L1239">
        <v>-129.33000000000001</v>
      </c>
      <c r="M1239">
        <v>-8.52</v>
      </c>
      <c r="N1239">
        <v>7601903</v>
      </c>
      <c r="O1239" t="s">
        <v>1449</v>
      </c>
      <c r="P1239" t="s">
        <v>1517</v>
      </c>
      <c r="Q1239" t="s">
        <v>1518</v>
      </c>
    </row>
    <row r="1240" spans="1:17">
      <c r="A1240">
        <v>2990</v>
      </c>
      <c r="B1240">
        <v>564.4</v>
      </c>
      <c r="C1240">
        <v>1.46</v>
      </c>
      <c r="D1240">
        <v>0.27</v>
      </c>
      <c r="E1240">
        <v>0.53769999999999996</v>
      </c>
      <c r="F1240">
        <v>236.53</v>
      </c>
      <c r="G1240">
        <v>0</v>
      </c>
      <c r="H1240">
        <v>6.08</v>
      </c>
      <c r="I1240">
        <v>290.3</v>
      </c>
      <c r="J1240">
        <v>425.7</v>
      </c>
      <c r="K1240">
        <v>193.15</v>
      </c>
      <c r="L1240">
        <v>-1466.5</v>
      </c>
      <c r="M1240">
        <v>-1084</v>
      </c>
      <c r="N1240">
        <v>107517</v>
      </c>
      <c r="O1240" t="s">
        <v>868</v>
      </c>
      <c r="P1240" t="s">
        <v>1122</v>
      </c>
      <c r="Q1240" t="s">
        <v>1123</v>
      </c>
    </row>
    <row r="1241" spans="1:17">
      <c r="A1241">
        <v>2991</v>
      </c>
      <c r="B1241">
        <v>688.9</v>
      </c>
      <c r="C1241">
        <v>0.624</v>
      </c>
      <c r="D1241">
        <v>0.26900000000000002</v>
      </c>
      <c r="E1241">
        <v>0.98370000000000002</v>
      </c>
      <c r="F1241">
        <v>607.29999999999995</v>
      </c>
      <c r="G1241">
        <v>0</v>
      </c>
      <c r="H1241">
        <v>5.37</v>
      </c>
      <c r="I1241">
        <v>672.5</v>
      </c>
      <c r="J1241">
        <v>583.6</v>
      </c>
      <c r="K1241">
        <v>210.15</v>
      </c>
      <c r="L1241">
        <v>-3913</v>
      </c>
      <c r="M1241">
        <v>-2955.3</v>
      </c>
      <c r="N1241">
        <v>556694</v>
      </c>
      <c r="O1241" t="s">
        <v>868</v>
      </c>
      <c r="P1241" t="s">
        <v>1835</v>
      </c>
      <c r="Q1241" t="s">
        <v>1836</v>
      </c>
    </row>
    <row r="1242" spans="1:17">
      <c r="A1242">
        <v>2995</v>
      </c>
      <c r="B1242">
        <v>671.8</v>
      </c>
      <c r="C1242">
        <v>0.67700000000000005</v>
      </c>
      <c r="D1242">
        <v>0.24099999999999999</v>
      </c>
      <c r="E1242">
        <v>0.88639999999999997</v>
      </c>
      <c r="F1242">
        <v>533.15</v>
      </c>
      <c r="G1242">
        <v>0</v>
      </c>
      <c r="H1242">
        <v>5.51</v>
      </c>
      <c r="I1242">
        <v>595.6</v>
      </c>
      <c r="J1242">
        <v>559.94000000000005</v>
      </c>
      <c r="K1242">
        <v>195.15</v>
      </c>
      <c r="L1242">
        <v>-3728</v>
      </c>
      <c r="M1242">
        <v>-2888</v>
      </c>
      <c r="N1242">
        <v>541015</v>
      </c>
      <c r="O1242" t="s">
        <v>868</v>
      </c>
      <c r="P1242" t="s">
        <v>1756</v>
      </c>
      <c r="Q1242" t="s">
        <v>1757</v>
      </c>
    </row>
    <row r="1243" spans="1:17">
      <c r="A1243">
        <v>3268</v>
      </c>
      <c r="B1243">
        <v>834</v>
      </c>
      <c r="C1243">
        <v>6.1</v>
      </c>
      <c r="D1243">
        <v>0.21740000000000001</v>
      </c>
      <c r="E1243">
        <v>0.73829999999999996</v>
      </c>
      <c r="F1243">
        <v>104.06</v>
      </c>
      <c r="G1243">
        <v>0</v>
      </c>
      <c r="H1243">
        <v>16.739999999999998</v>
      </c>
      <c r="I1243">
        <v>73.89</v>
      </c>
      <c r="J1243">
        <v>413.15</v>
      </c>
      <c r="K1243">
        <v>409.15</v>
      </c>
      <c r="L1243">
        <v>-891.1</v>
      </c>
      <c r="M1243">
        <v>-706.3</v>
      </c>
      <c r="N1243">
        <v>141822</v>
      </c>
      <c r="O1243" t="s">
        <v>609</v>
      </c>
      <c r="P1243" t="s">
        <v>2367</v>
      </c>
      <c r="Q1243" t="s">
        <v>2368</v>
      </c>
    </row>
    <row r="1244" spans="1:17">
      <c r="A1244">
        <v>3318</v>
      </c>
      <c r="B1244">
        <v>618.83000000000004</v>
      </c>
      <c r="C1244">
        <v>2.355</v>
      </c>
      <c r="D1244">
        <v>0.26100000000000001</v>
      </c>
      <c r="E1244">
        <v>0.57279999999999998</v>
      </c>
      <c r="F1244">
        <v>158.24</v>
      </c>
      <c r="G1244">
        <v>0</v>
      </c>
      <c r="H1244">
        <v>7.99</v>
      </c>
      <c r="I1244">
        <v>183.9</v>
      </c>
      <c r="J1244">
        <v>450.65</v>
      </c>
      <c r="K1244">
        <v>189</v>
      </c>
      <c r="L1244">
        <v>-550.1</v>
      </c>
      <c r="M1244">
        <v>-290.10000000000002</v>
      </c>
      <c r="N1244">
        <v>106274</v>
      </c>
      <c r="O1244" t="s">
        <v>2802</v>
      </c>
      <c r="P1244" t="s">
        <v>1508</v>
      </c>
      <c r="Q1244" t="s">
        <v>2877</v>
      </c>
    </row>
    <row r="1245" spans="1:17">
      <c r="A1245">
        <v>3379</v>
      </c>
      <c r="B1245">
        <v>845</v>
      </c>
      <c r="C1245">
        <v>1.1200000000000001</v>
      </c>
      <c r="D1245">
        <v>0.2009</v>
      </c>
      <c r="E1245">
        <v>0.89929999999999999</v>
      </c>
      <c r="F1245">
        <v>370.57</v>
      </c>
      <c r="G1245">
        <v>0</v>
      </c>
      <c r="H1245">
        <v>8.11</v>
      </c>
      <c r="I1245">
        <v>407.17</v>
      </c>
      <c r="J1245">
        <v>690.15</v>
      </c>
      <c r="K1245">
        <v>205.35</v>
      </c>
      <c r="L1245">
        <v>-1157</v>
      </c>
      <c r="M1245">
        <v>-552</v>
      </c>
      <c r="N1245">
        <v>103231</v>
      </c>
      <c r="O1245" t="s">
        <v>2804</v>
      </c>
      <c r="P1245" t="s">
        <v>2711</v>
      </c>
      <c r="Q1245" t="s">
        <v>2712</v>
      </c>
    </row>
    <row r="1246" spans="1:17">
      <c r="A1246">
        <v>3545</v>
      </c>
      <c r="B1246">
        <v>678</v>
      </c>
      <c r="C1246">
        <v>2.2999999999999998</v>
      </c>
      <c r="D1246">
        <v>0.24199999999999999</v>
      </c>
      <c r="E1246">
        <v>0.50770000000000004</v>
      </c>
      <c r="F1246">
        <v>162.27000000000001</v>
      </c>
      <c r="G1246">
        <v>0</v>
      </c>
      <c r="H1246">
        <v>8.5</v>
      </c>
      <c r="I1246">
        <v>188.94</v>
      </c>
      <c r="J1246">
        <v>489.05</v>
      </c>
      <c r="K1246">
        <v>206.74</v>
      </c>
      <c r="L1246">
        <v>-74.73</v>
      </c>
      <c r="M1246">
        <v>144.80000000000001</v>
      </c>
      <c r="N1246">
        <v>102250</v>
      </c>
      <c r="O1246" t="s">
        <v>2802</v>
      </c>
      <c r="P1246" t="s">
        <v>1806</v>
      </c>
      <c r="Q1246" t="s">
        <v>2878</v>
      </c>
    </row>
    <row r="1247" spans="1:17">
      <c r="A1247">
        <v>3605</v>
      </c>
      <c r="B1247">
        <v>354.49</v>
      </c>
      <c r="C1247">
        <v>3.3759999999999999</v>
      </c>
      <c r="D1247">
        <v>0.24279999999999999</v>
      </c>
      <c r="E1247">
        <v>0.32529999999999998</v>
      </c>
      <c r="F1247">
        <v>136.02000000000001</v>
      </c>
      <c r="G1247">
        <v>0</v>
      </c>
      <c r="H1247">
        <v>5.52</v>
      </c>
      <c r="I1247">
        <v>106.27</v>
      </c>
      <c r="J1247">
        <v>237.9</v>
      </c>
      <c r="K1247">
        <v>116</v>
      </c>
      <c r="L1247">
        <v>-1316</v>
      </c>
      <c r="M1247">
        <v>-1212</v>
      </c>
      <c r="N1247">
        <v>3822682</v>
      </c>
      <c r="O1247" t="s">
        <v>2802</v>
      </c>
      <c r="P1247" t="s">
        <v>2879</v>
      </c>
      <c r="Q1247" t="s">
        <v>2880</v>
      </c>
    </row>
    <row r="1248" spans="1:17">
      <c r="A1248">
        <v>3606</v>
      </c>
      <c r="B1248">
        <v>473.7</v>
      </c>
      <c r="C1248">
        <v>3.3919999999999999</v>
      </c>
      <c r="D1248">
        <v>0.26700000000000002</v>
      </c>
      <c r="E1248">
        <v>0.2571</v>
      </c>
      <c r="F1248">
        <v>148.08000000000001</v>
      </c>
      <c r="G1248">
        <v>0</v>
      </c>
      <c r="H1248">
        <v>7.3</v>
      </c>
      <c r="I1248">
        <v>117.8</v>
      </c>
      <c r="J1248">
        <v>313.35000000000002</v>
      </c>
      <c r="K1248">
        <v>238.14</v>
      </c>
      <c r="L1248">
        <v>-1155</v>
      </c>
      <c r="M1248">
        <v>-1019</v>
      </c>
      <c r="N1248">
        <v>406586</v>
      </c>
      <c r="O1248" t="s">
        <v>2802</v>
      </c>
      <c r="P1248" t="s">
        <v>2881</v>
      </c>
      <c r="Q1248" t="s">
        <v>2882</v>
      </c>
    </row>
    <row r="1249" spans="1:17">
      <c r="A1249">
        <v>3608</v>
      </c>
      <c r="B1249">
        <v>367.85</v>
      </c>
      <c r="C1249">
        <v>3.3820000000000001</v>
      </c>
      <c r="D1249">
        <v>0.26400000000000001</v>
      </c>
      <c r="E1249">
        <v>0.28199999999999997</v>
      </c>
      <c r="F1249">
        <v>114.04</v>
      </c>
      <c r="G1249">
        <v>0</v>
      </c>
      <c r="H1249">
        <v>5.77</v>
      </c>
      <c r="I1249">
        <v>104.6</v>
      </c>
      <c r="J1249">
        <v>244.15</v>
      </c>
      <c r="K1249">
        <v>120.91</v>
      </c>
      <c r="L1249">
        <v>-109.8</v>
      </c>
      <c r="M1249">
        <v>-43.06</v>
      </c>
      <c r="N1249">
        <v>754121</v>
      </c>
      <c r="O1249" t="s">
        <v>2802</v>
      </c>
      <c r="P1249" t="s">
        <v>2883</v>
      </c>
      <c r="Q1249" t="s">
        <v>2884</v>
      </c>
    </row>
    <row r="1250" spans="1:17">
      <c r="A1250">
        <v>3704</v>
      </c>
      <c r="B1250">
        <v>895.2</v>
      </c>
      <c r="C1250">
        <v>4.16</v>
      </c>
      <c r="D1250">
        <v>0.24160000000000001</v>
      </c>
      <c r="E1250">
        <v>1.0118</v>
      </c>
      <c r="F1250">
        <v>222.22</v>
      </c>
      <c r="G1250">
        <v>0</v>
      </c>
      <c r="H1250">
        <v>10.39</v>
      </c>
      <c r="I1250">
        <v>226.68</v>
      </c>
      <c r="J1250">
        <v>709</v>
      </c>
      <c r="K1250">
        <v>491.05</v>
      </c>
      <c r="L1250">
        <v>174.5</v>
      </c>
      <c r="M1250">
        <v>413.6</v>
      </c>
      <c r="N1250">
        <v>121824</v>
      </c>
      <c r="O1250" t="s">
        <v>1861</v>
      </c>
      <c r="P1250" t="s">
        <v>2432</v>
      </c>
      <c r="Q1250" t="s">
        <v>2433</v>
      </c>
    </row>
    <row r="1251" spans="1:17">
      <c r="A1251">
        <v>3722</v>
      </c>
      <c r="B1251">
        <v>639</v>
      </c>
      <c r="C1251">
        <v>2.12</v>
      </c>
      <c r="D1251">
        <v>0.25190000000000001</v>
      </c>
      <c r="E1251">
        <v>0.67669999999999997</v>
      </c>
      <c r="F1251">
        <v>157.30000000000001</v>
      </c>
      <c r="G1251">
        <v>1</v>
      </c>
      <c r="H1251">
        <v>8.3800000000000008</v>
      </c>
      <c r="I1251">
        <v>203.46</v>
      </c>
      <c r="J1251">
        <v>475.65</v>
      </c>
      <c r="K1251">
        <v>240.15</v>
      </c>
      <c r="L1251">
        <v>-200</v>
      </c>
      <c r="M1251">
        <v>117</v>
      </c>
      <c r="N1251">
        <v>2050922</v>
      </c>
      <c r="O1251" t="s">
        <v>566</v>
      </c>
      <c r="P1251" t="s">
        <v>1558</v>
      </c>
      <c r="Q1251" t="s">
        <v>1559</v>
      </c>
    </row>
    <row r="1252" spans="1:17">
      <c r="A1252">
        <v>3723</v>
      </c>
      <c r="B1252">
        <v>660</v>
      </c>
      <c r="C1252">
        <v>1.5</v>
      </c>
      <c r="D1252">
        <v>0.24410000000000001</v>
      </c>
      <c r="E1252">
        <v>0.85260000000000002</v>
      </c>
      <c r="F1252">
        <v>227.43</v>
      </c>
      <c r="G1252">
        <v>1</v>
      </c>
      <c r="H1252">
        <v>7.63</v>
      </c>
      <c r="I1252">
        <v>289.06</v>
      </c>
      <c r="J1252">
        <v>515.65</v>
      </c>
      <c r="K1252">
        <v>-86</v>
      </c>
      <c r="L1252">
        <v>-294</v>
      </c>
      <c r="M1252">
        <v>174</v>
      </c>
      <c r="N1252">
        <v>621772</v>
      </c>
      <c r="O1252" t="s">
        <v>568</v>
      </c>
      <c r="P1252" t="s">
        <v>1704</v>
      </c>
      <c r="Q1252" t="s">
        <v>1705</v>
      </c>
    </row>
    <row r="1253" spans="1:17">
      <c r="A1253">
        <v>3724</v>
      </c>
      <c r="B1253">
        <v>682</v>
      </c>
      <c r="C1253">
        <v>2.02</v>
      </c>
      <c r="D1253">
        <v>0.2298</v>
      </c>
      <c r="E1253">
        <v>0.70430000000000004</v>
      </c>
      <c r="F1253">
        <v>171.33</v>
      </c>
      <c r="G1253">
        <v>1</v>
      </c>
      <c r="H1253">
        <v>8.2899999999999991</v>
      </c>
      <c r="I1253">
        <v>215.47</v>
      </c>
      <c r="J1253">
        <v>514.75</v>
      </c>
      <c r="K1253">
        <v>290.14999999999998</v>
      </c>
      <c r="L1253">
        <v>-236</v>
      </c>
      <c r="M1253">
        <v>108</v>
      </c>
      <c r="N1253">
        <v>7307553</v>
      </c>
      <c r="O1253" t="s">
        <v>566</v>
      </c>
      <c r="P1253" t="s">
        <v>1797</v>
      </c>
      <c r="Q1253" t="s">
        <v>1798</v>
      </c>
    </row>
    <row r="1254" spans="1:17">
      <c r="A1254">
        <v>3725</v>
      </c>
      <c r="B1254">
        <v>760</v>
      </c>
      <c r="C1254">
        <v>4.6399999999999997</v>
      </c>
      <c r="D1254">
        <v>0.25629999999999997</v>
      </c>
      <c r="E1254">
        <v>0.5958</v>
      </c>
      <c r="F1254">
        <v>123.11</v>
      </c>
      <c r="G1254">
        <v>1</v>
      </c>
      <c r="H1254">
        <v>9.91</v>
      </c>
      <c r="I1254">
        <v>129.27000000000001</v>
      </c>
      <c r="J1254">
        <v>-86</v>
      </c>
      <c r="K1254">
        <v>509.65</v>
      </c>
      <c r="L1254">
        <v>-344.9</v>
      </c>
      <c r="M1254">
        <v>-166.7</v>
      </c>
      <c r="N1254">
        <v>59676</v>
      </c>
      <c r="O1254" t="s">
        <v>1861</v>
      </c>
      <c r="P1254" t="s">
        <v>2141</v>
      </c>
      <c r="Q1254" t="s">
        <v>2142</v>
      </c>
    </row>
    <row r="1255" spans="1:17">
      <c r="A1255">
        <v>3726</v>
      </c>
      <c r="B1255">
        <v>854</v>
      </c>
      <c r="C1255">
        <v>3.47</v>
      </c>
      <c r="D1255">
        <v>0.24729999999999999</v>
      </c>
      <c r="E1255">
        <v>0.85160000000000002</v>
      </c>
      <c r="F1255">
        <v>165.19</v>
      </c>
      <c r="G1255">
        <v>1</v>
      </c>
      <c r="H1255">
        <v>9.92</v>
      </c>
      <c r="I1255">
        <v>179.55</v>
      </c>
      <c r="J1255">
        <v>568.15</v>
      </c>
      <c r="K1255">
        <v>545.65</v>
      </c>
      <c r="L1255">
        <v>-312.89999999999998</v>
      </c>
      <c r="M1255">
        <v>-212</v>
      </c>
      <c r="N1255">
        <v>63912</v>
      </c>
      <c r="O1255" t="s">
        <v>1861</v>
      </c>
      <c r="P1255" t="s">
        <v>2407</v>
      </c>
      <c r="Q1255" t="s">
        <v>2408</v>
      </c>
    </row>
    <row r="1256" spans="1:17">
      <c r="A1256">
        <v>3727</v>
      </c>
      <c r="B1256">
        <v>673</v>
      </c>
      <c r="C1256">
        <v>2.61</v>
      </c>
      <c r="D1256">
        <v>0.31019999999999998</v>
      </c>
      <c r="E1256">
        <v>1.2738</v>
      </c>
      <c r="F1256">
        <v>287.14999999999998</v>
      </c>
      <c r="G1256">
        <v>1</v>
      </c>
      <c r="H1256">
        <v>8.41</v>
      </c>
      <c r="I1256">
        <v>269.52999999999997</v>
      </c>
      <c r="J1256">
        <v>466.15</v>
      </c>
      <c r="K1256">
        <v>404.65</v>
      </c>
      <c r="L1256">
        <v>29</v>
      </c>
      <c r="M1256">
        <v>-86</v>
      </c>
      <c r="N1256">
        <v>479458</v>
      </c>
      <c r="O1256" t="s">
        <v>2516</v>
      </c>
      <c r="P1256" t="s">
        <v>2713</v>
      </c>
      <c r="Q1256" t="s">
        <v>2714</v>
      </c>
    </row>
    <row r="1257" spans="1:17">
      <c r="A1257">
        <v>3740</v>
      </c>
      <c r="B1257">
        <v>905</v>
      </c>
      <c r="C1257">
        <v>3.64</v>
      </c>
      <c r="D1257">
        <v>0.23749999999999999</v>
      </c>
      <c r="E1257">
        <v>0.44</v>
      </c>
      <c r="F1257">
        <v>179.22</v>
      </c>
      <c r="G1257">
        <v>1</v>
      </c>
      <c r="H1257">
        <v>9.8699999999999992</v>
      </c>
      <c r="I1257">
        <v>166.63</v>
      </c>
      <c r="J1257">
        <v>618.65</v>
      </c>
      <c r="K1257">
        <v>381.15</v>
      </c>
      <c r="L1257">
        <v>200.9</v>
      </c>
      <c r="M1257">
        <v>401.1</v>
      </c>
      <c r="N1257">
        <v>260946</v>
      </c>
      <c r="O1257" t="s">
        <v>621</v>
      </c>
      <c r="P1257" t="s">
        <v>2444</v>
      </c>
      <c r="Q1257" t="s">
        <v>2445</v>
      </c>
    </row>
    <row r="1258" spans="1:17">
      <c r="A1258">
        <v>3747</v>
      </c>
      <c r="B1258">
        <v>926</v>
      </c>
      <c r="C1258">
        <v>2.62</v>
      </c>
      <c r="D1258">
        <v>0.24160000000000001</v>
      </c>
      <c r="E1258">
        <v>1.0246999999999999</v>
      </c>
      <c r="F1258">
        <v>259.22000000000003</v>
      </c>
      <c r="G1258">
        <v>1</v>
      </c>
      <c r="H1258">
        <v>10.39</v>
      </c>
      <c r="I1258">
        <v>226.68</v>
      </c>
      <c r="J1258">
        <v>709</v>
      </c>
      <c r="K1258">
        <v>491.05</v>
      </c>
      <c r="L1258">
        <v>174.5</v>
      </c>
      <c r="M1258">
        <v>413.6</v>
      </c>
      <c r="N1258">
        <v>1821278</v>
      </c>
      <c r="O1258" t="s">
        <v>1861</v>
      </c>
      <c r="P1258" t="s">
        <v>2450</v>
      </c>
      <c r="Q1258" t="s">
        <v>2451</v>
      </c>
    </row>
    <row r="1259" spans="1:17">
      <c r="A1259">
        <v>3748</v>
      </c>
      <c r="B1259">
        <v>946</v>
      </c>
      <c r="C1259">
        <v>2</v>
      </c>
      <c r="D1259">
        <v>0.23619999999999999</v>
      </c>
      <c r="E1259">
        <v>1.0900000000000001</v>
      </c>
      <c r="F1259">
        <v>335.32</v>
      </c>
      <c r="G1259">
        <v>1</v>
      </c>
      <c r="H1259">
        <v>9.66</v>
      </c>
      <c r="I1259">
        <v>285.27</v>
      </c>
      <c r="J1259">
        <v>743</v>
      </c>
      <c r="K1259">
        <v>479.65</v>
      </c>
      <c r="L1259">
        <v>298</v>
      </c>
      <c r="M1259">
        <v>601</v>
      </c>
      <c r="N1259">
        <v>1100103</v>
      </c>
      <c r="O1259" t="s">
        <v>609</v>
      </c>
      <c r="P1259" t="s">
        <v>2455</v>
      </c>
      <c r="Q1259" t="s">
        <v>2456</v>
      </c>
    </row>
    <row r="1260" spans="1:17">
      <c r="A1260">
        <v>3750</v>
      </c>
      <c r="B1260">
        <v>929</v>
      </c>
      <c r="C1260">
        <v>3.3</v>
      </c>
      <c r="D1260">
        <v>0.25459999999999999</v>
      </c>
      <c r="E1260">
        <v>0.73470000000000002</v>
      </c>
      <c r="F1260">
        <v>184.24</v>
      </c>
      <c r="G1260">
        <v>1</v>
      </c>
      <c r="H1260">
        <v>10.92</v>
      </c>
      <c r="I1260">
        <v>186.61</v>
      </c>
      <c r="J1260">
        <v>674.85</v>
      </c>
      <c r="K1260">
        <v>400.65</v>
      </c>
      <c r="L1260">
        <v>70.7</v>
      </c>
      <c r="M1260">
        <v>357.5</v>
      </c>
      <c r="N1260">
        <v>92875</v>
      </c>
      <c r="O1260" t="s">
        <v>568</v>
      </c>
      <c r="P1260" t="s">
        <v>2418</v>
      </c>
      <c r="Q1260" t="s">
        <v>2452</v>
      </c>
    </row>
    <row r="1261" spans="1:17">
      <c r="A1261">
        <v>3796</v>
      </c>
      <c r="B1261">
        <v>698.55</v>
      </c>
      <c r="C1261">
        <v>3.58</v>
      </c>
      <c r="D1261">
        <v>0.26279999999999998</v>
      </c>
      <c r="E1261">
        <v>0.41489999999999999</v>
      </c>
      <c r="F1261">
        <v>121.18</v>
      </c>
      <c r="G1261">
        <v>1</v>
      </c>
      <c r="H1261">
        <v>10.42</v>
      </c>
      <c r="I1261">
        <v>126.54</v>
      </c>
      <c r="J1261">
        <v>478.15</v>
      </c>
      <c r="K1261">
        <v>210.15</v>
      </c>
      <c r="L1261">
        <v>56.07</v>
      </c>
      <c r="M1261">
        <v>208</v>
      </c>
      <c r="N1261">
        <v>103695</v>
      </c>
      <c r="O1261" t="s">
        <v>1898</v>
      </c>
      <c r="P1261" t="s">
        <v>1653</v>
      </c>
      <c r="Q1261" t="s">
        <v>1899</v>
      </c>
    </row>
    <row r="1262" spans="1:17">
      <c r="A1262">
        <v>3798</v>
      </c>
      <c r="B1262">
        <v>834</v>
      </c>
      <c r="C1262">
        <v>5.34</v>
      </c>
      <c r="D1262">
        <v>0.2492</v>
      </c>
      <c r="E1262">
        <v>0.69240000000000002</v>
      </c>
      <c r="F1262">
        <v>84.08</v>
      </c>
      <c r="G1262">
        <v>1</v>
      </c>
      <c r="H1262">
        <v>13.01</v>
      </c>
      <c r="I1262">
        <v>110.2</v>
      </c>
      <c r="J1262">
        <v>472</v>
      </c>
      <c r="K1262">
        <v>487.15</v>
      </c>
      <c r="L1262">
        <v>24.9</v>
      </c>
      <c r="M1262">
        <v>182</v>
      </c>
      <c r="N1262">
        <v>461585</v>
      </c>
      <c r="O1262" t="s">
        <v>609</v>
      </c>
      <c r="P1262" t="s">
        <v>2369</v>
      </c>
      <c r="Q1262" t="s">
        <v>2370</v>
      </c>
    </row>
    <row r="1263" spans="1:17">
      <c r="A1263">
        <v>3853</v>
      </c>
      <c r="B1263">
        <v>686</v>
      </c>
      <c r="C1263">
        <v>5.17</v>
      </c>
      <c r="D1263">
        <v>0.24859999999999999</v>
      </c>
      <c r="E1263">
        <v>0.55500000000000005</v>
      </c>
      <c r="F1263">
        <v>128.94</v>
      </c>
      <c r="G1263">
        <v>0</v>
      </c>
      <c r="H1263">
        <v>13.08</v>
      </c>
      <c r="I1263">
        <v>83.01</v>
      </c>
      <c r="J1263">
        <v>465.65</v>
      </c>
      <c r="K1263">
        <v>286.64999999999998</v>
      </c>
      <c r="L1263">
        <v>-469</v>
      </c>
      <c r="M1263">
        <v>-368</v>
      </c>
      <c r="N1263">
        <v>79436</v>
      </c>
      <c r="O1263" t="s">
        <v>1815</v>
      </c>
      <c r="P1263" t="s">
        <v>1816</v>
      </c>
      <c r="Q1263" t="s">
        <v>1817</v>
      </c>
    </row>
    <row r="1264" spans="1:17">
      <c r="A1264">
        <v>3854</v>
      </c>
      <c r="B1264">
        <v>579.79999999999995</v>
      </c>
      <c r="C1264">
        <v>4.1130000000000004</v>
      </c>
      <c r="D1264">
        <v>0.27689999999999998</v>
      </c>
      <c r="E1264">
        <v>0.44269999999999998</v>
      </c>
      <c r="F1264">
        <v>90.12</v>
      </c>
      <c r="G1264">
        <v>0</v>
      </c>
      <c r="H1264">
        <v>10.029999999999999</v>
      </c>
      <c r="I1264">
        <v>98.2</v>
      </c>
      <c r="J1264">
        <v>391.65</v>
      </c>
      <c r="K1264">
        <v>176.45</v>
      </c>
      <c r="L1264">
        <v>-403.9</v>
      </c>
      <c r="M1264">
        <v>-259</v>
      </c>
      <c r="N1264">
        <v>107982</v>
      </c>
      <c r="O1264" t="s">
        <v>992</v>
      </c>
      <c r="P1264" t="s">
        <v>938</v>
      </c>
      <c r="Q1264" t="s">
        <v>1228</v>
      </c>
    </row>
    <row r="1265" spans="1:17">
      <c r="A1265">
        <v>3855</v>
      </c>
      <c r="B1265">
        <v>612</v>
      </c>
      <c r="C1265">
        <v>2.9</v>
      </c>
      <c r="D1265">
        <v>0.26960000000000001</v>
      </c>
      <c r="E1265">
        <v>0.88029999999999997</v>
      </c>
      <c r="F1265">
        <v>148.19999999999999</v>
      </c>
      <c r="G1265">
        <v>0</v>
      </c>
      <c r="H1265">
        <v>8.85</v>
      </c>
      <c r="I1265">
        <v>156.1</v>
      </c>
      <c r="J1265">
        <v>457.15</v>
      </c>
      <c r="K1265">
        <v>156.15</v>
      </c>
      <c r="L1265">
        <v>-607.20000000000005</v>
      </c>
      <c r="M1265">
        <v>-356.1</v>
      </c>
      <c r="N1265">
        <v>34590948</v>
      </c>
      <c r="O1265" t="s">
        <v>2516</v>
      </c>
      <c r="P1265" t="s">
        <v>2715</v>
      </c>
      <c r="Q1265" t="s">
        <v>2622</v>
      </c>
    </row>
    <row r="1266" spans="1:17">
      <c r="A1266">
        <v>3856</v>
      </c>
      <c r="B1266">
        <v>600.70000000000005</v>
      </c>
      <c r="C1266">
        <v>2.72</v>
      </c>
      <c r="D1266">
        <v>0.2873</v>
      </c>
      <c r="E1266">
        <v>0.48630000000000001</v>
      </c>
      <c r="F1266">
        <v>132.19999999999999</v>
      </c>
      <c r="G1266">
        <v>0</v>
      </c>
      <c r="H1266">
        <v>9.19</v>
      </c>
      <c r="I1266">
        <v>152.68</v>
      </c>
      <c r="J1266">
        <v>417.15</v>
      </c>
      <c r="K1266">
        <v>-86</v>
      </c>
      <c r="L1266">
        <v>-553.9</v>
      </c>
      <c r="M1266">
        <v>-313</v>
      </c>
      <c r="N1266">
        <v>57018527</v>
      </c>
      <c r="O1266" t="s">
        <v>568</v>
      </c>
      <c r="P1266" t="s">
        <v>1332</v>
      </c>
      <c r="Q1266" t="s">
        <v>1333</v>
      </c>
    </row>
    <row r="1267" spans="1:17">
      <c r="A1267">
        <v>3857</v>
      </c>
      <c r="B1267">
        <v>657</v>
      </c>
      <c r="C1267">
        <v>2.1800000000000002</v>
      </c>
      <c r="D1267">
        <v>0.26019999999999999</v>
      </c>
      <c r="E1267">
        <v>1.1254</v>
      </c>
      <c r="F1267">
        <v>206.28</v>
      </c>
      <c r="G1267">
        <v>0</v>
      </c>
      <c r="H1267">
        <v>8.93</v>
      </c>
      <c r="I1267">
        <v>213.52</v>
      </c>
      <c r="J1267">
        <v>515.54999999999995</v>
      </c>
      <c r="K1267">
        <v>194.26</v>
      </c>
      <c r="L1267">
        <v>-810.4</v>
      </c>
      <c r="M1267">
        <v>-451.4</v>
      </c>
      <c r="N1267">
        <v>25498491</v>
      </c>
      <c r="O1267" t="s">
        <v>474</v>
      </c>
      <c r="P1267" t="s">
        <v>1680</v>
      </c>
      <c r="Q1267" t="s">
        <v>1681</v>
      </c>
    </row>
    <row r="1268" spans="1:17">
      <c r="A1268">
        <v>3860</v>
      </c>
      <c r="B1268">
        <v>754</v>
      </c>
      <c r="C1268">
        <v>4.59</v>
      </c>
      <c r="D1268">
        <v>0.25769999999999998</v>
      </c>
      <c r="E1268">
        <v>0.42099999999999999</v>
      </c>
      <c r="F1268">
        <v>127.57</v>
      </c>
      <c r="G1268">
        <v>1</v>
      </c>
      <c r="H1268">
        <v>11.07</v>
      </c>
      <c r="I1268">
        <v>108.58</v>
      </c>
      <c r="J1268">
        <v>505.75</v>
      </c>
      <c r="K1268">
        <v>345.65</v>
      </c>
      <c r="L1268">
        <v>57.3</v>
      </c>
      <c r="M1268">
        <v>140</v>
      </c>
      <c r="N1268">
        <v>106478</v>
      </c>
      <c r="O1268" t="s">
        <v>868</v>
      </c>
      <c r="P1268" t="s">
        <v>2003</v>
      </c>
      <c r="Q1268" t="s">
        <v>2122</v>
      </c>
    </row>
    <row r="1269" spans="1:17">
      <c r="A1269">
        <v>3872</v>
      </c>
      <c r="B1269">
        <v>664</v>
      </c>
      <c r="C1269">
        <v>5.93</v>
      </c>
      <c r="D1269">
        <v>0.20519999999999999</v>
      </c>
      <c r="E1269">
        <v>0.80069999999999997</v>
      </c>
      <c r="F1269">
        <v>57.05</v>
      </c>
      <c r="G1269">
        <v>1</v>
      </c>
      <c r="H1269">
        <v>17.809999999999999</v>
      </c>
      <c r="I1269">
        <v>52.28</v>
      </c>
      <c r="J1269">
        <v>456.15</v>
      </c>
      <c r="K1269">
        <v>-86</v>
      </c>
      <c r="L1269">
        <v>-61.55</v>
      </c>
      <c r="M1269">
        <v>-32.56</v>
      </c>
      <c r="N1269">
        <v>107164</v>
      </c>
      <c r="O1269" t="s">
        <v>568</v>
      </c>
      <c r="P1269" t="s">
        <v>740</v>
      </c>
      <c r="Q1269" t="s">
        <v>1724</v>
      </c>
    </row>
    <row r="1270" spans="1:17">
      <c r="A1270">
        <v>3873</v>
      </c>
      <c r="B1270">
        <v>638</v>
      </c>
      <c r="C1270">
        <v>5.44</v>
      </c>
      <c r="D1270">
        <v>0.23480000000000001</v>
      </c>
      <c r="E1270">
        <v>0.4657</v>
      </c>
      <c r="F1270">
        <v>56.07</v>
      </c>
      <c r="G1270">
        <v>1</v>
      </c>
      <c r="H1270">
        <v>13.14</v>
      </c>
      <c r="I1270">
        <v>68.36</v>
      </c>
      <c r="J1270">
        <v>425</v>
      </c>
      <c r="K1270">
        <v>-86</v>
      </c>
      <c r="L1270">
        <v>117</v>
      </c>
      <c r="M1270">
        <v>171</v>
      </c>
      <c r="N1270">
        <v>540614</v>
      </c>
      <c r="O1270" t="s">
        <v>568</v>
      </c>
      <c r="P1270" t="s">
        <v>1551</v>
      </c>
      <c r="Q1270" t="s">
        <v>1552</v>
      </c>
    </row>
    <row r="1271" spans="1:17">
      <c r="A1271">
        <v>3874</v>
      </c>
      <c r="B1271">
        <v>732</v>
      </c>
      <c r="C1271">
        <v>3.46</v>
      </c>
      <c r="D1271">
        <v>0.22500000000000001</v>
      </c>
      <c r="E1271">
        <v>0.47149999999999997</v>
      </c>
      <c r="F1271">
        <v>117.15</v>
      </c>
      <c r="G1271">
        <v>1</v>
      </c>
      <c r="H1271">
        <v>10.66</v>
      </c>
      <c r="I1271">
        <v>115.81</v>
      </c>
      <c r="J1271">
        <v>506.65</v>
      </c>
      <c r="K1271">
        <v>249.35</v>
      </c>
      <c r="L1271">
        <v>189.1</v>
      </c>
      <c r="M1271">
        <v>286.5</v>
      </c>
      <c r="N1271">
        <v>140294</v>
      </c>
      <c r="O1271" t="s">
        <v>1225</v>
      </c>
      <c r="P1271" t="s">
        <v>2044</v>
      </c>
      <c r="Q1271" t="s">
        <v>2045</v>
      </c>
    </row>
    <row r="1272" spans="1:17">
      <c r="A1272">
        <v>3881</v>
      </c>
      <c r="B1272">
        <v>1086</v>
      </c>
      <c r="C1272">
        <v>2.69</v>
      </c>
      <c r="D1272">
        <v>0.2316</v>
      </c>
      <c r="E1272">
        <v>0.36530000000000001</v>
      </c>
      <c r="F1272">
        <v>342.3</v>
      </c>
      <c r="G1272">
        <v>1</v>
      </c>
      <c r="H1272">
        <v>8.75</v>
      </c>
      <c r="I1272">
        <v>239.86</v>
      </c>
      <c r="J1272">
        <v>735</v>
      </c>
      <c r="K1272">
        <v>459.15</v>
      </c>
      <c r="L1272">
        <v>-2231.8000000000002</v>
      </c>
      <c r="M1272">
        <v>-1544.1</v>
      </c>
      <c r="N1272">
        <v>57501</v>
      </c>
      <c r="O1272" t="s">
        <v>1861</v>
      </c>
      <c r="P1272" t="s">
        <v>2471</v>
      </c>
      <c r="Q1272" t="s">
        <v>2472</v>
      </c>
    </row>
    <row r="1273" spans="1:17">
      <c r="A1273">
        <v>3882</v>
      </c>
      <c r="B1273">
        <v>654</v>
      </c>
      <c r="C1273">
        <v>4.04</v>
      </c>
      <c r="D1273">
        <v>0.26900000000000002</v>
      </c>
      <c r="E1273">
        <v>0.79039999999999999</v>
      </c>
      <c r="F1273">
        <v>152.06</v>
      </c>
      <c r="G1273">
        <v>0</v>
      </c>
      <c r="H1273">
        <v>12.27</v>
      </c>
      <c r="I1273">
        <v>102.62</v>
      </c>
      <c r="J1273">
        <v>471.65</v>
      </c>
      <c r="K1273">
        <v>250.85</v>
      </c>
      <c r="L1273">
        <v>-246.4</v>
      </c>
      <c r="M1273">
        <v>-86</v>
      </c>
      <c r="N1273">
        <v>628966</v>
      </c>
      <c r="O1273" t="s">
        <v>568</v>
      </c>
      <c r="P1273" t="s">
        <v>1663</v>
      </c>
      <c r="Q1273" t="s">
        <v>1664</v>
      </c>
    </row>
    <row r="1274" spans="1:17">
      <c r="A1274">
        <v>3883</v>
      </c>
      <c r="B1274">
        <v>624</v>
      </c>
      <c r="C1274">
        <v>3.77</v>
      </c>
      <c r="D1274">
        <v>0.27100000000000002</v>
      </c>
      <c r="E1274">
        <v>0.50649999999999995</v>
      </c>
      <c r="F1274">
        <v>138.19</v>
      </c>
      <c r="G1274">
        <v>0</v>
      </c>
      <c r="H1274">
        <v>9.27</v>
      </c>
      <c r="I1274">
        <v>128.18</v>
      </c>
      <c r="J1274">
        <v>432.15</v>
      </c>
      <c r="K1274">
        <v>-86</v>
      </c>
      <c r="L1274">
        <v>-552.20000000000005</v>
      </c>
      <c r="M1274">
        <v>-86</v>
      </c>
      <c r="N1274">
        <v>623814</v>
      </c>
      <c r="O1274" t="s">
        <v>568</v>
      </c>
      <c r="P1274" t="s">
        <v>1490</v>
      </c>
      <c r="Q1274" t="s">
        <v>1491</v>
      </c>
    </row>
    <row r="1275" spans="1:17">
      <c r="A1275">
        <v>3884</v>
      </c>
      <c r="B1275">
        <v>-86</v>
      </c>
      <c r="C1275">
        <v>-86</v>
      </c>
      <c r="D1275">
        <v>-86</v>
      </c>
      <c r="E1275">
        <v>-86</v>
      </c>
      <c r="F1275">
        <v>278.29000000000002</v>
      </c>
      <c r="G1275">
        <v>0</v>
      </c>
      <c r="H1275">
        <v>-86</v>
      </c>
      <c r="I1275">
        <v>0</v>
      </c>
      <c r="J1275">
        <v>-86</v>
      </c>
      <c r="K1275">
        <v>427.65</v>
      </c>
      <c r="L1275">
        <v>-116.41</v>
      </c>
      <c r="M1275">
        <v>-86</v>
      </c>
      <c r="N1275">
        <v>791286</v>
      </c>
      <c r="O1275" t="s">
        <v>2516</v>
      </c>
      <c r="P1275" t="s">
        <v>2716</v>
      </c>
      <c r="Q1275" t="s">
        <v>2717</v>
      </c>
    </row>
    <row r="1276" spans="1:17">
      <c r="A1276">
        <v>3885</v>
      </c>
      <c r="B1276">
        <v>-86</v>
      </c>
      <c r="C1276">
        <v>-86</v>
      </c>
      <c r="D1276">
        <v>-86</v>
      </c>
      <c r="E1276">
        <v>-86</v>
      </c>
      <c r="F1276">
        <v>190.03</v>
      </c>
      <c r="G1276">
        <v>0</v>
      </c>
      <c r="H1276">
        <v>-86</v>
      </c>
      <c r="I1276">
        <v>0</v>
      </c>
      <c r="J1276">
        <v>-86</v>
      </c>
      <c r="K1276">
        <v>496.65</v>
      </c>
      <c r="L1276">
        <v>0</v>
      </c>
      <c r="M1276">
        <v>-86</v>
      </c>
      <c r="N1276">
        <v>6145319</v>
      </c>
      <c r="O1276" t="s">
        <v>2516</v>
      </c>
      <c r="P1276" t="s">
        <v>2718</v>
      </c>
      <c r="Q1276" t="s">
        <v>2719</v>
      </c>
    </row>
    <row r="1277" spans="1:17">
      <c r="A1277">
        <v>3886</v>
      </c>
      <c r="B1277">
        <v>-86</v>
      </c>
      <c r="C1277">
        <v>-86</v>
      </c>
      <c r="D1277">
        <v>-86</v>
      </c>
      <c r="E1277">
        <v>-86</v>
      </c>
      <c r="F1277">
        <v>269.49</v>
      </c>
      <c r="G1277">
        <v>0</v>
      </c>
      <c r="H1277">
        <v>-86</v>
      </c>
      <c r="I1277">
        <v>0</v>
      </c>
      <c r="J1277">
        <v>-86</v>
      </c>
      <c r="K1277">
        <v>-86</v>
      </c>
      <c r="L1277">
        <v>-1050</v>
      </c>
      <c r="M1277">
        <v>-86</v>
      </c>
      <c r="N1277">
        <v>6294344</v>
      </c>
      <c r="O1277" t="s">
        <v>2516</v>
      </c>
      <c r="P1277" t="s">
        <v>2720</v>
      </c>
      <c r="Q1277" t="s">
        <v>2721</v>
      </c>
    </row>
    <row r="1278" spans="1:17">
      <c r="A1278">
        <v>3887</v>
      </c>
      <c r="B1278">
        <v>-86</v>
      </c>
      <c r="C1278">
        <v>-86</v>
      </c>
      <c r="D1278">
        <v>-86</v>
      </c>
      <c r="E1278">
        <v>-86</v>
      </c>
      <c r="F1278">
        <v>330.36</v>
      </c>
      <c r="G1278">
        <v>0</v>
      </c>
      <c r="H1278">
        <v>-86</v>
      </c>
      <c r="I1278">
        <v>273.57</v>
      </c>
      <c r="J1278">
        <v>429.65</v>
      </c>
      <c r="K1278">
        <v>275.95</v>
      </c>
      <c r="L1278">
        <v>0</v>
      </c>
      <c r="M1278">
        <v>-86</v>
      </c>
      <c r="N1278">
        <v>121755</v>
      </c>
      <c r="O1278" t="s">
        <v>2516</v>
      </c>
      <c r="P1278" t="s">
        <v>2722</v>
      </c>
      <c r="Q1278" t="s">
        <v>2723</v>
      </c>
    </row>
    <row r="1279" spans="1:17">
      <c r="A1279">
        <v>3888</v>
      </c>
      <c r="B1279">
        <v>869</v>
      </c>
      <c r="C1279">
        <v>4.32</v>
      </c>
      <c r="D1279">
        <v>0.20749999999999999</v>
      </c>
      <c r="E1279">
        <v>0.23810000000000001</v>
      </c>
      <c r="F1279">
        <v>115.2</v>
      </c>
      <c r="G1279">
        <v>0</v>
      </c>
      <c r="H1279">
        <v>12.62</v>
      </c>
      <c r="I1279">
        <v>85.64</v>
      </c>
      <c r="J1279">
        <v>557</v>
      </c>
      <c r="K1279">
        <v>276</v>
      </c>
      <c r="L1279">
        <v>-195.5</v>
      </c>
      <c r="M1279">
        <v>-77.260000000000005</v>
      </c>
      <c r="N1279">
        <v>10441573</v>
      </c>
      <c r="O1279" t="s">
        <v>545</v>
      </c>
      <c r="P1279" t="s">
        <v>2423</v>
      </c>
      <c r="Q1279" t="s">
        <v>2424</v>
      </c>
    </row>
    <row r="1280" spans="1:17">
      <c r="A1280">
        <v>3902</v>
      </c>
      <c r="B1280">
        <v>32.950000000000003</v>
      </c>
      <c r="C1280">
        <v>1.3169999999999999</v>
      </c>
      <c r="D1280">
        <v>0.30830000000000002</v>
      </c>
      <c r="E1280">
        <v>-0.2208</v>
      </c>
      <c r="F1280">
        <v>2.02</v>
      </c>
      <c r="G1280">
        <v>0</v>
      </c>
      <c r="H1280">
        <v>2.48</v>
      </c>
      <c r="I1280">
        <v>28.46</v>
      </c>
      <c r="J1280">
        <v>20.27</v>
      </c>
      <c r="K1280">
        <v>13.8</v>
      </c>
      <c r="L1280">
        <v>0.06</v>
      </c>
      <c r="M1280">
        <v>3.54</v>
      </c>
      <c r="N1280">
        <v>1333740</v>
      </c>
      <c r="O1280" t="s">
        <v>2516</v>
      </c>
      <c r="P1280" t="s">
        <v>427</v>
      </c>
      <c r="Q1280" t="s">
        <v>2724</v>
      </c>
    </row>
    <row r="1281" spans="1:17">
      <c r="A1281">
        <v>3928</v>
      </c>
      <c r="B1281">
        <v>1200</v>
      </c>
      <c r="C1281">
        <v>4</v>
      </c>
      <c r="D1281">
        <v>0</v>
      </c>
      <c r="E1281">
        <v>6.1100000000000002E-2</v>
      </c>
      <c r="F1281">
        <v>197.84</v>
      </c>
      <c r="G1281">
        <v>0</v>
      </c>
      <c r="H1281">
        <v>-86</v>
      </c>
      <c r="I1281">
        <v>0</v>
      </c>
      <c r="J1281">
        <v>628.95000000000005</v>
      </c>
      <c r="K1281">
        <v>585.95000000000005</v>
      </c>
      <c r="L1281">
        <v>-1196.25</v>
      </c>
      <c r="M1281">
        <v>-1205.5999999999999</v>
      </c>
      <c r="N1281">
        <v>1327533</v>
      </c>
      <c r="O1281" t="s">
        <v>2473</v>
      </c>
      <c r="P1281" t="s">
        <v>2474</v>
      </c>
      <c r="Q1281" t="s">
        <v>2475</v>
      </c>
    </row>
    <row r="1282" spans="1:17">
      <c r="A1282">
        <v>3935</v>
      </c>
      <c r="B1282">
        <v>517.79999999999995</v>
      </c>
      <c r="C1282">
        <v>4.17</v>
      </c>
      <c r="D1282">
        <v>0.23830000000000001</v>
      </c>
      <c r="E1282">
        <v>0.22520000000000001</v>
      </c>
      <c r="F1282">
        <v>80.59</v>
      </c>
      <c r="G1282">
        <v>0</v>
      </c>
      <c r="H1282">
        <v>7.55</v>
      </c>
      <c r="I1282">
        <v>88.61</v>
      </c>
      <c r="J1282">
        <v>280</v>
      </c>
      <c r="K1282">
        <v>139.05000000000001</v>
      </c>
      <c r="L1282">
        <v>-217.5</v>
      </c>
      <c r="M1282">
        <v>-166.1</v>
      </c>
      <c r="N1282">
        <v>993000</v>
      </c>
      <c r="O1282" t="s">
        <v>2516</v>
      </c>
      <c r="P1282" t="s">
        <v>2725</v>
      </c>
      <c r="Q1282" t="s">
        <v>2726</v>
      </c>
    </row>
    <row r="1283" spans="1:17">
      <c r="A1283">
        <v>3936</v>
      </c>
      <c r="B1283">
        <v>483</v>
      </c>
      <c r="C1283">
        <v>3.95</v>
      </c>
      <c r="D1283">
        <v>0.2843</v>
      </c>
      <c r="E1283">
        <v>0.27579999999999999</v>
      </c>
      <c r="F1283">
        <v>115.03</v>
      </c>
      <c r="G1283">
        <v>0</v>
      </c>
      <c r="H1283">
        <v>7.53</v>
      </c>
      <c r="I1283">
        <v>104.29</v>
      </c>
      <c r="J1283">
        <v>314.14999999999998</v>
      </c>
      <c r="K1283">
        <v>180.15</v>
      </c>
      <c r="L1283">
        <v>-402</v>
      </c>
      <c r="M1283">
        <v>-348.3</v>
      </c>
      <c r="N1283">
        <v>75547</v>
      </c>
      <c r="O1283" t="s">
        <v>583</v>
      </c>
      <c r="P1283" t="s">
        <v>729</v>
      </c>
      <c r="Q1283" t="s">
        <v>730</v>
      </c>
    </row>
    <row r="1284" spans="1:17">
      <c r="A1284">
        <v>3937</v>
      </c>
      <c r="B1284">
        <v>517</v>
      </c>
      <c r="C1284">
        <v>3.53</v>
      </c>
      <c r="D1284">
        <v>0.2792</v>
      </c>
      <c r="E1284">
        <v>0.26340000000000002</v>
      </c>
      <c r="F1284">
        <v>149.47999999999999</v>
      </c>
      <c r="G1284">
        <v>0</v>
      </c>
      <c r="H1284">
        <v>7.44</v>
      </c>
      <c r="I1284">
        <v>118.04</v>
      </c>
      <c r="J1284">
        <v>339.27</v>
      </c>
      <c r="K1284">
        <v>195.4</v>
      </c>
      <c r="L1284">
        <v>-584.9</v>
      </c>
      <c r="M1284">
        <v>-409.58</v>
      </c>
      <c r="N1284">
        <v>75796</v>
      </c>
      <c r="O1284" t="s">
        <v>523</v>
      </c>
      <c r="P1284" t="s">
        <v>865</v>
      </c>
      <c r="Q1284" t="s">
        <v>866</v>
      </c>
    </row>
    <row r="1285" spans="1:17">
      <c r="A1285">
        <v>3950</v>
      </c>
      <c r="B1285">
        <v>542</v>
      </c>
      <c r="C1285">
        <v>6.68</v>
      </c>
      <c r="D1285">
        <v>0.27129999999999999</v>
      </c>
      <c r="E1285">
        <v>0.25609999999999999</v>
      </c>
      <c r="F1285">
        <v>102.97</v>
      </c>
      <c r="G1285">
        <v>0</v>
      </c>
      <c r="H1285">
        <v>10.47</v>
      </c>
      <c r="I1285">
        <v>63.9</v>
      </c>
      <c r="J1285">
        <v>332.15</v>
      </c>
      <c r="K1285">
        <v>195.37</v>
      </c>
      <c r="L1285">
        <v>-19.7</v>
      </c>
      <c r="M1285">
        <v>-25.47</v>
      </c>
      <c r="N1285">
        <v>10545990</v>
      </c>
      <c r="O1285" t="s">
        <v>2804</v>
      </c>
      <c r="P1285" t="s">
        <v>2727</v>
      </c>
      <c r="Q1285" t="s">
        <v>2728</v>
      </c>
    </row>
    <row r="1286" spans="1:17">
      <c r="A1286">
        <v>3951</v>
      </c>
      <c r="B1286">
        <v>411.15</v>
      </c>
      <c r="C1286">
        <v>8.92</v>
      </c>
      <c r="D1286">
        <v>0.31319999999999998</v>
      </c>
      <c r="E1286">
        <v>5.4199999999999998E-2</v>
      </c>
      <c r="F1286">
        <v>80.98</v>
      </c>
      <c r="G1286">
        <v>0</v>
      </c>
      <c r="H1286">
        <v>10.32</v>
      </c>
      <c r="I1286">
        <v>40.99</v>
      </c>
      <c r="J1286">
        <v>231.65</v>
      </c>
      <c r="K1286">
        <v>209.15</v>
      </c>
      <c r="L1286">
        <v>29.7</v>
      </c>
      <c r="M1286">
        <v>15.9</v>
      </c>
      <c r="N1286">
        <v>7783075</v>
      </c>
      <c r="O1286" t="s">
        <v>439</v>
      </c>
      <c r="P1286" t="s">
        <v>593</v>
      </c>
      <c r="Q1286" t="s">
        <v>2885</v>
      </c>
    </row>
    <row r="1287" spans="1:17">
      <c r="A1287">
        <v>3953</v>
      </c>
      <c r="B1287">
        <v>989</v>
      </c>
      <c r="C1287">
        <v>-86</v>
      </c>
      <c r="D1287">
        <v>0</v>
      </c>
      <c r="E1287">
        <v>-86</v>
      </c>
      <c r="F1287">
        <v>148.32</v>
      </c>
      <c r="G1287">
        <v>0</v>
      </c>
      <c r="H1287">
        <v>-86</v>
      </c>
      <c r="I1287">
        <v>0</v>
      </c>
      <c r="J1287">
        <v>603.15</v>
      </c>
      <c r="K1287">
        <v>363.15</v>
      </c>
      <c r="L1287">
        <v>-790.65</v>
      </c>
      <c r="M1287">
        <v>-589.29999999999995</v>
      </c>
      <c r="N1287">
        <v>10377603</v>
      </c>
      <c r="O1287" t="s">
        <v>2516</v>
      </c>
      <c r="P1287" t="s">
        <v>2729</v>
      </c>
      <c r="Q1287" t="s">
        <v>2730</v>
      </c>
    </row>
    <row r="1288" spans="1:17">
      <c r="A1288">
        <v>3956</v>
      </c>
      <c r="B1288">
        <v>-86</v>
      </c>
      <c r="C1288">
        <v>-86</v>
      </c>
      <c r="D1288">
        <v>-86</v>
      </c>
      <c r="E1288">
        <v>-86</v>
      </c>
      <c r="F1288">
        <v>82.03</v>
      </c>
      <c r="G1288">
        <v>0</v>
      </c>
      <c r="H1288">
        <v>-86</v>
      </c>
      <c r="I1288">
        <v>0</v>
      </c>
      <c r="J1288">
        <v>-86</v>
      </c>
      <c r="K1288">
        <v>594.15</v>
      </c>
      <c r="L1288">
        <v>-708.81</v>
      </c>
      <c r="M1288">
        <v>-607.24</v>
      </c>
      <c r="N1288">
        <v>127093</v>
      </c>
      <c r="O1288" t="s">
        <v>2516</v>
      </c>
      <c r="P1288" t="s">
        <v>2731</v>
      </c>
      <c r="Q1288" t="s">
        <v>2732</v>
      </c>
    </row>
    <row r="1289" spans="1:17">
      <c r="A1289">
        <v>3969</v>
      </c>
      <c r="B1289">
        <v>620</v>
      </c>
      <c r="C1289">
        <v>4</v>
      </c>
      <c r="D1289">
        <v>0.21029999999999999</v>
      </c>
      <c r="E1289">
        <v>0.21790000000000001</v>
      </c>
      <c r="F1289">
        <v>72.09</v>
      </c>
      <c r="G1289">
        <v>0</v>
      </c>
      <c r="H1289">
        <v>9.98</v>
      </c>
      <c r="I1289">
        <v>96.33</v>
      </c>
      <c r="J1289">
        <v>398.65</v>
      </c>
      <c r="K1289">
        <v>288.14999999999998</v>
      </c>
      <c r="L1289">
        <v>-87.45</v>
      </c>
      <c r="M1289">
        <v>9.6300000000000008</v>
      </c>
      <c r="N1289">
        <v>75241</v>
      </c>
      <c r="O1289" t="s">
        <v>609</v>
      </c>
      <c r="P1289" t="s">
        <v>1462</v>
      </c>
      <c r="Q1289" t="s">
        <v>1463</v>
      </c>
    </row>
    <row r="1290" spans="1:17">
      <c r="A1290">
        <v>3970</v>
      </c>
      <c r="B1290">
        <v>510</v>
      </c>
      <c r="C1290">
        <v>4.04</v>
      </c>
      <c r="D1290">
        <v>0.20100000000000001</v>
      </c>
      <c r="E1290">
        <v>0.2077</v>
      </c>
      <c r="F1290">
        <v>114.83</v>
      </c>
      <c r="G1290">
        <v>0</v>
      </c>
      <c r="H1290">
        <v>8.49</v>
      </c>
      <c r="I1290">
        <v>100.79</v>
      </c>
      <c r="J1290">
        <v>328.85</v>
      </c>
      <c r="K1290">
        <v>257.35000000000002</v>
      </c>
      <c r="L1290">
        <v>-46.9</v>
      </c>
      <c r="M1290">
        <v>39.1</v>
      </c>
      <c r="N1290">
        <v>1445790</v>
      </c>
      <c r="O1290" t="s">
        <v>2804</v>
      </c>
      <c r="P1290" t="s">
        <v>2733</v>
      </c>
      <c r="Q1290" t="s">
        <v>2734</v>
      </c>
    </row>
    <row r="1291" spans="1:17">
      <c r="A1291">
        <v>3984</v>
      </c>
      <c r="B1291">
        <v>352.5</v>
      </c>
      <c r="C1291">
        <v>4.7</v>
      </c>
      <c r="D1291">
        <v>0.27910000000000001</v>
      </c>
      <c r="E1291">
        <v>0.13139999999999999</v>
      </c>
      <c r="F1291">
        <v>46.14</v>
      </c>
      <c r="G1291">
        <v>0</v>
      </c>
      <c r="H1291">
        <v>6.97</v>
      </c>
      <c r="I1291">
        <v>75.22</v>
      </c>
      <c r="J1291">
        <v>216.15</v>
      </c>
      <c r="K1291">
        <v>116.65</v>
      </c>
      <c r="L1291">
        <v>-33.5</v>
      </c>
      <c r="M1291">
        <v>18.53</v>
      </c>
      <c r="N1291">
        <v>992949</v>
      </c>
      <c r="O1291" t="s">
        <v>518</v>
      </c>
      <c r="P1291" t="s">
        <v>519</v>
      </c>
      <c r="Q1291" t="s">
        <v>520</v>
      </c>
    </row>
    <row r="1292" spans="1:17">
      <c r="A1292">
        <v>3985</v>
      </c>
      <c r="B1292">
        <v>402</v>
      </c>
      <c r="C1292">
        <v>3.56</v>
      </c>
      <c r="D1292">
        <v>0.27479999999999999</v>
      </c>
      <c r="E1292">
        <v>0.13</v>
      </c>
      <c r="F1292">
        <v>60.17</v>
      </c>
      <c r="G1292">
        <v>0</v>
      </c>
      <c r="H1292">
        <v>6.74</v>
      </c>
      <c r="I1292">
        <v>94.45</v>
      </c>
      <c r="J1292">
        <v>253.05</v>
      </c>
      <c r="K1292">
        <v>122.95</v>
      </c>
      <c r="L1292">
        <v>-151</v>
      </c>
      <c r="M1292">
        <v>-19.579999999999998</v>
      </c>
      <c r="N1292">
        <v>1111746</v>
      </c>
      <c r="O1292" t="s">
        <v>583</v>
      </c>
      <c r="P1292" t="s">
        <v>584</v>
      </c>
      <c r="Q1292" t="s">
        <v>2886</v>
      </c>
    </row>
    <row r="1293" spans="1:17">
      <c r="A1293">
        <v>3986</v>
      </c>
      <c r="B1293">
        <v>432</v>
      </c>
      <c r="C1293">
        <v>3.19</v>
      </c>
      <c r="D1293">
        <v>0.2762</v>
      </c>
      <c r="E1293">
        <v>0.17510000000000001</v>
      </c>
      <c r="F1293">
        <v>74.2</v>
      </c>
      <c r="G1293">
        <v>0</v>
      </c>
      <c r="H1293">
        <v>6.36</v>
      </c>
      <c r="I1293">
        <v>116.61</v>
      </c>
      <c r="J1293">
        <v>279.85000000000002</v>
      </c>
      <c r="K1293">
        <v>137.26</v>
      </c>
      <c r="L1293">
        <v>-225.94</v>
      </c>
      <c r="M1293">
        <v>-49.91</v>
      </c>
      <c r="N1293">
        <v>993077</v>
      </c>
      <c r="O1293" t="s">
        <v>583</v>
      </c>
      <c r="P1293" t="s">
        <v>627</v>
      </c>
      <c r="Q1293" t="s">
        <v>2887</v>
      </c>
    </row>
    <row r="1294" spans="1:17">
      <c r="A1294">
        <v>3987</v>
      </c>
      <c r="B1294">
        <v>472</v>
      </c>
      <c r="C1294">
        <v>3.62</v>
      </c>
      <c r="D1294">
        <v>0.27579999999999999</v>
      </c>
      <c r="E1294">
        <v>0.25259999999999999</v>
      </c>
      <c r="F1294">
        <v>94.62</v>
      </c>
      <c r="G1294">
        <v>0</v>
      </c>
      <c r="H1294">
        <v>7.03</v>
      </c>
      <c r="I1294">
        <v>109.92</v>
      </c>
      <c r="J1294">
        <v>307.85000000000002</v>
      </c>
      <c r="K1294">
        <v>162.15</v>
      </c>
      <c r="L1294">
        <v>-292.60000000000002</v>
      </c>
      <c r="M1294">
        <v>-213.2</v>
      </c>
      <c r="N1294">
        <v>1066359</v>
      </c>
      <c r="O1294" t="s">
        <v>698</v>
      </c>
      <c r="P1294" t="s">
        <v>699</v>
      </c>
      <c r="Q1294" t="s">
        <v>700</v>
      </c>
    </row>
    <row r="1295" spans="1:17">
      <c r="A1295">
        <v>3988</v>
      </c>
      <c r="B1295">
        <v>497.75</v>
      </c>
      <c r="C1295">
        <v>3.2</v>
      </c>
      <c r="D1295">
        <v>0.28299999999999997</v>
      </c>
      <c r="E1295">
        <v>0.27010000000000001</v>
      </c>
      <c r="F1295">
        <v>108.64</v>
      </c>
      <c r="G1295">
        <v>0</v>
      </c>
      <c r="H1295">
        <v>7.17</v>
      </c>
      <c r="I1295">
        <v>127.3</v>
      </c>
      <c r="J1295">
        <v>333.15</v>
      </c>
      <c r="K1295">
        <v>215.45</v>
      </c>
      <c r="L1295">
        <v>-354</v>
      </c>
      <c r="M1295">
        <v>-243.6</v>
      </c>
      <c r="N1295">
        <v>75774</v>
      </c>
      <c r="O1295" t="s">
        <v>770</v>
      </c>
      <c r="P1295" t="s">
        <v>771</v>
      </c>
      <c r="Q1295" t="s">
        <v>772</v>
      </c>
    </row>
    <row r="1296" spans="1:17">
      <c r="A1296">
        <v>3989</v>
      </c>
      <c r="B1296">
        <v>520.35</v>
      </c>
      <c r="C1296">
        <v>3.49</v>
      </c>
      <c r="D1296">
        <v>0.2823</v>
      </c>
      <c r="E1296">
        <v>0.26750000000000002</v>
      </c>
      <c r="F1296">
        <v>129.06</v>
      </c>
      <c r="G1296">
        <v>0</v>
      </c>
      <c r="H1296">
        <v>7.64</v>
      </c>
      <c r="I1296">
        <v>121.21</v>
      </c>
      <c r="J1296">
        <v>342.65</v>
      </c>
      <c r="K1296">
        <v>187.15</v>
      </c>
      <c r="L1296">
        <v>444</v>
      </c>
      <c r="M1296">
        <v>-363.7</v>
      </c>
      <c r="N1296">
        <v>75785</v>
      </c>
      <c r="O1296" t="s">
        <v>770</v>
      </c>
      <c r="P1296" t="s">
        <v>878</v>
      </c>
      <c r="Q1296" t="s">
        <v>879</v>
      </c>
    </row>
    <row r="1297" spans="1:17">
      <c r="A1297">
        <v>3990</v>
      </c>
      <c r="B1297">
        <v>6153</v>
      </c>
      <c r="C1297">
        <v>4.78</v>
      </c>
      <c r="D1297">
        <v>2.9100000000000001E-2</v>
      </c>
      <c r="E1297">
        <v>0.22739999999999999</v>
      </c>
      <c r="F1297">
        <v>9.01</v>
      </c>
      <c r="G1297">
        <v>0</v>
      </c>
      <c r="H1297">
        <v>26.72</v>
      </c>
      <c r="I1297">
        <v>99.2</v>
      </c>
      <c r="J1297">
        <v>2741.44</v>
      </c>
      <c r="K1297">
        <v>1551.15</v>
      </c>
      <c r="L1297">
        <v>324</v>
      </c>
      <c r="M1297">
        <v>286.18</v>
      </c>
      <c r="N1297">
        <v>7440417</v>
      </c>
      <c r="O1297" t="s">
        <v>2516</v>
      </c>
      <c r="P1297" t="s">
        <v>2735</v>
      </c>
      <c r="Q1297" t="s">
        <v>2736</v>
      </c>
    </row>
    <row r="1298" spans="1:17">
      <c r="A1298">
        <v>3991</v>
      </c>
      <c r="B1298">
        <v>617.4</v>
      </c>
      <c r="C1298">
        <v>1.0349999999999999</v>
      </c>
      <c r="D1298">
        <v>0.2606</v>
      </c>
      <c r="E1298">
        <v>0.62229999999999996</v>
      </c>
      <c r="F1298">
        <v>370.77</v>
      </c>
      <c r="G1298">
        <v>0</v>
      </c>
      <c r="H1298">
        <v>5.9</v>
      </c>
      <c r="I1298">
        <v>388.62</v>
      </c>
      <c r="J1298">
        <v>483.15</v>
      </c>
      <c r="K1298">
        <v>229.15</v>
      </c>
      <c r="L1298">
        <v>-2766</v>
      </c>
      <c r="M1298">
        <v>-2120</v>
      </c>
      <c r="N1298">
        <v>541026</v>
      </c>
      <c r="O1298" t="s">
        <v>1438</v>
      </c>
      <c r="P1298" t="s">
        <v>1439</v>
      </c>
      <c r="Q1298" t="s">
        <v>1440</v>
      </c>
    </row>
    <row r="1299" spans="1:17">
      <c r="A1299">
        <v>3992</v>
      </c>
      <c r="B1299">
        <v>645.79999999999995</v>
      </c>
      <c r="C1299">
        <v>0.90100000000000002</v>
      </c>
      <c r="D1299">
        <v>0.27179999999999999</v>
      </c>
      <c r="E1299">
        <v>0.70950000000000002</v>
      </c>
      <c r="F1299">
        <v>444.93</v>
      </c>
      <c r="G1299">
        <v>0</v>
      </c>
      <c r="H1299">
        <v>5.69</v>
      </c>
      <c r="I1299">
        <v>462.2</v>
      </c>
      <c r="J1299">
        <v>518.15</v>
      </c>
      <c r="K1299">
        <v>270.14999999999998</v>
      </c>
      <c r="L1299">
        <v>-3512</v>
      </c>
      <c r="M1299">
        <v>-2810</v>
      </c>
      <c r="N1299">
        <v>540976</v>
      </c>
      <c r="O1299" t="s">
        <v>568</v>
      </c>
      <c r="P1299" t="s">
        <v>1596</v>
      </c>
      <c r="Q1299" t="s">
        <v>1597</v>
      </c>
    </row>
    <row r="1300" spans="1:17">
      <c r="A1300">
        <v>4849</v>
      </c>
      <c r="B1300">
        <v>786</v>
      </c>
      <c r="C1300">
        <v>3.65</v>
      </c>
      <c r="D1300">
        <v>0.26079999999999998</v>
      </c>
      <c r="E1300">
        <v>0.78559999999999997</v>
      </c>
      <c r="F1300">
        <v>166.18</v>
      </c>
      <c r="G1300">
        <v>0</v>
      </c>
      <c r="H1300">
        <v>10.94</v>
      </c>
      <c r="I1300">
        <v>154.6</v>
      </c>
      <c r="J1300">
        <v>570.65</v>
      </c>
      <c r="K1300">
        <v>387.65</v>
      </c>
      <c r="L1300">
        <v>-418</v>
      </c>
      <c r="M1300">
        <v>-255</v>
      </c>
      <c r="N1300">
        <v>498022</v>
      </c>
      <c r="O1300" t="s">
        <v>568</v>
      </c>
      <c r="P1300" t="s">
        <v>2102</v>
      </c>
      <c r="Q1300" t="s">
        <v>2258</v>
      </c>
    </row>
    <row r="1301" spans="1:17">
      <c r="A1301">
        <v>4850</v>
      </c>
      <c r="B1301">
        <v>777</v>
      </c>
      <c r="C1301">
        <v>4.01</v>
      </c>
      <c r="D1301">
        <v>0.2576</v>
      </c>
      <c r="E1301">
        <v>0.75729999999999997</v>
      </c>
      <c r="F1301">
        <v>152.15</v>
      </c>
      <c r="G1301">
        <v>0</v>
      </c>
      <c r="H1301">
        <v>11.76</v>
      </c>
      <c r="I1301">
        <v>133.19999999999999</v>
      </c>
      <c r="J1301">
        <v>557</v>
      </c>
      <c r="K1301">
        <v>355</v>
      </c>
      <c r="L1301">
        <v>-369</v>
      </c>
      <c r="M1301">
        <v>-247</v>
      </c>
      <c r="N1301">
        <v>121335</v>
      </c>
      <c r="O1301" t="s">
        <v>545</v>
      </c>
      <c r="P1301" t="s">
        <v>2222</v>
      </c>
      <c r="Q1301" t="s">
        <v>2223</v>
      </c>
    </row>
    <row r="1302" spans="1:17">
      <c r="A1302">
        <v>4851</v>
      </c>
      <c r="B1302">
        <v>820</v>
      </c>
      <c r="C1302">
        <v>4.42</v>
      </c>
      <c r="D1302">
        <v>0.2427</v>
      </c>
      <c r="E1302">
        <v>1.0807</v>
      </c>
      <c r="F1302">
        <v>134.09</v>
      </c>
      <c r="G1302">
        <v>0</v>
      </c>
      <c r="H1302">
        <v>15.48</v>
      </c>
      <c r="I1302">
        <v>94.92</v>
      </c>
      <c r="J1302">
        <v>540</v>
      </c>
      <c r="K1302">
        <v>421.15</v>
      </c>
      <c r="L1302">
        <v>-945</v>
      </c>
      <c r="M1302">
        <v>-800</v>
      </c>
      <c r="N1302">
        <v>110996</v>
      </c>
      <c r="O1302" t="s">
        <v>1861</v>
      </c>
      <c r="P1302" t="s">
        <v>2328</v>
      </c>
      <c r="Q1302" t="s">
        <v>2329</v>
      </c>
    </row>
    <row r="1303" spans="1:17">
      <c r="A1303">
        <v>4852</v>
      </c>
      <c r="B1303">
        <v>738</v>
      </c>
      <c r="C1303">
        <v>4.0199999999999996</v>
      </c>
      <c r="D1303">
        <v>0.22939999999999999</v>
      </c>
      <c r="E1303">
        <v>0.75570000000000004</v>
      </c>
      <c r="F1303">
        <v>116.12</v>
      </c>
      <c r="G1303">
        <v>0</v>
      </c>
      <c r="H1303">
        <v>13.43</v>
      </c>
      <c r="I1303">
        <v>103.06</v>
      </c>
      <c r="J1303">
        <v>518.65</v>
      </c>
      <c r="K1303">
        <v>310.35000000000002</v>
      </c>
      <c r="L1303">
        <v>-607</v>
      </c>
      <c r="M1303">
        <v>-478</v>
      </c>
      <c r="N1303">
        <v>123762</v>
      </c>
      <c r="O1303" t="s">
        <v>1861</v>
      </c>
      <c r="P1303" t="s">
        <v>2067</v>
      </c>
      <c r="Q1303" t="s">
        <v>2068</v>
      </c>
    </row>
    <row r="1304" spans="1:17">
      <c r="A1304">
        <v>4853</v>
      </c>
      <c r="B1304">
        <v>781</v>
      </c>
      <c r="C1304">
        <v>5.07</v>
      </c>
      <c r="D1304">
        <v>0.25840000000000002</v>
      </c>
      <c r="E1304">
        <v>1.5298</v>
      </c>
      <c r="F1304">
        <v>134.09</v>
      </c>
      <c r="G1304">
        <v>0</v>
      </c>
      <c r="H1304">
        <v>15.87</v>
      </c>
      <c r="I1304">
        <v>109.89</v>
      </c>
      <c r="J1304">
        <v>423.15</v>
      </c>
      <c r="K1304">
        <v>403.15</v>
      </c>
      <c r="L1304">
        <v>-990</v>
      </c>
      <c r="M1304">
        <v>-848</v>
      </c>
      <c r="N1304">
        <v>617481</v>
      </c>
      <c r="O1304" t="s">
        <v>2516</v>
      </c>
      <c r="P1304" t="s">
        <v>2328</v>
      </c>
      <c r="Q1304" t="s">
        <v>2737</v>
      </c>
    </row>
    <row r="1305" spans="1:17">
      <c r="A1305">
        <v>4854</v>
      </c>
      <c r="B1305">
        <v>705</v>
      </c>
      <c r="C1305">
        <v>4.5</v>
      </c>
      <c r="D1305">
        <v>0.27100000000000002</v>
      </c>
      <c r="E1305">
        <v>0.56269999999999998</v>
      </c>
      <c r="F1305">
        <v>124.14</v>
      </c>
      <c r="G1305">
        <v>0</v>
      </c>
      <c r="H1305">
        <v>10.5</v>
      </c>
      <c r="I1305">
        <v>110.83</v>
      </c>
      <c r="J1305">
        <v>478.15</v>
      </c>
      <c r="K1305">
        <v>301.14999999999998</v>
      </c>
      <c r="L1305">
        <v>-249</v>
      </c>
      <c r="M1305">
        <v>-139</v>
      </c>
      <c r="N1305">
        <v>90051</v>
      </c>
      <c r="O1305" t="s">
        <v>2516</v>
      </c>
      <c r="P1305" t="s">
        <v>2690</v>
      </c>
      <c r="Q1305" t="s">
        <v>2738</v>
      </c>
    </row>
    <row r="1306" spans="1:17">
      <c r="A1306">
        <v>4855</v>
      </c>
      <c r="B1306">
        <v>582</v>
      </c>
      <c r="C1306">
        <v>3.67</v>
      </c>
      <c r="D1306">
        <v>0.26319999999999999</v>
      </c>
      <c r="E1306">
        <v>0.78300000000000003</v>
      </c>
      <c r="F1306">
        <v>104.15</v>
      </c>
      <c r="G1306">
        <v>0</v>
      </c>
      <c r="H1306">
        <v>9.7799999999999994</v>
      </c>
      <c r="I1306">
        <v>114.96</v>
      </c>
      <c r="J1306">
        <v>422.65</v>
      </c>
      <c r="K1306">
        <v>183.15</v>
      </c>
      <c r="L1306">
        <v>-421</v>
      </c>
      <c r="M1306">
        <v>-248</v>
      </c>
      <c r="N1306">
        <v>2807309</v>
      </c>
      <c r="O1306" t="s">
        <v>2516</v>
      </c>
      <c r="P1306" t="s">
        <v>1759</v>
      </c>
      <c r="Q1306" t="s">
        <v>2739</v>
      </c>
    </row>
    <row r="1307" spans="1:17">
      <c r="A1307">
        <v>4857</v>
      </c>
      <c r="B1307">
        <v>654</v>
      </c>
      <c r="C1307">
        <v>2.56</v>
      </c>
      <c r="D1307">
        <v>0.24759999999999999</v>
      </c>
      <c r="E1307">
        <v>0.93149999999999999</v>
      </c>
      <c r="F1307">
        <v>162.22999999999999</v>
      </c>
      <c r="G1307">
        <v>0</v>
      </c>
      <c r="H1307">
        <v>10.28</v>
      </c>
      <c r="I1307">
        <v>170.41</v>
      </c>
      <c r="J1307">
        <v>504.15</v>
      </c>
      <c r="K1307">
        <v>205.15</v>
      </c>
      <c r="L1307">
        <v>-606</v>
      </c>
      <c r="M1307">
        <v>-328</v>
      </c>
      <c r="N1307">
        <v>112345</v>
      </c>
      <c r="O1307" t="s">
        <v>2516</v>
      </c>
      <c r="P1307" t="s">
        <v>1484</v>
      </c>
      <c r="Q1307" t="s">
        <v>2740</v>
      </c>
    </row>
    <row r="1308" spans="1:17">
      <c r="A1308">
        <v>4858</v>
      </c>
      <c r="B1308">
        <v>751</v>
      </c>
      <c r="C1308">
        <v>4.59</v>
      </c>
      <c r="D1308">
        <v>0.2676</v>
      </c>
      <c r="E1308">
        <v>0.41980000000000001</v>
      </c>
      <c r="F1308">
        <v>127.57</v>
      </c>
      <c r="G1308">
        <v>0</v>
      </c>
      <c r="H1308">
        <v>11.52</v>
      </c>
      <c r="I1308">
        <v>105.33</v>
      </c>
      <c r="J1308">
        <v>503.65</v>
      </c>
      <c r="K1308">
        <v>263.14999999999998</v>
      </c>
      <c r="L1308">
        <v>57.3</v>
      </c>
      <c r="M1308">
        <v>140</v>
      </c>
      <c r="N1308">
        <v>108429</v>
      </c>
      <c r="O1308" t="s">
        <v>568</v>
      </c>
      <c r="P1308" t="s">
        <v>2003</v>
      </c>
      <c r="Q1308" t="s">
        <v>2111</v>
      </c>
    </row>
    <row r="1309" spans="1:17">
      <c r="A1309">
        <v>4859</v>
      </c>
      <c r="B1309">
        <v>686</v>
      </c>
      <c r="C1309">
        <v>2.74</v>
      </c>
      <c r="D1309">
        <v>0.2354</v>
      </c>
      <c r="E1309">
        <v>0.6038</v>
      </c>
      <c r="F1309">
        <v>225.55</v>
      </c>
      <c r="G1309">
        <v>0</v>
      </c>
      <c r="H1309">
        <v>9.7200000000000006</v>
      </c>
      <c r="I1309">
        <v>149.74</v>
      </c>
      <c r="J1309">
        <v>495.15</v>
      </c>
      <c r="K1309">
        <v>270.61</v>
      </c>
      <c r="L1309">
        <v>-634.25</v>
      </c>
      <c r="M1309">
        <v>-488.67</v>
      </c>
      <c r="N1309">
        <v>121175</v>
      </c>
      <c r="O1309" t="s">
        <v>609</v>
      </c>
      <c r="P1309" t="s">
        <v>1818</v>
      </c>
      <c r="Q1309" t="s">
        <v>1819</v>
      </c>
    </row>
    <row r="1310" spans="1:17">
      <c r="A1310">
        <v>4860</v>
      </c>
      <c r="B1310">
        <v>730.3</v>
      </c>
      <c r="C1310">
        <v>3.4089999999999998</v>
      </c>
      <c r="D1310">
        <v>0.2492</v>
      </c>
      <c r="E1310">
        <v>0.505</v>
      </c>
      <c r="F1310">
        <v>188.01</v>
      </c>
      <c r="G1310">
        <v>0</v>
      </c>
      <c r="H1310">
        <v>9.61</v>
      </c>
      <c r="I1310">
        <v>133.93</v>
      </c>
      <c r="J1310">
        <v>501</v>
      </c>
      <c r="K1310">
        <v>316.14999999999998</v>
      </c>
      <c r="L1310">
        <v>-2.97</v>
      </c>
      <c r="M1310">
        <v>71.900000000000006</v>
      </c>
      <c r="N1310">
        <v>102363</v>
      </c>
      <c r="O1310" t="s">
        <v>2037</v>
      </c>
      <c r="P1310" t="s">
        <v>2038</v>
      </c>
      <c r="Q1310" t="s">
        <v>2039</v>
      </c>
    </row>
    <row r="1311" spans="1:17">
      <c r="A1311">
        <v>4863</v>
      </c>
      <c r="B1311">
        <v>667</v>
      </c>
      <c r="C1311">
        <v>2.8</v>
      </c>
      <c r="D1311">
        <v>0.22270000000000001</v>
      </c>
      <c r="E1311">
        <v>0.53639999999999999</v>
      </c>
      <c r="F1311">
        <v>191.11</v>
      </c>
      <c r="G1311">
        <v>0</v>
      </c>
      <c r="H1311">
        <v>9.94</v>
      </c>
      <c r="I1311">
        <v>134.05000000000001</v>
      </c>
      <c r="J1311">
        <v>475.95</v>
      </c>
      <c r="K1311">
        <v>268</v>
      </c>
      <c r="L1311">
        <v>-602</v>
      </c>
      <c r="M1311">
        <v>-461</v>
      </c>
      <c r="N1311">
        <v>98464</v>
      </c>
      <c r="O1311" t="s">
        <v>1740</v>
      </c>
      <c r="P1311" t="s">
        <v>1741</v>
      </c>
      <c r="Q1311" t="s">
        <v>1742</v>
      </c>
    </row>
    <row r="1312" spans="1:17">
      <c r="A1312">
        <v>4865</v>
      </c>
      <c r="B1312">
        <v>565</v>
      </c>
      <c r="C1312">
        <v>4.41</v>
      </c>
      <c r="D1312">
        <v>0.27039999999999997</v>
      </c>
      <c r="E1312">
        <v>0.33229999999999998</v>
      </c>
      <c r="F1312">
        <v>147.38999999999999</v>
      </c>
      <c r="G1312">
        <v>0</v>
      </c>
      <c r="H1312">
        <v>9.36</v>
      </c>
      <c r="I1312">
        <v>98.31</v>
      </c>
      <c r="J1312">
        <v>370.95</v>
      </c>
      <c r="K1312">
        <v>216</v>
      </c>
      <c r="L1312">
        <v>-208</v>
      </c>
      <c r="M1312">
        <v>-148</v>
      </c>
      <c r="N1312">
        <v>75876</v>
      </c>
      <c r="O1312" t="s">
        <v>568</v>
      </c>
      <c r="P1312" t="s">
        <v>1131</v>
      </c>
      <c r="Q1312" t="s">
        <v>1132</v>
      </c>
    </row>
    <row r="1313" spans="1:17">
      <c r="A1313">
        <v>4866</v>
      </c>
      <c r="B1313">
        <v>688</v>
      </c>
      <c r="C1313">
        <v>4.8099999999999996</v>
      </c>
      <c r="D1313">
        <v>0.2767</v>
      </c>
      <c r="E1313">
        <v>0.54900000000000004</v>
      </c>
      <c r="F1313">
        <v>163.38999999999999</v>
      </c>
      <c r="G1313">
        <v>0</v>
      </c>
      <c r="H1313">
        <v>11.64</v>
      </c>
      <c r="I1313">
        <v>101.61</v>
      </c>
      <c r="J1313">
        <v>470.65</v>
      </c>
      <c r="K1313">
        <v>331</v>
      </c>
      <c r="L1313">
        <v>-477</v>
      </c>
      <c r="M1313">
        <v>-360</v>
      </c>
      <c r="N1313">
        <v>76039</v>
      </c>
      <c r="O1313" t="s">
        <v>644</v>
      </c>
      <c r="P1313" t="s">
        <v>1833</v>
      </c>
      <c r="Q1313" t="s">
        <v>1834</v>
      </c>
    </row>
    <row r="1314" spans="1:17">
      <c r="A1314">
        <v>4867</v>
      </c>
      <c r="B1314">
        <v>555</v>
      </c>
      <c r="C1314">
        <v>5.37</v>
      </c>
      <c r="D1314">
        <v>0.2339</v>
      </c>
      <c r="E1314">
        <v>0.32969999999999999</v>
      </c>
      <c r="F1314">
        <v>78.5</v>
      </c>
      <c r="G1314">
        <v>0</v>
      </c>
      <c r="H1314">
        <v>11.23</v>
      </c>
      <c r="I1314">
        <v>64.92</v>
      </c>
      <c r="J1314">
        <v>358</v>
      </c>
      <c r="K1314">
        <v>315.64999999999998</v>
      </c>
      <c r="L1314">
        <v>-191</v>
      </c>
      <c r="M1314">
        <v>-160</v>
      </c>
      <c r="N1314">
        <v>107200</v>
      </c>
      <c r="O1314" t="s">
        <v>545</v>
      </c>
      <c r="P1314" t="s">
        <v>824</v>
      </c>
      <c r="Q1314" t="s">
        <v>1064</v>
      </c>
    </row>
    <row r="1315" spans="1:17">
      <c r="A1315">
        <v>4868</v>
      </c>
      <c r="B1315">
        <v>555</v>
      </c>
      <c r="C1315">
        <v>4.95</v>
      </c>
      <c r="D1315">
        <v>0.26279999999999998</v>
      </c>
      <c r="E1315">
        <v>0.34370000000000001</v>
      </c>
      <c r="F1315">
        <v>112.94</v>
      </c>
      <c r="G1315">
        <v>0</v>
      </c>
      <c r="H1315">
        <v>10.31</v>
      </c>
      <c r="I1315">
        <v>80.03</v>
      </c>
      <c r="J1315">
        <v>364</v>
      </c>
      <c r="K1315">
        <v>223</v>
      </c>
      <c r="L1315">
        <v>-201</v>
      </c>
      <c r="M1315">
        <v>-138.69999999999999</v>
      </c>
      <c r="N1315">
        <v>79027</v>
      </c>
      <c r="O1315" t="s">
        <v>545</v>
      </c>
      <c r="P1315" t="s">
        <v>1065</v>
      </c>
      <c r="Q1315" t="s">
        <v>1066</v>
      </c>
    </row>
    <row r="1316" spans="1:17">
      <c r="A1316">
        <v>4870</v>
      </c>
      <c r="B1316">
        <v>813.77</v>
      </c>
      <c r="C1316">
        <v>3.49</v>
      </c>
      <c r="D1316">
        <v>0.24660000000000001</v>
      </c>
      <c r="E1316">
        <v>0.7319</v>
      </c>
      <c r="F1316">
        <v>202.55</v>
      </c>
      <c r="G1316">
        <v>0</v>
      </c>
      <c r="H1316">
        <v>12.21</v>
      </c>
      <c r="I1316">
        <v>133.44999999999999</v>
      </c>
      <c r="J1316">
        <v>588</v>
      </c>
      <c r="K1316">
        <v>326.55</v>
      </c>
      <c r="L1316">
        <v>35.1</v>
      </c>
      <c r="M1316">
        <v>186</v>
      </c>
      <c r="N1316">
        <v>97007</v>
      </c>
      <c r="O1316" t="s">
        <v>609</v>
      </c>
      <c r="P1316" t="s">
        <v>2313</v>
      </c>
      <c r="Q1316" t="s">
        <v>2314</v>
      </c>
    </row>
    <row r="1317" spans="1:17">
      <c r="A1317">
        <v>4872</v>
      </c>
      <c r="B1317">
        <v>832</v>
      </c>
      <c r="C1317">
        <v>3.07</v>
      </c>
      <c r="D1317">
        <v>0.20899999999999999</v>
      </c>
      <c r="E1317">
        <v>0.5272</v>
      </c>
      <c r="F1317">
        <v>149.19</v>
      </c>
      <c r="G1317">
        <v>0</v>
      </c>
      <c r="H1317">
        <v>10.07</v>
      </c>
      <c r="I1317">
        <v>142.21</v>
      </c>
      <c r="J1317">
        <v>588</v>
      </c>
      <c r="K1317">
        <v>347</v>
      </c>
      <c r="L1317">
        <v>-27.9</v>
      </c>
      <c r="M1317">
        <v>131</v>
      </c>
      <c r="N1317">
        <v>100107</v>
      </c>
      <c r="O1317" t="s">
        <v>609</v>
      </c>
      <c r="P1317" t="s">
        <v>2363</v>
      </c>
      <c r="Q1317" t="s">
        <v>2364</v>
      </c>
    </row>
    <row r="1318" spans="1:17">
      <c r="A1318">
        <v>4873</v>
      </c>
      <c r="B1318">
        <v>508.15</v>
      </c>
      <c r="C1318">
        <v>4.5</v>
      </c>
      <c r="D1318">
        <v>0.27210000000000001</v>
      </c>
      <c r="E1318">
        <v>0.83499999999999996</v>
      </c>
      <c r="F1318">
        <v>108.52</v>
      </c>
      <c r="G1318">
        <v>0</v>
      </c>
      <c r="H1318">
        <v>10.86</v>
      </c>
      <c r="I1318">
        <v>96.25</v>
      </c>
      <c r="J1318">
        <v>366</v>
      </c>
      <c r="K1318">
        <v>192</v>
      </c>
      <c r="L1318">
        <v>-458</v>
      </c>
      <c r="M1318">
        <v>-364</v>
      </c>
      <c r="N1318">
        <v>541413</v>
      </c>
      <c r="O1318" t="s">
        <v>787</v>
      </c>
      <c r="P1318" t="s">
        <v>826</v>
      </c>
      <c r="Q1318" t="s">
        <v>827</v>
      </c>
    </row>
    <row r="1319" spans="1:17">
      <c r="A1319">
        <v>4874</v>
      </c>
      <c r="B1319">
        <v>-86</v>
      </c>
      <c r="C1319">
        <v>-86</v>
      </c>
      <c r="D1319">
        <v>-86</v>
      </c>
      <c r="E1319">
        <v>-86</v>
      </c>
      <c r="F1319">
        <v>96.11</v>
      </c>
      <c r="G1319">
        <v>0</v>
      </c>
      <c r="H1319">
        <v>-86</v>
      </c>
      <c r="I1319">
        <v>65.05</v>
      </c>
      <c r="J1319">
        <v>561</v>
      </c>
      <c r="K1319">
        <v>293.14999999999998</v>
      </c>
      <c r="L1319">
        <v>-583</v>
      </c>
      <c r="M1319">
        <v>-459</v>
      </c>
      <c r="N1319">
        <v>75752</v>
      </c>
      <c r="O1319" t="s">
        <v>2516</v>
      </c>
      <c r="P1319" t="s">
        <v>2741</v>
      </c>
      <c r="Q1319" t="s">
        <v>2742</v>
      </c>
    </row>
    <row r="1320" spans="1:17">
      <c r="A1320">
        <v>4875</v>
      </c>
      <c r="B1320">
        <v>690</v>
      </c>
      <c r="C1320">
        <v>4.4000000000000004</v>
      </c>
      <c r="D1320">
        <v>0.1925</v>
      </c>
      <c r="E1320">
        <v>0.58199999999999996</v>
      </c>
      <c r="F1320">
        <v>90.08</v>
      </c>
      <c r="G1320">
        <v>0</v>
      </c>
      <c r="H1320">
        <v>13.86</v>
      </c>
      <c r="I1320">
        <v>76.959999999999994</v>
      </c>
      <c r="J1320">
        <v>476.15</v>
      </c>
      <c r="K1320">
        <v>281</v>
      </c>
      <c r="L1320">
        <v>-563</v>
      </c>
      <c r="M1320">
        <v>-457</v>
      </c>
      <c r="N1320">
        <v>625456</v>
      </c>
      <c r="O1320" t="s">
        <v>2516</v>
      </c>
      <c r="P1320" t="s">
        <v>1355</v>
      </c>
      <c r="Q1320" t="s">
        <v>2743</v>
      </c>
    </row>
    <row r="1321" spans="1:17">
      <c r="A1321">
        <v>4876</v>
      </c>
      <c r="B1321">
        <v>525</v>
      </c>
      <c r="C1321">
        <v>5.36</v>
      </c>
      <c r="D1321">
        <v>0.27139999999999997</v>
      </c>
      <c r="E1321">
        <v>0.3921</v>
      </c>
      <c r="F1321">
        <v>94.5</v>
      </c>
      <c r="G1321">
        <v>0</v>
      </c>
      <c r="H1321">
        <v>10.26</v>
      </c>
      <c r="I1321">
        <v>77.88</v>
      </c>
      <c r="J1321">
        <v>344</v>
      </c>
      <c r="K1321">
        <v>-86</v>
      </c>
      <c r="L1321">
        <v>-424</v>
      </c>
      <c r="M1321">
        <v>-361</v>
      </c>
      <c r="N1321">
        <v>79221</v>
      </c>
      <c r="O1321" t="s">
        <v>609</v>
      </c>
      <c r="P1321" t="s">
        <v>892</v>
      </c>
      <c r="Q1321" t="s">
        <v>893</v>
      </c>
    </row>
    <row r="1322" spans="1:17">
      <c r="A1322">
        <v>4877</v>
      </c>
      <c r="B1322">
        <v>753</v>
      </c>
      <c r="C1322">
        <v>3.67</v>
      </c>
      <c r="D1322">
        <v>0.23269999999999999</v>
      </c>
      <c r="E1322">
        <v>0.36080000000000001</v>
      </c>
      <c r="F1322">
        <v>221.92</v>
      </c>
      <c r="G1322">
        <v>0</v>
      </c>
      <c r="H1322">
        <v>10.36</v>
      </c>
      <c r="I1322">
        <v>129.74</v>
      </c>
      <c r="J1322">
        <v>506.54</v>
      </c>
      <c r="K1322">
        <v>301.45</v>
      </c>
      <c r="L1322">
        <v>0</v>
      </c>
      <c r="M1322">
        <v>-86</v>
      </c>
      <c r="N1322">
        <v>6012971</v>
      </c>
      <c r="O1322" t="s">
        <v>2516</v>
      </c>
      <c r="P1322" t="s">
        <v>2744</v>
      </c>
      <c r="Q1322" t="s">
        <v>2745</v>
      </c>
    </row>
    <row r="1323" spans="1:17">
      <c r="A1323">
        <v>4879</v>
      </c>
      <c r="B1323">
        <v>800</v>
      </c>
      <c r="C1323">
        <v>4.1100000000000003</v>
      </c>
      <c r="D1323">
        <v>0.25269999999999998</v>
      </c>
      <c r="E1323">
        <v>0.46779999999999999</v>
      </c>
      <c r="F1323">
        <v>162.02000000000001</v>
      </c>
      <c r="G1323">
        <v>0</v>
      </c>
      <c r="H1323">
        <v>11.26</v>
      </c>
      <c r="I1323">
        <v>120.74</v>
      </c>
      <c r="J1323">
        <v>545</v>
      </c>
      <c r="K1323">
        <v>344.65</v>
      </c>
      <c r="L1323">
        <v>32.6</v>
      </c>
      <c r="M1323">
        <v>123</v>
      </c>
      <c r="N1323">
        <v>95761</v>
      </c>
      <c r="O1323" t="s">
        <v>568</v>
      </c>
      <c r="P1323" t="s">
        <v>2291</v>
      </c>
      <c r="Q1323" t="s">
        <v>2292</v>
      </c>
    </row>
    <row r="1324" spans="1:17">
      <c r="A1324">
        <v>4880</v>
      </c>
      <c r="B1324">
        <v>758</v>
      </c>
      <c r="C1324">
        <v>3.6</v>
      </c>
      <c r="D1324">
        <v>0.24909999999999999</v>
      </c>
      <c r="E1324">
        <v>0.53849999999999998</v>
      </c>
      <c r="F1324">
        <v>192</v>
      </c>
      <c r="G1324">
        <v>0</v>
      </c>
      <c r="H1324">
        <v>11.02</v>
      </c>
      <c r="I1324">
        <v>128.69999999999999</v>
      </c>
      <c r="J1324">
        <v>529</v>
      </c>
      <c r="K1324">
        <v>316.14999999999998</v>
      </c>
      <c r="L1324">
        <v>14.6</v>
      </c>
      <c r="M1324">
        <v>119</v>
      </c>
      <c r="N1324">
        <v>99547</v>
      </c>
      <c r="O1324" t="s">
        <v>609</v>
      </c>
      <c r="P1324" t="s">
        <v>2134</v>
      </c>
      <c r="Q1324" t="s">
        <v>2135</v>
      </c>
    </row>
    <row r="1325" spans="1:17">
      <c r="A1325">
        <v>4881</v>
      </c>
      <c r="B1325">
        <v>-86</v>
      </c>
      <c r="C1325">
        <v>-86</v>
      </c>
      <c r="D1325">
        <v>-86</v>
      </c>
      <c r="E1325">
        <v>-86</v>
      </c>
      <c r="F1325">
        <v>180.16</v>
      </c>
      <c r="G1325">
        <v>0</v>
      </c>
      <c r="H1325">
        <v>-86</v>
      </c>
      <c r="I1325">
        <v>0</v>
      </c>
      <c r="J1325">
        <v>-86</v>
      </c>
      <c r="K1325">
        <v>427.65</v>
      </c>
      <c r="L1325">
        <v>-1273.02</v>
      </c>
      <c r="M1325">
        <v>-909.35</v>
      </c>
      <c r="N1325">
        <v>50997</v>
      </c>
      <c r="O1325" t="s">
        <v>2516</v>
      </c>
      <c r="P1325" t="s">
        <v>2555</v>
      </c>
      <c r="Q1325" t="s">
        <v>2746</v>
      </c>
    </row>
    <row r="1326" spans="1:17">
      <c r="A1326">
        <v>4882</v>
      </c>
      <c r="B1326">
        <v>757</v>
      </c>
      <c r="C1326">
        <v>3.98</v>
      </c>
      <c r="D1326">
        <v>0.2732</v>
      </c>
      <c r="E1326">
        <v>0.4864</v>
      </c>
      <c r="F1326">
        <v>157.56</v>
      </c>
      <c r="G1326">
        <v>0</v>
      </c>
      <c r="H1326">
        <v>10.65</v>
      </c>
      <c r="I1326">
        <v>116.13</v>
      </c>
      <c r="J1326">
        <v>519</v>
      </c>
      <c r="K1326">
        <v>305.64999999999998</v>
      </c>
      <c r="L1326">
        <v>37.200000000000003</v>
      </c>
      <c r="M1326">
        <v>138</v>
      </c>
      <c r="N1326">
        <v>88733</v>
      </c>
      <c r="O1326" t="s">
        <v>787</v>
      </c>
      <c r="P1326" t="s">
        <v>2078</v>
      </c>
      <c r="Q1326" t="s">
        <v>2125</v>
      </c>
    </row>
    <row r="1327" spans="1:17">
      <c r="A1327">
        <v>4883</v>
      </c>
      <c r="B1327">
        <v>751</v>
      </c>
      <c r="C1327">
        <v>3.98</v>
      </c>
      <c r="D1327">
        <v>0.27539999999999998</v>
      </c>
      <c r="E1327">
        <v>0.4874</v>
      </c>
      <c r="F1327">
        <v>157.56</v>
      </c>
      <c r="G1327">
        <v>0</v>
      </c>
      <c r="H1327">
        <v>10.79</v>
      </c>
      <c r="I1327">
        <v>121.43</v>
      </c>
      <c r="J1327">
        <v>515.15</v>
      </c>
      <c r="K1327">
        <v>355.15</v>
      </c>
      <c r="L1327">
        <v>37.200000000000003</v>
      </c>
      <c r="M1327">
        <v>139</v>
      </c>
      <c r="N1327">
        <v>100005</v>
      </c>
      <c r="O1327" t="s">
        <v>787</v>
      </c>
      <c r="P1327" t="s">
        <v>2078</v>
      </c>
      <c r="Q1327" t="s">
        <v>2112</v>
      </c>
    </row>
    <row r="1328" spans="1:17">
      <c r="A1328">
        <v>4884</v>
      </c>
      <c r="B1328">
        <v>757</v>
      </c>
      <c r="C1328">
        <v>6.84</v>
      </c>
      <c r="D1328">
        <v>0.36070000000000002</v>
      </c>
      <c r="E1328">
        <v>0.41449999999999998</v>
      </c>
      <c r="F1328">
        <v>182.16</v>
      </c>
      <c r="G1328">
        <v>0</v>
      </c>
      <c r="H1328">
        <v>8.33</v>
      </c>
      <c r="I1328">
        <v>170.81</v>
      </c>
      <c r="J1328">
        <v>488.65</v>
      </c>
      <c r="K1328">
        <v>216</v>
      </c>
      <c r="L1328">
        <v>-1244.7</v>
      </c>
      <c r="M1328">
        <v>-86</v>
      </c>
      <c r="N1328">
        <v>78400</v>
      </c>
      <c r="O1328" t="s">
        <v>1449</v>
      </c>
      <c r="P1328" t="s">
        <v>2126</v>
      </c>
      <c r="Q1328" t="s">
        <v>2127</v>
      </c>
    </row>
    <row r="1329" spans="1:17">
      <c r="A1329">
        <v>4885</v>
      </c>
      <c r="B1329">
        <v>722</v>
      </c>
      <c r="C1329">
        <v>5.66</v>
      </c>
      <c r="D1329">
        <v>0.26119999999999999</v>
      </c>
      <c r="E1329">
        <v>0.3695</v>
      </c>
      <c r="F1329">
        <v>140.08000000000001</v>
      </c>
      <c r="G1329">
        <v>0</v>
      </c>
      <c r="H1329">
        <v>9.77</v>
      </c>
      <c r="I1329">
        <v>116.55</v>
      </c>
      <c r="J1329">
        <v>470.15</v>
      </c>
      <c r="K1329">
        <v>227</v>
      </c>
      <c r="L1329">
        <v>-1080</v>
      </c>
      <c r="M1329">
        <v>-86</v>
      </c>
      <c r="N1329">
        <v>512561</v>
      </c>
      <c r="O1329" t="s">
        <v>2516</v>
      </c>
      <c r="P1329" t="s">
        <v>2747</v>
      </c>
      <c r="Q1329" t="s">
        <v>2748</v>
      </c>
    </row>
    <row r="1330" spans="1:17">
      <c r="A1330">
        <v>4886</v>
      </c>
      <c r="B1330">
        <v>574</v>
      </c>
      <c r="C1330">
        <v>13.7</v>
      </c>
      <c r="D1330">
        <v>0</v>
      </c>
      <c r="E1330">
        <v>-86</v>
      </c>
      <c r="F1330">
        <v>33.03</v>
      </c>
      <c r="G1330">
        <v>0</v>
      </c>
      <c r="H1330">
        <v>-86</v>
      </c>
      <c r="I1330">
        <v>133.32</v>
      </c>
      <c r="J1330">
        <v>343</v>
      </c>
      <c r="K1330">
        <v>306.25</v>
      </c>
      <c r="L1330">
        <v>-114.2</v>
      </c>
      <c r="M1330">
        <v>-23.43</v>
      </c>
      <c r="N1330">
        <v>7803498</v>
      </c>
      <c r="O1330" t="s">
        <v>2516</v>
      </c>
      <c r="P1330" t="s">
        <v>2749</v>
      </c>
      <c r="Q1330" t="s">
        <v>2750</v>
      </c>
    </row>
    <row r="1331" spans="1:17">
      <c r="A1331">
        <v>4887</v>
      </c>
      <c r="B1331">
        <v>715</v>
      </c>
      <c r="C1331">
        <v>4.6900000000000004</v>
      </c>
      <c r="D1331">
        <v>0.29110000000000003</v>
      </c>
      <c r="E1331">
        <v>0.46200000000000002</v>
      </c>
      <c r="F1331">
        <v>113.16</v>
      </c>
      <c r="G1331">
        <v>0</v>
      </c>
      <c r="H1331">
        <v>9.74</v>
      </c>
      <c r="I1331">
        <v>134.61000000000001</v>
      </c>
      <c r="J1331">
        <v>481.15</v>
      </c>
      <c r="K1331">
        <v>360.65</v>
      </c>
      <c r="L1331">
        <v>-194</v>
      </c>
      <c r="M1331">
        <v>-22.9</v>
      </c>
      <c r="N1331">
        <v>100641</v>
      </c>
      <c r="O1331" t="s">
        <v>609</v>
      </c>
      <c r="P1331" t="s">
        <v>1964</v>
      </c>
      <c r="Q1331" t="s">
        <v>1965</v>
      </c>
    </row>
    <row r="1332" spans="1:17">
      <c r="A1332">
        <v>4990</v>
      </c>
      <c r="B1332">
        <v>3267</v>
      </c>
      <c r="C1332">
        <v>15.3</v>
      </c>
      <c r="D1332">
        <v>0.2913</v>
      </c>
      <c r="E1332">
        <v>0.1167</v>
      </c>
      <c r="F1332">
        <v>40.08</v>
      </c>
      <c r="G1332">
        <v>0</v>
      </c>
      <c r="H1332">
        <v>35.229999999999997</v>
      </c>
      <c r="I1332">
        <v>29.3</v>
      </c>
      <c r="J1332">
        <v>1757.15</v>
      </c>
      <c r="K1332">
        <v>1118.1500000000001</v>
      </c>
      <c r="L1332">
        <v>177.8</v>
      </c>
      <c r="M1332">
        <v>144.02000000000001</v>
      </c>
      <c r="N1332">
        <v>7440702</v>
      </c>
      <c r="O1332" t="s">
        <v>2804</v>
      </c>
      <c r="P1332" t="s">
        <v>2751</v>
      </c>
      <c r="Q1332" t="s">
        <v>2752</v>
      </c>
    </row>
    <row r="1333" spans="1:17">
      <c r="A1333">
        <v>4993</v>
      </c>
      <c r="B1333">
        <v>653.20000000000005</v>
      </c>
      <c r="C1333">
        <v>0.80400000000000005</v>
      </c>
      <c r="D1333">
        <v>0.249</v>
      </c>
      <c r="E1333">
        <v>0.77690000000000003</v>
      </c>
      <c r="F1333">
        <v>458.99</v>
      </c>
      <c r="G1333">
        <v>0</v>
      </c>
      <c r="H1333">
        <v>5.65</v>
      </c>
      <c r="I1333">
        <v>519.70000000000005</v>
      </c>
      <c r="J1333">
        <v>532.95000000000005</v>
      </c>
      <c r="K1333">
        <v>214.15</v>
      </c>
      <c r="L1333">
        <v>-3167</v>
      </c>
      <c r="M1333">
        <v>-2442</v>
      </c>
      <c r="N1333">
        <v>107528</v>
      </c>
      <c r="O1333" t="s">
        <v>868</v>
      </c>
      <c r="P1333" t="s">
        <v>1655</v>
      </c>
      <c r="Q1333" t="s">
        <v>1656</v>
      </c>
    </row>
    <row r="1334" spans="1:17">
      <c r="A1334">
        <v>4994</v>
      </c>
      <c r="B1334">
        <v>599.4</v>
      </c>
      <c r="C1334">
        <v>1.19</v>
      </c>
      <c r="D1334">
        <v>0.26300000000000001</v>
      </c>
      <c r="E1334">
        <v>0.65959999999999996</v>
      </c>
      <c r="F1334">
        <v>310.69</v>
      </c>
      <c r="G1334">
        <v>0</v>
      </c>
      <c r="H1334">
        <v>5.82</v>
      </c>
      <c r="I1334">
        <v>367</v>
      </c>
      <c r="J1334">
        <v>467.55</v>
      </c>
      <c r="K1334">
        <v>205.15</v>
      </c>
      <c r="L1334">
        <v>-1708</v>
      </c>
      <c r="M1334">
        <v>-1252</v>
      </c>
      <c r="N1334">
        <v>141628</v>
      </c>
      <c r="O1334" t="s">
        <v>868</v>
      </c>
      <c r="P1334" t="s">
        <v>1321</v>
      </c>
      <c r="Q1334" t="s">
        <v>1322</v>
      </c>
    </row>
    <row r="1335" spans="1:17">
      <c r="A1335">
        <v>5848</v>
      </c>
      <c r="B1335">
        <v>630</v>
      </c>
      <c r="C1335">
        <v>5.2</v>
      </c>
      <c r="D1335">
        <v>0.23730000000000001</v>
      </c>
      <c r="E1335">
        <v>0.66949999999999998</v>
      </c>
      <c r="F1335">
        <v>88.06</v>
      </c>
      <c r="G1335">
        <v>0</v>
      </c>
      <c r="H1335">
        <v>13.03</v>
      </c>
      <c r="I1335">
        <v>69.63</v>
      </c>
      <c r="J1335">
        <v>438.15</v>
      </c>
      <c r="K1335">
        <v>286.95</v>
      </c>
      <c r="L1335">
        <v>-529.6</v>
      </c>
      <c r="M1335">
        <v>-460.1</v>
      </c>
      <c r="N1335">
        <v>127173</v>
      </c>
      <c r="O1335" t="s">
        <v>2516</v>
      </c>
      <c r="P1335" t="s">
        <v>2304</v>
      </c>
      <c r="Q1335" t="s">
        <v>2753</v>
      </c>
    </row>
    <row r="1336" spans="1:17">
      <c r="A1336">
        <v>5850</v>
      </c>
      <c r="B1336">
        <v>-86</v>
      </c>
      <c r="C1336">
        <v>-86</v>
      </c>
      <c r="D1336">
        <v>-86</v>
      </c>
      <c r="E1336">
        <v>-86</v>
      </c>
      <c r="F1336">
        <v>368.37</v>
      </c>
      <c r="G1336">
        <v>0</v>
      </c>
      <c r="H1336">
        <v>6.74</v>
      </c>
      <c r="I1336">
        <v>316.22000000000003</v>
      </c>
      <c r="J1336">
        <v>-86</v>
      </c>
      <c r="K1336">
        <v>240.15</v>
      </c>
      <c r="L1336">
        <v>-851</v>
      </c>
      <c r="M1336">
        <v>-86</v>
      </c>
      <c r="N1336">
        <v>78308</v>
      </c>
      <c r="O1336" t="s">
        <v>2516</v>
      </c>
      <c r="P1336" t="s">
        <v>2754</v>
      </c>
      <c r="Q1336" t="s">
        <v>2755</v>
      </c>
    </row>
    <row r="1337" spans="1:17">
      <c r="A1337">
        <v>5851</v>
      </c>
      <c r="B1337">
        <v>-86</v>
      </c>
      <c r="C1337">
        <v>-86</v>
      </c>
      <c r="D1337">
        <v>-86</v>
      </c>
      <c r="E1337">
        <v>-86</v>
      </c>
      <c r="F1337">
        <v>326.29000000000002</v>
      </c>
      <c r="G1337">
        <v>0</v>
      </c>
      <c r="H1337">
        <v>-86</v>
      </c>
      <c r="I1337">
        <v>270.86</v>
      </c>
      <c r="J1337">
        <v>672.15</v>
      </c>
      <c r="K1337">
        <v>324.14999999999998</v>
      </c>
      <c r="L1337">
        <v>-757.3</v>
      </c>
      <c r="M1337">
        <v>-86</v>
      </c>
      <c r="N1337">
        <v>115866</v>
      </c>
      <c r="O1337" t="s">
        <v>2516</v>
      </c>
      <c r="P1337" t="s">
        <v>2756</v>
      </c>
      <c r="Q1337" t="s">
        <v>2757</v>
      </c>
    </row>
    <row r="1338" spans="1:17">
      <c r="A1338">
        <v>5852</v>
      </c>
      <c r="B1338">
        <v>747</v>
      </c>
      <c r="C1338">
        <v>6.96</v>
      </c>
      <c r="D1338">
        <v>0.47960000000000003</v>
      </c>
      <c r="E1338">
        <v>0.43409999999999999</v>
      </c>
      <c r="F1338">
        <v>247.51</v>
      </c>
      <c r="G1338">
        <v>0</v>
      </c>
      <c r="H1338">
        <v>7.34</v>
      </c>
      <c r="I1338">
        <v>226.66</v>
      </c>
      <c r="J1338">
        <v>477.15</v>
      </c>
      <c r="K1338">
        <v>253.15</v>
      </c>
      <c r="L1338">
        <v>0</v>
      </c>
      <c r="M1338">
        <v>-86</v>
      </c>
      <c r="N1338">
        <v>12075682</v>
      </c>
      <c r="O1338" t="s">
        <v>2516</v>
      </c>
      <c r="P1338" t="s">
        <v>2758</v>
      </c>
      <c r="Q1338" t="s">
        <v>2759</v>
      </c>
    </row>
    <row r="1339" spans="1:17">
      <c r="A1339">
        <v>5853</v>
      </c>
      <c r="B1339">
        <v>-86</v>
      </c>
      <c r="C1339">
        <v>-86</v>
      </c>
      <c r="D1339">
        <v>-86</v>
      </c>
      <c r="E1339">
        <v>-86</v>
      </c>
      <c r="F1339">
        <v>68.010000000000005</v>
      </c>
      <c r="G1339">
        <v>0</v>
      </c>
      <c r="H1339">
        <v>-86</v>
      </c>
      <c r="I1339">
        <v>0</v>
      </c>
      <c r="J1339">
        <v>-86</v>
      </c>
      <c r="K1339">
        <v>533</v>
      </c>
      <c r="L1339">
        <v>-648.64</v>
      </c>
      <c r="M1339">
        <v>-582.08000000000004</v>
      </c>
      <c r="N1339">
        <v>141537</v>
      </c>
      <c r="O1339" t="s">
        <v>2516</v>
      </c>
      <c r="P1339" t="s">
        <v>2760</v>
      </c>
      <c r="Q1339" t="s">
        <v>2761</v>
      </c>
    </row>
    <row r="1340" spans="1:17">
      <c r="A1340">
        <v>5855</v>
      </c>
      <c r="B1340">
        <v>-86</v>
      </c>
      <c r="C1340">
        <v>-86</v>
      </c>
      <c r="D1340">
        <v>-86</v>
      </c>
      <c r="E1340">
        <v>-86</v>
      </c>
      <c r="F1340">
        <v>97.1</v>
      </c>
      <c r="G1340">
        <v>0</v>
      </c>
      <c r="H1340">
        <v>-86</v>
      </c>
      <c r="I1340">
        <v>0</v>
      </c>
      <c r="J1340">
        <v>-86</v>
      </c>
      <c r="K1340">
        <v>478</v>
      </c>
      <c r="L1340">
        <v>-674.9</v>
      </c>
      <c r="M1340">
        <v>-86</v>
      </c>
      <c r="N1340">
        <v>5329146</v>
      </c>
      <c r="O1340" t="s">
        <v>2516</v>
      </c>
      <c r="P1340" t="s">
        <v>2762</v>
      </c>
      <c r="Q1340" t="s">
        <v>2763</v>
      </c>
    </row>
    <row r="1341" spans="1:17">
      <c r="A1341">
        <v>5857</v>
      </c>
      <c r="B1341">
        <v>579</v>
      </c>
      <c r="C1341">
        <v>4.58</v>
      </c>
      <c r="D1341">
        <v>0.2455</v>
      </c>
      <c r="E1341">
        <v>0.32390000000000002</v>
      </c>
      <c r="F1341">
        <v>114.96</v>
      </c>
      <c r="G1341">
        <v>0</v>
      </c>
      <c r="H1341">
        <v>10.06</v>
      </c>
      <c r="I1341">
        <v>87.65</v>
      </c>
      <c r="J1341">
        <v>378</v>
      </c>
      <c r="K1341">
        <v>231.65</v>
      </c>
      <c r="L1341">
        <v>-241</v>
      </c>
      <c r="M1341">
        <v>-170</v>
      </c>
      <c r="N1341">
        <v>542881</v>
      </c>
      <c r="O1341" t="s">
        <v>609</v>
      </c>
      <c r="P1341" t="s">
        <v>1222</v>
      </c>
      <c r="Q1341" t="s">
        <v>1223</v>
      </c>
    </row>
    <row r="1342" spans="1:17">
      <c r="A1342">
        <v>5858</v>
      </c>
      <c r="B1342">
        <v>783</v>
      </c>
      <c r="C1342">
        <v>2.83</v>
      </c>
      <c r="D1342">
        <v>0.16389999999999999</v>
      </c>
      <c r="E1342">
        <v>0.77749999999999997</v>
      </c>
      <c r="F1342">
        <v>124.14</v>
      </c>
      <c r="G1342">
        <v>0</v>
      </c>
      <c r="H1342">
        <v>12.84</v>
      </c>
      <c r="I1342">
        <v>118.77</v>
      </c>
      <c r="J1342">
        <v>579</v>
      </c>
      <c r="K1342">
        <v>246.85</v>
      </c>
      <c r="L1342">
        <v>20.399999999999999</v>
      </c>
      <c r="M1342">
        <v>149</v>
      </c>
      <c r="N1342">
        <v>1656480</v>
      </c>
      <c r="O1342" t="s">
        <v>609</v>
      </c>
      <c r="P1342" t="s">
        <v>2250</v>
      </c>
      <c r="Q1342" t="s">
        <v>2251</v>
      </c>
    </row>
    <row r="1343" spans="1:17">
      <c r="A1343">
        <v>5859</v>
      </c>
      <c r="B1343">
        <v>649</v>
      </c>
      <c r="C1343">
        <v>5.5</v>
      </c>
      <c r="D1343">
        <v>0.28339999999999999</v>
      </c>
      <c r="E1343">
        <v>0.82730000000000004</v>
      </c>
      <c r="F1343">
        <v>75.11</v>
      </c>
      <c r="G1343">
        <v>0</v>
      </c>
      <c r="H1343">
        <v>14.55</v>
      </c>
      <c r="I1343">
        <v>76.61</v>
      </c>
      <c r="J1343">
        <v>458.15</v>
      </c>
      <c r="K1343">
        <v>285.55</v>
      </c>
      <c r="L1343">
        <v>-221</v>
      </c>
      <c r="M1343">
        <v>-91</v>
      </c>
      <c r="N1343">
        <v>156876</v>
      </c>
      <c r="O1343" t="s">
        <v>568</v>
      </c>
      <c r="P1343" t="s">
        <v>1409</v>
      </c>
      <c r="Q1343" t="s">
        <v>1621</v>
      </c>
    </row>
    <row r="1344" spans="1:17">
      <c r="A1344">
        <v>5860</v>
      </c>
      <c r="B1344">
        <v>614</v>
      </c>
      <c r="C1344">
        <v>5.67</v>
      </c>
      <c r="D1344">
        <v>0.30880000000000002</v>
      </c>
      <c r="E1344">
        <v>0.78700000000000003</v>
      </c>
      <c r="F1344">
        <v>75.11</v>
      </c>
      <c r="G1344">
        <v>0</v>
      </c>
      <c r="H1344">
        <v>12.66</v>
      </c>
      <c r="I1344">
        <v>78.48</v>
      </c>
      <c r="J1344">
        <v>433.15</v>
      </c>
      <c r="K1344">
        <v>274.55</v>
      </c>
      <c r="L1344">
        <v>-239</v>
      </c>
      <c r="M1344">
        <v>-108</v>
      </c>
      <c r="N1344">
        <v>78966</v>
      </c>
      <c r="O1344" t="s">
        <v>568</v>
      </c>
      <c r="P1344" t="s">
        <v>1409</v>
      </c>
      <c r="Q1344" t="s">
        <v>1410</v>
      </c>
    </row>
    <row r="1345" spans="1:17">
      <c r="A1345">
        <v>5866</v>
      </c>
      <c r="B1345">
        <v>600</v>
      </c>
      <c r="C1345">
        <v>4.5</v>
      </c>
      <c r="D1345">
        <v>0.24360000000000001</v>
      </c>
      <c r="E1345">
        <v>0.434</v>
      </c>
      <c r="F1345">
        <v>108.52</v>
      </c>
      <c r="G1345">
        <v>0</v>
      </c>
      <c r="H1345">
        <v>10.93</v>
      </c>
      <c r="I1345">
        <v>88.34</v>
      </c>
      <c r="J1345">
        <v>404.15</v>
      </c>
      <c r="K1345">
        <v>240.15</v>
      </c>
      <c r="L1345">
        <v>-438</v>
      </c>
      <c r="M1345">
        <v>-363</v>
      </c>
      <c r="N1345">
        <v>96344</v>
      </c>
      <c r="O1345" t="s">
        <v>568</v>
      </c>
      <c r="P1345" t="s">
        <v>826</v>
      </c>
      <c r="Q1345" t="s">
        <v>1331</v>
      </c>
    </row>
    <row r="1346" spans="1:17">
      <c r="A1346">
        <v>5868</v>
      </c>
      <c r="B1346">
        <v>879</v>
      </c>
      <c r="C1346">
        <v>3.03</v>
      </c>
      <c r="D1346">
        <v>0.24729999999999999</v>
      </c>
      <c r="E1346">
        <v>0.79459999999999997</v>
      </c>
      <c r="F1346">
        <v>177.2</v>
      </c>
      <c r="G1346">
        <v>0</v>
      </c>
      <c r="H1346">
        <v>11.11</v>
      </c>
      <c r="I1346">
        <v>161.1</v>
      </c>
      <c r="J1346">
        <v>592</v>
      </c>
      <c r="K1346">
        <v>357.65</v>
      </c>
      <c r="L1346">
        <v>-274</v>
      </c>
      <c r="M1346">
        <v>-97.4</v>
      </c>
      <c r="N1346">
        <v>102012</v>
      </c>
      <c r="O1346" t="s">
        <v>609</v>
      </c>
      <c r="P1346" t="s">
        <v>2428</v>
      </c>
      <c r="Q1346" t="s">
        <v>2429</v>
      </c>
    </row>
    <row r="1347" spans="1:17">
      <c r="A1347">
        <v>5869</v>
      </c>
      <c r="B1347">
        <v>554</v>
      </c>
      <c r="C1347">
        <v>6.32</v>
      </c>
      <c r="D1347">
        <v>0.32519999999999999</v>
      </c>
      <c r="E1347">
        <v>0.23100000000000001</v>
      </c>
      <c r="F1347">
        <v>69.06</v>
      </c>
      <c r="G1347">
        <v>0</v>
      </c>
      <c r="H1347">
        <v>8.77</v>
      </c>
      <c r="I1347">
        <v>96.17</v>
      </c>
      <c r="J1347">
        <v>342.65</v>
      </c>
      <c r="K1347">
        <v>-86</v>
      </c>
      <c r="L1347">
        <v>-15.52</v>
      </c>
      <c r="M1347">
        <v>26.4</v>
      </c>
      <c r="N1347">
        <v>288426</v>
      </c>
      <c r="O1347" t="s">
        <v>609</v>
      </c>
      <c r="P1347" t="s">
        <v>1055</v>
      </c>
      <c r="Q1347" t="s">
        <v>1056</v>
      </c>
    </row>
    <row r="1348" spans="1:17">
      <c r="A1348">
        <v>5870</v>
      </c>
      <c r="B1348">
        <v>825</v>
      </c>
      <c r="C1348">
        <v>3.73</v>
      </c>
      <c r="D1348">
        <v>0.23380000000000001</v>
      </c>
      <c r="E1348">
        <v>0.56459999999999999</v>
      </c>
      <c r="F1348">
        <v>135.16999999999999</v>
      </c>
      <c r="G1348">
        <v>0</v>
      </c>
      <c r="H1348">
        <v>11.23</v>
      </c>
      <c r="I1348">
        <v>131.04</v>
      </c>
      <c r="J1348">
        <v>578.15</v>
      </c>
      <c r="K1348">
        <v>386.65</v>
      </c>
      <c r="L1348">
        <v>-128.5</v>
      </c>
      <c r="M1348">
        <v>9.4700000000000006</v>
      </c>
      <c r="N1348">
        <v>103844</v>
      </c>
      <c r="O1348" t="s">
        <v>787</v>
      </c>
      <c r="P1348" t="s">
        <v>2345</v>
      </c>
      <c r="Q1348" t="s">
        <v>2346</v>
      </c>
    </row>
    <row r="1349" spans="1:17">
      <c r="A1349">
        <v>5871</v>
      </c>
      <c r="B1349">
        <v>788</v>
      </c>
      <c r="C1349">
        <v>4.3600000000000003</v>
      </c>
      <c r="D1349">
        <v>0.27550000000000002</v>
      </c>
      <c r="E1349">
        <v>0.52229999999999999</v>
      </c>
      <c r="F1349">
        <v>145.16</v>
      </c>
      <c r="G1349">
        <v>0</v>
      </c>
      <c r="H1349">
        <v>11.27</v>
      </c>
      <c r="I1349">
        <v>123.93</v>
      </c>
      <c r="J1349">
        <v>540</v>
      </c>
      <c r="K1349">
        <v>349</v>
      </c>
      <c r="L1349">
        <v>-81.239999999999995</v>
      </c>
      <c r="M1349">
        <v>114</v>
      </c>
      <c r="N1349">
        <v>148243</v>
      </c>
      <c r="O1349" t="s">
        <v>609</v>
      </c>
      <c r="P1349" t="s">
        <v>2261</v>
      </c>
      <c r="Q1349" t="s">
        <v>2262</v>
      </c>
    </row>
    <row r="1350" spans="1:17">
      <c r="A1350">
        <v>5872</v>
      </c>
      <c r="B1350">
        <v>643</v>
      </c>
      <c r="C1350">
        <v>5.03</v>
      </c>
      <c r="D1350">
        <v>0.2286</v>
      </c>
      <c r="E1350">
        <v>0.78859999999999997</v>
      </c>
      <c r="F1350">
        <v>71.08</v>
      </c>
      <c r="G1350">
        <v>0</v>
      </c>
      <c r="H1350">
        <v>14.48</v>
      </c>
      <c r="I1350">
        <v>72.290000000000006</v>
      </c>
      <c r="J1350">
        <v>457</v>
      </c>
      <c r="K1350">
        <v>233</v>
      </c>
      <c r="L1350">
        <v>-63.9</v>
      </c>
      <c r="M1350">
        <v>-24</v>
      </c>
      <c r="N1350">
        <v>78977</v>
      </c>
      <c r="O1350" t="s">
        <v>609</v>
      </c>
      <c r="P1350" t="s">
        <v>1578</v>
      </c>
      <c r="Q1350" t="s">
        <v>1579</v>
      </c>
    </row>
    <row r="1351" spans="1:17">
      <c r="A1351">
        <v>5873</v>
      </c>
      <c r="B1351">
        <v>821</v>
      </c>
      <c r="C1351">
        <v>3.53</v>
      </c>
      <c r="D1351">
        <v>0.2596</v>
      </c>
      <c r="E1351">
        <v>1.0126999999999999</v>
      </c>
      <c r="F1351">
        <v>146.19</v>
      </c>
      <c r="G1351">
        <v>0</v>
      </c>
      <c r="H1351">
        <v>10.55</v>
      </c>
      <c r="I1351">
        <v>179.15</v>
      </c>
      <c r="J1351">
        <v>615</v>
      </c>
      <c r="K1351">
        <v>483</v>
      </c>
      <c r="L1351">
        <v>-461</v>
      </c>
      <c r="M1351">
        <v>-218</v>
      </c>
      <c r="N1351">
        <v>56871</v>
      </c>
      <c r="O1351" t="s">
        <v>609</v>
      </c>
      <c r="P1351" t="s">
        <v>2332</v>
      </c>
      <c r="Q1351" t="s">
        <v>2333</v>
      </c>
    </row>
    <row r="1352" spans="1:17">
      <c r="A1352">
        <v>5874</v>
      </c>
      <c r="B1352">
        <v>716</v>
      </c>
      <c r="C1352">
        <v>7.01</v>
      </c>
      <c r="D1352">
        <v>0.34499999999999997</v>
      </c>
      <c r="E1352">
        <v>0.43830000000000002</v>
      </c>
      <c r="F1352">
        <v>126.13</v>
      </c>
      <c r="G1352">
        <v>0</v>
      </c>
      <c r="H1352">
        <v>10.74</v>
      </c>
      <c r="I1352">
        <v>95.46</v>
      </c>
      <c r="J1352">
        <v>461.65</v>
      </c>
      <c r="K1352">
        <v>241.15</v>
      </c>
      <c r="L1352">
        <v>-687</v>
      </c>
      <c r="M1352">
        <v>-535</v>
      </c>
      <c r="N1352">
        <v>77781</v>
      </c>
      <c r="O1352" t="s">
        <v>2516</v>
      </c>
      <c r="P1352" t="s">
        <v>2764</v>
      </c>
      <c r="Q1352" t="s">
        <v>2765</v>
      </c>
    </row>
    <row r="1353" spans="1:17">
      <c r="A1353">
        <v>5875</v>
      </c>
      <c r="B1353">
        <v>749</v>
      </c>
      <c r="C1353">
        <v>6.48</v>
      </c>
      <c r="D1353">
        <v>0.41410000000000002</v>
      </c>
      <c r="E1353">
        <v>0.38650000000000001</v>
      </c>
      <c r="F1353">
        <v>154.19</v>
      </c>
      <c r="G1353">
        <v>0</v>
      </c>
      <c r="H1353">
        <v>9.94</v>
      </c>
      <c r="I1353">
        <v>131.68</v>
      </c>
      <c r="J1353">
        <v>481.15</v>
      </c>
      <c r="K1353">
        <v>249</v>
      </c>
      <c r="L1353">
        <v>-756.3</v>
      </c>
      <c r="M1353">
        <v>-547</v>
      </c>
      <c r="N1353">
        <v>64675</v>
      </c>
      <c r="O1353" t="s">
        <v>1449</v>
      </c>
      <c r="P1353" t="s">
        <v>2106</v>
      </c>
      <c r="Q1353" t="s">
        <v>2107</v>
      </c>
    </row>
    <row r="1354" spans="1:17">
      <c r="A1354">
        <v>5876</v>
      </c>
      <c r="B1354">
        <v>886</v>
      </c>
      <c r="C1354">
        <v>4.1340000000000003</v>
      </c>
      <c r="D1354">
        <v>0.21510000000000001</v>
      </c>
      <c r="E1354">
        <v>1.1964999999999999</v>
      </c>
      <c r="F1354">
        <v>147.13</v>
      </c>
      <c r="G1354">
        <v>0</v>
      </c>
      <c r="H1354">
        <v>14.81</v>
      </c>
      <c r="I1354">
        <v>113.69</v>
      </c>
      <c r="J1354">
        <v>670</v>
      </c>
      <c r="K1354">
        <v>497.15</v>
      </c>
      <c r="L1354">
        <v>-824</v>
      </c>
      <c r="M1354">
        <v>-636</v>
      </c>
      <c r="N1354">
        <v>56860</v>
      </c>
      <c r="O1354" t="s">
        <v>2516</v>
      </c>
      <c r="P1354" t="s">
        <v>2766</v>
      </c>
      <c r="Q1354" t="s">
        <v>2767</v>
      </c>
    </row>
    <row r="1355" spans="1:17">
      <c r="A1355">
        <v>5877</v>
      </c>
      <c r="B1355">
        <v>1181</v>
      </c>
      <c r="C1355">
        <v>5.29</v>
      </c>
      <c r="D1355">
        <v>0.21010000000000001</v>
      </c>
      <c r="E1355">
        <v>2.3885000000000001</v>
      </c>
      <c r="F1355">
        <v>176.13</v>
      </c>
      <c r="G1355">
        <v>0</v>
      </c>
      <c r="H1355">
        <v>16.649999999999999</v>
      </c>
      <c r="I1355">
        <v>124.85</v>
      </c>
      <c r="J1355">
        <v>960</v>
      </c>
      <c r="K1355">
        <v>465.15</v>
      </c>
      <c r="L1355">
        <v>-951</v>
      </c>
      <c r="M1355">
        <v>-731</v>
      </c>
      <c r="N1355">
        <v>50817</v>
      </c>
      <c r="O1355" t="s">
        <v>2516</v>
      </c>
      <c r="P1355" t="s">
        <v>2768</v>
      </c>
      <c r="Q1355" t="s">
        <v>2769</v>
      </c>
    </row>
    <row r="1356" spans="1:17">
      <c r="A1356">
        <v>5879</v>
      </c>
      <c r="B1356">
        <v>822</v>
      </c>
      <c r="C1356">
        <v>3.798</v>
      </c>
      <c r="D1356">
        <v>0.23319999999999999</v>
      </c>
      <c r="E1356">
        <v>1.8567</v>
      </c>
      <c r="F1356">
        <v>192.13</v>
      </c>
      <c r="G1356">
        <v>0</v>
      </c>
      <c r="H1356">
        <v>15.57</v>
      </c>
      <c r="I1356">
        <v>134.76</v>
      </c>
      <c r="J1356">
        <v>659</v>
      </c>
      <c r="K1356">
        <v>426.15</v>
      </c>
      <c r="L1356">
        <v>-1390</v>
      </c>
      <c r="M1356">
        <v>-1176</v>
      </c>
      <c r="N1356">
        <v>77929</v>
      </c>
      <c r="O1356" t="s">
        <v>2516</v>
      </c>
      <c r="P1356" t="s">
        <v>2770</v>
      </c>
      <c r="Q1356" t="s">
        <v>2771</v>
      </c>
    </row>
    <row r="1357" spans="1:17">
      <c r="A1357">
        <v>5880</v>
      </c>
      <c r="B1357">
        <v>627</v>
      </c>
      <c r="C1357">
        <v>5.96</v>
      </c>
      <c r="D1357">
        <v>0.28699999999999998</v>
      </c>
      <c r="E1357">
        <v>1.0296000000000001</v>
      </c>
      <c r="F1357">
        <v>90.08</v>
      </c>
      <c r="G1357">
        <v>0</v>
      </c>
      <c r="H1357">
        <v>15.43</v>
      </c>
      <c r="I1357">
        <v>73.78</v>
      </c>
      <c r="J1357">
        <v>455</v>
      </c>
      <c r="K1357">
        <v>289.95</v>
      </c>
      <c r="L1357">
        <v>-621</v>
      </c>
      <c r="M1357">
        <v>-516</v>
      </c>
      <c r="N1357">
        <v>598823</v>
      </c>
      <c r="O1357" t="s">
        <v>2516</v>
      </c>
      <c r="P1357" t="s">
        <v>1355</v>
      </c>
      <c r="Q1357" t="s">
        <v>2772</v>
      </c>
    </row>
    <row r="1358" spans="1:17">
      <c r="A1358">
        <v>5881</v>
      </c>
      <c r="B1358">
        <v>828</v>
      </c>
      <c r="C1358">
        <v>5.18</v>
      </c>
      <c r="D1358">
        <v>0.22950000000000001</v>
      </c>
      <c r="E1358">
        <v>2.0110000000000001</v>
      </c>
      <c r="F1358">
        <v>150.09</v>
      </c>
      <c r="G1358">
        <v>0</v>
      </c>
      <c r="H1358">
        <v>18.36</v>
      </c>
      <c r="I1358">
        <v>97.04</v>
      </c>
      <c r="J1358">
        <v>660</v>
      </c>
      <c r="K1358">
        <v>479.15</v>
      </c>
      <c r="L1358">
        <v>-1160</v>
      </c>
      <c r="M1358">
        <v>-998</v>
      </c>
      <c r="N1358">
        <v>133379</v>
      </c>
      <c r="O1358" t="s">
        <v>2516</v>
      </c>
      <c r="P1358" t="s">
        <v>2773</v>
      </c>
      <c r="Q1358" t="s">
        <v>2774</v>
      </c>
    </row>
    <row r="1359" spans="1:17">
      <c r="A1359">
        <v>5882</v>
      </c>
      <c r="B1359">
        <v>683</v>
      </c>
      <c r="C1359">
        <v>3.64</v>
      </c>
      <c r="D1359">
        <v>0.23219999999999999</v>
      </c>
      <c r="E1359">
        <v>1.1375</v>
      </c>
      <c r="F1359">
        <v>132.16</v>
      </c>
      <c r="G1359">
        <v>0</v>
      </c>
      <c r="H1359">
        <v>14.24</v>
      </c>
      <c r="I1359">
        <v>116.53</v>
      </c>
      <c r="J1359">
        <v>576</v>
      </c>
      <c r="K1359">
        <v>334</v>
      </c>
      <c r="L1359">
        <v>-683</v>
      </c>
      <c r="M1359">
        <v>-487</v>
      </c>
      <c r="N1359">
        <v>6064637</v>
      </c>
      <c r="O1359" t="s">
        <v>609</v>
      </c>
      <c r="P1359" t="s">
        <v>1220</v>
      </c>
      <c r="Q1359" t="s">
        <v>1802</v>
      </c>
    </row>
    <row r="1360" spans="1:17">
      <c r="A1360">
        <v>5883</v>
      </c>
      <c r="B1360">
        <v>606.95000000000005</v>
      </c>
      <c r="C1360">
        <v>3.74</v>
      </c>
      <c r="D1360">
        <v>0.26200000000000001</v>
      </c>
      <c r="E1360">
        <v>0.60319999999999996</v>
      </c>
      <c r="F1360">
        <v>118.13</v>
      </c>
      <c r="G1360">
        <v>0</v>
      </c>
      <c r="H1360">
        <v>10.94</v>
      </c>
      <c r="I1360">
        <v>114.99</v>
      </c>
      <c r="J1360">
        <v>427.15</v>
      </c>
      <c r="K1360">
        <v>247</v>
      </c>
      <c r="L1360">
        <v>-635</v>
      </c>
      <c r="M1360">
        <v>-476</v>
      </c>
      <c r="N1360">
        <v>97643</v>
      </c>
      <c r="O1360" t="s">
        <v>568</v>
      </c>
      <c r="P1360" t="s">
        <v>1206</v>
      </c>
      <c r="Q1360" t="s">
        <v>1374</v>
      </c>
    </row>
    <row r="1361" spans="1:17">
      <c r="A1361">
        <v>5884</v>
      </c>
      <c r="B1361">
        <v>607.29999999999995</v>
      </c>
      <c r="C1361">
        <v>3.1659999999999999</v>
      </c>
      <c r="D1361">
        <v>0.20269999999999999</v>
      </c>
      <c r="E1361">
        <v>0.55220000000000002</v>
      </c>
      <c r="F1361">
        <v>132.16</v>
      </c>
      <c r="G1361">
        <v>0</v>
      </c>
      <c r="H1361">
        <v>9.17</v>
      </c>
      <c r="I1361">
        <v>136.41</v>
      </c>
      <c r="J1361">
        <v>429.45</v>
      </c>
      <c r="K1361">
        <v>212.15</v>
      </c>
      <c r="L1361">
        <v>-611</v>
      </c>
      <c r="M1361">
        <v>-422</v>
      </c>
      <c r="N1361">
        <v>111159</v>
      </c>
      <c r="O1361" t="s">
        <v>568</v>
      </c>
      <c r="P1361" t="s">
        <v>1220</v>
      </c>
      <c r="Q1361" t="s">
        <v>1379</v>
      </c>
    </row>
    <row r="1362" spans="1:17">
      <c r="A1362">
        <v>5885</v>
      </c>
      <c r="B1362">
        <v>660</v>
      </c>
      <c r="C1362">
        <v>2.42</v>
      </c>
      <c r="D1362">
        <v>0.2359</v>
      </c>
      <c r="E1362">
        <v>0.71450000000000002</v>
      </c>
      <c r="F1362">
        <v>176.21</v>
      </c>
      <c r="G1362">
        <v>0</v>
      </c>
      <c r="H1362">
        <v>8.68</v>
      </c>
      <c r="I1362">
        <v>175.1</v>
      </c>
      <c r="J1362">
        <v>490.55</v>
      </c>
      <c r="K1362">
        <v>248.15</v>
      </c>
      <c r="L1362">
        <v>-776</v>
      </c>
      <c r="M1362">
        <v>-510.78</v>
      </c>
      <c r="N1362">
        <v>112152</v>
      </c>
      <c r="O1362" t="s">
        <v>708</v>
      </c>
      <c r="P1362" t="s">
        <v>1706</v>
      </c>
      <c r="Q1362" t="s">
        <v>1707</v>
      </c>
    </row>
    <row r="1363" spans="1:17">
      <c r="A1363">
        <v>5886</v>
      </c>
      <c r="B1363">
        <v>642</v>
      </c>
      <c r="C1363">
        <v>3.71</v>
      </c>
      <c r="D1363">
        <v>0.2384</v>
      </c>
      <c r="E1363">
        <v>0.50780000000000003</v>
      </c>
      <c r="F1363">
        <v>116.12</v>
      </c>
      <c r="G1363">
        <v>0</v>
      </c>
      <c r="H1363">
        <v>10.6</v>
      </c>
      <c r="I1363">
        <v>108.33</v>
      </c>
      <c r="J1363">
        <v>444.85</v>
      </c>
      <c r="K1363">
        <v>193.15</v>
      </c>
      <c r="L1363">
        <v>-575</v>
      </c>
      <c r="M1363">
        <v>-465</v>
      </c>
      <c r="N1363">
        <v>105453</v>
      </c>
      <c r="O1363" t="s">
        <v>2516</v>
      </c>
      <c r="P1363" t="s">
        <v>2067</v>
      </c>
      <c r="Q1363" t="s">
        <v>2775</v>
      </c>
    </row>
    <row r="1364" spans="1:17">
      <c r="A1364">
        <v>5887</v>
      </c>
      <c r="B1364">
        <v>642.9</v>
      </c>
      <c r="C1364">
        <v>3.27</v>
      </c>
      <c r="D1364">
        <v>0.22839999999999999</v>
      </c>
      <c r="E1364">
        <v>0.55520000000000003</v>
      </c>
      <c r="F1364">
        <v>130.13999999999999</v>
      </c>
      <c r="G1364">
        <v>0</v>
      </c>
      <c r="H1364">
        <v>9.6999999999999993</v>
      </c>
      <c r="I1364">
        <v>127.25</v>
      </c>
      <c r="J1364">
        <v>453.95</v>
      </c>
      <c r="K1364">
        <v>234.15</v>
      </c>
      <c r="L1364">
        <v>-609</v>
      </c>
      <c r="M1364">
        <v>-408</v>
      </c>
      <c r="N1364">
        <v>141979</v>
      </c>
      <c r="O1364" t="s">
        <v>992</v>
      </c>
      <c r="P1364" t="s">
        <v>1477</v>
      </c>
      <c r="Q1364" t="s">
        <v>1575</v>
      </c>
    </row>
    <row r="1365" spans="1:17">
      <c r="A1365">
        <v>5888</v>
      </c>
      <c r="B1365">
        <v>687</v>
      </c>
      <c r="C1365">
        <v>3.81</v>
      </c>
      <c r="D1365">
        <v>0.2034</v>
      </c>
      <c r="E1365">
        <v>0.5413</v>
      </c>
      <c r="F1365">
        <v>99.09</v>
      </c>
      <c r="G1365">
        <v>0</v>
      </c>
      <c r="H1365">
        <v>12.6</v>
      </c>
      <c r="I1365">
        <v>88.59</v>
      </c>
      <c r="J1365">
        <v>476.15</v>
      </c>
      <c r="K1365">
        <v>250.15</v>
      </c>
      <c r="L1365">
        <v>-282</v>
      </c>
      <c r="M1365">
        <v>-157</v>
      </c>
      <c r="N1365">
        <v>105340</v>
      </c>
      <c r="O1365" t="s">
        <v>609</v>
      </c>
      <c r="P1365" t="s">
        <v>1827</v>
      </c>
      <c r="Q1365" t="s">
        <v>1828</v>
      </c>
    </row>
    <row r="1366" spans="1:17">
      <c r="A1366">
        <v>5889</v>
      </c>
      <c r="B1366">
        <v>679</v>
      </c>
      <c r="C1366">
        <v>3.34</v>
      </c>
      <c r="D1366">
        <v>0.21179999999999999</v>
      </c>
      <c r="E1366">
        <v>0.55840000000000001</v>
      </c>
      <c r="F1366">
        <v>113.12</v>
      </c>
      <c r="G1366">
        <v>0</v>
      </c>
      <c r="H1366">
        <v>12.33</v>
      </c>
      <c r="I1366">
        <v>106.92</v>
      </c>
      <c r="J1366">
        <v>480.15</v>
      </c>
      <c r="K1366">
        <v>250.65</v>
      </c>
      <c r="L1366">
        <v>-316</v>
      </c>
      <c r="M1366">
        <v>-205</v>
      </c>
      <c r="N1366">
        <v>105566</v>
      </c>
      <c r="O1366" t="s">
        <v>757</v>
      </c>
      <c r="P1366" t="s">
        <v>1784</v>
      </c>
      <c r="Q1366" t="s">
        <v>1785</v>
      </c>
    </row>
    <row r="1367" spans="1:17">
      <c r="A1367">
        <v>5890</v>
      </c>
      <c r="B1367">
        <v>638</v>
      </c>
      <c r="C1367">
        <v>3.63</v>
      </c>
      <c r="D1367">
        <v>0.2039</v>
      </c>
      <c r="E1367">
        <v>0.4597</v>
      </c>
      <c r="F1367">
        <v>85.11</v>
      </c>
      <c r="G1367">
        <v>0</v>
      </c>
      <c r="H1367">
        <v>11.04</v>
      </c>
      <c r="I1367">
        <v>91</v>
      </c>
      <c r="J1367">
        <v>436.15</v>
      </c>
      <c r="K1367">
        <v>210.12</v>
      </c>
      <c r="L1367">
        <v>-79</v>
      </c>
      <c r="M1367">
        <v>14.7</v>
      </c>
      <c r="N1367">
        <v>110678</v>
      </c>
      <c r="O1367" t="s">
        <v>739</v>
      </c>
      <c r="P1367" t="s">
        <v>1460</v>
      </c>
      <c r="Q1367" t="s">
        <v>1553</v>
      </c>
    </row>
    <row r="1368" spans="1:17">
      <c r="A1368">
        <v>5891</v>
      </c>
      <c r="B1368">
        <v>2900</v>
      </c>
      <c r="C1368">
        <v>-86</v>
      </c>
      <c r="D1368">
        <v>0</v>
      </c>
      <c r="E1368">
        <v>-86</v>
      </c>
      <c r="F1368">
        <v>49.01</v>
      </c>
      <c r="G1368">
        <v>0</v>
      </c>
      <c r="H1368">
        <v>-86</v>
      </c>
      <c r="I1368">
        <v>40.17</v>
      </c>
      <c r="J1368">
        <v>1773.15</v>
      </c>
      <c r="K1368">
        <v>836.85</v>
      </c>
      <c r="L1368">
        <v>109</v>
      </c>
      <c r="M1368">
        <v>79.94</v>
      </c>
      <c r="N1368">
        <v>143339</v>
      </c>
      <c r="O1368" t="s">
        <v>2516</v>
      </c>
      <c r="P1368" t="s">
        <v>2776</v>
      </c>
      <c r="Q1368" t="s">
        <v>2777</v>
      </c>
    </row>
    <row r="1369" spans="1:17">
      <c r="A1369">
        <v>5892</v>
      </c>
      <c r="B1369">
        <v>590</v>
      </c>
      <c r="C1369">
        <v>6.1</v>
      </c>
      <c r="D1369">
        <v>0.23699999999999999</v>
      </c>
      <c r="E1369">
        <v>0.25679999999999997</v>
      </c>
      <c r="F1369">
        <v>69.06</v>
      </c>
      <c r="G1369">
        <v>0</v>
      </c>
      <c r="H1369">
        <v>11.34</v>
      </c>
      <c r="I1369">
        <v>64.5</v>
      </c>
      <c r="J1369">
        <v>367.9</v>
      </c>
      <c r="K1369">
        <v>206.05</v>
      </c>
      <c r="L1369">
        <v>82.02</v>
      </c>
      <c r="M1369">
        <v>93.77</v>
      </c>
      <c r="N1369">
        <v>288142</v>
      </c>
      <c r="O1369" t="s">
        <v>2802</v>
      </c>
      <c r="P1369" t="s">
        <v>1055</v>
      </c>
      <c r="Q1369" t="s">
        <v>2888</v>
      </c>
    </row>
    <row r="1370" spans="1:17">
      <c r="A1370">
        <v>6852</v>
      </c>
      <c r="B1370">
        <v>692</v>
      </c>
      <c r="C1370">
        <v>3.56</v>
      </c>
      <c r="D1370">
        <v>0.23139999999999999</v>
      </c>
      <c r="E1370">
        <v>0.4491</v>
      </c>
      <c r="F1370">
        <v>101.15</v>
      </c>
      <c r="G1370">
        <v>0</v>
      </c>
      <c r="H1370">
        <v>10.76</v>
      </c>
      <c r="I1370">
        <v>112.51</v>
      </c>
      <c r="J1370">
        <v>475.15</v>
      </c>
      <c r="K1370">
        <v>289.14999999999998</v>
      </c>
      <c r="L1370">
        <v>-284</v>
      </c>
      <c r="M1370">
        <v>-114</v>
      </c>
      <c r="N1370">
        <v>2425743</v>
      </c>
      <c r="O1370" t="s">
        <v>568</v>
      </c>
      <c r="P1370" t="s">
        <v>1852</v>
      </c>
      <c r="Q1370" t="s">
        <v>1853</v>
      </c>
    </row>
    <row r="1371" spans="1:17">
      <c r="A1371">
        <v>6853</v>
      </c>
      <c r="B1371">
        <v>-86</v>
      </c>
      <c r="C1371">
        <v>-86</v>
      </c>
      <c r="D1371">
        <v>-86</v>
      </c>
      <c r="E1371">
        <v>-86</v>
      </c>
      <c r="F1371">
        <v>194.19</v>
      </c>
      <c r="G1371">
        <v>0</v>
      </c>
      <c r="H1371">
        <v>-86</v>
      </c>
      <c r="I1371">
        <v>230</v>
      </c>
      <c r="J1371">
        <v>-86</v>
      </c>
      <c r="K1371">
        <v>507.15</v>
      </c>
      <c r="L1371">
        <v>0</v>
      </c>
      <c r="M1371">
        <v>-86</v>
      </c>
      <c r="N1371">
        <v>58082</v>
      </c>
      <c r="O1371" t="s">
        <v>2516</v>
      </c>
      <c r="P1371" t="s">
        <v>2788</v>
      </c>
      <c r="Q1371" t="s">
        <v>2789</v>
      </c>
    </row>
    <row r="1372" spans="1:17">
      <c r="A1372">
        <v>6854</v>
      </c>
      <c r="B1372">
        <v>718</v>
      </c>
      <c r="C1372">
        <v>4.9800000000000004</v>
      </c>
      <c r="D1372">
        <v>0.2979</v>
      </c>
      <c r="E1372">
        <v>0.43509999999999999</v>
      </c>
      <c r="F1372">
        <v>73.099999999999994</v>
      </c>
      <c r="G1372">
        <v>0</v>
      </c>
      <c r="H1372">
        <v>13.3</v>
      </c>
      <c r="I1372">
        <v>76.849999999999994</v>
      </c>
      <c r="J1372">
        <v>479</v>
      </c>
      <c r="K1372">
        <v>303.7</v>
      </c>
      <c r="L1372">
        <v>-240</v>
      </c>
      <c r="M1372">
        <v>-135</v>
      </c>
      <c r="N1372">
        <v>79163</v>
      </c>
      <c r="O1372" t="s">
        <v>1978</v>
      </c>
      <c r="P1372" t="s">
        <v>1625</v>
      </c>
      <c r="Q1372" t="s">
        <v>1979</v>
      </c>
    </row>
    <row r="1373" spans="1:17">
      <c r="A1373">
        <v>6855</v>
      </c>
      <c r="B1373">
        <v>731</v>
      </c>
      <c r="C1373">
        <v>4.6100000000000003</v>
      </c>
      <c r="D1373">
        <v>0.26019999999999999</v>
      </c>
      <c r="E1373">
        <v>1.1763999999999999</v>
      </c>
      <c r="F1373">
        <v>122.19</v>
      </c>
      <c r="G1373">
        <v>0</v>
      </c>
      <c r="H1373">
        <v>14.54</v>
      </c>
      <c r="I1373">
        <v>103.45</v>
      </c>
      <c r="J1373">
        <v>556.15</v>
      </c>
      <c r="K1373">
        <v>257.14999999999998</v>
      </c>
      <c r="L1373">
        <v>-384</v>
      </c>
      <c r="M1373">
        <v>-246</v>
      </c>
      <c r="N1373">
        <v>111488</v>
      </c>
      <c r="O1373" t="s">
        <v>2516</v>
      </c>
      <c r="P1373" t="s">
        <v>2778</v>
      </c>
      <c r="Q1373" t="s">
        <v>2779</v>
      </c>
    </row>
    <row r="1374" spans="1:17">
      <c r="A1374">
        <v>6856</v>
      </c>
      <c r="B1374">
        <v>854</v>
      </c>
      <c r="C1374">
        <v>8.23</v>
      </c>
      <c r="D1374">
        <v>0.28749999999999998</v>
      </c>
      <c r="E1374">
        <v>0.35859999999999997</v>
      </c>
      <c r="F1374">
        <v>76.12</v>
      </c>
      <c r="G1374">
        <v>0</v>
      </c>
      <c r="H1374">
        <v>12.18</v>
      </c>
      <c r="I1374">
        <v>90.64</v>
      </c>
      <c r="J1374">
        <v>536</v>
      </c>
      <c r="K1374">
        <v>455.15</v>
      </c>
      <c r="L1374">
        <v>-25</v>
      </c>
      <c r="M1374">
        <v>30.85</v>
      </c>
      <c r="N1374">
        <v>62566</v>
      </c>
      <c r="O1374" t="s">
        <v>1861</v>
      </c>
      <c r="P1374" t="s">
        <v>2409</v>
      </c>
      <c r="Q1374" t="s">
        <v>2410</v>
      </c>
    </row>
    <row r="1375" spans="1:17">
      <c r="A1375">
        <v>6857</v>
      </c>
      <c r="B1375">
        <v>720</v>
      </c>
      <c r="C1375">
        <v>3.69</v>
      </c>
      <c r="D1375">
        <v>0.23300000000000001</v>
      </c>
      <c r="E1375">
        <v>0.41930000000000001</v>
      </c>
      <c r="F1375">
        <v>138.26</v>
      </c>
      <c r="G1375">
        <v>0</v>
      </c>
      <c r="H1375">
        <v>10.6</v>
      </c>
      <c r="I1375">
        <v>119.14</v>
      </c>
      <c r="J1375">
        <v>490.15</v>
      </c>
      <c r="K1375">
        <v>193.15</v>
      </c>
      <c r="L1375">
        <v>-173</v>
      </c>
      <c r="M1375">
        <v>-59.9</v>
      </c>
      <c r="N1375">
        <v>2150029</v>
      </c>
      <c r="O1375" t="s">
        <v>568</v>
      </c>
      <c r="P1375" t="s">
        <v>1990</v>
      </c>
      <c r="Q1375" t="s">
        <v>1991</v>
      </c>
    </row>
    <row r="1376" spans="1:17">
      <c r="A1376">
        <v>6858</v>
      </c>
      <c r="B1376">
        <v>629</v>
      </c>
      <c r="C1376">
        <v>6.27</v>
      </c>
      <c r="D1376">
        <v>0.2626</v>
      </c>
      <c r="E1376">
        <v>0.67159999999999997</v>
      </c>
      <c r="F1376">
        <v>78.14</v>
      </c>
      <c r="G1376">
        <v>0</v>
      </c>
      <c r="H1376">
        <v>12.96</v>
      </c>
      <c r="I1376">
        <v>70.33</v>
      </c>
      <c r="J1376">
        <v>430.9</v>
      </c>
      <c r="K1376">
        <v>200</v>
      </c>
      <c r="L1376">
        <v>-197</v>
      </c>
      <c r="M1376">
        <v>-134</v>
      </c>
      <c r="N1376">
        <v>60242</v>
      </c>
      <c r="O1376" t="s">
        <v>2516</v>
      </c>
      <c r="P1376" t="s">
        <v>2027</v>
      </c>
      <c r="Q1376" t="s">
        <v>2780</v>
      </c>
    </row>
    <row r="1377" spans="1:17">
      <c r="A1377">
        <v>6859</v>
      </c>
      <c r="B1377">
        <v>641</v>
      </c>
      <c r="C1377">
        <v>4.32</v>
      </c>
      <c r="D1377">
        <v>0.26340000000000002</v>
      </c>
      <c r="E1377">
        <v>0.73099999999999998</v>
      </c>
      <c r="F1377">
        <v>106.19</v>
      </c>
      <c r="G1377">
        <v>0</v>
      </c>
      <c r="H1377">
        <v>11.08</v>
      </c>
      <c r="I1377">
        <v>105.09</v>
      </c>
      <c r="J1377">
        <v>457.15</v>
      </c>
      <c r="K1377">
        <v>173.15</v>
      </c>
      <c r="L1377">
        <v>-234</v>
      </c>
      <c r="M1377">
        <v>-117</v>
      </c>
      <c r="N1377">
        <v>110770</v>
      </c>
      <c r="O1377" t="s">
        <v>2516</v>
      </c>
      <c r="P1377" t="s">
        <v>2781</v>
      </c>
      <c r="Q1377" t="s">
        <v>2782</v>
      </c>
    </row>
    <row r="1378" spans="1:17">
      <c r="A1378">
        <v>6860</v>
      </c>
      <c r="B1378">
        <v>663</v>
      </c>
      <c r="C1378">
        <v>5.36</v>
      </c>
      <c r="D1378">
        <v>0.20319999999999999</v>
      </c>
      <c r="E1378">
        <v>0.25700000000000001</v>
      </c>
      <c r="F1378">
        <v>94.2</v>
      </c>
      <c r="G1378">
        <v>0</v>
      </c>
      <c r="H1378">
        <v>10.88</v>
      </c>
      <c r="I1378">
        <v>84.19</v>
      </c>
      <c r="J1378">
        <v>419.15</v>
      </c>
      <c r="K1378">
        <v>231.95</v>
      </c>
      <c r="L1378">
        <v>-9.33</v>
      </c>
      <c r="M1378">
        <v>26.7</v>
      </c>
      <c r="N1378">
        <v>540636</v>
      </c>
      <c r="O1378" t="s">
        <v>568</v>
      </c>
      <c r="P1378" t="s">
        <v>1417</v>
      </c>
      <c r="Q1378" t="s">
        <v>1721</v>
      </c>
    </row>
    <row r="1379" spans="1:17">
      <c r="A1379">
        <v>6862</v>
      </c>
      <c r="B1379">
        <v>630</v>
      </c>
      <c r="C1379">
        <v>5.22</v>
      </c>
      <c r="D1379">
        <v>0.33189999999999997</v>
      </c>
      <c r="E1379">
        <v>0.58550000000000002</v>
      </c>
      <c r="F1379">
        <v>75.11</v>
      </c>
      <c r="G1379">
        <v>0</v>
      </c>
      <c r="H1379">
        <v>12.68</v>
      </c>
      <c r="I1379">
        <v>80.45</v>
      </c>
      <c r="J1379">
        <v>431.15</v>
      </c>
      <c r="K1379">
        <v>268.64999999999998</v>
      </c>
      <c r="L1379">
        <v>-198</v>
      </c>
      <c r="M1379">
        <v>-61.1</v>
      </c>
      <c r="N1379">
        <v>109831</v>
      </c>
      <c r="O1379" t="s">
        <v>545</v>
      </c>
      <c r="P1379" t="s">
        <v>1409</v>
      </c>
      <c r="Q1379" t="s">
        <v>1513</v>
      </c>
    </row>
    <row r="1380" spans="1:17">
      <c r="A1380">
        <v>6863</v>
      </c>
      <c r="B1380">
        <v>571.82000000000005</v>
      </c>
      <c r="C1380">
        <v>4.1399999999999997</v>
      </c>
      <c r="D1380">
        <v>0.28820000000000001</v>
      </c>
      <c r="E1380">
        <v>0.71099999999999997</v>
      </c>
      <c r="F1380">
        <v>89.14</v>
      </c>
      <c r="G1380">
        <v>0</v>
      </c>
      <c r="H1380">
        <v>11.14</v>
      </c>
      <c r="I1380">
        <v>101.09</v>
      </c>
      <c r="J1380">
        <v>404.15</v>
      </c>
      <c r="K1380">
        <v>214.15</v>
      </c>
      <c r="L1380">
        <v>-202</v>
      </c>
      <c r="M1380">
        <v>-36.4</v>
      </c>
      <c r="N1380">
        <v>108010</v>
      </c>
      <c r="O1380" t="s">
        <v>545</v>
      </c>
      <c r="P1380" t="s">
        <v>1183</v>
      </c>
      <c r="Q1380" t="s">
        <v>1184</v>
      </c>
    </row>
    <row r="1381" spans="1:17">
      <c r="A1381">
        <v>6864</v>
      </c>
      <c r="B1381">
        <v>672</v>
      </c>
      <c r="C1381">
        <v>3.6</v>
      </c>
      <c r="D1381">
        <v>0.29249999999999998</v>
      </c>
      <c r="E1381">
        <v>1.3891</v>
      </c>
      <c r="F1381">
        <v>133.19</v>
      </c>
      <c r="G1381">
        <v>0</v>
      </c>
      <c r="H1381">
        <v>13.01</v>
      </c>
      <c r="I1381">
        <v>134.76</v>
      </c>
      <c r="J1381">
        <v>521.9</v>
      </c>
      <c r="K1381">
        <v>315</v>
      </c>
      <c r="L1381">
        <v>-454</v>
      </c>
      <c r="M1381">
        <v>-215</v>
      </c>
      <c r="N1381">
        <v>110974</v>
      </c>
      <c r="O1381" t="s">
        <v>2516</v>
      </c>
      <c r="P1381" t="s">
        <v>2783</v>
      </c>
      <c r="Q1381" t="s">
        <v>2784</v>
      </c>
    </row>
    <row r="1382" spans="1:17">
      <c r="A1382">
        <v>6872</v>
      </c>
      <c r="B1382">
        <v>748</v>
      </c>
      <c r="C1382">
        <v>3.27</v>
      </c>
      <c r="D1382">
        <v>0.2455</v>
      </c>
      <c r="E1382">
        <v>1.0728</v>
      </c>
      <c r="F1382">
        <v>166.18</v>
      </c>
      <c r="G1382">
        <v>0</v>
      </c>
      <c r="H1382">
        <v>12.2</v>
      </c>
      <c r="I1382">
        <v>145.13</v>
      </c>
      <c r="J1382">
        <v>567</v>
      </c>
      <c r="K1382">
        <v>348.65</v>
      </c>
      <c r="L1382">
        <v>-404</v>
      </c>
      <c r="M1382">
        <v>-253</v>
      </c>
      <c r="N1382">
        <v>121324</v>
      </c>
      <c r="O1382" t="s">
        <v>545</v>
      </c>
      <c r="P1382" t="s">
        <v>2102</v>
      </c>
      <c r="Q1382" t="s">
        <v>2103</v>
      </c>
    </row>
    <row r="1383" spans="1:17">
      <c r="A1383">
        <v>6883</v>
      </c>
      <c r="B1383">
        <v>662</v>
      </c>
      <c r="C1383">
        <v>3.98</v>
      </c>
      <c r="D1383">
        <v>0.24660000000000001</v>
      </c>
      <c r="E1383">
        <v>0.86409999999999998</v>
      </c>
      <c r="F1383">
        <v>116.12</v>
      </c>
      <c r="G1383">
        <v>0</v>
      </c>
      <c r="H1383">
        <v>11.56</v>
      </c>
      <c r="I1383">
        <v>115.21</v>
      </c>
      <c r="J1383">
        <v>-86</v>
      </c>
      <c r="K1383">
        <v>213</v>
      </c>
      <c r="L1383">
        <v>-493</v>
      </c>
      <c r="M1383">
        <v>-371</v>
      </c>
      <c r="N1383">
        <v>818611</v>
      </c>
      <c r="O1383" t="s">
        <v>2516</v>
      </c>
      <c r="P1383" t="s">
        <v>2067</v>
      </c>
      <c r="Q1383" t="s">
        <v>2785</v>
      </c>
    </row>
    <row r="1384" spans="1:17">
      <c r="A1384">
        <v>6885</v>
      </c>
      <c r="B1384">
        <v>621</v>
      </c>
      <c r="C1384">
        <v>2.66</v>
      </c>
      <c r="D1384">
        <v>0.2482</v>
      </c>
      <c r="E1384">
        <v>0.4975</v>
      </c>
      <c r="F1384">
        <v>146.19</v>
      </c>
      <c r="G1384">
        <v>0</v>
      </c>
      <c r="H1384">
        <v>8.91</v>
      </c>
      <c r="I1384">
        <v>154.74</v>
      </c>
      <c r="J1384">
        <v>445.15</v>
      </c>
      <c r="K1384">
        <v>-86</v>
      </c>
      <c r="L1384">
        <v>-633</v>
      </c>
      <c r="M1384">
        <v>-416</v>
      </c>
      <c r="N1384">
        <v>763699</v>
      </c>
      <c r="O1384" t="s">
        <v>568</v>
      </c>
      <c r="P1384" t="s">
        <v>1468</v>
      </c>
      <c r="Q1384" t="s">
        <v>1469</v>
      </c>
    </row>
    <row r="1385" spans="1:17">
      <c r="A1385">
        <v>6886</v>
      </c>
      <c r="B1385">
        <v>846</v>
      </c>
      <c r="C1385">
        <v>2.4700000000000002</v>
      </c>
      <c r="D1385">
        <v>0.23039999999999999</v>
      </c>
      <c r="E1385">
        <v>1.6034999999999999</v>
      </c>
      <c r="F1385">
        <v>254.24</v>
      </c>
      <c r="G1385">
        <v>0</v>
      </c>
      <c r="H1385">
        <v>13.07</v>
      </c>
      <c r="I1385">
        <v>190.4</v>
      </c>
      <c r="J1385">
        <v>683</v>
      </c>
      <c r="K1385">
        <v>385.15</v>
      </c>
      <c r="L1385">
        <v>-1030</v>
      </c>
      <c r="M1385">
        <v>-770</v>
      </c>
      <c r="N1385">
        <v>959262</v>
      </c>
      <c r="O1385" t="s">
        <v>2516</v>
      </c>
      <c r="P1385" t="s">
        <v>2786</v>
      </c>
      <c r="Q1385" t="s">
        <v>2787</v>
      </c>
    </row>
    <row r="1386" spans="1:17">
      <c r="A1386">
        <v>7876</v>
      </c>
      <c r="B1386">
        <v>793.9</v>
      </c>
      <c r="C1386">
        <v>2.75</v>
      </c>
      <c r="D1386">
        <v>0.25159999999999999</v>
      </c>
      <c r="E1386">
        <v>1.0079</v>
      </c>
      <c r="F1386">
        <v>240.22</v>
      </c>
      <c r="G1386">
        <v>0</v>
      </c>
      <c r="H1386">
        <v>10.39</v>
      </c>
      <c r="I1386">
        <v>226.68</v>
      </c>
      <c r="J1386">
        <v>709</v>
      </c>
      <c r="K1386">
        <v>491.05</v>
      </c>
      <c r="L1386">
        <v>174.5</v>
      </c>
      <c r="M1386">
        <v>413.6</v>
      </c>
      <c r="N1386">
        <v>88857</v>
      </c>
      <c r="O1386" t="s">
        <v>1861</v>
      </c>
      <c r="P1386" t="s">
        <v>2275</v>
      </c>
      <c r="Q1386" t="s">
        <v>2276</v>
      </c>
    </row>
  </sheetData>
  <sortState xmlns:xlrd2="http://schemas.microsoft.com/office/spreadsheetml/2017/richdata2" ref="A2:Q1360">
    <sortCondition ref="A2:A13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Y135"/>
  <sheetViews>
    <sheetView workbookViewId="0">
      <pane ySplit="3" topLeftCell="A4" activePane="bottomLeft" state="frozen"/>
      <selection activeCell="T1" sqref="T1"/>
      <selection pane="bottomLeft" activeCell="G16" sqref="G16"/>
    </sheetView>
  </sheetViews>
  <sheetFormatPr defaultColWidth="9.3984375" defaultRowHeight="13"/>
  <cols>
    <col min="1" max="1" width="15.3984375" customWidth="1"/>
    <col min="2" max="2" width="8.8984375" customWidth="1"/>
    <col min="3" max="7" width="9.3984375" style="5"/>
    <col min="8" max="8" width="15.3984375" customWidth="1"/>
    <col min="9" max="9" width="10" style="5" customWidth="1"/>
    <col min="10" max="11" width="9.3984375" style="5"/>
    <col min="12" max="12" width="9.3984375" style="43"/>
    <col min="13" max="13" width="9.5" bestFit="1" customWidth="1"/>
    <col min="14" max="14" width="9.3984375" style="3" customWidth="1"/>
    <col min="15" max="22" width="9.3984375" style="5"/>
    <col min="23" max="23" width="10.19921875" style="5" customWidth="1"/>
    <col min="24" max="26" width="9.3984375" style="5"/>
    <col min="27" max="30" width="9.3984375" style="37"/>
    <col min="31" max="32" width="9.3984375" style="37" bestFit="1" customWidth="1"/>
    <col min="33" max="34" width="9.3984375" style="37" customWidth="1"/>
    <col min="35" max="103" width="9.3984375" bestFit="1" customWidth="1"/>
    <col min="104" max="108" width="9.59765625" bestFit="1" customWidth="1"/>
    <col min="109" max="118" width="9.3984375" bestFit="1" customWidth="1"/>
  </cols>
  <sheetData>
    <row r="2" spans="1:118">
      <c r="G2" s="5">
        <f>'GroupC ESD'!M4</f>
        <v>1735.5628262519654</v>
      </c>
      <c r="Y2" s="51" t="s">
        <v>374</v>
      </c>
    </row>
    <row r="3" spans="1:118">
      <c r="A3" t="s">
        <v>5</v>
      </c>
      <c r="B3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t="s">
        <v>5</v>
      </c>
      <c r="I3" s="5" t="s">
        <v>266</v>
      </c>
      <c r="J3" s="5" t="s">
        <v>12</v>
      </c>
      <c r="K3" s="5" t="s">
        <v>13</v>
      </c>
      <c r="L3" s="43" t="s">
        <v>14</v>
      </c>
      <c r="M3" t="s">
        <v>412</v>
      </c>
      <c r="N3" s="68" t="s">
        <v>2889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X3" s="51" t="s">
        <v>371</v>
      </c>
      <c r="Y3" s="51" t="s">
        <v>372</v>
      </c>
      <c r="Z3" s="51" t="s">
        <v>373</v>
      </c>
      <c r="AA3" s="37" t="s">
        <v>336</v>
      </c>
      <c r="AB3" s="37" t="s">
        <v>337</v>
      </c>
      <c r="AC3" s="37" t="s">
        <v>338</v>
      </c>
      <c r="AD3" s="37" t="s">
        <v>339</v>
      </c>
      <c r="AE3" s="37" t="s">
        <v>340</v>
      </c>
      <c r="AF3" s="37" t="s">
        <v>341</v>
      </c>
      <c r="AG3" s="37" t="s">
        <v>342</v>
      </c>
      <c r="AH3" s="37" t="s">
        <v>343</v>
      </c>
      <c r="AI3" s="37" t="s">
        <v>104</v>
      </c>
    </row>
    <row r="4" spans="1:118">
      <c r="A4" t="s">
        <v>23</v>
      </c>
      <c r="B4">
        <v>1</v>
      </c>
      <c r="C4" s="5">
        <v>15.0349</v>
      </c>
      <c r="D4" s="5">
        <v>8.5999999999999993E-2</v>
      </c>
      <c r="E4" s="5">
        <v>0.23200000000000001</v>
      </c>
      <c r="F4" s="5">
        <v>40</v>
      </c>
      <c r="G4" s="5">
        <v>116.28400000000001</v>
      </c>
      <c r="H4" t="s">
        <v>23</v>
      </c>
      <c r="I4" s="11">
        <v>21.55</v>
      </c>
      <c r="J4" s="5">
        <v>76.569000000000003</v>
      </c>
      <c r="K4" s="5">
        <v>5.3999999999999999E-2</v>
      </c>
      <c r="L4" s="44">
        <v>0.22833000000000001</v>
      </c>
      <c r="M4" s="65">
        <v>0.99534747699479242</v>
      </c>
      <c r="N4" s="66">
        <v>0.48276645214600461</v>
      </c>
      <c r="O4" s="5">
        <v>0.46400000000000002</v>
      </c>
      <c r="P4" s="5">
        <v>4.1159999999999997</v>
      </c>
      <c r="Q4" s="5">
        <v>-45.947000000000003</v>
      </c>
      <c r="R4" s="5">
        <v>-8.0299999999999994</v>
      </c>
      <c r="S4" s="45">
        <v>19.5</v>
      </c>
      <c r="T4" s="45">
        <v>-8.0800000000000004E-3</v>
      </c>
      <c r="U4" s="45">
        <v>1.5300000000000001E-4</v>
      </c>
      <c r="V4" s="45">
        <v>-9.6699999999999999E-8</v>
      </c>
      <c r="W4" s="45" t="str">
        <f t="shared" ref="W4:W35" si="0">A4</f>
        <v>CH3-</v>
      </c>
      <c r="X4" s="5">
        <v>-0.97140000000000004</v>
      </c>
      <c r="Y4" s="5">
        <v>-1.6448</v>
      </c>
      <c r="Z4" s="5">
        <v>-0.78129999999999999</v>
      </c>
      <c r="AA4" s="38">
        <v>1</v>
      </c>
      <c r="AB4" s="37">
        <v>3</v>
      </c>
      <c r="AD4" s="38"/>
      <c r="AE4" s="38"/>
      <c r="AF4" s="38"/>
      <c r="AG4" s="38"/>
      <c r="AH4" s="38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</row>
    <row r="5" spans="1:118">
      <c r="A5" t="s">
        <v>24</v>
      </c>
      <c r="B5">
        <v>2</v>
      </c>
      <c r="C5" s="5">
        <v>14.026899999999999</v>
      </c>
      <c r="D5" s="5">
        <v>4.1000000000000002E-2</v>
      </c>
      <c r="E5" s="5">
        <v>0.224</v>
      </c>
      <c r="F5" s="5">
        <v>41</v>
      </c>
      <c r="G5" s="5">
        <v>123.631</v>
      </c>
      <c r="H5" t="s">
        <v>24</v>
      </c>
      <c r="I5" s="11">
        <v>15.55</v>
      </c>
      <c r="J5" s="5">
        <v>111.4</v>
      </c>
      <c r="K5" s="5">
        <v>4.3999999999999997E-2</v>
      </c>
      <c r="L5" s="44">
        <v>0.20660000000000001</v>
      </c>
      <c r="M5" s="65">
        <v>0.46156306996877122</v>
      </c>
      <c r="N5" s="66">
        <v>0.3903694552856638</v>
      </c>
      <c r="O5" s="5">
        <v>0.92459999999999998</v>
      </c>
      <c r="P5" s="5">
        <v>4.6500000000000004</v>
      </c>
      <c r="Q5" s="5">
        <v>-20.763000000000002</v>
      </c>
      <c r="R5" s="5">
        <v>8.2309999999999999</v>
      </c>
      <c r="S5" s="45">
        <v>-0.90900000000000003</v>
      </c>
      <c r="T5" s="45">
        <v>9.5000000000000001E-2</v>
      </c>
      <c r="U5" s="45">
        <v>-5.4400000000000001E-5</v>
      </c>
      <c r="V5" s="45">
        <v>1.1900000000000001E-8</v>
      </c>
      <c r="W5" s="45" t="str">
        <f t="shared" si="0"/>
        <v>CH2&lt;</v>
      </c>
      <c r="X5" s="5">
        <v>-2.69E-2</v>
      </c>
      <c r="Y5" s="5">
        <v>-0.30449999999999999</v>
      </c>
      <c r="Z5" s="5">
        <v>-0.41189999999999999</v>
      </c>
      <c r="AA5" s="38">
        <v>1</v>
      </c>
      <c r="AB5" s="37">
        <v>2</v>
      </c>
      <c r="AD5" s="38"/>
      <c r="AF5" s="38"/>
      <c r="AG5" s="38"/>
      <c r="AH5" s="38"/>
      <c r="AI5" s="34"/>
    </row>
    <row r="6" spans="1:118">
      <c r="A6" t="s">
        <v>25</v>
      </c>
      <c r="B6">
        <v>3</v>
      </c>
      <c r="C6" s="5">
        <v>13.019</v>
      </c>
      <c r="D6" s="5">
        <v>-8.9999999999999993E-3</v>
      </c>
      <c r="E6" s="5">
        <v>0.186</v>
      </c>
      <c r="F6" s="5">
        <v>30</v>
      </c>
      <c r="G6" s="5">
        <v>95.944000000000003</v>
      </c>
      <c r="H6" t="s">
        <v>25</v>
      </c>
      <c r="I6" s="11">
        <v>9.56</v>
      </c>
      <c r="J6" s="5">
        <v>111</v>
      </c>
      <c r="K6" s="5">
        <v>2.3E-2</v>
      </c>
      <c r="L6" s="44">
        <v>1.932E-2</v>
      </c>
      <c r="M6" s="65">
        <v>-0.33050724210994498</v>
      </c>
      <c r="N6" s="66">
        <v>-0.18700610217347041</v>
      </c>
      <c r="O6" s="5">
        <v>0.35570000000000002</v>
      </c>
      <c r="P6" s="5">
        <v>2.7709999999999999</v>
      </c>
      <c r="Q6" s="5">
        <v>-3.766</v>
      </c>
      <c r="R6" s="5">
        <v>19.847999999999999</v>
      </c>
      <c r="S6" s="45">
        <v>-23</v>
      </c>
      <c r="T6" s="45">
        <v>0.20399999999999999</v>
      </c>
      <c r="U6" s="45">
        <v>-2.6499999999999999E-4</v>
      </c>
      <c r="V6" s="45">
        <v>1.1999999999999999E-7</v>
      </c>
      <c r="W6" s="45" t="str">
        <f t="shared" si="0"/>
        <v>CH</v>
      </c>
      <c r="X6" s="5">
        <v>0.64500000000000002</v>
      </c>
      <c r="Y6" s="5">
        <v>0.64910000000000001</v>
      </c>
      <c r="Z6" s="5">
        <v>-0.20180000000000001</v>
      </c>
      <c r="AA6" s="38">
        <v>1</v>
      </c>
      <c r="AB6" s="37">
        <v>1</v>
      </c>
      <c r="AD6" s="38"/>
      <c r="AF6" s="38"/>
      <c r="AG6" s="38"/>
      <c r="AH6" s="38"/>
      <c r="AI6" s="34"/>
    </row>
    <row r="7" spans="1:118">
      <c r="A7" t="s">
        <v>26</v>
      </c>
      <c r="B7">
        <v>4</v>
      </c>
      <c r="C7" s="5">
        <v>12.011200000000001</v>
      </c>
      <c r="D7" s="5">
        <v>-8.5999999999999993E-2</v>
      </c>
      <c r="E7" s="5">
        <v>0.14299999999999999</v>
      </c>
      <c r="F7" s="5">
        <v>5</v>
      </c>
      <c r="G7" s="5">
        <v>58.45</v>
      </c>
      <c r="H7" t="s">
        <v>26</v>
      </c>
      <c r="I7" s="11">
        <v>3.56</v>
      </c>
      <c r="J7" s="5">
        <v>90.710999999999999</v>
      </c>
      <c r="K7" s="5">
        <v>-3.3000000000000002E-2</v>
      </c>
      <c r="L7" s="44">
        <v>-9.0219999999999995E-2</v>
      </c>
      <c r="M7" s="65">
        <v>-0.99353869256215488</v>
      </c>
      <c r="N7" s="66">
        <v>-0.51548282817579028</v>
      </c>
      <c r="O7" s="5">
        <v>1.6478999999999999</v>
      </c>
      <c r="P7" s="5">
        <v>1.284</v>
      </c>
      <c r="Q7" s="5">
        <v>17.119</v>
      </c>
      <c r="R7" s="5">
        <v>37.976999999999997</v>
      </c>
      <c r="S7" s="45">
        <v>-66.2</v>
      </c>
      <c r="T7" s="45">
        <v>0.42699999999999999</v>
      </c>
      <c r="U7" s="45">
        <v>-6.4099999999999997E-4</v>
      </c>
      <c r="V7" s="45">
        <v>3.0100000000000001E-7</v>
      </c>
      <c r="W7" s="45" t="str">
        <f t="shared" si="0"/>
        <v>&gt;C&lt;</v>
      </c>
      <c r="X7" s="5">
        <v>1.2685999999999999</v>
      </c>
      <c r="Y7" s="5">
        <v>2.0838000000000001</v>
      </c>
      <c r="Z7" s="5">
        <v>8.6599999999999996E-2</v>
      </c>
      <c r="AA7" s="38">
        <v>1</v>
      </c>
      <c r="AB7" s="37">
        <v>0</v>
      </c>
      <c r="AD7" s="38"/>
      <c r="AF7" s="38"/>
      <c r="AG7" s="38"/>
      <c r="AH7" s="38"/>
      <c r="AI7" s="34"/>
    </row>
    <row r="8" spans="1:118">
      <c r="A8" t="s">
        <v>27</v>
      </c>
      <c r="B8">
        <v>5</v>
      </c>
      <c r="C8" s="5">
        <v>27.045999999999999</v>
      </c>
      <c r="D8" s="5">
        <v>0.112</v>
      </c>
      <c r="E8" s="5">
        <v>0.36</v>
      </c>
      <c r="F8" s="5">
        <v>32</v>
      </c>
      <c r="G8" s="5">
        <v>229.791</v>
      </c>
      <c r="H8" t="s">
        <v>27</v>
      </c>
      <c r="I8" s="11">
        <v>32.35</v>
      </c>
      <c r="J8" s="5">
        <v>178</v>
      </c>
      <c r="K8" s="5">
        <v>8.3000000000000004E-2</v>
      </c>
      <c r="L8" s="44">
        <v>0.13492000000000001</v>
      </c>
      <c r="M8" s="65">
        <v>0.4570221157846614</v>
      </c>
      <c r="N8" s="66">
        <v>0.18001040040425326</v>
      </c>
      <c r="O8" s="5">
        <v>1.6472</v>
      </c>
      <c r="P8" s="5">
        <v>6.7140000000000004</v>
      </c>
      <c r="Q8" s="5">
        <v>53.712000000000003</v>
      </c>
      <c r="R8" s="5">
        <v>84.926000000000002</v>
      </c>
      <c r="S8" s="45">
        <v>15.6</v>
      </c>
      <c r="T8" s="45">
        <v>6.6900000000000001E-2</v>
      </c>
      <c r="U8" s="45">
        <v>7.5699999999999997E-5</v>
      </c>
      <c r="V8" s="45">
        <v>-6.7399999999999995E-8</v>
      </c>
      <c r="W8" s="45" t="str">
        <f t="shared" si="0"/>
        <v>CH2=CH</v>
      </c>
      <c r="X8" s="5">
        <v>-1.0585</v>
      </c>
      <c r="Y8" s="5">
        <v>-2.0034999999999998</v>
      </c>
      <c r="Z8" s="5">
        <v>-1.2985</v>
      </c>
      <c r="AA8" s="38">
        <v>2</v>
      </c>
      <c r="AB8" s="37">
        <v>3</v>
      </c>
      <c r="AD8" s="38"/>
      <c r="AF8" s="38"/>
      <c r="AG8" s="38"/>
      <c r="AH8" s="38"/>
      <c r="AI8" s="34"/>
    </row>
    <row r="9" spans="1:118">
      <c r="A9" t="s">
        <v>28</v>
      </c>
      <c r="B9">
        <v>6</v>
      </c>
      <c r="C9" s="5">
        <v>26.0381</v>
      </c>
      <c r="D9" s="5">
        <v>7.9000000000000001E-2</v>
      </c>
      <c r="E9" s="5">
        <v>0.36</v>
      </c>
      <c r="F9" s="5">
        <v>32</v>
      </c>
      <c r="G9" s="5">
        <v>258.03800000000001</v>
      </c>
      <c r="H9" t="s">
        <v>28</v>
      </c>
      <c r="I9" s="11">
        <v>26.36</v>
      </c>
      <c r="J9" s="5">
        <v>225.81899999999999</v>
      </c>
      <c r="K9" s="5">
        <v>6.8000000000000005E-2</v>
      </c>
      <c r="L9" s="44">
        <v>3.9940000000000003E-2</v>
      </c>
      <c r="M9" s="65">
        <v>-9.0942599508227168E-2</v>
      </c>
      <c r="N9" s="66">
        <v>-0.11781065149584148</v>
      </c>
      <c r="O9" s="5">
        <v>1.6322000000000001</v>
      </c>
      <c r="P9" s="5">
        <v>7.37</v>
      </c>
      <c r="Q9" s="5">
        <v>69.938999999999993</v>
      </c>
      <c r="R9" s="5">
        <v>92.9</v>
      </c>
      <c r="S9" s="45">
        <v>-16</v>
      </c>
      <c r="T9" s="45">
        <v>0.21</v>
      </c>
      <c r="U9" s="45">
        <v>-1.93E-4</v>
      </c>
      <c r="V9" s="45">
        <v>7.1200000000000002E-8</v>
      </c>
      <c r="W9" s="45" t="str">
        <f t="shared" si="0"/>
        <v>CH=CH</v>
      </c>
      <c r="X9" s="5">
        <v>4.7999999999999996E-3</v>
      </c>
      <c r="Y9" s="5">
        <v>-0.2984</v>
      </c>
      <c r="Z9" s="5">
        <v>-0.04</v>
      </c>
      <c r="AA9" s="38">
        <v>2</v>
      </c>
      <c r="AB9" s="37">
        <v>2</v>
      </c>
      <c r="AD9" s="38"/>
      <c r="AF9" s="38"/>
      <c r="AG9" s="38"/>
      <c r="AH9" s="38"/>
      <c r="AI9" s="34"/>
    </row>
    <row r="10" spans="1:118">
      <c r="A10" t="s">
        <v>29</v>
      </c>
      <c r="B10">
        <v>7</v>
      </c>
      <c r="C10" s="5">
        <v>26.0381</v>
      </c>
      <c r="D10" s="5">
        <v>0.05</v>
      </c>
      <c r="E10" s="5">
        <v>0.36</v>
      </c>
      <c r="F10" s="5">
        <v>32</v>
      </c>
      <c r="G10" s="5">
        <v>240.28700000000001</v>
      </c>
      <c r="H10" t="s">
        <v>29</v>
      </c>
      <c r="I10" s="11">
        <v>26.35</v>
      </c>
      <c r="J10" s="5">
        <v>208.54499999999999</v>
      </c>
      <c r="K10" s="5">
        <v>6.8000000000000005E-2</v>
      </c>
      <c r="L10" s="44">
        <v>0.11229</v>
      </c>
      <c r="M10" s="65">
        <v>-0.12155179231014714</v>
      </c>
      <c r="N10" s="66">
        <v>5.3629652840734246E-2</v>
      </c>
      <c r="O10" s="5">
        <v>1.7899</v>
      </c>
      <c r="P10" s="5">
        <v>6.7969999999999997</v>
      </c>
      <c r="Q10" s="5">
        <v>64.144999999999996</v>
      </c>
      <c r="R10" s="5">
        <v>88.402000000000001</v>
      </c>
      <c r="S10" s="45">
        <v>-4.5</v>
      </c>
      <c r="T10" s="45">
        <v>0.17</v>
      </c>
      <c r="U10" s="45">
        <v>-1.34E-4</v>
      </c>
      <c r="V10" s="45">
        <v>4.3000000000000001E-8</v>
      </c>
      <c r="W10" s="45" t="str">
        <f t="shared" si="0"/>
        <v>CH2=C</v>
      </c>
      <c r="X10" s="5">
        <v>-0.4829</v>
      </c>
      <c r="Y10" s="5">
        <v>-0.77939999999999998</v>
      </c>
      <c r="Z10" s="5">
        <v>-0.82599999999999996</v>
      </c>
      <c r="AA10" s="38">
        <v>2</v>
      </c>
      <c r="AB10" s="37">
        <v>2</v>
      </c>
      <c r="AD10" s="38"/>
      <c r="AF10" s="38"/>
      <c r="AG10" s="38"/>
      <c r="AH10" s="38"/>
      <c r="AI10" s="34"/>
    </row>
    <row r="11" spans="1:118">
      <c r="A11" t="s">
        <v>30</v>
      </c>
      <c r="B11">
        <v>8</v>
      </c>
      <c r="C11" s="5">
        <v>25.030200000000001</v>
      </c>
      <c r="D11" s="5">
        <v>2.5000000000000001E-2</v>
      </c>
      <c r="E11" s="5">
        <v>0.36</v>
      </c>
      <c r="F11" s="5">
        <v>32</v>
      </c>
      <c r="G11" s="5">
        <v>266.85199999999998</v>
      </c>
      <c r="H11" t="s">
        <v>30</v>
      </c>
      <c r="I11" s="11">
        <v>20.36</v>
      </c>
      <c r="J11" s="5">
        <v>264.29000000000002</v>
      </c>
      <c r="K11" s="5">
        <v>6.8000000000000005E-2</v>
      </c>
      <c r="L11" s="44">
        <v>0.16231000000000001</v>
      </c>
      <c r="M11" s="65">
        <v>0.46990777858201443</v>
      </c>
      <c r="N11" s="66">
        <v>0.13361626626820483</v>
      </c>
      <c r="O11" s="5">
        <v>2.0017999999999998</v>
      </c>
      <c r="P11" s="5">
        <v>8.1780000000000008</v>
      </c>
      <c r="Q11" s="5">
        <v>82.528000000000006</v>
      </c>
      <c r="R11" s="5">
        <v>93.745000000000005</v>
      </c>
      <c r="S11" s="45">
        <v>-36.1</v>
      </c>
      <c r="T11" s="45">
        <v>0.313</v>
      </c>
      <c r="U11" s="45">
        <v>-4.0200000000000001E-4</v>
      </c>
      <c r="V11" s="45">
        <v>1.8199999999999999E-7</v>
      </c>
      <c r="W11" s="45" t="str">
        <f t="shared" si="0"/>
        <v>CH=C</v>
      </c>
      <c r="X11" s="5">
        <v>0.53720000000000001</v>
      </c>
      <c r="Y11" s="5">
        <v>-0.90239999999999998</v>
      </c>
      <c r="Z11" s="5">
        <v>-1.8872</v>
      </c>
      <c r="AA11" s="38">
        <v>2</v>
      </c>
      <c r="AB11" s="37">
        <v>1</v>
      </c>
      <c r="AD11" s="38"/>
      <c r="AF11" s="38"/>
      <c r="AG11" s="38"/>
      <c r="AH11" s="38"/>
      <c r="AI11" s="34"/>
    </row>
    <row r="12" spans="1:118">
      <c r="A12" t="s">
        <v>31</v>
      </c>
      <c r="B12">
        <v>9</v>
      </c>
      <c r="C12" s="5">
        <v>24.022300000000001</v>
      </c>
      <c r="D12" s="5">
        <v>-0.17599999999999999</v>
      </c>
      <c r="E12" s="5">
        <v>0.36</v>
      </c>
      <c r="F12" s="5">
        <v>32</v>
      </c>
      <c r="G12" s="5">
        <v>188.12</v>
      </c>
      <c r="H12" t="s">
        <v>31</v>
      </c>
      <c r="I12" s="11">
        <v>14.36</v>
      </c>
      <c r="J12" s="5">
        <v>180</v>
      </c>
      <c r="K12" s="5">
        <v>6.8000000000000005E-2</v>
      </c>
      <c r="L12" s="44">
        <v>-2.2270000000000002E-2</v>
      </c>
      <c r="M12" s="65">
        <v>-0.38607876272583952</v>
      </c>
      <c r="N12" s="66">
        <v>0.11677935449200191</v>
      </c>
      <c r="O12" s="5">
        <v>3.3439000000000001</v>
      </c>
      <c r="P12" s="5">
        <v>9.3420000000000005</v>
      </c>
      <c r="Q12" s="5">
        <v>104.29300000000001</v>
      </c>
      <c r="R12" s="5">
        <v>116.613</v>
      </c>
      <c r="S12" s="45">
        <v>-56.2</v>
      </c>
      <c r="T12" s="45">
        <v>0.41599999999999998</v>
      </c>
      <c r="U12" s="45">
        <v>-6.1200000000000002E-4</v>
      </c>
      <c r="V12" s="45">
        <v>2.9200000000000002E-7</v>
      </c>
      <c r="W12" s="45" t="str">
        <f t="shared" si="0"/>
        <v>C=C</v>
      </c>
      <c r="X12" s="5">
        <v>0.35920000000000002</v>
      </c>
      <c r="Y12" s="5">
        <v>1.0526</v>
      </c>
      <c r="Z12" s="5">
        <v>-15.465999999999999</v>
      </c>
      <c r="AA12" s="38">
        <v>2</v>
      </c>
      <c r="AB12" s="37">
        <v>0</v>
      </c>
      <c r="AD12" s="38"/>
      <c r="AF12" s="38"/>
      <c r="AG12" s="38"/>
      <c r="AH12" s="38"/>
      <c r="AI12" s="34"/>
    </row>
    <row r="13" spans="1:118">
      <c r="A13" t="s">
        <v>32</v>
      </c>
      <c r="B13">
        <v>10</v>
      </c>
      <c r="C13" s="5">
        <v>13.019</v>
      </c>
      <c r="D13" s="5">
        <v>3.6999999999999998E-2</v>
      </c>
      <c r="E13" s="5">
        <v>0.153</v>
      </c>
      <c r="F13" s="5">
        <v>16</v>
      </c>
      <c r="G13" s="5">
        <v>132.60900000000001</v>
      </c>
      <c r="H13" t="s">
        <v>32</v>
      </c>
      <c r="I13" s="11">
        <v>13.42</v>
      </c>
      <c r="J13" s="5">
        <v>108</v>
      </c>
      <c r="K13" s="5">
        <v>3.1E-2</v>
      </c>
      <c r="L13" s="44">
        <v>0.10926</v>
      </c>
      <c r="M13" s="65">
        <v>0.3630596221866188</v>
      </c>
      <c r="N13" s="66">
        <v>0.15029059566537489</v>
      </c>
      <c r="O13" s="5">
        <v>1.4669000000000001</v>
      </c>
      <c r="P13" s="5">
        <v>4.0979999999999999</v>
      </c>
      <c r="Q13" s="5">
        <v>11.189</v>
      </c>
      <c r="R13" s="5">
        <v>22.533000000000001</v>
      </c>
      <c r="S13" s="45">
        <v>-2.14</v>
      </c>
      <c r="T13" s="45">
        <v>5.74E-2</v>
      </c>
      <c r="U13" s="45">
        <v>-1.64E-6</v>
      </c>
      <c r="V13" s="45">
        <v>-1.59E-8</v>
      </c>
      <c r="W13" s="45" t="str">
        <f t="shared" si="0"/>
        <v>ACH</v>
      </c>
      <c r="X13" s="5">
        <v>0.1105</v>
      </c>
      <c r="Y13" s="5">
        <v>-0.53029999999999999</v>
      </c>
      <c r="Z13" s="5">
        <v>-0.43049999999999999</v>
      </c>
      <c r="AA13" s="38">
        <v>1</v>
      </c>
      <c r="AB13" s="37">
        <v>1</v>
      </c>
      <c r="AD13" s="38"/>
      <c r="AF13" s="38"/>
      <c r="AG13" s="38"/>
      <c r="AH13" s="38"/>
      <c r="AI13" s="34"/>
    </row>
    <row r="14" spans="1:118">
      <c r="A14" t="s">
        <v>33</v>
      </c>
      <c r="B14">
        <v>11</v>
      </c>
      <c r="C14" s="5">
        <v>12.011200000000001</v>
      </c>
      <c r="D14" s="5">
        <v>4.0000000000000001E-3</v>
      </c>
      <c r="E14" s="5">
        <v>0.17299999999999999</v>
      </c>
      <c r="F14" s="5">
        <v>87</v>
      </c>
      <c r="G14" s="5">
        <v>204.55799999999999</v>
      </c>
      <c r="H14" t="s">
        <v>33</v>
      </c>
      <c r="I14" s="11">
        <v>7.42</v>
      </c>
      <c r="J14" s="5">
        <v>192.74</v>
      </c>
      <c r="K14" s="5">
        <v>3.4000000000000002E-2</v>
      </c>
      <c r="L14" s="44">
        <v>0.91720000000000002</v>
      </c>
      <c r="M14" s="65">
        <v>2.2871438479821706</v>
      </c>
      <c r="N14" s="66">
        <v>1.8237302393005028</v>
      </c>
      <c r="O14" s="5">
        <v>0.20979999999999999</v>
      </c>
      <c r="P14" s="5">
        <v>12.552</v>
      </c>
      <c r="Q14" s="5">
        <v>27.015999999999998</v>
      </c>
      <c r="R14" s="5">
        <v>30.484999999999999</v>
      </c>
      <c r="S14" s="45">
        <v>-8.25</v>
      </c>
      <c r="T14" s="45">
        <v>0.10100000000000001</v>
      </c>
      <c r="U14" s="45">
        <v>-1.4200000000000001E-4</v>
      </c>
      <c r="V14" s="45">
        <v>6.7799999999999998E-8</v>
      </c>
      <c r="W14" s="45" t="str">
        <f t="shared" si="0"/>
        <v>AC-</v>
      </c>
      <c r="X14" s="5">
        <v>0.84460000000000002</v>
      </c>
      <c r="Y14" s="5">
        <v>0.61870000000000003</v>
      </c>
      <c r="Z14" s="5">
        <v>8.3999999999999995E-3</v>
      </c>
      <c r="AA14" s="38">
        <v>1</v>
      </c>
      <c r="AB14" s="37">
        <v>0</v>
      </c>
      <c r="AD14" s="38"/>
      <c r="AF14" s="38"/>
      <c r="AG14" s="38"/>
      <c r="AH14" s="38"/>
      <c r="AI14" s="34"/>
    </row>
    <row r="15" spans="1:118">
      <c r="A15" t="s">
        <v>34</v>
      </c>
      <c r="B15">
        <v>12</v>
      </c>
      <c r="C15" s="5">
        <v>27.045999999999999</v>
      </c>
      <c r="D15" s="5">
        <v>9.9000000000000005E-2</v>
      </c>
      <c r="E15" s="5">
        <v>0.375</v>
      </c>
      <c r="F15" s="5">
        <v>68</v>
      </c>
      <c r="G15" s="5">
        <v>282.512</v>
      </c>
      <c r="H15" t="s">
        <v>34</v>
      </c>
      <c r="I15" s="11">
        <v>28.97</v>
      </c>
      <c r="J15" s="5">
        <v>243.18</v>
      </c>
      <c r="K15" s="5">
        <v>9.1999999999999998E-2</v>
      </c>
      <c r="L15" s="44">
        <v>0.41644999999999999</v>
      </c>
      <c r="M15" s="65">
        <v>1.1147100896149593</v>
      </c>
      <c r="N15" s="66">
        <v>0.68138445371432266</v>
      </c>
      <c r="O15" s="5">
        <v>1.8634999999999999</v>
      </c>
      <c r="P15" s="5">
        <v>9.7759999999999998</v>
      </c>
      <c r="Q15" s="5">
        <v>-19.242999999999999</v>
      </c>
      <c r="R15" s="5">
        <v>22.504999999999999</v>
      </c>
      <c r="S15" s="45">
        <v>11.3</v>
      </c>
      <c r="T15" s="45">
        <v>9.2899999999999996E-2</v>
      </c>
      <c r="U15" s="45">
        <v>1.1E-5</v>
      </c>
      <c r="V15" s="45">
        <v>-2.8900000000000001E-8</v>
      </c>
      <c r="W15" s="45" t="str">
        <f t="shared" si="0"/>
        <v>ACCH3</v>
      </c>
      <c r="X15" s="5">
        <v>0.21740000000000001</v>
      </c>
      <c r="Y15" s="5">
        <v>-0.57050000000000001</v>
      </c>
      <c r="Z15" s="5">
        <v>-1.1473</v>
      </c>
      <c r="AA15" s="38">
        <v>2</v>
      </c>
      <c r="AB15" s="37">
        <v>3</v>
      </c>
      <c r="AD15" s="38"/>
      <c r="AF15" s="38"/>
      <c r="AG15" s="38"/>
      <c r="AH15" s="38"/>
      <c r="AI15" s="34"/>
    </row>
    <row r="16" spans="1:118">
      <c r="A16" t="s">
        <v>35</v>
      </c>
      <c r="B16">
        <v>13</v>
      </c>
      <c r="C16" s="5">
        <v>26.0381</v>
      </c>
      <c r="D16" s="5">
        <v>5.3999999999999999E-2</v>
      </c>
      <c r="E16" s="5">
        <v>0.37</v>
      </c>
      <c r="F16" s="5">
        <v>95</v>
      </c>
      <c r="G16" s="5">
        <v>273.625</v>
      </c>
      <c r="H16" t="s">
        <v>35</v>
      </c>
      <c r="I16" s="11">
        <v>22.97</v>
      </c>
      <c r="J16" s="5">
        <v>267.89999999999998</v>
      </c>
      <c r="K16" s="5">
        <v>7.4999999999999997E-2</v>
      </c>
      <c r="L16" s="44">
        <v>0.35841000000000001</v>
      </c>
      <c r="M16" s="65">
        <v>-0.13340629298835197</v>
      </c>
      <c r="N16" s="66">
        <v>0.64034401743595459</v>
      </c>
      <c r="O16" s="5">
        <v>0.41770000000000002</v>
      </c>
      <c r="P16" s="5">
        <v>10.185</v>
      </c>
      <c r="Q16" s="5">
        <v>9.4039999999999999</v>
      </c>
      <c r="R16" s="5">
        <v>41.228000000000002</v>
      </c>
      <c r="S16" s="45">
        <v>-9.16</v>
      </c>
      <c r="T16" s="45">
        <v>0.19600000000000001</v>
      </c>
      <c r="U16" s="45">
        <v>-1.9599999999999999E-4</v>
      </c>
      <c r="V16" s="45">
        <v>7.9700000000000006E-8</v>
      </c>
      <c r="W16" s="45" t="str">
        <f t="shared" si="0"/>
        <v>ACCH2</v>
      </c>
      <c r="X16" s="5">
        <v>0.69330000000000003</v>
      </c>
      <c r="Y16" s="5">
        <v>0.65169999999999995</v>
      </c>
      <c r="Z16" s="5">
        <v>-0.13750000000000001</v>
      </c>
      <c r="AA16" s="38">
        <v>2</v>
      </c>
      <c r="AB16" s="37">
        <v>2</v>
      </c>
      <c r="AD16" s="38"/>
      <c r="AF16" s="38"/>
      <c r="AG16" s="38"/>
      <c r="AH16" s="38"/>
      <c r="AI16" s="34"/>
    </row>
    <row r="17" spans="1:35">
      <c r="A17" t="s">
        <v>36</v>
      </c>
      <c r="B17">
        <v>14</v>
      </c>
      <c r="C17" s="5">
        <v>25.030200000000001</v>
      </c>
      <c r="D17" s="5">
        <v>-5.0000000000000001E-3</v>
      </c>
      <c r="E17" s="5">
        <v>0.35599999999999998</v>
      </c>
      <c r="F17" s="5">
        <v>107</v>
      </c>
      <c r="G17" s="5">
        <v>226.53</v>
      </c>
      <c r="H17" t="s">
        <v>36</v>
      </c>
      <c r="I17" s="11">
        <v>16.98</v>
      </c>
      <c r="J17" s="5">
        <v>248</v>
      </c>
      <c r="K17" s="5">
        <v>2.5999999999999999E-2</v>
      </c>
      <c r="L17" s="44">
        <v>0.34520000000000001</v>
      </c>
      <c r="M17" s="65">
        <v>0.34481401941519824</v>
      </c>
      <c r="N17" s="66">
        <v>0.49586693060304271</v>
      </c>
      <c r="O17" s="5">
        <v>-1.7566999999999999</v>
      </c>
      <c r="P17" s="5">
        <v>8.8339999999999996</v>
      </c>
      <c r="Q17" s="5">
        <v>27.670999999999999</v>
      </c>
      <c r="R17" s="5">
        <v>52.948</v>
      </c>
      <c r="S17" s="45">
        <v>-31.3</v>
      </c>
      <c r="T17" s="45">
        <v>0.30499999999999999</v>
      </c>
      <c r="U17" s="45">
        <v>-4.0700000000000003E-4</v>
      </c>
      <c r="V17" s="45">
        <v>1.8799999999999999E-7</v>
      </c>
      <c r="W17" s="45" t="str">
        <f t="shared" si="0"/>
        <v>ACCH</v>
      </c>
      <c r="X17" s="5">
        <f>X16-X5+X6</f>
        <v>1.3652000000000002</v>
      </c>
      <c r="Y17" s="5">
        <f>Y16-Y5+Y6</f>
        <v>1.6052999999999999</v>
      </c>
      <c r="Z17" s="5">
        <f>Z16-Z5+Z6</f>
        <v>7.259999999999997E-2</v>
      </c>
      <c r="AA17" s="38">
        <v>2</v>
      </c>
      <c r="AB17" s="37">
        <v>1</v>
      </c>
      <c r="AD17" s="38"/>
      <c r="AF17" s="38"/>
      <c r="AG17" s="38"/>
      <c r="AH17" s="38"/>
      <c r="AI17" s="34"/>
    </row>
    <row r="18" spans="1:35">
      <c r="A18" t="s">
        <v>37</v>
      </c>
      <c r="B18">
        <v>15</v>
      </c>
      <c r="C18" s="5">
        <v>17.007300000000001</v>
      </c>
      <c r="D18" s="5">
        <v>0.22500000000000001</v>
      </c>
      <c r="E18" s="5">
        <v>7.4999999999999997E-2</v>
      </c>
      <c r="F18" s="5">
        <v>-25</v>
      </c>
      <c r="G18" s="5">
        <v>412</v>
      </c>
      <c r="H18" t="s">
        <v>37</v>
      </c>
      <c r="I18" s="11">
        <v>12.45</v>
      </c>
      <c r="J18" s="5">
        <v>397.86</v>
      </c>
      <c r="K18" s="5">
        <v>0.39400000000000002</v>
      </c>
      <c r="L18" s="44">
        <v>0.37767000000000001</v>
      </c>
      <c r="M18" s="65">
        <v>1.8530716777301279</v>
      </c>
      <c r="N18" s="66">
        <v>0.6361519305355422</v>
      </c>
      <c r="O18" s="5">
        <v>3.5979000000000001</v>
      </c>
      <c r="P18" s="5">
        <v>24.529</v>
      </c>
      <c r="Q18" s="5">
        <v>-181.422</v>
      </c>
      <c r="R18" s="5">
        <v>-158.589</v>
      </c>
      <c r="S18" s="45">
        <v>25.7</v>
      </c>
      <c r="T18" s="45">
        <v>-6.9099999999999995E-2</v>
      </c>
      <c r="U18" s="45">
        <v>1.7699999999999999E-4</v>
      </c>
      <c r="V18" s="45">
        <v>-9.8799999999999998E-8</v>
      </c>
      <c r="W18" s="45" t="str">
        <f t="shared" si="0"/>
        <v>OH</v>
      </c>
      <c r="X18" s="5">
        <v>-0.34620000000000001</v>
      </c>
      <c r="Y18" s="5">
        <v>1.1404000000000001</v>
      </c>
      <c r="Z18" s="5">
        <v>7.1908000000000003</v>
      </c>
      <c r="AA18" s="38">
        <v>0</v>
      </c>
      <c r="AB18" s="37">
        <v>1</v>
      </c>
      <c r="AC18" s="37">
        <v>1</v>
      </c>
      <c r="AD18" s="38"/>
      <c r="AF18" s="38"/>
      <c r="AG18" s="38"/>
      <c r="AH18" s="38"/>
      <c r="AI18" s="34"/>
    </row>
    <row r="19" spans="1:35">
      <c r="A19" t="s">
        <v>38</v>
      </c>
      <c r="B19">
        <v>16</v>
      </c>
      <c r="C19" s="5">
        <v>32.042099999999998</v>
      </c>
      <c r="D19" s="5" t="s">
        <v>39</v>
      </c>
      <c r="E19" s="5" t="s">
        <v>39</v>
      </c>
      <c r="F19" s="5" t="s">
        <v>39</v>
      </c>
      <c r="G19" s="5" t="s">
        <v>39</v>
      </c>
      <c r="H19" t="s">
        <v>38</v>
      </c>
      <c r="I19" s="11" t="s">
        <v>39</v>
      </c>
      <c r="J19" s="5" t="s">
        <v>39</v>
      </c>
      <c r="K19" s="5" t="s">
        <v>39</v>
      </c>
      <c r="L19" s="5" t="s">
        <v>39</v>
      </c>
      <c r="M19" s="65" t="s">
        <v>39</v>
      </c>
      <c r="N19" s="66"/>
      <c r="O19" s="5" t="s">
        <v>39</v>
      </c>
      <c r="P19" s="5" t="s">
        <v>39</v>
      </c>
      <c r="Q19" s="5" t="s">
        <v>39</v>
      </c>
      <c r="R19" s="5" t="s">
        <v>39</v>
      </c>
      <c r="S19" s="5" t="s">
        <v>39</v>
      </c>
      <c r="T19" s="5" t="s">
        <v>39</v>
      </c>
      <c r="U19" s="5" t="s">
        <v>39</v>
      </c>
      <c r="V19" s="5" t="s">
        <v>39</v>
      </c>
      <c r="W19" s="45" t="str">
        <f t="shared" si="0"/>
        <v>CH3OH</v>
      </c>
      <c r="AA19" s="38">
        <v>1</v>
      </c>
      <c r="AB19" s="37">
        <v>4</v>
      </c>
      <c r="AC19" s="37">
        <v>1</v>
      </c>
      <c r="AD19" s="38"/>
      <c r="AF19" s="38"/>
      <c r="AG19" s="38"/>
      <c r="AH19" s="38"/>
      <c r="AI19" s="34"/>
    </row>
    <row r="20" spans="1:35">
      <c r="A20" t="s">
        <v>40</v>
      </c>
      <c r="B20">
        <v>17</v>
      </c>
      <c r="C20" s="5">
        <v>18.0153</v>
      </c>
      <c r="D20" s="5" t="s">
        <v>39</v>
      </c>
      <c r="E20" s="5" t="s">
        <v>39</v>
      </c>
      <c r="F20" s="5" t="s">
        <v>39</v>
      </c>
      <c r="G20" s="5" t="s">
        <v>39</v>
      </c>
      <c r="H20" t="s">
        <v>40</v>
      </c>
      <c r="I20" s="11" t="s">
        <v>39</v>
      </c>
      <c r="J20" s="5" t="s">
        <v>39</v>
      </c>
      <c r="K20" s="5" t="s">
        <v>39</v>
      </c>
      <c r="L20" s="5" t="s">
        <v>39</v>
      </c>
      <c r="M20" s="65" t="s">
        <v>39</v>
      </c>
      <c r="N20" s="66"/>
      <c r="O20" s="5" t="s">
        <v>39</v>
      </c>
      <c r="P20" s="5" t="s">
        <v>39</v>
      </c>
      <c r="Q20" s="5" t="s">
        <v>39</v>
      </c>
      <c r="R20" s="5" t="s">
        <v>39</v>
      </c>
      <c r="S20" s="5" t="s">
        <v>39</v>
      </c>
      <c r="T20" s="5" t="s">
        <v>39</v>
      </c>
      <c r="U20" s="5" t="s">
        <v>39</v>
      </c>
      <c r="V20" s="5" t="s">
        <v>39</v>
      </c>
      <c r="W20" s="45" t="str">
        <f t="shared" si="0"/>
        <v>H2O</v>
      </c>
      <c r="AA20" s="38">
        <v>0</v>
      </c>
      <c r="AB20" s="37">
        <v>2</v>
      </c>
      <c r="AC20" s="37">
        <v>1</v>
      </c>
      <c r="AD20" s="38"/>
      <c r="AF20" s="38"/>
      <c r="AG20" s="38"/>
      <c r="AH20" s="38"/>
      <c r="AI20" s="34"/>
    </row>
    <row r="21" spans="1:35">
      <c r="A21" t="s">
        <v>41</v>
      </c>
      <c r="B21">
        <v>18</v>
      </c>
      <c r="C21" s="5">
        <v>29.0184</v>
      </c>
      <c r="D21" s="5">
        <v>0.16300000000000001</v>
      </c>
      <c r="E21" s="5">
        <v>0.126</v>
      </c>
      <c r="F21" s="5">
        <v>-20</v>
      </c>
      <c r="G21" s="5">
        <v>525.221</v>
      </c>
      <c r="H21" t="s">
        <v>41</v>
      </c>
      <c r="I21" s="11">
        <v>19.87</v>
      </c>
      <c r="J21" s="5">
        <v>571.44899999999996</v>
      </c>
      <c r="K21" s="5">
        <v>0.26500000000000001</v>
      </c>
      <c r="L21" s="44">
        <v>1.76546</v>
      </c>
      <c r="M21" s="65">
        <v>6.0284425518260658</v>
      </c>
      <c r="N21" s="66">
        <v>3.6127879689779392</v>
      </c>
      <c r="O21" s="5">
        <v>13.7349</v>
      </c>
      <c r="P21" s="5">
        <v>40.246000000000002</v>
      </c>
      <c r="Q21" s="5">
        <v>-164.60900000000001</v>
      </c>
      <c r="R21" s="5">
        <v>-132.09700000000001</v>
      </c>
      <c r="S21" s="45">
        <v>-11.1</v>
      </c>
      <c r="T21" s="45">
        <v>0.21199999999999999</v>
      </c>
      <c r="U21" s="45">
        <v>-2.5799999999999998E-4</v>
      </c>
      <c r="V21" s="45">
        <v>1.17E-7</v>
      </c>
      <c r="W21" s="45" t="str">
        <f t="shared" si="0"/>
        <v>ACOH</v>
      </c>
      <c r="X21" s="5">
        <v>0.52880000000000005</v>
      </c>
      <c r="Y21" s="5">
        <v>1.101</v>
      </c>
      <c r="Z21" s="5">
        <v>6.9580000000000002</v>
      </c>
      <c r="AA21" s="38">
        <v>1</v>
      </c>
      <c r="AB21" s="37">
        <v>1</v>
      </c>
      <c r="AC21" s="37">
        <v>1</v>
      </c>
      <c r="AD21" s="38"/>
      <c r="AF21" s="38"/>
      <c r="AG21" s="38"/>
      <c r="AH21" s="38"/>
      <c r="AI21" s="34"/>
    </row>
    <row r="22" spans="1:35">
      <c r="A22" t="s">
        <v>42</v>
      </c>
      <c r="B22">
        <v>19</v>
      </c>
      <c r="C22" s="5">
        <v>43.045400000000001</v>
      </c>
      <c r="D22" s="5">
        <v>0.193</v>
      </c>
      <c r="E22" s="5">
        <v>0.51300000000000001</v>
      </c>
      <c r="F22" s="5">
        <v>77</v>
      </c>
      <c r="G22" s="5">
        <v>518.74900000000002</v>
      </c>
      <c r="H22" t="s">
        <v>42</v>
      </c>
      <c r="I22" s="11">
        <v>38.85</v>
      </c>
      <c r="J22" s="5">
        <v>447.54700000000003</v>
      </c>
      <c r="K22" s="5">
        <v>0.217</v>
      </c>
      <c r="L22" s="44">
        <v>0.66442000000000001</v>
      </c>
      <c r="M22" s="65">
        <v>2.2437881498219636</v>
      </c>
      <c r="N22" s="66">
        <v>0.96450371806142998</v>
      </c>
      <c r="O22" s="5">
        <v>4.8776000000000002</v>
      </c>
      <c r="P22" s="5">
        <v>18.998999999999999</v>
      </c>
      <c r="Q22" s="5">
        <v>-182.32900000000001</v>
      </c>
      <c r="R22" s="5">
        <v>-131.36600000000001</v>
      </c>
      <c r="S22" s="48">
        <v>26</v>
      </c>
      <c r="T22" s="45">
        <v>5.8900000000000001E-2</v>
      </c>
      <c r="U22" s="45">
        <v>1.17E-4</v>
      </c>
      <c r="V22" s="45">
        <v>-9.3800000000000006E-8</v>
      </c>
      <c r="W22" s="45" t="str">
        <f t="shared" si="0"/>
        <v>CH3CO</v>
      </c>
      <c r="X22" s="5">
        <v>-0.35510000000000003</v>
      </c>
      <c r="Y22" s="5">
        <v>2.3191999999999999</v>
      </c>
      <c r="Z22" s="5">
        <v>-1.3078000000000001</v>
      </c>
      <c r="AA22" s="38">
        <v>2</v>
      </c>
      <c r="AB22" s="37">
        <v>3</v>
      </c>
      <c r="AC22" s="37">
        <v>1</v>
      </c>
      <c r="AD22" s="38"/>
      <c r="AF22" s="38"/>
      <c r="AG22" s="38"/>
      <c r="AH22" s="38"/>
      <c r="AI22" s="34"/>
    </row>
    <row r="23" spans="1:35">
      <c r="A23" t="s">
        <v>43</v>
      </c>
      <c r="B23">
        <v>20</v>
      </c>
      <c r="C23" s="5">
        <v>42.037500000000001</v>
      </c>
      <c r="D23" s="5">
        <v>0.16700000000000001</v>
      </c>
      <c r="E23" s="5">
        <v>0.504</v>
      </c>
      <c r="F23" s="5">
        <v>78</v>
      </c>
      <c r="G23" s="5">
        <v>493.09</v>
      </c>
      <c r="H23" t="s">
        <v>43</v>
      </c>
      <c r="I23" s="11">
        <v>32.85</v>
      </c>
      <c r="J23" s="5">
        <v>468.1</v>
      </c>
      <c r="K23" s="5">
        <v>0.20699999999999999</v>
      </c>
      <c r="L23" s="44">
        <v>0.78729000000000005</v>
      </c>
      <c r="M23" s="65">
        <v>2.2893065297052551</v>
      </c>
      <c r="N23" s="66">
        <v>1.1688458933075261</v>
      </c>
      <c r="O23" s="5">
        <v>5.6622000000000003</v>
      </c>
      <c r="P23" s="5">
        <v>20.041</v>
      </c>
      <c r="Q23" s="5">
        <v>-164.41</v>
      </c>
      <c r="R23" s="5">
        <v>-132.386</v>
      </c>
      <c r="S23" s="45">
        <v>5.54</v>
      </c>
      <c r="T23" s="45">
        <v>0.16200000000000001</v>
      </c>
      <c r="U23" s="45">
        <v>-9.0099999999999995E-5</v>
      </c>
      <c r="V23" s="45">
        <v>1.48E-8</v>
      </c>
      <c r="W23" s="45" t="str">
        <f t="shared" si="0"/>
        <v>CH2CO</v>
      </c>
      <c r="X23" s="5">
        <v>0.65269999999999995</v>
      </c>
      <c r="Y23" s="5">
        <v>3.7328000000000001</v>
      </c>
      <c r="Z23" s="5">
        <v>-0.53439999999999999</v>
      </c>
      <c r="AA23" s="38">
        <v>2</v>
      </c>
      <c r="AB23" s="37">
        <v>2</v>
      </c>
      <c r="AC23" s="37">
        <v>1</v>
      </c>
      <c r="AD23" s="38"/>
      <c r="AF23" s="38"/>
      <c r="AG23" s="38"/>
      <c r="AH23" s="38"/>
      <c r="AI23" s="34"/>
    </row>
    <row r="24" spans="1:35">
      <c r="A24" t="s">
        <v>44</v>
      </c>
      <c r="B24">
        <v>21</v>
      </c>
      <c r="C24" s="5">
        <v>29.0184</v>
      </c>
      <c r="D24" s="5">
        <v>0.18</v>
      </c>
      <c r="E24" s="5">
        <v>0.32400000000000001</v>
      </c>
      <c r="F24" s="5">
        <v>-8</v>
      </c>
      <c r="G24" s="5">
        <v>384.48</v>
      </c>
      <c r="H24" t="s">
        <v>44</v>
      </c>
      <c r="I24" s="11">
        <v>23.3</v>
      </c>
      <c r="J24" s="5">
        <v>332.5</v>
      </c>
      <c r="K24" s="5">
        <v>0.216</v>
      </c>
      <c r="L24" s="44">
        <v>0.24323</v>
      </c>
      <c r="M24" s="65">
        <v>0.92185353759683486</v>
      </c>
      <c r="N24" s="66">
        <v>-4.2421030829223723E-2</v>
      </c>
      <c r="O24" s="5">
        <v>4.2927</v>
      </c>
      <c r="P24" s="5">
        <v>12.909000000000001</v>
      </c>
      <c r="Q24" s="5">
        <v>-129.15799999999999</v>
      </c>
      <c r="R24" s="5">
        <v>-107.858</v>
      </c>
      <c r="S24" s="45">
        <v>30.9</v>
      </c>
      <c r="T24" s="45">
        <v>-3.3599999999999998E-2</v>
      </c>
      <c r="U24" s="45">
        <v>1.6000000000000001E-4</v>
      </c>
      <c r="V24" s="45">
        <v>-9.8799999999999998E-8</v>
      </c>
      <c r="W24" s="45" t="str">
        <f t="shared" si="0"/>
        <v>CHO</v>
      </c>
      <c r="X24" s="5">
        <v>-0.40300000000000002</v>
      </c>
      <c r="Y24" s="5">
        <v>3.4733999999999998</v>
      </c>
      <c r="Z24" s="5">
        <v>0.16869999999999999</v>
      </c>
      <c r="AA24" s="38">
        <v>1</v>
      </c>
      <c r="AB24" s="37">
        <v>1</v>
      </c>
      <c r="AC24" s="37">
        <v>1</v>
      </c>
      <c r="AD24" s="38"/>
      <c r="AF24" s="38"/>
      <c r="AG24" s="38"/>
      <c r="AH24" s="38"/>
      <c r="AI24" s="34"/>
    </row>
    <row r="25" spans="1:35">
      <c r="A25" t="s">
        <v>45</v>
      </c>
      <c r="B25">
        <v>22</v>
      </c>
      <c r="C25" s="5">
        <v>59.044800000000002</v>
      </c>
      <c r="D25" s="5">
        <v>0.222</v>
      </c>
      <c r="E25" s="5">
        <v>0.71199999999999997</v>
      </c>
      <c r="F25" s="5">
        <v>102</v>
      </c>
      <c r="G25" s="5">
        <v>520.79100000000005</v>
      </c>
      <c r="H25" t="s">
        <v>45</v>
      </c>
      <c r="I25" s="11">
        <v>43</v>
      </c>
      <c r="J25" s="5">
        <v>462.72</v>
      </c>
      <c r="K25" s="5">
        <v>0.217</v>
      </c>
      <c r="L25" s="44">
        <v>1.2407699999999999</v>
      </c>
      <c r="M25" s="65">
        <v>4.2902664869782114</v>
      </c>
      <c r="N25" s="66">
        <v>2.5024913287745618</v>
      </c>
      <c r="O25" s="5">
        <v>4.0823</v>
      </c>
      <c r="P25" s="5">
        <v>22.709</v>
      </c>
      <c r="Q25" s="5">
        <v>-389.73700000000002</v>
      </c>
      <c r="R25" s="5">
        <v>-318.61599999999999</v>
      </c>
      <c r="S25" s="45">
        <v>44</v>
      </c>
      <c r="T25" s="45">
        <v>3.2099999999999997E-2</v>
      </c>
      <c r="U25" s="45">
        <v>1.93E-4</v>
      </c>
      <c r="V25" s="45">
        <v>-1.42E-7</v>
      </c>
      <c r="W25" s="45" t="str">
        <f t="shared" si="0"/>
        <v>CH3COO</v>
      </c>
      <c r="X25" s="5">
        <v>-0.54010000000000002</v>
      </c>
      <c r="Y25" s="5">
        <v>-0.39700000000000002</v>
      </c>
      <c r="Z25" s="5">
        <v>1.5826</v>
      </c>
      <c r="AA25" s="38">
        <v>2</v>
      </c>
      <c r="AB25" s="37">
        <v>3</v>
      </c>
      <c r="AC25" s="37">
        <v>2</v>
      </c>
      <c r="AD25" s="38"/>
      <c r="AF25" s="38"/>
      <c r="AG25" s="38"/>
      <c r="AH25" s="38"/>
      <c r="AI25" s="34"/>
    </row>
    <row r="26" spans="1:35">
      <c r="A26" t="s">
        <v>46</v>
      </c>
      <c r="B26">
        <v>23</v>
      </c>
      <c r="C26" s="5">
        <v>58.036900000000003</v>
      </c>
      <c r="D26" s="5">
        <v>0.20399999999999999</v>
      </c>
      <c r="E26" s="5">
        <v>0.70399999999999996</v>
      </c>
      <c r="F26" s="5">
        <v>103</v>
      </c>
      <c r="G26" s="5">
        <v>497.16300000000001</v>
      </c>
      <c r="H26" t="s">
        <v>46</v>
      </c>
      <c r="I26" s="11">
        <v>37</v>
      </c>
      <c r="J26" s="5">
        <v>472.52</v>
      </c>
      <c r="K26" s="5">
        <v>0.26100000000000001</v>
      </c>
      <c r="L26" s="44">
        <v>0.63902000000000003</v>
      </c>
      <c r="M26" s="65">
        <v>0.89064193339623043</v>
      </c>
      <c r="N26" s="66">
        <v>0.84662934117461719</v>
      </c>
      <c r="O26" s="5">
        <v>3.5571999999999999</v>
      </c>
      <c r="P26" s="5">
        <v>17.759</v>
      </c>
      <c r="Q26" s="5">
        <v>-359.25799999999998</v>
      </c>
      <c r="R26" s="5">
        <v>-291.18799999999999</v>
      </c>
      <c r="S26" s="45">
        <v>23.6</v>
      </c>
      <c r="T26" s="45">
        <v>0.13500000000000001</v>
      </c>
      <c r="U26" s="45">
        <v>-1.42E-5</v>
      </c>
      <c r="V26" s="45">
        <v>-3.33E-8</v>
      </c>
      <c r="W26" s="45" t="str">
        <f t="shared" si="0"/>
        <v>CH2COO</v>
      </c>
      <c r="X26" s="5">
        <v>0.2913</v>
      </c>
      <c r="Y26" s="5">
        <v>3.6461999999999999</v>
      </c>
      <c r="Z26" s="5">
        <v>1.2523</v>
      </c>
      <c r="AA26" s="38">
        <v>2</v>
      </c>
      <c r="AB26" s="37">
        <v>2</v>
      </c>
      <c r="AC26" s="37">
        <v>2</v>
      </c>
      <c r="AD26" s="38"/>
      <c r="AF26" s="38"/>
      <c r="AG26" s="38"/>
      <c r="AH26" s="38"/>
      <c r="AI26" s="34"/>
    </row>
    <row r="27" spans="1:35" ht="13.5">
      <c r="A27" t="s">
        <v>47</v>
      </c>
      <c r="B27">
        <v>24</v>
      </c>
      <c r="C27" s="5">
        <v>45.017800000000001</v>
      </c>
      <c r="D27" s="5">
        <v>0.188</v>
      </c>
      <c r="E27" s="5">
        <v>0.45500000000000002</v>
      </c>
      <c r="F27" s="5">
        <v>-6</v>
      </c>
      <c r="G27" s="5">
        <v>409</v>
      </c>
      <c r="H27" t="s">
        <v>47</v>
      </c>
      <c r="I27" s="46">
        <v>43.330058553689952</v>
      </c>
      <c r="J27" s="5">
        <v>360.57900000000001</v>
      </c>
      <c r="K27" s="5">
        <v>0.20899999999999999</v>
      </c>
      <c r="L27" s="44">
        <v>0.55559999999999998</v>
      </c>
      <c r="M27" s="65">
        <v>1.046540018466523</v>
      </c>
      <c r="N27" s="66">
        <v>0.78513724387035122</v>
      </c>
      <c r="O27" s="5">
        <v>4.2249999999999996</v>
      </c>
      <c r="P27" s="5">
        <v>14.5</v>
      </c>
      <c r="Q27" s="5">
        <v>-332.822</v>
      </c>
      <c r="R27" s="5">
        <v>-288.90199999999999</v>
      </c>
      <c r="S27" s="45">
        <v>56.4</v>
      </c>
      <c r="T27" s="45">
        <v>-9.6799999999999997E-2</v>
      </c>
      <c r="U27" s="45">
        <v>2.7099999999999997E-4</v>
      </c>
      <c r="V27" s="45">
        <v>-1.54E-7</v>
      </c>
      <c r="W27" s="45" t="str">
        <f t="shared" si="0"/>
        <v>HCOO</v>
      </c>
      <c r="X27" s="5">
        <v>0</v>
      </c>
      <c r="Y27" s="5">
        <v>1.9308000000000001</v>
      </c>
      <c r="Z27" s="5">
        <v>2.1202000000000001</v>
      </c>
      <c r="AA27" s="38">
        <v>1</v>
      </c>
      <c r="AB27" s="37">
        <v>1</v>
      </c>
      <c r="AC27" s="37">
        <v>2</v>
      </c>
      <c r="AD27" s="38"/>
      <c r="AF27" s="38"/>
      <c r="AG27" s="38"/>
      <c r="AH27" s="38"/>
      <c r="AI27" s="34"/>
    </row>
    <row r="28" spans="1:35">
      <c r="A28" t="s">
        <v>48</v>
      </c>
      <c r="B28">
        <v>25</v>
      </c>
      <c r="C28" s="5">
        <v>31.034300000000002</v>
      </c>
      <c r="D28" s="5">
        <v>0.14499999999999999</v>
      </c>
      <c r="E28" s="5">
        <v>0.36699999999999999</v>
      </c>
      <c r="F28" s="5">
        <v>41</v>
      </c>
      <c r="G28" s="5">
        <v>250</v>
      </c>
      <c r="H28" t="s">
        <v>48</v>
      </c>
      <c r="I28" s="11">
        <v>28</v>
      </c>
      <c r="J28" s="5">
        <v>207.642</v>
      </c>
      <c r="K28" s="5">
        <v>0.14799999999999999</v>
      </c>
      <c r="L28" s="44">
        <v>0.68776999999999999</v>
      </c>
      <c r="M28" s="65">
        <v>2.6502884780907445</v>
      </c>
      <c r="N28" s="66">
        <v>1.3833462963106142</v>
      </c>
      <c r="O28" s="5">
        <v>2.9247999999999998</v>
      </c>
      <c r="P28" s="5">
        <v>10.919</v>
      </c>
      <c r="Q28" s="5">
        <v>-163.56899999999999</v>
      </c>
      <c r="R28" s="5">
        <v>-105.767</v>
      </c>
      <c r="S28" s="45">
        <v>45</v>
      </c>
      <c r="T28" s="45">
        <v>-7.1300000000000002E-2</v>
      </c>
      <c r="U28" s="45">
        <v>2.6400000000000002E-4</v>
      </c>
      <c r="V28" s="45">
        <v>-1.5200000000000001E-7</v>
      </c>
      <c r="W28" s="45" t="str">
        <f t="shared" si="0"/>
        <v>CH3O</v>
      </c>
      <c r="X28" s="5">
        <v>-0.58279999999999998</v>
      </c>
      <c r="Y28" s="5">
        <v>0.1764</v>
      </c>
      <c r="Z28" s="5">
        <v>0.14599999999999999</v>
      </c>
      <c r="AA28" s="38">
        <v>1</v>
      </c>
      <c r="AB28" s="37">
        <v>3</v>
      </c>
      <c r="AC28" s="37">
        <v>1</v>
      </c>
      <c r="AD28" s="38"/>
      <c r="AF28" s="38"/>
      <c r="AG28" s="38"/>
      <c r="AH28" s="38"/>
      <c r="AI28" s="34"/>
    </row>
    <row r="29" spans="1:35">
      <c r="A29" t="s">
        <v>49</v>
      </c>
      <c r="B29">
        <v>26</v>
      </c>
      <c r="C29" s="5">
        <v>30.026399999999999</v>
      </c>
      <c r="D29" s="5">
        <v>0.108</v>
      </c>
      <c r="E29" s="5">
        <v>0.35799999999999998</v>
      </c>
      <c r="F29" s="5">
        <v>42</v>
      </c>
      <c r="G29" s="5">
        <v>245.95699999999999</v>
      </c>
      <c r="H29" t="s">
        <v>49</v>
      </c>
      <c r="I29" s="11">
        <v>22</v>
      </c>
      <c r="J29" s="5">
        <v>234.65100000000001</v>
      </c>
      <c r="K29" s="5">
        <v>0.13800000000000001</v>
      </c>
      <c r="L29" s="44">
        <v>0.12891</v>
      </c>
      <c r="M29" s="65">
        <v>0.47064692471283831</v>
      </c>
      <c r="N29" s="66">
        <v>-0.22961280024778508</v>
      </c>
      <c r="O29" s="5">
        <v>2.0695000000000001</v>
      </c>
      <c r="P29" s="5">
        <v>7.4779999999999998</v>
      </c>
      <c r="Q29" s="5">
        <v>-151.143</v>
      </c>
      <c r="R29" s="5">
        <v>-101.563</v>
      </c>
      <c r="S29" s="45">
        <v>24.6</v>
      </c>
      <c r="T29" s="45">
        <v>3.1800000000000002E-2</v>
      </c>
      <c r="U29" s="45">
        <v>5.66E-5</v>
      </c>
      <c r="V29" s="45">
        <v>-4.29E-8</v>
      </c>
      <c r="W29" s="45" t="str">
        <f t="shared" si="0"/>
        <v>CH2O</v>
      </c>
      <c r="X29" s="5">
        <v>3.1E-2</v>
      </c>
      <c r="Y29" s="5">
        <v>0.88260000000000005</v>
      </c>
      <c r="Z29" s="5">
        <v>-0.15279999999999999</v>
      </c>
      <c r="AA29" s="38">
        <v>1</v>
      </c>
      <c r="AB29" s="37">
        <v>2</v>
      </c>
      <c r="AC29" s="37">
        <v>1</v>
      </c>
      <c r="AD29" s="38"/>
      <c r="AF29" s="38"/>
      <c r="AG29" s="38"/>
      <c r="AH29" s="38"/>
      <c r="AI29" s="34"/>
    </row>
    <row r="30" spans="1:35">
      <c r="A30" t="s">
        <v>50</v>
      </c>
      <c r="B30">
        <v>27</v>
      </c>
      <c r="C30" s="5">
        <v>29.0184</v>
      </c>
      <c r="D30" s="5">
        <v>4.5999999999999999E-2</v>
      </c>
      <c r="E30" s="5">
        <v>0.311</v>
      </c>
      <c r="F30" s="5">
        <v>27</v>
      </c>
      <c r="G30" s="5">
        <v>213.8</v>
      </c>
      <c r="H30" t="s">
        <v>50</v>
      </c>
      <c r="I30" s="11">
        <v>16.010000000000002</v>
      </c>
      <c r="J30" s="5">
        <v>188</v>
      </c>
      <c r="K30" s="5">
        <v>0.11700000000000001</v>
      </c>
      <c r="L30" s="44">
        <v>5.6509999999999998E-2</v>
      </c>
      <c r="M30" s="65">
        <v>-0.32167943109180208</v>
      </c>
      <c r="N30" s="66">
        <v>-8.3477427445244681E-2</v>
      </c>
      <c r="O30" s="5">
        <v>4.0351999999999997</v>
      </c>
      <c r="P30" s="5">
        <v>5.7080000000000002</v>
      </c>
      <c r="Q30" s="5">
        <v>-129.488</v>
      </c>
      <c r="R30" s="5">
        <v>-92.099000000000004</v>
      </c>
      <c r="S30" s="45">
        <v>2.5</v>
      </c>
      <c r="T30" s="45">
        <v>0.14099999999999999</v>
      </c>
      <c r="U30" s="45">
        <v>-1.54E-4</v>
      </c>
      <c r="V30" s="45">
        <v>6.5200000000000001E-8</v>
      </c>
      <c r="W30" s="45" t="str">
        <f t="shared" si="0"/>
        <v>CH-O</v>
      </c>
      <c r="X30" s="5">
        <v>0.88329999999999997</v>
      </c>
      <c r="Y30" s="5">
        <v>1.6853</v>
      </c>
      <c r="Z30" s="5">
        <v>0.44700000000000001</v>
      </c>
      <c r="AA30" s="38">
        <v>1</v>
      </c>
      <c r="AB30" s="37">
        <v>1</v>
      </c>
      <c r="AC30" s="37">
        <v>1</v>
      </c>
      <c r="AD30" s="38"/>
      <c r="AF30" s="38"/>
      <c r="AG30" s="38"/>
      <c r="AH30" s="38"/>
      <c r="AI30" s="34"/>
    </row>
    <row r="31" spans="1:35">
      <c r="A31" t="s">
        <v>51</v>
      </c>
      <c r="B31">
        <v>28</v>
      </c>
      <c r="C31" s="5">
        <v>30.026399999999999</v>
      </c>
      <c r="D31" s="5">
        <v>0.112</v>
      </c>
      <c r="E31" s="5">
        <v>0.249</v>
      </c>
      <c r="F31" s="5">
        <v>-57</v>
      </c>
      <c r="G31" s="5">
        <v>337</v>
      </c>
      <c r="H31" t="s">
        <v>51</v>
      </c>
      <c r="I31" s="11">
        <v>33.200000000000003</v>
      </c>
      <c r="J31" s="5">
        <v>256</v>
      </c>
      <c r="K31" s="5">
        <v>0.1</v>
      </c>
      <c r="L31" s="44">
        <v>0.18756999999999999</v>
      </c>
      <c r="M31" s="65">
        <v>1.4518778871504845</v>
      </c>
      <c r="N31" s="66">
        <v>-1.801385030793291E-2</v>
      </c>
      <c r="O31" s="5">
        <v>4.5046999999999997</v>
      </c>
      <c r="P31" s="5">
        <v>11.227</v>
      </c>
      <c r="Q31" s="5">
        <v>-140.31299999999999</v>
      </c>
      <c r="R31" s="5">
        <v>-90.882999999999996</v>
      </c>
      <c r="S31" s="45">
        <v>6.17</v>
      </c>
      <c r="T31" s="45">
        <v>7.2800000000000004E-2</v>
      </c>
      <c r="U31" s="45">
        <v>5.2299999999999997E-5</v>
      </c>
      <c r="V31" s="45">
        <v>-5.6599999999999997E-8</v>
      </c>
      <c r="W31" s="45" t="str">
        <f t="shared" si="0"/>
        <v>FCH2O</v>
      </c>
      <c r="X31" s="5">
        <f>X29-0.7069</f>
        <v>-0.67589999999999995</v>
      </c>
      <c r="Y31" s="5">
        <v>0</v>
      </c>
      <c r="Z31" s="5">
        <v>0</v>
      </c>
      <c r="AA31" s="38">
        <v>1</v>
      </c>
      <c r="AB31" s="37">
        <v>2</v>
      </c>
      <c r="AC31" s="37">
        <v>0</v>
      </c>
      <c r="AD31" s="38"/>
      <c r="AF31" s="38">
        <v>1</v>
      </c>
      <c r="AG31" s="38"/>
      <c r="AH31" s="38"/>
      <c r="AI31" s="34"/>
    </row>
    <row r="32" spans="1:35">
      <c r="A32" t="s">
        <v>52</v>
      </c>
      <c r="B32">
        <v>29</v>
      </c>
      <c r="C32" s="5">
        <v>31.057400000000001</v>
      </c>
      <c r="D32" s="5" t="s">
        <v>39</v>
      </c>
      <c r="E32" s="5" t="s">
        <v>39</v>
      </c>
      <c r="F32" s="5" t="s">
        <v>39</v>
      </c>
      <c r="G32" s="5" t="s">
        <v>39</v>
      </c>
      <c r="H32" t="s">
        <v>52</v>
      </c>
      <c r="I32" s="11" t="s">
        <v>39</v>
      </c>
      <c r="J32" s="5" t="s">
        <v>39</v>
      </c>
      <c r="K32" s="5" t="s">
        <v>39</v>
      </c>
      <c r="L32" s="44">
        <v>0</v>
      </c>
      <c r="M32" s="65" t="s">
        <v>39</v>
      </c>
      <c r="N32" s="66"/>
      <c r="O32" s="5" t="s">
        <v>39</v>
      </c>
      <c r="P32" s="5" t="s">
        <v>39</v>
      </c>
      <c r="Q32" s="5" t="s">
        <v>39</v>
      </c>
      <c r="R32" s="5" t="s">
        <v>39</v>
      </c>
      <c r="S32" s="5" t="s">
        <v>39</v>
      </c>
      <c r="T32" s="5" t="s">
        <v>39</v>
      </c>
      <c r="U32" s="5" t="s">
        <v>39</v>
      </c>
      <c r="V32" s="5" t="s">
        <v>39</v>
      </c>
      <c r="W32" s="45" t="str">
        <f t="shared" si="0"/>
        <v>CH3NH2</v>
      </c>
      <c r="AA32" s="38">
        <v>1</v>
      </c>
      <c r="AB32" s="37">
        <v>5</v>
      </c>
      <c r="AD32" s="38">
        <v>1</v>
      </c>
      <c r="AF32" s="38"/>
      <c r="AG32" s="38"/>
      <c r="AH32" s="38"/>
      <c r="AI32" s="34"/>
    </row>
    <row r="33" spans="1:35">
      <c r="A33" t="s">
        <v>53</v>
      </c>
      <c r="B33">
        <v>30</v>
      </c>
      <c r="C33" s="5">
        <v>30.049399999999999</v>
      </c>
      <c r="D33" s="5">
        <v>0.189</v>
      </c>
      <c r="E33" s="5">
        <v>0.316</v>
      </c>
      <c r="F33" s="5">
        <v>78</v>
      </c>
      <c r="G33" s="5">
        <v>409.40800000000002</v>
      </c>
      <c r="H33" t="s">
        <v>53</v>
      </c>
      <c r="I33" s="11">
        <v>32.549999999999997</v>
      </c>
      <c r="J33" s="5">
        <v>367.3</v>
      </c>
      <c r="K33" s="5">
        <v>0.21099999999999999</v>
      </c>
      <c r="L33" s="44">
        <v>0.29604999999999998</v>
      </c>
      <c r="M33" s="65">
        <v>1.1902131288996052</v>
      </c>
      <c r="N33" s="66">
        <v>0.13349843841275266</v>
      </c>
      <c r="O33" s="5">
        <v>6.7683999999999997</v>
      </c>
      <c r="P33" s="5">
        <v>14.599</v>
      </c>
      <c r="Q33" s="5">
        <v>-15.505000000000001</v>
      </c>
      <c r="R33" s="5">
        <v>58.085000000000001</v>
      </c>
      <c r="S33" s="45">
        <v>26</v>
      </c>
      <c r="T33" s="45">
        <v>5.3800000000000001E-2</v>
      </c>
      <c r="U33" s="45">
        <v>1.1E-4</v>
      </c>
      <c r="V33" s="45">
        <v>-8.5700000000000006E-8</v>
      </c>
      <c r="W33" s="45" t="str">
        <f t="shared" si="0"/>
        <v>CH2NH2</v>
      </c>
      <c r="X33" s="5">
        <v>-0.58279999999999998</v>
      </c>
      <c r="Y33" s="5">
        <v>1.4084000000000001</v>
      </c>
      <c r="Z33" s="5">
        <v>2.5920000000000001</v>
      </c>
      <c r="AA33" s="38">
        <v>1</v>
      </c>
      <c r="AB33" s="37">
        <v>4</v>
      </c>
      <c r="AD33" s="38">
        <v>1</v>
      </c>
      <c r="AF33" s="38"/>
      <c r="AG33" s="38"/>
      <c r="AH33" s="38"/>
      <c r="AI33" s="34"/>
    </row>
    <row r="34" spans="1:35">
      <c r="A34" t="s">
        <v>54</v>
      </c>
      <c r="B34">
        <v>31</v>
      </c>
      <c r="C34" s="5">
        <v>29.041499999999999</v>
      </c>
      <c r="D34" s="5">
        <v>0.105</v>
      </c>
      <c r="E34" s="5">
        <v>0.26900000000000002</v>
      </c>
      <c r="F34" s="5">
        <v>62</v>
      </c>
      <c r="G34" s="5">
        <v>351.959</v>
      </c>
      <c r="H34" t="s">
        <v>54</v>
      </c>
      <c r="I34" s="11">
        <v>26.56</v>
      </c>
      <c r="J34" s="5">
        <v>323.10000000000002</v>
      </c>
      <c r="K34" s="5">
        <v>0.19</v>
      </c>
      <c r="L34" s="44">
        <v>0.14427000000000001</v>
      </c>
      <c r="M34" s="65">
        <v>-0.19878011995540332</v>
      </c>
      <c r="N34" s="66">
        <v>3.0847441711146995E-2</v>
      </c>
      <c r="O34" s="5">
        <v>4.1186999999999996</v>
      </c>
      <c r="P34" s="5">
        <v>11.875999999999999</v>
      </c>
      <c r="Q34" s="5">
        <v>3.32</v>
      </c>
      <c r="R34" s="5">
        <v>63.051000000000002</v>
      </c>
      <c r="S34" s="45">
        <v>3.9</v>
      </c>
      <c r="T34" s="45">
        <v>0.16300000000000001</v>
      </c>
      <c r="U34" s="45">
        <v>-1.01E-4</v>
      </c>
      <c r="V34" s="45">
        <v>2.2399999999999999E-8</v>
      </c>
      <c r="W34" s="45" t="str">
        <f t="shared" si="0"/>
        <v>CHNH2</v>
      </c>
      <c r="X34" s="5">
        <v>1.12E-2</v>
      </c>
      <c r="Y34" s="5">
        <v>-1.1989000000000001</v>
      </c>
      <c r="Z34" s="5">
        <v>0.38179999999999997</v>
      </c>
      <c r="AA34" s="38">
        <v>1</v>
      </c>
      <c r="AB34" s="37">
        <v>3</v>
      </c>
      <c r="AD34" s="38">
        <v>1</v>
      </c>
      <c r="AF34" s="38"/>
      <c r="AG34" s="38"/>
      <c r="AH34" s="38"/>
      <c r="AI34" s="34"/>
    </row>
    <row r="35" spans="1:35">
      <c r="A35" t="s">
        <v>55</v>
      </c>
      <c r="B35">
        <v>32</v>
      </c>
      <c r="C35" s="5">
        <v>30.049399999999999</v>
      </c>
      <c r="D35" s="5">
        <v>0.14799999999999999</v>
      </c>
      <c r="E35" s="5">
        <v>0.32400000000000001</v>
      </c>
      <c r="F35" s="5">
        <v>77</v>
      </c>
      <c r="G35" s="5">
        <v>325.3</v>
      </c>
      <c r="H35" t="s">
        <v>55</v>
      </c>
      <c r="I35" s="11">
        <v>32.549999999999997</v>
      </c>
      <c r="J35" s="5">
        <v>308</v>
      </c>
      <c r="K35" s="5">
        <v>0.221</v>
      </c>
      <c r="L35" s="44">
        <v>0.44401000000000002</v>
      </c>
      <c r="M35" s="65">
        <v>1.7337016556886651</v>
      </c>
      <c r="N35" s="66">
        <v>0.77644589776034223</v>
      </c>
      <c r="O35" s="5">
        <v>4.5340999999999996</v>
      </c>
      <c r="P35" s="5">
        <v>14.452</v>
      </c>
      <c r="Q35" s="5">
        <v>5.4320000000000004</v>
      </c>
      <c r="R35" s="5">
        <v>82.471000000000004</v>
      </c>
      <c r="S35" s="45">
        <v>18.3</v>
      </c>
      <c r="T35" s="45">
        <v>6.8099999999999994E-2</v>
      </c>
      <c r="U35" s="45">
        <v>1.0399999999999999E-4</v>
      </c>
      <c r="V35" s="45">
        <v>-8.6200000000000004E-8</v>
      </c>
      <c r="W35" s="45" t="str">
        <f t="shared" si="0"/>
        <v>CH3NH</v>
      </c>
      <c r="X35" s="5">
        <v>0</v>
      </c>
      <c r="Y35" s="5">
        <v>0.67769999999999997</v>
      </c>
      <c r="Z35" s="5">
        <v>5.6646000000000001</v>
      </c>
      <c r="AA35" s="38">
        <v>1</v>
      </c>
      <c r="AB35" s="37">
        <v>4</v>
      </c>
      <c r="AD35" s="38">
        <v>1</v>
      </c>
      <c r="AF35" s="38"/>
      <c r="AG35" s="38"/>
      <c r="AH35" s="38"/>
      <c r="AI35" s="34"/>
    </row>
    <row r="36" spans="1:35">
      <c r="A36" t="s">
        <v>56</v>
      </c>
      <c r="B36">
        <v>33</v>
      </c>
      <c r="C36" s="5">
        <v>29.041499999999999</v>
      </c>
      <c r="D36" s="5">
        <v>0.105</v>
      </c>
      <c r="E36" s="5">
        <v>0.316</v>
      </c>
      <c r="F36" s="5">
        <v>78</v>
      </c>
      <c r="G36" s="5">
        <v>325.3</v>
      </c>
      <c r="H36" t="s">
        <v>56</v>
      </c>
      <c r="I36" s="11">
        <v>26.55</v>
      </c>
      <c r="J36" s="5">
        <v>308</v>
      </c>
      <c r="K36" s="5">
        <v>0.21099999999999999</v>
      </c>
      <c r="L36" s="44">
        <v>0.51041999999999998</v>
      </c>
      <c r="M36" s="65">
        <v>1.4186586105046612</v>
      </c>
      <c r="N36" s="66">
        <v>0.32892088812673753</v>
      </c>
      <c r="O36" s="5">
        <v>6.0609000000000002</v>
      </c>
      <c r="P36" s="5">
        <v>14.481</v>
      </c>
      <c r="Q36" s="5">
        <v>23.100999999999999</v>
      </c>
      <c r="R36" s="5">
        <v>95.888000000000005</v>
      </c>
      <c r="S36" s="45">
        <v>-2.12</v>
      </c>
      <c r="T36" s="45">
        <v>0.17100000000000001</v>
      </c>
      <c r="U36" s="45">
        <v>-1.03E-4</v>
      </c>
      <c r="V36" s="45">
        <v>2.2399999999999999E-8</v>
      </c>
      <c r="W36" s="45" t="str">
        <f t="shared" ref="W36:W67" si="1">A36</f>
        <v>CH2NH</v>
      </c>
      <c r="X36" s="5">
        <v>0.81659999999999999</v>
      </c>
      <c r="Y36" s="5">
        <v>0.94120000000000004</v>
      </c>
      <c r="Z36" s="5">
        <v>1.34</v>
      </c>
      <c r="AA36" s="38">
        <v>1</v>
      </c>
      <c r="AB36" s="37">
        <v>3</v>
      </c>
      <c r="AD36" s="38">
        <v>1</v>
      </c>
      <c r="AF36" s="38"/>
      <c r="AG36" s="38"/>
      <c r="AH36" s="38"/>
      <c r="AI36" s="34"/>
    </row>
    <row r="37" spans="1:35">
      <c r="A37" t="s">
        <v>57</v>
      </c>
      <c r="B37">
        <v>34</v>
      </c>
      <c r="C37" s="5">
        <v>28.0336</v>
      </c>
      <c r="D37" s="5">
        <v>0.13700000000000001</v>
      </c>
      <c r="E37" s="5">
        <v>0.26900000000000002</v>
      </c>
      <c r="F37" s="5">
        <v>62</v>
      </c>
      <c r="G37" s="5">
        <v>325.3</v>
      </c>
      <c r="H37" t="s">
        <v>57</v>
      </c>
      <c r="I37" s="11">
        <v>20.56</v>
      </c>
      <c r="J37" s="5">
        <v>308</v>
      </c>
      <c r="K37" s="5">
        <v>0.19</v>
      </c>
      <c r="L37" s="44">
        <v>1.0920399999999999</v>
      </c>
      <c r="M37" s="65">
        <v>3.8846546506990824</v>
      </c>
      <c r="N37" s="66">
        <v>2.4299466563870946</v>
      </c>
      <c r="O37" s="5">
        <v>3.41</v>
      </c>
      <c r="P37" s="5">
        <v>14</v>
      </c>
      <c r="Q37" s="5">
        <v>26.718</v>
      </c>
      <c r="R37" s="5">
        <v>85.001000000000005</v>
      </c>
      <c r="S37" s="45">
        <v>-24.2</v>
      </c>
      <c r="T37" s="45">
        <v>0.28000000000000003</v>
      </c>
      <c r="U37" s="45">
        <v>-3.1399999999999999E-4</v>
      </c>
      <c r="V37" s="45">
        <v>1.31E-7</v>
      </c>
      <c r="W37" s="45" t="str">
        <f t="shared" si="1"/>
        <v>CHNH</v>
      </c>
      <c r="X37" s="5">
        <f>X36-X5+X6</f>
        <v>1.4885000000000002</v>
      </c>
      <c r="Y37" s="5">
        <f>Y36-Y5+Y6</f>
        <v>1.8948</v>
      </c>
      <c r="Z37" s="5">
        <f>Z36-Z5+Z6</f>
        <v>1.5501</v>
      </c>
      <c r="AA37" s="38">
        <v>1</v>
      </c>
      <c r="AB37" s="37">
        <v>2</v>
      </c>
      <c r="AD37" s="38">
        <v>1</v>
      </c>
      <c r="AF37" s="38"/>
      <c r="AG37" s="38"/>
      <c r="AH37" s="38"/>
      <c r="AI37" s="34"/>
    </row>
    <row r="38" spans="1:35">
      <c r="A38" t="s">
        <v>58</v>
      </c>
      <c r="B38">
        <v>35</v>
      </c>
      <c r="C38" s="5">
        <v>29.041499999999999</v>
      </c>
      <c r="D38" s="5">
        <v>0.14399999999999999</v>
      </c>
      <c r="E38" s="5">
        <v>0.313</v>
      </c>
      <c r="F38" s="5">
        <v>111</v>
      </c>
      <c r="G38" s="5">
        <v>142</v>
      </c>
      <c r="H38" t="s">
        <v>58</v>
      </c>
      <c r="I38" s="11">
        <v>34.15</v>
      </c>
      <c r="J38" s="5">
        <v>217.68100000000001</v>
      </c>
      <c r="K38" s="5">
        <v>1.4999999999999999E-2</v>
      </c>
      <c r="L38" s="44">
        <v>0.10365000000000001</v>
      </c>
      <c r="M38" s="65">
        <v>0.47752221994577571</v>
      </c>
      <c r="N38" s="66">
        <v>0.22182721912059086</v>
      </c>
      <c r="O38" s="5">
        <v>4.0579999999999998</v>
      </c>
      <c r="P38" s="5">
        <v>6.9470000000000001</v>
      </c>
      <c r="Q38" s="5">
        <v>54.929000000000002</v>
      </c>
      <c r="R38" s="5">
        <v>128.602</v>
      </c>
      <c r="S38" s="45">
        <v>-11.6</v>
      </c>
      <c r="T38" s="45">
        <v>0.219</v>
      </c>
      <c r="U38" s="45">
        <v>-1.6699999999999999E-4</v>
      </c>
      <c r="V38" s="45">
        <v>4.9299999999999998E-8</v>
      </c>
      <c r="W38" s="45" t="str">
        <f t="shared" si="1"/>
        <v>CH3-RN</v>
      </c>
      <c r="X38" s="5">
        <v>0.87690000000000001</v>
      </c>
      <c r="Y38" s="5">
        <v>1.2045999999999999</v>
      </c>
      <c r="Z38" s="5">
        <v>1.6062000000000001</v>
      </c>
      <c r="AA38" s="38">
        <v>1</v>
      </c>
      <c r="AB38" s="37">
        <v>3</v>
      </c>
      <c r="AD38" s="38">
        <v>1</v>
      </c>
      <c r="AF38" s="38"/>
      <c r="AG38" s="38"/>
      <c r="AH38" s="38"/>
      <c r="AI38" s="34"/>
    </row>
    <row r="39" spans="1:35">
      <c r="A39" t="s">
        <v>59</v>
      </c>
      <c r="B39">
        <v>36</v>
      </c>
      <c r="C39" s="5">
        <v>28.0336</v>
      </c>
      <c r="D39" s="5">
        <v>8.0000000000000002E-3</v>
      </c>
      <c r="E39" s="5">
        <v>0.30399999999999999</v>
      </c>
      <c r="F39" s="5">
        <v>112</v>
      </c>
      <c r="G39" s="5">
        <v>142</v>
      </c>
      <c r="H39" t="s">
        <v>59</v>
      </c>
      <c r="I39" s="11">
        <v>28.15</v>
      </c>
      <c r="J39" s="5">
        <v>217.68100000000001</v>
      </c>
      <c r="K39" s="5">
        <v>5.0000000000000001E-3</v>
      </c>
      <c r="L39" s="44">
        <v>0.20061999999999999</v>
      </c>
      <c r="M39" s="65">
        <v>0.68640322805076182</v>
      </c>
      <c r="N39" s="66">
        <v>2.1138518550900199E-2</v>
      </c>
      <c r="O39" s="5">
        <v>0.95440000000000003</v>
      </c>
      <c r="P39" s="5">
        <v>6.9180000000000001</v>
      </c>
      <c r="Q39" s="5">
        <v>69.885000000000005</v>
      </c>
      <c r="R39" s="5">
        <v>132.756</v>
      </c>
      <c r="S39" s="45">
        <v>-32</v>
      </c>
      <c r="T39" s="45">
        <v>0.32200000000000001</v>
      </c>
      <c r="U39" s="45">
        <v>-3.7399999999999998E-4</v>
      </c>
      <c r="V39" s="45">
        <v>1.5800000000000001E-7</v>
      </c>
      <c r="W39" s="45" t="str">
        <f t="shared" si="1"/>
        <v>CH2-RN</v>
      </c>
      <c r="X39" s="5">
        <v>1.4681</v>
      </c>
      <c r="Y39" s="5">
        <v>2.8344999999999998</v>
      </c>
      <c r="Z39" s="5">
        <v>1.2504999999999999</v>
      </c>
      <c r="AA39" s="38">
        <v>1</v>
      </c>
      <c r="AB39" s="37">
        <v>2</v>
      </c>
      <c r="AD39" s="38">
        <v>1</v>
      </c>
      <c r="AF39" s="38"/>
      <c r="AG39" s="38"/>
      <c r="AH39" s="38"/>
      <c r="AI39" s="34"/>
    </row>
    <row r="40" spans="1:35">
      <c r="A40" t="s">
        <v>60</v>
      </c>
      <c r="B40">
        <v>37</v>
      </c>
      <c r="C40" s="5">
        <v>28.0336</v>
      </c>
      <c r="D40" s="5">
        <v>0.112</v>
      </c>
      <c r="E40" s="5">
        <v>0.21099999999999999</v>
      </c>
      <c r="F40" s="5">
        <v>24</v>
      </c>
      <c r="G40" s="5">
        <v>611.20000000000005</v>
      </c>
      <c r="H40" t="s">
        <v>60</v>
      </c>
      <c r="I40" s="11">
        <v>24.42</v>
      </c>
      <c r="J40" s="5">
        <v>546.553</v>
      </c>
      <c r="K40" s="5">
        <v>0.20399999999999999</v>
      </c>
      <c r="L40" s="44">
        <v>1.3097399999999999</v>
      </c>
      <c r="M40" s="65">
        <v>3.6898379388035103</v>
      </c>
      <c r="N40" s="66">
        <v>2.3215661245089576</v>
      </c>
      <c r="O40" s="5">
        <v>10.103</v>
      </c>
      <c r="P40" s="5">
        <v>28.452999999999999</v>
      </c>
      <c r="Q40" s="5">
        <v>20.079000000000001</v>
      </c>
      <c r="R40" s="5">
        <v>68.861000000000004</v>
      </c>
      <c r="S40" s="45">
        <v>18.7</v>
      </c>
      <c r="T40" s="45">
        <v>5.9799999999999999E-2</v>
      </c>
      <c r="U40" s="45">
        <v>2.1999999999999999E-5</v>
      </c>
      <c r="V40" s="45">
        <v>-2.9799999999999999E-8</v>
      </c>
      <c r="W40" s="45" t="str">
        <f t="shared" si="1"/>
        <v>ACNH2</v>
      </c>
      <c r="X40" s="5">
        <v>1.6987000000000001</v>
      </c>
      <c r="Y40" s="5">
        <v>1.6760999999999999</v>
      </c>
      <c r="Z40" s="5">
        <v>4.5274000000000001</v>
      </c>
      <c r="AA40" s="38">
        <v>1</v>
      </c>
      <c r="AB40" s="37">
        <v>2</v>
      </c>
      <c r="AD40" s="38">
        <v>1</v>
      </c>
      <c r="AF40" s="38"/>
      <c r="AG40" s="38"/>
      <c r="AH40" s="38"/>
      <c r="AI40" s="34"/>
    </row>
    <row r="41" spans="1:35">
      <c r="A41" t="s">
        <v>61</v>
      </c>
      <c r="B41">
        <v>38</v>
      </c>
      <c r="C41" s="5">
        <v>79.102000000000004</v>
      </c>
      <c r="D41" s="5" t="s">
        <v>39</v>
      </c>
      <c r="E41" s="5" t="s">
        <v>39</v>
      </c>
      <c r="F41" s="5" t="s">
        <v>39</v>
      </c>
      <c r="G41" s="5" t="s">
        <v>39</v>
      </c>
      <c r="H41" t="s">
        <v>61</v>
      </c>
      <c r="I41" s="11" t="s">
        <v>39</v>
      </c>
      <c r="J41" s="5" t="s">
        <v>39</v>
      </c>
      <c r="K41" s="5" t="s">
        <v>39</v>
      </c>
      <c r="L41" s="44">
        <v>0</v>
      </c>
      <c r="M41" s="65" t="s">
        <v>39</v>
      </c>
      <c r="N41" s="66"/>
      <c r="O41" s="5" t="s">
        <v>39</v>
      </c>
      <c r="P41" s="5" t="s">
        <v>39</v>
      </c>
      <c r="Q41" s="5" t="s">
        <v>39</v>
      </c>
      <c r="R41" s="5" t="s">
        <v>39</v>
      </c>
      <c r="S41" s="5" t="s">
        <v>39</v>
      </c>
      <c r="T41" s="5" t="s">
        <v>39</v>
      </c>
      <c r="U41" s="5" t="s">
        <v>39</v>
      </c>
      <c r="V41" s="5" t="s">
        <v>39</v>
      </c>
      <c r="W41" s="45" t="str">
        <f t="shared" si="1"/>
        <v>C5H5N</v>
      </c>
      <c r="AA41" s="38">
        <v>5</v>
      </c>
      <c r="AB41" s="37">
        <v>5</v>
      </c>
      <c r="AD41" s="38">
        <v>1</v>
      </c>
      <c r="AF41" s="38"/>
      <c r="AG41" s="38"/>
      <c r="AH41" s="38"/>
      <c r="AI41" s="34"/>
    </row>
    <row r="42" spans="1:35" ht="13.5">
      <c r="A42" t="s">
        <v>62</v>
      </c>
      <c r="B42">
        <v>39</v>
      </c>
      <c r="C42" s="5">
        <v>78.093999999999994</v>
      </c>
      <c r="D42" s="5">
        <v>0.19600000000000001</v>
      </c>
      <c r="E42" s="5">
        <v>0.86899999999999999</v>
      </c>
      <c r="F42" s="5">
        <v>107</v>
      </c>
      <c r="G42" s="5">
        <v>925.245</v>
      </c>
      <c r="H42" s="61" t="s">
        <v>62</v>
      </c>
      <c r="I42" s="46">
        <v>75.734975417444574</v>
      </c>
      <c r="J42" s="5">
        <v>828.66200000000003</v>
      </c>
      <c r="K42" s="5">
        <v>0.23</v>
      </c>
      <c r="L42" s="44">
        <v>0.88549</v>
      </c>
      <c r="M42" s="65">
        <v>2.037059098693133</v>
      </c>
      <c r="N42" s="66">
        <v>1.2767890486437439</v>
      </c>
      <c r="O42" s="5">
        <v>12.6275</v>
      </c>
      <c r="P42" s="5">
        <v>31.523</v>
      </c>
      <c r="Q42" s="5">
        <v>134.06200000000001</v>
      </c>
      <c r="R42" s="5">
        <v>199.958</v>
      </c>
      <c r="S42" s="45">
        <v>-7.98</v>
      </c>
      <c r="T42" s="45">
        <v>0.32700000000000001</v>
      </c>
      <c r="U42" s="45">
        <v>-1.05E-4</v>
      </c>
      <c r="V42" s="45">
        <v>-2.18E-8</v>
      </c>
      <c r="W42" s="45" t="str">
        <f t="shared" si="1"/>
        <v>C5H4N</v>
      </c>
      <c r="X42" s="5">
        <f>0.9672+X9+X11</f>
        <v>1.5091999999999999</v>
      </c>
      <c r="Y42" s="5">
        <f>0.9672+Y9+Y11</f>
        <v>-0.23360000000000003</v>
      </c>
      <c r="Z42" s="5">
        <f>0.9672+Z9+Z11</f>
        <v>-0.96000000000000008</v>
      </c>
      <c r="AA42" s="38">
        <v>5</v>
      </c>
      <c r="AB42" s="37">
        <v>4</v>
      </c>
      <c r="AD42" s="38">
        <v>1</v>
      </c>
      <c r="AF42" s="38"/>
      <c r="AG42" s="38"/>
      <c r="AH42" s="38"/>
      <c r="AI42" s="34"/>
    </row>
    <row r="43" spans="1:35" ht="13.5">
      <c r="A43" t="s">
        <v>63</v>
      </c>
      <c r="B43">
        <v>40</v>
      </c>
      <c r="C43" s="5">
        <v>77.086200000000005</v>
      </c>
      <c r="D43" s="5">
        <v>0.19600000000000001</v>
      </c>
      <c r="E43" s="5">
        <v>0.86899999999999999</v>
      </c>
      <c r="F43" s="5">
        <v>107</v>
      </c>
      <c r="G43" s="5">
        <v>894.9</v>
      </c>
      <c r="H43" s="61" t="s">
        <v>63</v>
      </c>
      <c r="I43" s="46">
        <v>69.734975417444602</v>
      </c>
      <c r="J43" s="5">
        <v>820</v>
      </c>
      <c r="K43" s="5">
        <v>0.23</v>
      </c>
      <c r="L43" s="44">
        <v>2.3671199999999999</v>
      </c>
      <c r="M43" s="65">
        <v>2.3671248584051314</v>
      </c>
      <c r="N43" s="66">
        <v>1.639</v>
      </c>
      <c r="O43" s="5">
        <v>12.6275</v>
      </c>
      <c r="P43" s="5">
        <v>31.004999999999999</v>
      </c>
      <c r="Q43" s="5">
        <v>139.75800000000001</v>
      </c>
      <c r="R43" s="5">
        <v>199.28800000000001</v>
      </c>
      <c r="S43" s="45">
        <v>-14.1</v>
      </c>
      <c r="T43" s="45">
        <v>0.37</v>
      </c>
      <c r="U43" s="45">
        <v>-2.4499999999999999E-4</v>
      </c>
      <c r="V43" s="45">
        <v>6.1900000000000005E-8</v>
      </c>
      <c r="W43" s="45" t="str">
        <f t="shared" si="1"/>
        <v>C5H3N</v>
      </c>
      <c r="X43" s="5">
        <f>0.9672+X11+X11</f>
        <v>2.0415999999999999</v>
      </c>
      <c r="Y43" s="5">
        <f>0.9672+Y11+Y11</f>
        <v>-0.83760000000000001</v>
      </c>
      <c r="Z43" s="5">
        <f>0.9672+Z11+Z11</f>
        <v>-2.8071999999999999</v>
      </c>
      <c r="AA43" s="38">
        <v>5</v>
      </c>
      <c r="AB43" s="37">
        <v>3</v>
      </c>
      <c r="AD43" s="38">
        <v>1</v>
      </c>
      <c r="AF43" s="38"/>
      <c r="AG43" s="38"/>
      <c r="AH43" s="38"/>
      <c r="AI43" s="34"/>
    </row>
    <row r="44" spans="1:35">
      <c r="A44" t="s">
        <v>64</v>
      </c>
      <c r="B44">
        <v>41</v>
      </c>
      <c r="C44" s="5">
        <v>41.052700000000002</v>
      </c>
      <c r="D44" s="5" t="s">
        <v>39</v>
      </c>
      <c r="E44" s="5" t="s">
        <v>39</v>
      </c>
      <c r="F44" s="5" t="s">
        <v>39</v>
      </c>
      <c r="G44" s="5" t="s">
        <v>39</v>
      </c>
      <c r="H44" t="s">
        <v>64</v>
      </c>
      <c r="I44" s="11" t="s">
        <v>39</v>
      </c>
      <c r="J44" s="5" t="s">
        <v>39</v>
      </c>
      <c r="K44" s="5" t="s">
        <v>39</v>
      </c>
      <c r="L44" s="44">
        <v>0</v>
      </c>
      <c r="M44" s="65" t="s">
        <v>39</v>
      </c>
      <c r="N44" s="66"/>
      <c r="O44" s="5" t="s">
        <v>39</v>
      </c>
      <c r="P44" s="5" t="s">
        <v>39</v>
      </c>
      <c r="Q44" s="5" t="s">
        <v>39</v>
      </c>
      <c r="R44" s="5" t="s">
        <v>39</v>
      </c>
      <c r="S44" s="5" t="s">
        <v>39</v>
      </c>
      <c r="T44" s="5" t="s">
        <v>39</v>
      </c>
      <c r="U44" s="5" t="s">
        <v>39</v>
      </c>
      <c r="V44" s="5" t="s">
        <v>39</v>
      </c>
      <c r="W44" s="45" t="str">
        <f t="shared" si="1"/>
        <v>CH3CN</v>
      </c>
      <c r="AA44" s="38">
        <v>2</v>
      </c>
      <c r="AB44" s="37">
        <v>3</v>
      </c>
      <c r="AD44" s="38">
        <v>1</v>
      </c>
      <c r="AF44" s="38"/>
      <c r="AG44" s="38"/>
      <c r="AH44" s="38"/>
      <c r="AI44" s="34"/>
    </row>
    <row r="45" spans="1:35">
      <c r="A45" t="s">
        <v>65</v>
      </c>
      <c r="B45">
        <v>42</v>
      </c>
      <c r="C45" s="5">
        <v>40.044800000000002</v>
      </c>
      <c r="D45" s="5">
        <v>0.17899999999999999</v>
      </c>
      <c r="E45" s="5">
        <v>0.56399999999999995</v>
      </c>
      <c r="F45" s="5">
        <v>27</v>
      </c>
      <c r="G45" s="5">
        <v>734.00099999999998</v>
      </c>
      <c r="H45" t="s">
        <v>65</v>
      </c>
      <c r="I45" s="11">
        <v>38.65</v>
      </c>
      <c r="J45" s="5">
        <v>628.005</v>
      </c>
      <c r="K45" s="5">
        <v>0.28599999999999998</v>
      </c>
      <c r="L45" s="44">
        <v>0.23338999999999999</v>
      </c>
      <c r="M45" s="65">
        <v>0.66342462154381354</v>
      </c>
      <c r="N45" s="66">
        <v>3.1745523290732769E-2</v>
      </c>
      <c r="O45" s="5">
        <v>4.1859000000000002</v>
      </c>
      <c r="P45" s="5">
        <v>23.34</v>
      </c>
      <c r="Q45" s="5">
        <v>88.298000000000002</v>
      </c>
      <c r="R45" s="5">
        <v>121.544</v>
      </c>
      <c r="S45" s="45">
        <v>35.6</v>
      </c>
      <c r="T45" s="45">
        <v>2.1700000000000001E-2</v>
      </c>
      <c r="U45" s="45">
        <v>1.2999999999999999E-4</v>
      </c>
      <c r="V45" s="45">
        <v>-9.1100000000000002E-8</v>
      </c>
      <c r="W45" s="45" t="str">
        <f t="shared" si="1"/>
        <v>CH2CN</v>
      </c>
      <c r="X45" s="5">
        <v>-0.3392</v>
      </c>
      <c r="Y45" s="5">
        <v>6.5340999999999996</v>
      </c>
      <c r="Z45" s="5">
        <v>-0.88919999999999999</v>
      </c>
      <c r="AA45" s="38">
        <v>2</v>
      </c>
      <c r="AB45" s="37">
        <v>2</v>
      </c>
      <c r="AD45" s="38">
        <v>1</v>
      </c>
      <c r="AF45" s="38"/>
      <c r="AG45" s="38"/>
      <c r="AH45" s="38"/>
      <c r="AI45" s="34"/>
    </row>
    <row r="46" spans="1:35">
      <c r="A46" t="s">
        <v>66</v>
      </c>
      <c r="B46">
        <v>43</v>
      </c>
      <c r="C46" s="5">
        <v>45.017800000000001</v>
      </c>
      <c r="D46" s="5">
        <v>0.317</v>
      </c>
      <c r="E46" s="5">
        <v>0.51100000000000001</v>
      </c>
      <c r="F46" s="5">
        <v>-31</v>
      </c>
      <c r="G46" s="5">
        <v>800.05200000000002</v>
      </c>
      <c r="H46" t="s">
        <v>66</v>
      </c>
      <c r="I46" s="11">
        <v>26.1</v>
      </c>
      <c r="J46" s="5">
        <v>797.12900000000002</v>
      </c>
      <c r="K46" s="5">
        <v>0.43099999999999999</v>
      </c>
      <c r="L46" s="44">
        <v>5.9983599999999999</v>
      </c>
      <c r="M46" s="65">
        <v>5.9983598177299093</v>
      </c>
      <c r="N46" s="66">
        <v>3.4049999999999998</v>
      </c>
      <c r="O46" s="5">
        <v>11.563000000000001</v>
      </c>
      <c r="P46" s="5">
        <v>43.045999999999999</v>
      </c>
      <c r="Q46" s="5">
        <v>-396.24200000000002</v>
      </c>
      <c r="R46" s="5">
        <v>-349.43900000000002</v>
      </c>
      <c r="S46" s="45">
        <v>24.1</v>
      </c>
      <c r="T46" s="45">
        <v>4.2700000000000002E-2</v>
      </c>
      <c r="U46" s="45">
        <v>8.0400000000000003E-5</v>
      </c>
      <c r="V46" s="45">
        <v>-6.87E-8</v>
      </c>
      <c r="W46" s="45" t="str">
        <f t="shared" si="1"/>
        <v>COOH</v>
      </c>
      <c r="X46" s="5">
        <v>-0.29099999999999998</v>
      </c>
      <c r="Y46" s="5">
        <v>0.9042</v>
      </c>
      <c r="Z46" s="5">
        <v>3.7391000000000001</v>
      </c>
      <c r="AA46" s="38">
        <v>1</v>
      </c>
      <c r="AB46" s="37">
        <v>1</v>
      </c>
      <c r="AC46" s="37">
        <v>2</v>
      </c>
      <c r="AD46" s="38"/>
      <c r="AF46" s="38"/>
      <c r="AG46" s="38"/>
      <c r="AH46" s="38"/>
      <c r="AI46" s="34"/>
    </row>
    <row r="47" spans="1:35">
      <c r="A47" t="s">
        <v>67</v>
      </c>
      <c r="B47">
        <v>44</v>
      </c>
      <c r="C47" s="5">
        <v>46.025700000000001</v>
      </c>
      <c r="D47" s="5" t="s">
        <v>39</v>
      </c>
      <c r="E47" s="5" t="s">
        <v>39</v>
      </c>
      <c r="F47" s="5" t="s">
        <v>39</v>
      </c>
      <c r="G47" s="5" t="s">
        <v>39</v>
      </c>
      <c r="H47" t="s">
        <v>67</v>
      </c>
      <c r="I47" s="11" t="s">
        <v>39</v>
      </c>
      <c r="J47" s="5" t="s">
        <v>39</v>
      </c>
      <c r="K47" s="5" t="s">
        <v>39</v>
      </c>
      <c r="L47" s="44">
        <v>0</v>
      </c>
      <c r="M47" s="65" t="s">
        <v>39</v>
      </c>
      <c r="N47" s="66"/>
      <c r="O47" s="5" t="s">
        <v>39</v>
      </c>
      <c r="P47" s="5" t="s">
        <v>39</v>
      </c>
      <c r="Q47" s="5" t="s">
        <v>39</v>
      </c>
      <c r="R47" s="5" t="s">
        <v>39</v>
      </c>
      <c r="S47" s="5" t="s">
        <v>39</v>
      </c>
      <c r="T47" s="5" t="s">
        <v>39</v>
      </c>
      <c r="U47" s="5" t="s">
        <v>39</v>
      </c>
      <c r="V47" s="5" t="s">
        <v>39</v>
      </c>
      <c r="W47" s="45" t="str">
        <f t="shared" si="1"/>
        <v>HCOOH</v>
      </c>
      <c r="AA47" s="38">
        <v>1</v>
      </c>
      <c r="AB47" s="37">
        <v>2</v>
      </c>
      <c r="AC47" s="37">
        <v>2</v>
      </c>
      <c r="AD47" s="38"/>
      <c r="AF47" s="38"/>
      <c r="AG47" s="38"/>
      <c r="AH47" s="38"/>
      <c r="AI47" s="34"/>
    </row>
    <row r="48" spans="1:35">
      <c r="A48" t="s">
        <v>68</v>
      </c>
      <c r="B48">
        <v>45</v>
      </c>
      <c r="C48" s="5">
        <v>49.479900000000001</v>
      </c>
      <c r="D48" s="5">
        <v>0.129</v>
      </c>
      <c r="E48" s="5">
        <v>0.54200000000000004</v>
      </c>
      <c r="F48" s="5">
        <v>79</v>
      </c>
      <c r="G48" s="5">
        <v>399.99900000000002</v>
      </c>
      <c r="H48" t="s">
        <v>68</v>
      </c>
      <c r="I48" s="11">
        <v>35.049999999999997</v>
      </c>
      <c r="J48" s="5">
        <v>346.59100000000001</v>
      </c>
      <c r="K48" s="5">
        <v>0.113</v>
      </c>
      <c r="L48" s="44">
        <v>0.37595000000000001</v>
      </c>
      <c r="M48" s="65">
        <v>1.0044388964608366</v>
      </c>
      <c r="N48" s="66">
        <v>0.60426107752841574</v>
      </c>
      <c r="O48" s="5">
        <v>3.3376000000000001</v>
      </c>
      <c r="P48" s="5">
        <v>13.78</v>
      </c>
      <c r="Q48" s="5">
        <v>-73.567999999999998</v>
      </c>
      <c r="R48" s="5">
        <v>-33.372999999999998</v>
      </c>
      <c r="S48" s="45">
        <v>32.4</v>
      </c>
      <c r="T48" s="45">
        <v>-1.2999999999999999E-3</v>
      </c>
      <c r="U48" s="45">
        <v>1.3300000000000001E-4</v>
      </c>
      <c r="V48" s="45">
        <v>-8.7699999999999998E-8</v>
      </c>
      <c r="W48" s="45" t="str">
        <f t="shared" si="1"/>
        <v>CH2CL</v>
      </c>
      <c r="X48" s="5">
        <v>0.26229999999999998</v>
      </c>
      <c r="Y48" s="5">
        <v>0.59699999999999998</v>
      </c>
      <c r="Z48" s="5">
        <v>-0.53639999999999999</v>
      </c>
      <c r="AA48" s="38">
        <v>1</v>
      </c>
      <c r="AB48" s="37">
        <v>2</v>
      </c>
      <c r="AD48" s="38"/>
      <c r="AE48" s="37">
        <v>1</v>
      </c>
      <c r="AF48" s="38"/>
      <c r="AG48" s="38"/>
      <c r="AH48" s="38"/>
      <c r="AI48" s="34"/>
    </row>
    <row r="49" spans="1:35">
      <c r="A49" t="s">
        <v>69</v>
      </c>
      <c r="B49">
        <v>46</v>
      </c>
      <c r="C49" s="5">
        <v>48.472000000000001</v>
      </c>
      <c r="D49" s="5">
        <v>7.3999999999999996E-2</v>
      </c>
      <c r="E49" s="5">
        <v>0.504</v>
      </c>
      <c r="F49" s="5">
        <v>68</v>
      </c>
      <c r="G49" s="5">
        <v>312</v>
      </c>
      <c r="H49" t="s">
        <v>69</v>
      </c>
      <c r="I49" s="11">
        <v>29.06</v>
      </c>
      <c r="J49" s="5">
        <v>265.517</v>
      </c>
      <c r="K49" s="5">
        <v>9.2999999999999999E-2</v>
      </c>
      <c r="L49" s="44">
        <v>0.39224999999999999</v>
      </c>
      <c r="M49" s="65">
        <v>1.0075121669109026</v>
      </c>
      <c r="N49" s="66">
        <v>0.53336035095959511</v>
      </c>
      <c r="O49" s="5">
        <v>2.9933000000000001</v>
      </c>
      <c r="P49" s="5">
        <v>11.984999999999999</v>
      </c>
      <c r="Q49" s="5">
        <v>-63.795000000000002</v>
      </c>
      <c r="R49" s="5">
        <v>-31.501999999999999</v>
      </c>
      <c r="S49" s="45">
        <v>10.3</v>
      </c>
      <c r="T49" s="45">
        <v>0.108</v>
      </c>
      <c r="U49" s="45">
        <v>-7.7999999999999999E-5</v>
      </c>
      <c r="V49" s="45">
        <v>2.0400000000000001E-8</v>
      </c>
      <c r="W49" s="45" t="str">
        <f t="shared" si="1"/>
        <v>CHCL</v>
      </c>
      <c r="X49" s="5">
        <v>0.44619999999999999</v>
      </c>
      <c r="Y49" s="5">
        <v>2.806</v>
      </c>
      <c r="Z49" s="5">
        <v>-1.4125000000000001</v>
      </c>
      <c r="AA49" s="38">
        <v>1</v>
      </c>
      <c r="AB49" s="37">
        <v>1</v>
      </c>
      <c r="AD49" s="38"/>
      <c r="AE49" s="37">
        <v>1</v>
      </c>
      <c r="AF49" s="38"/>
      <c r="AG49" s="38"/>
      <c r="AH49" s="38"/>
      <c r="AI49" s="34"/>
    </row>
    <row r="50" spans="1:35">
      <c r="A50" t="s">
        <v>70</v>
      </c>
      <c r="B50">
        <v>47</v>
      </c>
      <c r="C50" s="5">
        <v>47.464100000000002</v>
      </c>
      <c r="D50" s="5">
        <v>6.6000000000000003E-2</v>
      </c>
      <c r="E50" s="5">
        <v>0.46100000000000002</v>
      </c>
      <c r="F50" s="5">
        <v>43</v>
      </c>
      <c r="G50" s="5">
        <v>275.60000000000002</v>
      </c>
      <c r="H50" t="s">
        <v>70</v>
      </c>
      <c r="I50" s="11">
        <v>23.06</v>
      </c>
      <c r="J50" s="5">
        <v>236.61</v>
      </c>
      <c r="K50" s="5">
        <v>3.6999999999999998E-2</v>
      </c>
      <c r="L50" s="44">
        <v>0.29476999999999998</v>
      </c>
      <c r="M50" s="65">
        <v>0.61877667714325379</v>
      </c>
      <c r="N50" s="66">
        <v>0.34195065951716097</v>
      </c>
      <c r="O50" s="5">
        <v>9.8408999999999995</v>
      </c>
      <c r="P50" s="5">
        <v>9.8179999999999996</v>
      </c>
      <c r="Q50" s="5">
        <v>-57.795000000000002</v>
      </c>
      <c r="R50" s="5">
        <v>-25.260999999999999</v>
      </c>
      <c r="S50" s="45">
        <v>-32.9</v>
      </c>
      <c r="T50" s="45">
        <v>0.33100000000000002</v>
      </c>
      <c r="U50" s="45">
        <v>-4.5399999999999998E-4</v>
      </c>
      <c r="V50" s="45">
        <v>2.0100000000000001E-7</v>
      </c>
      <c r="W50" s="45" t="str">
        <f t="shared" si="1"/>
        <v>CCL</v>
      </c>
      <c r="X50" s="5">
        <v>2.7576000000000001</v>
      </c>
      <c r="Y50" s="5">
        <v>2.0406</v>
      </c>
      <c r="Z50" s="5">
        <v>0.1101</v>
      </c>
      <c r="AA50" s="38">
        <v>1</v>
      </c>
      <c r="AB50" s="37">
        <v>0</v>
      </c>
      <c r="AD50" s="38"/>
      <c r="AE50" s="37">
        <v>1</v>
      </c>
      <c r="AF50" s="38"/>
      <c r="AG50" s="38"/>
      <c r="AH50" s="38"/>
      <c r="AI50" s="34"/>
    </row>
    <row r="51" spans="1:35">
      <c r="A51" t="s">
        <v>71</v>
      </c>
      <c r="B51">
        <v>48</v>
      </c>
      <c r="C51" s="5">
        <v>84.933000000000007</v>
      </c>
      <c r="D51" s="5" t="s">
        <v>39</v>
      </c>
      <c r="E51" s="5" t="s">
        <v>39</v>
      </c>
      <c r="F51" s="5" t="s">
        <v>39</v>
      </c>
      <c r="G51" s="5" t="s">
        <v>39</v>
      </c>
      <c r="H51" t="s">
        <v>71</v>
      </c>
      <c r="I51" s="11" t="s">
        <v>39</v>
      </c>
      <c r="J51" s="5" t="s">
        <v>39</v>
      </c>
      <c r="K51" s="5" t="s">
        <v>39</v>
      </c>
      <c r="L51" s="44">
        <v>0</v>
      </c>
      <c r="M51" s="65" t="s">
        <v>39</v>
      </c>
      <c r="N51" s="66"/>
      <c r="O51" s="5" t="s">
        <v>39</v>
      </c>
      <c r="P51" s="5" t="s">
        <v>39</v>
      </c>
      <c r="Q51" s="5" t="s">
        <v>39</v>
      </c>
      <c r="R51" s="5" t="s">
        <v>39</v>
      </c>
      <c r="S51" s="5" t="s">
        <v>39</v>
      </c>
      <c r="T51" s="5" t="s">
        <v>39</v>
      </c>
      <c r="U51" s="5" t="s">
        <v>39</v>
      </c>
      <c r="V51" s="5" t="s">
        <v>39</v>
      </c>
      <c r="W51" s="45" t="str">
        <f t="shared" si="1"/>
        <v>CH2CL2</v>
      </c>
      <c r="AA51" s="38">
        <v>1</v>
      </c>
      <c r="AB51" s="37">
        <v>2</v>
      </c>
      <c r="AD51" s="38"/>
      <c r="AE51" s="37">
        <v>2</v>
      </c>
      <c r="AF51" s="38"/>
      <c r="AG51" s="38"/>
      <c r="AH51" s="38"/>
      <c r="AI51" s="34"/>
    </row>
    <row r="52" spans="1:35">
      <c r="A52" t="s">
        <v>72</v>
      </c>
      <c r="B52">
        <v>49</v>
      </c>
      <c r="C52" s="5">
        <v>83.924999999999997</v>
      </c>
      <c r="D52" s="5">
        <v>0.161</v>
      </c>
      <c r="E52" s="5">
        <v>0.82199999999999995</v>
      </c>
      <c r="F52" s="5">
        <v>107</v>
      </c>
      <c r="G52" s="5">
        <v>568.32399999999996</v>
      </c>
      <c r="H52" t="s">
        <v>72</v>
      </c>
      <c r="I52" s="11">
        <v>48.56</v>
      </c>
      <c r="J52" s="5">
        <v>474.2</v>
      </c>
      <c r="K52" s="5">
        <v>0.16200000000000001</v>
      </c>
      <c r="L52" s="44">
        <v>0.65505999999999998</v>
      </c>
      <c r="M52" s="65">
        <v>2.2487657632168059</v>
      </c>
      <c r="N52" s="66">
        <v>1.0360969550120038</v>
      </c>
      <c r="O52" s="5">
        <v>5.1638000000000002</v>
      </c>
      <c r="P52" s="5">
        <v>19.207999999999998</v>
      </c>
      <c r="Q52" s="5">
        <v>-82.921000000000006</v>
      </c>
      <c r="R52" s="5">
        <v>-35.814</v>
      </c>
      <c r="S52" s="45">
        <v>43.6</v>
      </c>
      <c r="T52" s="45">
        <v>1.14E-2</v>
      </c>
      <c r="U52" s="45">
        <v>1.0900000000000001E-4</v>
      </c>
      <c r="V52" s="45">
        <v>-7.9199999999999995E-8</v>
      </c>
      <c r="W52" s="45" t="str">
        <f t="shared" si="1"/>
        <v>CHCL2</v>
      </c>
      <c r="X52" s="5">
        <v>1.1797</v>
      </c>
      <c r="Y52" s="5">
        <v>1.8361000000000001</v>
      </c>
      <c r="Z52" s="5">
        <v>-3.2860999999999998</v>
      </c>
      <c r="AA52" s="38">
        <v>1</v>
      </c>
      <c r="AB52" s="37">
        <v>1</v>
      </c>
      <c r="AD52" s="38"/>
      <c r="AE52" s="37">
        <v>2</v>
      </c>
      <c r="AF52" s="38"/>
      <c r="AG52" s="38"/>
      <c r="AH52" s="38"/>
      <c r="AI52" s="34"/>
    </row>
    <row r="53" spans="1:35">
      <c r="A53" t="s">
        <v>73</v>
      </c>
      <c r="B53">
        <v>50</v>
      </c>
      <c r="C53" s="5">
        <v>82.917199999999994</v>
      </c>
      <c r="D53" s="5">
        <v>8.6999999999999994E-2</v>
      </c>
      <c r="E53" s="5">
        <v>0.77900000000000003</v>
      </c>
      <c r="F53" s="5">
        <v>82</v>
      </c>
      <c r="G53" s="5">
        <v>469.5</v>
      </c>
      <c r="H53" t="s">
        <v>73</v>
      </c>
      <c r="I53" s="11">
        <v>42.56</v>
      </c>
      <c r="J53" s="5">
        <v>375.33100000000002</v>
      </c>
      <c r="K53" s="5">
        <v>0.106</v>
      </c>
      <c r="L53" s="44">
        <v>0.92276999999999998</v>
      </c>
      <c r="M53" s="65">
        <v>3.0610457365190813</v>
      </c>
      <c r="N53" s="66">
        <v>1.8408973102643729</v>
      </c>
      <c r="O53" s="5">
        <v>5</v>
      </c>
      <c r="P53" s="5">
        <v>17.574000000000002</v>
      </c>
      <c r="Q53" s="5" t="s">
        <v>39</v>
      </c>
      <c r="R53" s="5" t="s">
        <v>39</v>
      </c>
      <c r="S53" s="45">
        <v>0.4</v>
      </c>
      <c r="T53" s="45">
        <v>0.23400000000000001</v>
      </c>
      <c r="U53" s="45">
        <v>-2.6699999999999998E-4</v>
      </c>
      <c r="V53" s="45">
        <v>1.02E-7</v>
      </c>
      <c r="W53" s="45" t="str">
        <f t="shared" si="1"/>
        <v>CCL2</v>
      </c>
      <c r="X53" s="5">
        <v>0.36530000000000001</v>
      </c>
      <c r="Y53" s="5">
        <v>0.1696</v>
      </c>
      <c r="Z53" s="5">
        <v>-1.4334</v>
      </c>
      <c r="AA53" s="38">
        <v>1</v>
      </c>
      <c r="AB53" s="37">
        <v>0</v>
      </c>
      <c r="AD53" s="38"/>
      <c r="AE53" s="37">
        <v>2</v>
      </c>
      <c r="AF53" s="38"/>
      <c r="AG53" s="38"/>
      <c r="AH53" s="38"/>
      <c r="AI53" s="34"/>
    </row>
    <row r="54" spans="1:35">
      <c r="A54" t="s">
        <v>74</v>
      </c>
      <c r="B54">
        <v>51</v>
      </c>
      <c r="C54" s="5">
        <v>119.378</v>
      </c>
      <c r="D54" s="5" t="s">
        <v>39</v>
      </c>
      <c r="E54" s="5" t="s">
        <v>39</v>
      </c>
      <c r="F54" s="5" t="s">
        <v>39</v>
      </c>
      <c r="G54" s="5" t="s">
        <v>39</v>
      </c>
      <c r="H54" t="s">
        <v>74</v>
      </c>
      <c r="I54" s="11" t="s">
        <v>39</v>
      </c>
      <c r="J54" s="5" t="s">
        <v>39</v>
      </c>
      <c r="K54" s="5" t="s">
        <v>39</v>
      </c>
      <c r="L54" s="44">
        <v>0</v>
      </c>
      <c r="M54" s="65" t="s">
        <v>39</v>
      </c>
      <c r="N54" s="66"/>
      <c r="O54" s="5" t="s">
        <v>39</v>
      </c>
      <c r="P54" s="5" t="s">
        <v>39</v>
      </c>
      <c r="Q54" s="5" t="s">
        <v>39</v>
      </c>
      <c r="R54" s="5" t="s">
        <v>39</v>
      </c>
      <c r="S54" s="5" t="s">
        <v>39</v>
      </c>
      <c r="T54" s="5" t="s">
        <v>39</v>
      </c>
      <c r="U54" s="5" t="s">
        <v>39</v>
      </c>
      <c r="V54" s="5" t="s">
        <v>39</v>
      </c>
      <c r="W54" s="45" t="str">
        <f t="shared" si="1"/>
        <v>CHCL3</v>
      </c>
      <c r="AA54" s="38">
        <v>1</v>
      </c>
      <c r="AB54" s="37">
        <v>1</v>
      </c>
      <c r="AD54" s="38"/>
      <c r="AE54" s="37">
        <v>3</v>
      </c>
      <c r="AF54" s="38"/>
      <c r="AG54" s="38"/>
      <c r="AH54" s="38"/>
      <c r="AI54" s="34"/>
    </row>
    <row r="55" spans="1:35">
      <c r="A55" t="s">
        <v>75</v>
      </c>
      <c r="B55">
        <v>52</v>
      </c>
      <c r="C55" s="5">
        <v>118.37</v>
      </c>
      <c r="D55" s="5">
        <v>0.14799999999999999</v>
      </c>
      <c r="E55" s="5">
        <v>1.161</v>
      </c>
      <c r="F55" s="5">
        <v>124</v>
      </c>
      <c r="G55" s="5">
        <v>647.41</v>
      </c>
      <c r="H55" t="s">
        <v>75</v>
      </c>
      <c r="I55" s="11">
        <v>62.06</v>
      </c>
      <c r="J55" s="5">
        <v>519.42100000000005</v>
      </c>
      <c r="K55" s="5">
        <v>0.11899999999999999</v>
      </c>
      <c r="L55" s="44">
        <v>2.2688700000000002</v>
      </c>
      <c r="M55" s="65">
        <v>8.8501873966798961</v>
      </c>
      <c r="N55" s="66">
        <v>5.4746423896004082</v>
      </c>
      <c r="O55" s="5">
        <v>10.233700000000001</v>
      </c>
      <c r="P55" s="5">
        <v>33.4</v>
      </c>
      <c r="Q55" s="5">
        <v>-107.188</v>
      </c>
      <c r="R55" s="5">
        <v>-53.332000000000001</v>
      </c>
      <c r="S55" s="45">
        <v>33.700000000000003</v>
      </c>
      <c r="T55" s="45">
        <v>0.13800000000000001</v>
      </c>
      <c r="U55" s="45">
        <v>-8.0000000000000007E-5</v>
      </c>
      <c r="V55" s="45">
        <v>2.1999999999999998E-9</v>
      </c>
      <c r="W55" s="45" t="str">
        <f t="shared" si="1"/>
        <v>CCL3</v>
      </c>
      <c r="X55" s="5">
        <v>0</v>
      </c>
      <c r="Y55" s="5">
        <v>1.2777000000000001</v>
      </c>
      <c r="Z55" s="5">
        <v>-2.6354000000000002</v>
      </c>
      <c r="AA55" s="38">
        <v>1</v>
      </c>
      <c r="AB55" s="37">
        <v>0</v>
      </c>
      <c r="AD55" s="38"/>
      <c r="AE55" s="37">
        <v>3</v>
      </c>
      <c r="AF55" s="38"/>
      <c r="AG55" s="38"/>
      <c r="AH55" s="38"/>
      <c r="AI55" s="34"/>
    </row>
    <row r="56" spans="1:35">
      <c r="A56" t="s">
        <v>76</v>
      </c>
      <c r="B56">
        <v>53</v>
      </c>
      <c r="C56" s="5">
        <v>153.82300000000001</v>
      </c>
      <c r="D56" s="5" t="s">
        <v>39</v>
      </c>
      <c r="E56" s="5" t="s">
        <v>39</v>
      </c>
      <c r="F56" s="5" t="s">
        <v>39</v>
      </c>
      <c r="G56" s="5" t="s">
        <v>39</v>
      </c>
      <c r="H56" t="s">
        <v>76</v>
      </c>
      <c r="I56" s="11" t="s">
        <v>39</v>
      </c>
      <c r="J56" s="5" t="s">
        <v>39</v>
      </c>
      <c r="K56" s="5" t="s">
        <v>39</v>
      </c>
      <c r="L56" s="44">
        <v>0</v>
      </c>
      <c r="M56" s="65" t="s">
        <v>39</v>
      </c>
      <c r="N56" s="66"/>
      <c r="O56" s="5" t="s">
        <v>39</v>
      </c>
      <c r="P56" s="5" t="s">
        <v>39</v>
      </c>
      <c r="Q56" s="5" t="s">
        <v>39</v>
      </c>
      <c r="R56" s="5" t="s">
        <v>39</v>
      </c>
      <c r="S56" s="5" t="s">
        <v>39</v>
      </c>
      <c r="T56" s="5" t="s">
        <v>39</v>
      </c>
      <c r="U56" s="5" t="s">
        <v>39</v>
      </c>
      <c r="V56" s="5" t="s">
        <v>39</v>
      </c>
      <c r="W56" s="45" t="str">
        <f t="shared" si="1"/>
        <v>CCL4</v>
      </c>
      <c r="AA56" s="38">
        <v>1</v>
      </c>
      <c r="AD56" s="38"/>
      <c r="AE56" s="37">
        <v>4</v>
      </c>
      <c r="AF56" s="38"/>
      <c r="AG56" s="38"/>
      <c r="AH56" s="38"/>
      <c r="AI56" s="34"/>
    </row>
    <row r="57" spans="1:35">
      <c r="A57" t="s">
        <v>77</v>
      </c>
      <c r="B57">
        <v>54</v>
      </c>
      <c r="C57" s="5">
        <v>47.464100000000002</v>
      </c>
      <c r="D57" s="5">
        <v>0.08</v>
      </c>
      <c r="E57" s="5">
        <v>0.46</v>
      </c>
      <c r="F57" s="5">
        <v>47</v>
      </c>
      <c r="G57" s="5">
        <v>366.30500000000001</v>
      </c>
      <c r="H57" t="s">
        <v>77</v>
      </c>
      <c r="I57" s="11">
        <v>26.92</v>
      </c>
      <c r="J57" s="5">
        <v>310.47000000000003</v>
      </c>
      <c r="K57" s="5">
        <v>8.3000000000000004E-2</v>
      </c>
      <c r="L57" s="44">
        <v>0.34511999999999998</v>
      </c>
      <c r="M57" s="65">
        <v>0.44806262369886168</v>
      </c>
      <c r="N57" s="66">
        <v>0.52274307853348545</v>
      </c>
      <c r="O57" s="5">
        <v>2.7336</v>
      </c>
      <c r="P57" s="5">
        <v>11.882999999999999</v>
      </c>
      <c r="Q57" s="5">
        <v>-16.751999999999999</v>
      </c>
      <c r="R57" s="5">
        <v>-0.5</v>
      </c>
      <c r="S57" s="45">
        <v>25.1</v>
      </c>
      <c r="T57" s="45">
        <v>4.7000000000000002E-3</v>
      </c>
      <c r="U57" s="45">
        <v>4.5000000000000003E-5</v>
      </c>
      <c r="V57" s="45">
        <v>-3.18E-8</v>
      </c>
      <c r="W57" s="45" t="str">
        <f t="shared" si="1"/>
        <v>ACCL</v>
      </c>
      <c r="X57" s="5">
        <v>0.84750000000000003</v>
      </c>
      <c r="Y57" s="5">
        <v>-3.39E-2</v>
      </c>
      <c r="Z57" s="5">
        <v>-0.78400000000000003</v>
      </c>
      <c r="AA57" s="38">
        <v>1</v>
      </c>
      <c r="AB57" s="37">
        <v>0</v>
      </c>
      <c r="AD57" s="38"/>
      <c r="AE57" s="37">
        <v>1</v>
      </c>
      <c r="AF57" s="38"/>
      <c r="AG57" s="38"/>
      <c r="AH57" s="38"/>
      <c r="AI57" s="34"/>
    </row>
    <row r="58" spans="1:35">
      <c r="A58" t="s">
        <v>78</v>
      </c>
      <c r="B58">
        <v>55</v>
      </c>
      <c r="C58" s="5">
        <v>61.040399999999998</v>
      </c>
      <c r="D58" s="5" t="s">
        <v>39</v>
      </c>
      <c r="E58" s="5" t="s">
        <v>39</v>
      </c>
      <c r="F58" s="5" t="s">
        <v>39</v>
      </c>
      <c r="G58" s="5" t="s">
        <v>39</v>
      </c>
      <c r="H58" t="s">
        <v>78</v>
      </c>
      <c r="I58" s="11" t="s">
        <v>39</v>
      </c>
      <c r="J58" s="5" t="s">
        <v>39</v>
      </c>
      <c r="K58" s="5" t="s">
        <v>39</v>
      </c>
      <c r="L58" s="44">
        <v>0</v>
      </c>
      <c r="M58" s="65" t="s">
        <v>39</v>
      </c>
      <c r="N58" s="66"/>
      <c r="O58" s="5" t="s">
        <v>39</v>
      </c>
      <c r="P58" s="5" t="s">
        <v>39</v>
      </c>
      <c r="Q58" s="5" t="s">
        <v>39</v>
      </c>
      <c r="R58" s="5" t="s">
        <v>39</v>
      </c>
      <c r="S58" s="5" t="s">
        <v>39</v>
      </c>
      <c r="T58" s="5" t="s">
        <v>39</v>
      </c>
      <c r="U58" s="5" t="s">
        <v>39</v>
      </c>
      <c r="V58" s="5" t="s">
        <v>39</v>
      </c>
      <c r="W58" s="45" t="str">
        <f t="shared" si="1"/>
        <v>CH3NO2</v>
      </c>
      <c r="AA58" s="38">
        <v>1</v>
      </c>
      <c r="AB58" s="37">
        <v>3</v>
      </c>
      <c r="AC58" s="37">
        <v>2</v>
      </c>
      <c r="AD58" s="38">
        <v>1</v>
      </c>
      <c r="AF58" s="38"/>
      <c r="AG58" s="38"/>
      <c r="AH58" s="38"/>
      <c r="AI58" s="34"/>
    </row>
    <row r="59" spans="1:35" ht="13.5">
      <c r="A59" t="s">
        <v>79</v>
      </c>
      <c r="B59">
        <v>56</v>
      </c>
      <c r="C59" s="5">
        <v>60.032499999999999</v>
      </c>
      <c r="D59" s="5">
        <v>0.22</v>
      </c>
      <c r="E59" s="5">
        <v>0.61699999999999999</v>
      </c>
      <c r="F59" s="5">
        <v>34</v>
      </c>
      <c r="G59" s="5">
        <v>797</v>
      </c>
      <c r="H59" t="s">
        <v>79</v>
      </c>
      <c r="I59" s="46">
        <v>50.207683834730865</v>
      </c>
      <c r="J59" s="5">
        <v>696</v>
      </c>
      <c r="K59" s="5">
        <v>0.32800000000000001</v>
      </c>
      <c r="L59" s="44">
        <v>1.15141</v>
      </c>
      <c r="M59" s="65">
        <v>3.3122147284984629</v>
      </c>
      <c r="N59" s="66">
        <v>1.9349993767160001</v>
      </c>
      <c r="O59" s="5">
        <v>5.5423999999999998</v>
      </c>
      <c r="P59" s="5">
        <v>30.643999999999998</v>
      </c>
      <c r="Q59" s="5">
        <v>-66.138000000000005</v>
      </c>
      <c r="R59" s="5">
        <v>17.963000000000001</v>
      </c>
      <c r="S59" s="45">
        <v>25</v>
      </c>
      <c r="T59" s="45">
        <v>9.1300000000000006E-2</v>
      </c>
      <c r="U59" s="45">
        <v>7.4599999999999997E-5</v>
      </c>
      <c r="V59" s="45">
        <v>-7.6899999999999994E-8</v>
      </c>
      <c r="W59" s="45" t="str">
        <f t="shared" si="1"/>
        <v>CH2NO2</v>
      </c>
      <c r="X59" s="5">
        <v>0</v>
      </c>
      <c r="Y59" s="5">
        <v>6.8944000000000001</v>
      </c>
      <c r="Z59" s="5">
        <v>-1.2861</v>
      </c>
      <c r="AA59" s="38">
        <v>1</v>
      </c>
      <c r="AB59" s="37">
        <v>2</v>
      </c>
      <c r="AC59" s="37">
        <v>2</v>
      </c>
      <c r="AD59" s="38">
        <v>1</v>
      </c>
      <c r="AF59" s="38"/>
      <c r="AG59" s="38"/>
      <c r="AH59" s="38"/>
      <c r="AI59" s="34"/>
    </row>
    <row r="60" spans="1:35" ht="13.5">
      <c r="A60" t="s">
        <v>80</v>
      </c>
      <c r="B60">
        <v>57</v>
      </c>
      <c r="C60" s="5">
        <v>59.0246</v>
      </c>
      <c r="D60" s="5">
        <v>0.17399999999999999</v>
      </c>
      <c r="E60" s="5">
        <v>0.61699999999999999</v>
      </c>
      <c r="F60" s="5">
        <v>34</v>
      </c>
      <c r="G60" s="5">
        <v>744</v>
      </c>
      <c r="H60" t="s">
        <v>80</v>
      </c>
      <c r="I60" s="46">
        <v>46.31256861767239</v>
      </c>
      <c r="J60" s="5">
        <v>672</v>
      </c>
      <c r="K60" s="5">
        <v>0.308</v>
      </c>
      <c r="L60" s="44">
        <v>0.80472999999999995</v>
      </c>
      <c r="M60" s="65">
        <v>1.7488747783076424</v>
      </c>
      <c r="N60" s="66">
        <v>1.2254874082326921</v>
      </c>
      <c r="O60" s="5">
        <v>4.9737999999999998</v>
      </c>
      <c r="P60" s="5">
        <v>26.277000000000001</v>
      </c>
      <c r="Q60" s="5">
        <v>-59.142000000000003</v>
      </c>
      <c r="R60" s="5">
        <v>18.088000000000001</v>
      </c>
      <c r="S60" s="45">
        <v>2.9</v>
      </c>
      <c r="T60" s="45">
        <v>0.2</v>
      </c>
      <c r="U60" s="45">
        <v>-1.36E-4</v>
      </c>
      <c r="V60" s="45">
        <v>3.1200000000000001E-8</v>
      </c>
      <c r="W60" s="45" t="str">
        <f t="shared" si="1"/>
        <v>CHNO2</v>
      </c>
      <c r="X60" s="5">
        <v>0</v>
      </c>
      <c r="Y60" s="5">
        <v>8.0347000000000008</v>
      </c>
      <c r="Z60" s="5">
        <v>-2.3167</v>
      </c>
      <c r="AA60" s="38">
        <v>1</v>
      </c>
      <c r="AB60" s="37">
        <v>1</v>
      </c>
      <c r="AC60" s="37">
        <v>2</v>
      </c>
      <c r="AD60" s="38">
        <v>1</v>
      </c>
      <c r="AF60" s="38"/>
      <c r="AG60" s="38"/>
      <c r="AH60" s="38"/>
      <c r="AI60" s="34"/>
    </row>
    <row r="61" spans="1:35" ht="13.5">
      <c r="A61" t="s">
        <v>81</v>
      </c>
      <c r="B61">
        <v>58</v>
      </c>
      <c r="C61" s="5">
        <v>58.0167</v>
      </c>
      <c r="D61" s="5">
        <v>0.16400000000000001</v>
      </c>
      <c r="E61" s="5">
        <v>0.61699999999999999</v>
      </c>
      <c r="F61" s="5">
        <v>34</v>
      </c>
      <c r="G61" s="5">
        <v>733</v>
      </c>
      <c r="H61" t="s">
        <v>81</v>
      </c>
      <c r="I61" s="46">
        <v>31.423880923279004</v>
      </c>
      <c r="J61" s="5">
        <v>671</v>
      </c>
      <c r="K61" s="5">
        <v>0.318</v>
      </c>
      <c r="L61" s="44">
        <v>0.19413</v>
      </c>
      <c r="M61" s="65">
        <v>-0.21337914876990968</v>
      </c>
      <c r="N61" s="66">
        <v>4.3936095581087783E-2</v>
      </c>
      <c r="O61" s="5">
        <v>8.4724000000000004</v>
      </c>
      <c r="P61" s="5">
        <v>19.7</v>
      </c>
      <c r="Q61" s="5">
        <v>-7.3650000000000002</v>
      </c>
      <c r="R61" s="5">
        <v>60.161000000000001</v>
      </c>
      <c r="S61" s="45">
        <v>17.7</v>
      </c>
      <c r="T61" s="45">
        <v>9.7299999999999998E-2</v>
      </c>
      <c r="U61" s="45">
        <v>-1.2999999999999999E-5</v>
      </c>
      <c r="V61" s="45">
        <v>-2.0999999999999999E-8</v>
      </c>
      <c r="W61" s="45" t="str">
        <f t="shared" si="1"/>
        <v>ACNO2</v>
      </c>
      <c r="X61" s="5">
        <v>1.4195</v>
      </c>
      <c r="Y61" s="5">
        <v>4.4837999999999996</v>
      </c>
      <c r="Z61" s="5">
        <v>-0.7167</v>
      </c>
      <c r="AA61" s="38">
        <v>1</v>
      </c>
      <c r="AB61" s="37">
        <v>0</v>
      </c>
      <c r="AC61" s="37">
        <v>2</v>
      </c>
      <c r="AD61" s="38">
        <v>1</v>
      </c>
      <c r="AF61" s="38"/>
      <c r="AG61" s="38"/>
      <c r="AH61" s="38"/>
      <c r="AI61" s="34"/>
    </row>
    <row r="62" spans="1:35">
      <c r="A62" t="s">
        <v>82</v>
      </c>
      <c r="B62">
        <v>59</v>
      </c>
      <c r="C62" s="5">
        <v>76.131100000000004</v>
      </c>
      <c r="D62" s="5" t="s">
        <v>39</v>
      </c>
      <c r="E62" s="5" t="s">
        <v>39</v>
      </c>
      <c r="F62" s="5" t="s">
        <v>39</v>
      </c>
      <c r="G62" s="5" t="s">
        <v>39</v>
      </c>
      <c r="H62" t="s">
        <v>82</v>
      </c>
      <c r="I62" s="11" t="s">
        <v>39</v>
      </c>
      <c r="J62" s="5" t="s">
        <v>39</v>
      </c>
      <c r="K62" s="5" t="s">
        <v>39</v>
      </c>
      <c r="L62" s="44">
        <v>0</v>
      </c>
      <c r="M62" s="65" t="s">
        <v>39</v>
      </c>
      <c r="N62" s="66"/>
      <c r="O62" s="5" t="s">
        <v>39</v>
      </c>
      <c r="P62" s="5" t="s">
        <v>39</v>
      </c>
      <c r="Q62" s="5" t="s">
        <v>39</v>
      </c>
      <c r="R62" s="5" t="s">
        <v>39</v>
      </c>
      <c r="S62" s="5" t="s">
        <v>39</v>
      </c>
      <c r="T62" s="5" t="s">
        <v>39</v>
      </c>
      <c r="U62" s="5" t="s">
        <v>39</v>
      </c>
      <c r="V62" s="5" t="s">
        <v>39</v>
      </c>
      <c r="W62" s="45" t="str">
        <f t="shared" si="1"/>
        <v>CS2</v>
      </c>
      <c r="AA62" s="38">
        <v>1</v>
      </c>
      <c r="AD62" s="38"/>
      <c r="AF62" s="38"/>
      <c r="AG62" s="38">
        <v>2</v>
      </c>
      <c r="AH62" s="38"/>
      <c r="AI62" s="34"/>
    </row>
    <row r="63" spans="1:35">
      <c r="A63" t="s">
        <v>83</v>
      </c>
      <c r="B63">
        <v>60</v>
      </c>
      <c r="C63" s="5">
        <v>48.102699999999999</v>
      </c>
      <c r="D63" s="5" t="s">
        <v>39</v>
      </c>
      <c r="E63" s="5" t="s">
        <v>39</v>
      </c>
      <c r="F63" s="5" t="s">
        <v>39</v>
      </c>
      <c r="G63" s="5" t="s">
        <v>39</v>
      </c>
      <c r="H63" t="s">
        <v>83</v>
      </c>
      <c r="I63" s="11" t="s">
        <v>39</v>
      </c>
      <c r="J63" s="5" t="s">
        <v>39</v>
      </c>
      <c r="K63" s="5" t="s">
        <v>39</v>
      </c>
      <c r="L63" s="44">
        <v>0</v>
      </c>
      <c r="M63" s="65" t="s">
        <v>39</v>
      </c>
      <c r="N63" s="66"/>
      <c r="O63" s="5" t="s">
        <v>39</v>
      </c>
      <c r="P63" s="5" t="s">
        <v>39</v>
      </c>
      <c r="Q63" s="5" t="s">
        <v>39</v>
      </c>
      <c r="R63" s="5" t="s">
        <v>39</v>
      </c>
      <c r="S63" s="5" t="s">
        <v>39</v>
      </c>
      <c r="T63" s="5" t="s">
        <v>39</v>
      </c>
      <c r="U63" s="5" t="s">
        <v>39</v>
      </c>
      <c r="V63" s="5" t="s">
        <v>39</v>
      </c>
      <c r="W63" s="45" t="str">
        <f t="shared" si="1"/>
        <v>CH3SH</v>
      </c>
      <c r="AA63" s="38">
        <v>1</v>
      </c>
      <c r="AB63" s="37">
        <v>4</v>
      </c>
      <c r="AD63" s="38"/>
      <c r="AF63" s="38"/>
      <c r="AG63" s="38">
        <v>1</v>
      </c>
      <c r="AH63" s="38"/>
      <c r="AI63" s="34"/>
    </row>
    <row r="64" spans="1:35" ht="13.5">
      <c r="A64" t="s">
        <v>84</v>
      </c>
      <c r="B64">
        <v>61</v>
      </c>
      <c r="C64" s="5">
        <v>47.094799999999999</v>
      </c>
      <c r="D64" s="5">
        <v>0.129</v>
      </c>
      <c r="E64" s="5">
        <v>0.47599999999999998</v>
      </c>
      <c r="F64" s="5">
        <v>65</v>
      </c>
      <c r="G64" s="5">
        <v>501</v>
      </c>
      <c r="H64" t="s">
        <v>84</v>
      </c>
      <c r="I64" s="46">
        <v>46.706129969738029</v>
      </c>
      <c r="J64" s="5">
        <v>418.27699999999999</v>
      </c>
      <c r="K64" s="5">
        <v>0.13800000000000001</v>
      </c>
      <c r="L64" s="44">
        <v>0.29208000000000001</v>
      </c>
      <c r="M64" s="65">
        <v>0.47361420481716293</v>
      </c>
      <c r="N64" s="66">
        <v>0.29328582790887286</v>
      </c>
      <c r="O64" s="5">
        <v>3.0044</v>
      </c>
      <c r="P64" s="5">
        <v>14.930999999999999</v>
      </c>
      <c r="Q64" s="5">
        <v>-8.2530000000000001</v>
      </c>
      <c r="R64" s="5">
        <v>16.731000000000002</v>
      </c>
      <c r="S64" s="45">
        <v>34.4</v>
      </c>
      <c r="T64" s="45">
        <v>1.9199999999999998E-2</v>
      </c>
      <c r="U64" s="45">
        <v>1.3100000000000001E-4</v>
      </c>
      <c r="V64" s="45">
        <v>-9.1100000000000002E-8</v>
      </c>
      <c r="W64" s="45" t="str">
        <f t="shared" si="1"/>
        <v>CH2SH</v>
      </c>
      <c r="X64" s="5">
        <v>1.0427</v>
      </c>
      <c r="Y64" s="5">
        <v>1.9813000000000001</v>
      </c>
      <c r="Z64" s="5">
        <v>4.8181000000000003</v>
      </c>
      <c r="AA64" s="38">
        <v>1</v>
      </c>
      <c r="AB64" s="37">
        <v>3</v>
      </c>
      <c r="AD64" s="38"/>
      <c r="AF64" s="38"/>
      <c r="AG64" s="38">
        <v>1</v>
      </c>
      <c r="AH64" s="38"/>
      <c r="AI64" s="34"/>
    </row>
    <row r="65" spans="1:35" ht="13.5">
      <c r="A65" t="s">
        <v>85</v>
      </c>
      <c r="B65">
        <v>62</v>
      </c>
      <c r="C65" s="5">
        <v>96.086200000000005</v>
      </c>
      <c r="D65" s="5" t="s">
        <v>39</v>
      </c>
      <c r="E65" s="5" t="s">
        <v>39</v>
      </c>
      <c r="F65" s="5" t="s">
        <v>39</v>
      </c>
      <c r="G65" s="5" t="s">
        <v>39</v>
      </c>
      <c r="H65" t="s">
        <v>85</v>
      </c>
      <c r="I65" s="46" t="s">
        <v>39</v>
      </c>
      <c r="J65" s="5" t="s">
        <v>39</v>
      </c>
      <c r="K65" s="5" t="s">
        <v>39</v>
      </c>
      <c r="L65" s="44">
        <v>0</v>
      </c>
      <c r="M65" s="65" t="s">
        <v>39</v>
      </c>
      <c r="N65" s="66"/>
      <c r="O65" s="5" t="s">
        <v>39</v>
      </c>
      <c r="P65" s="5" t="s">
        <v>39</v>
      </c>
      <c r="Q65" s="5" t="s">
        <v>39</v>
      </c>
      <c r="R65" s="5" t="s">
        <v>39</v>
      </c>
      <c r="S65" s="5" t="s">
        <v>39</v>
      </c>
      <c r="T65" s="5" t="s">
        <v>39</v>
      </c>
      <c r="U65" s="5" t="s">
        <v>39</v>
      </c>
      <c r="V65" s="5" t="s">
        <v>39</v>
      </c>
      <c r="W65" s="45" t="str">
        <f t="shared" si="1"/>
        <v>FURFURAL</v>
      </c>
      <c r="AA65" s="38"/>
      <c r="AD65" s="38"/>
      <c r="AF65" s="38"/>
      <c r="AG65" s="38"/>
      <c r="AH65" s="38"/>
      <c r="AI65" s="34"/>
    </row>
    <row r="66" spans="1:35" ht="13.5">
      <c r="A66" t="s">
        <v>86</v>
      </c>
      <c r="B66">
        <v>63</v>
      </c>
      <c r="C66" s="5">
        <v>62.0685</v>
      </c>
      <c r="D66" s="5" t="s">
        <v>39</v>
      </c>
      <c r="E66" s="5" t="s">
        <v>39</v>
      </c>
      <c r="F66" s="5" t="s">
        <v>39</v>
      </c>
      <c r="G66" s="5" t="s">
        <v>39</v>
      </c>
      <c r="H66" t="s">
        <v>86</v>
      </c>
      <c r="I66" s="46" t="s">
        <v>39</v>
      </c>
      <c r="J66" s="5" t="s">
        <v>39</v>
      </c>
      <c r="K66" s="5" t="s">
        <v>39</v>
      </c>
      <c r="L66" s="44">
        <v>0</v>
      </c>
      <c r="M66" s="65" t="s">
        <v>39</v>
      </c>
      <c r="N66" s="66"/>
      <c r="O66" s="5" t="s">
        <v>39</v>
      </c>
      <c r="P66" s="5" t="s">
        <v>39</v>
      </c>
      <c r="Q66" s="5" t="s">
        <v>39</v>
      </c>
      <c r="R66" s="5" t="s">
        <v>39</v>
      </c>
      <c r="S66" s="5" t="s">
        <v>39</v>
      </c>
      <c r="T66" s="5" t="s">
        <v>39</v>
      </c>
      <c r="U66" s="5" t="s">
        <v>39</v>
      </c>
      <c r="V66" s="5" t="s">
        <v>39</v>
      </c>
      <c r="W66" s="45" t="str">
        <f t="shared" si="1"/>
        <v>&lt;CH2OH&gt;2</v>
      </c>
      <c r="AA66" s="38">
        <v>2</v>
      </c>
      <c r="AB66" s="37">
        <v>6</v>
      </c>
      <c r="AC66" s="37">
        <v>2</v>
      </c>
      <c r="AD66" s="38"/>
      <c r="AF66" s="38"/>
      <c r="AG66" s="38"/>
      <c r="AH66" s="38"/>
      <c r="AI66" s="34"/>
    </row>
    <row r="67" spans="1:35" ht="13.5">
      <c r="A67" t="s">
        <v>87</v>
      </c>
      <c r="B67">
        <v>64</v>
      </c>
      <c r="C67" s="5">
        <v>126.905</v>
      </c>
      <c r="D67" s="5">
        <v>7.1999999999999995E-2</v>
      </c>
      <c r="E67" s="5">
        <v>0.81599999999999995</v>
      </c>
      <c r="F67" s="5">
        <v>-7</v>
      </c>
      <c r="G67" s="5">
        <v>509</v>
      </c>
      <c r="H67" t="s">
        <v>87</v>
      </c>
      <c r="I67" s="46">
        <v>42.616365113352124</v>
      </c>
      <c r="J67" s="5">
        <v>424.42</v>
      </c>
      <c r="K67" s="5">
        <v>7.4999999999999997E-2</v>
      </c>
      <c r="L67" s="44">
        <v>0.10539999999999999</v>
      </c>
      <c r="M67" s="65">
        <v>-0.10467207217754826</v>
      </c>
      <c r="N67" s="66">
        <v>-4.8480982174574853E-2</v>
      </c>
      <c r="O67" s="5">
        <v>4.6089000000000002</v>
      </c>
      <c r="P67" s="5">
        <v>14.364000000000001</v>
      </c>
      <c r="Q67" s="5">
        <v>57.545999999999999</v>
      </c>
      <c r="R67" s="5">
        <v>46.945</v>
      </c>
      <c r="S67" s="45">
        <v>32.1</v>
      </c>
      <c r="T67" s="45">
        <v>-6.4100000000000004E-2</v>
      </c>
      <c r="U67" s="45">
        <v>1.26E-4</v>
      </c>
      <c r="V67" s="45">
        <v>-6.87E-8</v>
      </c>
      <c r="W67" s="45" t="str">
        <f t="shared" si="1"/>
        <v>I</v>
      </c>
      <c r="X67" s="5">
        <v>0.77969999999999995</v>
      </c>
      <c r="Y67" s="5">
        <v>0.67769999999999997</v>
      </c>
      <c r="Z67" s="5">
        <v>0.2646</v>
      </c>
      <c r="AA67" s="38"/>
      <c r="AB67" s="37">
        <v>0</v>
      </c>
      <c r="AD67" s="38"/>
      <c r="AF67" s="38"/>
      <c r="AG67" s="38"/>
      <c r="AH67" s="38">
        <v>1</v>
      </c>
      <c r="AI67" s="34"/>
    </row>
    <row r="68" spans="1:35" ht="13.5">
      <c r="A68" t="s">
        <v>88</v>
      </c>
      <c r="B68">
        <v>65</v>
      </c>
      <c r="C68" s="5">
        <v>79.903999999999996</v>
      </c>
      <c r="D68" s="5">
        <v>-2.3E-2</v>
      </c>
      <c r="E68" s="5">
        <v>0.52200000000000002</v>
      </c>
      <c r="F68" s="5">
        <v>6</v>
      </c>
      <c r="G68" s="5">
        <v>201.72399999999999</v>
      </c>
      <c r="H68" t="s">
        <v>88</v>
      </c>
      <c r="I68" s="46">
        <v>25.3</v>
      </c>
      <c r="J68" s="5">
        <v>125.556</v>
      </c>
      <c r="K68" s="5">
        <v>5.8999999999999997E-2</v>
      </c>
      <c r="L68" s="44">
        <v>0.32357000000000002</v>
      </c>
      <c r="M68" s="65">
        <v>0.97548780918667433</v>
      </c>
      <c r="N68" s="66">
        <v>0.35258790797090123</v>
      </c>
      <c r="O68" s="5">
        <v>3.7442000000000002</v>
      </c>
      <c r="P68" s="5">
        <v>11.423</v>
      </c>
      <c r="Q68" s="5">
        <v>1.8340000000000001</v>
      </c>
      <c r="R68" s="5">
        <v>-1.7210000000000001</v>
      </c>
      <c r="S68" s="45">
        <v>28.6</v>
      </c>
      <c r="T68" s="45">
        <v>-6.4899999999999999E-2</v>
      </c>
      <c r="U68" s="45">
        <v>1.36E-4</v>
      </c>
      <c r="V68" s="45">
        <v>-7.4499999999999999E-8</v>
      </c>
      <c r="W68" s="45" t="str">
        <f t="shared" ref="W68:W99" si="2">A68</f>
        <v>Br</v>
      </c>
      <c r="X68" s="5">
        <v>0.57169999999999999</v>
      </c>
      <c r="Y68" s="5">
        <v>0.69969999999999999</v>
      </c>
      <c r="Z68" s="5">
        <v>-1.0722</v>
      </c>
      <c r="AA68" s="38"/>
      <c r="AB68" s="37">
        <v>0</v>
      </c>
      <c r="AD68" s="38"/>
      <c r="AF68" s="38"/>
      <c r="AG68" s="38"/>
      <c r="AH68" s="38">
        <v>1</v>
      </c>
      <c r="AI68" s="34"/>
    </row>
    <row r="69" spans="1:35" ht="13.5">
      <c r="A69" t="s">
        <v>89</v>
      </c>
      <c r="B69">
        <v>66</v>
      </c>
      <c r="C69" s="5">
        <v>25.030200000000001</v>
      </c>
      <c r="D69" s="5">
        <v>0.106</v>
      </c>
      <c r="E69" s="5">
        <v>0.27400000000000002</v>
      </c>
      <c r="F69" s="5">
        <v>-12</v>
      </c>
      <c r="G69" s="5">
        <v>263.387</v>
      </c>
      <c r="H69" t="s">
        <v>89</v>
      </c>
      <c r="I69" s="46">
        <v>40.155158654711954</v>
      </c>
      <c r="J69" s="5">
        <v>210.34200000000001</v>
      </c>
      <c r="K69" s="5">
        <v>8.3000000000000004E-2</v>
      </c>
      <c r="L69" s="44">
        <v>0.16766</v>
      </c>
      <c r="M69" s="65">
        <v>0.72300660451259069</v>
      </c>
      <c r="N69" s="66">
        <v>0.16713352773813508</v>
      </c>
      <c r="O69" s="5">
        <v>3.9106000000000001</v>
      </c>
      <c r="P69" s="5">
        <v>7.7510000000000003</v>
      </c>
      <c r="Q69" s="5">
        <v>220.803</v>
      </c>
      <c r="R69" s="5">
        <v>217.00299999999999</v>
      </c>
      <c r="S69" s="45">
        <v>32.4</v>
      </c>
      <c r="T69" s="45">
        <v>-7.0000000000000001E-3</v>
      </c>
      <c r="U69" s="45">
        <v>1.03E-4</v>
      </c>
      <c r="V69" s="45">
        <v>-6.6399999999999999E-8</v>
      </c>
      <c r="W69" s="45" t="str">
        <f t="shared" si="2"/>
        <v>CH&lt;-&gt;C</v>
      </c>
      <c r="X69" s="5">
        <v>0.23200000000000001</v>
      </c>
      <c r="Y69" s="5">
        <v>-1.3293999999999999</v>
      </c>
      <c r="Z69" s="5">
        <v>1.0736000000000001</v>
      </c>
      <c r="AA69" s="38">
        <v>2</v>
      </c>
      <c r="AB69" s="37">
        <v>1</v>
      </c>
      <c r="AD69" s="38"/>
      <c r="AF69" s="38"/>
      <c r="AG69" s="38"/>
      <c r="AH69" s="38"/>
      <c r="AI69" s="34"/>
    </row>
    <row r="70" spans="1:35" ht="13.5">
      <c r="A70" t="s">
        <v>90</v>
      </c>
      <c r="B70">
        <v>67</v>
      </c>
      <c r="C70" s="5">
        <v>24.022300000000001</v>
      </c>
      <c r="D70" s="5">
        <v>-0.185</v>
      </c>
      <c r="E70" s="5">
        <v>0.27400000000000002</v>
      </c>
      <c r="F70" s="5">
        <v>-12</v>
      </c>
      <c r="G70" s="5">
        <v>309.64800000000002</v>
      </c>
      <c r="H70" t="s">
        <v>90</v>
      </c>
      <c r="I70" s="46">
        <v>28.803426826160891</v>
      </c>
      <c r="J70" s="5">
        <v>97.537999999999997</v>
      </c>
      <c r="K70" s="5">
        <v>8.3000000000000004E-2</v>
      </c>
      <c r="L70" s="44">
        <v>0.75485999999999998</v>
      </c>
      <c r="M70" s="65">
        <v>2.7776184750092039</v>
      </c>
      <c r="N70" s="66">
        <v>0.69640577080292476</v>
      </c>
      <c r="O70" s="5">
        <v>9.5792999999999999</v>
      </c>
      <c r="P70" s="5">
        <v>11.548999999999999</v>
      </c>
      <c r="Q70" s="5">
        <v>227.36799999999999</v>
      </c>
      <c r="R70" s="5">
        <v>216.328</v>
      </c>
      <c r="S70" s="45">
        <v>15.7</v>
      </c>
      <c r="T70" s="45">
        <v>4.02E-2</v>
      </c>
      <c r="U70" s="45">
        <v>-1.6699999999999999E-5</v>
      </c>
      <c r="V70" s="45">
        <v>2.7799999999999999E-9</v>
      </c>
      <c r="W70" s="45" t="str">
        <f t="shared" si="2"/>
        <v>C&lt;-&gt;C</v>
      </c>
      <c r="X70" s="5">
        <v>-0.20280000000000001</v>
      </c>
      <c r="Y70" s="5">
        <v>-0.75980000000000003</v>
      </c>
      <c r="Z70" s="5">
        <v>-1.1083000000000001</v>
      </c>
      <c r="AA70" s="38">
        <v>2</v>
      </c>
      <c r="AB70" s="37">
        <v>0</v>
      </c>
      <c r="AD70" s="38"/>
      <c r="AF70" s="38"/>
      <c r="AG70" s="38"/>
      <c r="AH70" s="38"/>
      <c r="AI70" s="34"/>
    </row>
    <row r="71" spans="1:35">
      <c r="A71" t="s">
        <v>91</v>
      </c>
      <c r="B71">
        <v>68</v>
      </c>
      <c r="C71" s="5">
        <v>78.129099999999994</v>
      </c>
      <c r="D71" s="5" t="s">
        <v>39</v>
      </c>
      <c r="E71" s="5" t="s">
        <v>39</v>
      </c>
      <c r="F71" s="5" t="s">
        <v>39</v>
      </c>
      <c r="G71" s="5" t="s">
        <v>39</v>
      </c>
      <c r="H71" t="s">
        <v>91</v>
      </c>
      <c r="I71" s="11" t="s">
        <v>39</v>
      </c>
      <c r="J71" s="5" t="s">
        <v>39</v>
      </c>
      <c r="K71" s="5" t="s">
        <v>39</v>
      </c>
      <c r="L71" s="44">
        <v>0</v>
      </c>
      <c r="M71" s="65" t="s">
        <v>39</v>
      </c>
      <c r="N71" s="66"/>
      <c r="O71" s="5" t="s">
        <v>39</v>
      </c>
      <c r="P71" s="5" t="s">
        <v>39</v>
      </c>
      <c r="Q71" s="5" t="s">
        <v>39</v>
      </c>
      <c r="R71" s="5" t="s">
        <v>39</v>
      </c>
      <c r="S71" s="5" t="s">
        <v>39</v>
      </c>
      <c r="T71" s="5" t="s">
        <v>39</v>
      </c>
      <c r="U71" s="5" t="s">
        <v>39</v>
      </c>
      <c r="V71" s="5" t="s">
        <v>39</v>
      </c>
      <c r="W71" s="45" t="str">
        <f t="shared" si="2"/>
        <v>ME2SO</v>
      </c>
      <c r="AA71" s="38"/>
      <c r="AD71" s="38"/>
      <c r="AF71" s="38"/>
      <c r="AG71" s="38"/>
      <c r="AH71" s="38"/>
      <c r="AI71" s="34"/>
    </row>
    <row r="72" spans="1:35">
      <c r="A72" t="s">
        <v>92</v>
      </c>
      <c r="B72">
        <v>69</v>
      </c>
      <c r="C72" s="5">
        <v>53.063899999999997</v>
      </c>
      <c r="D72" s="5" t="s">
        <v>39</v>
      </c>
      <c r="E72" s="5" t="s">
        <v>39</v>
      </c>
      <c r="F72" s="5" t="s">
        <v>39</v>
      </c>
      <c r="G72" s="5" t="s">
        <v>39</v>
      </c>
      <c r="H72" t="s">
        <v>92</v>
      </c>
      <c r="I72" s="11" t="s">
        <v>39</v>
      </c>
      <c r="J72" s="5" t="s">
        <v>39</v>
      </c>
      <c r="K72" s="5" t="s">
        <v>39</v>
      </c>
      <c r="L72" s="44">
        <v>0</v>
      </c>
      <c r="M72" s="65" t="s">
        <v>39</v>
      </c>
      <c r="N72" s="66"/>
      <c r="O72" s="5" t="s">
        <v>39</v>
      </c>
      <c r="P72" s="5" t="s">
        <v>39</v>
      </c>
      <c r="Q72" s="5" t="s">
        <v>39</v>
      </c>
      <c r="R72" s="5" t="s">
        <v>39</v>
      </c>
      <c r="S72" s="5" t="s">
        <v>39</v>
      </c>
      <c r="T72" s="5" t="s">
        <v>39</v>
      </c>
      <c r="U72" s="5" t="s">
        <v>39</v>
      </c>
      <c r="V72" s="5" t="s">
        <v>39</v>
      </c>
      <c r="W72" s="45" t="str">
        <f t="shared" si="2"/>
        <v>ACRY</v>
      </c>
      <c r="AA72" s="38"/>
      <c r="AD72" s="38"/>
      <c r="AF72" s="38"/>
      <c r="AG72" s="38"/>
      <c r="AH72" s="38"/>
      <c r="AI72" s="34"/>
    </row>
    <row r="73" spans="1:35">
      <c r="A73" t="s">
        <v>93</v>
      </c>
      <c r="B73">
        <v>70</v>
      </c>
      <c r="C73" s="5">
        <v>35.453000000000003</v>
      </c>
      <c r="D73" s="5">
        <v>9.1999999999999998E-2</v>
      </c>
      <c r="E73" s="5">
        <v>0.318</v>
      </c>
      <c r="F73" s="5">
        <v>23</v>
      </c>
      <c r="G73" s="5">
        <v>183.17099999999999</v>
      </c>
      <c r="H73" t="s">
        <v>93</v>
      </c>
      <c r="I73" s="11">
        <v>19.5</v>
      </c>
      <c r="J73" s="5">
        <v>140</v>
      </c>
      <c r="K73" s="5">
        <v>4.2999999999999997E-2</v>
      </c>
      <c r="L73" s="44">
        <v>0.37551000000000001</v>
      </c>
      <c r="M73" s="65">
        <v>1.3893774871135094</v>
      </c>
      <c r="N73" s="66">
        <v>0.63061610370120902</v>
      </c>
      <c r="O73" s="5">
        <v>1.5598000000000001</v>
      </c>
      <c r="P73" s="5">
        <v>7</v>
      </c>
      <c r="Q73" s="5">
        <v>-36.097000000000001</v>
      </c>
      <c r="R73" s="5">
        <v>-28.148</v>
      </c>
      <c r="S73" s="45">
        <v>33.299999999999997</v>
      </c>
      <c r="T73" s="45">
        <v>-9.6299999999999997E-2</v>
      </c>
      <c r="U73" s="45">
        <v>1.8699999999999999E-4</v>
      </c>
      <c r="V73" s="45">
        <v>-9.9600000000000005E-8</v>
      </c>
      <c r="W73" s="45" t="str">
        <f t="shared" si="2"/>
        <v>CL(C=C)</v>
      </c>
      <c r="X73" s="5">
        <v>0.22889999999999999</v>
      </c>
      <c r="Y73" s="5">
        <v>2.3443999999999998</v>
      </c>
      <c r="Z73" s="5">
        <v>3.8893</v>
      </c>
      <c r="AA73" s="38">
        <v>0</v>
      </c>
      <c r="AB73" s="37">
        <v>0</v>
      </c>
      <c r="AD73" s="38"/>
      <c r="AE73" s="37">
        <v>1</v>
      </c>
      <c r="AF73" s="38"/>
      <c r="AG73" s="38"/>
      <c r="AH73" s="38"/>
      <c r="AI73" s="34"/>
    </row>
    <row r="74" spans="1:35">
      <c r="A74" t="s">
        <v>94</v>
      </c>
      <c r="B74">
        <v>71</v>
      </c>
      <c r="C74" s="5">
        <v>31.009599999999999</v>
      </c>
      <c r="D74" s="5">
        <v>7.0999999999999994E-2</v>
      </c>
      <c r="E74" s="5">
        <v>0.34</v>
      </c>
      <c r="F74" s="5">
        <v>27</v>
      </c>
      <c r="G74" s="5">
        <v>131</v>
      </c>
      <c r="H74" t="s">
        <v>94</v>
      </c>
      <c r="I74" s="11">
        <v>18.62</v>
      </c>
      <c r="J74" s="5">
        <v>112.32299999999999</v>
      </c>
      <c r="K74" s="5">
        <v>6.7000000000000004E-2</v>
      </c>
      <c r="L74" s="44">
        <v>0.24567</v>
      </c>
      <c r="M74" s="65">
        <v>0.81520108044916195</v>
      </c>
      <c r="N74" s="66">
        <v>0.467427651819115</v>
      </c>
      <c r="O74" s="5">
        <v>2.5015000000000001</v>
      </c>
      <c r="P74" s="5">
        <v>4.8769999999999998</v>
      </c>
      <c r="Q74" s="5">
        <v>-161.74</v>
      </c>
      <c r="R74" s="5">
        <v>-144.54900000000001</v>
      </c>
      <c r="S74" s="45">
        <v>18.3</v>
      </c>
      <c r="T74" s="45">
        <v>9.7000000000000003E-3</v>
      </c>
      <c r="U74" s="45">
        <v>4.8999999999999998E-5</v>
      </c>
      <c r="V74" s="45">
        <v>-3.5199999999999998E-8</v>
      </c>
      <c r="W74" s="45" t="str">
        <f t="shared" si="2"/>
        <v>ACF</v>
      </c>
      <c r="X74" s="5">
        <v>-0.70689999999999997</v>
      </c>
      <c r="Y74" s="5">
        <v>0</v>
      </c>
      <c r="Z74" s="5">
        <v>0</v>
      </c>
      <c r="AA74" s="38">
        <v>1</v>
      </c>
      <c r="AB74" s="37">
        <v>0</v>
      </c>
      <c r="AD74" s="38"/>
      <c r="AF74" s="38">
        <v>1</v>
      </c>
      <c r="AG74" s="38"/>
      <c r="AH74" s="38"/>
      <c r="AI74" s="34"/>
    </row>
    <row r="75" spans="1:35">
      <c r="A75" t="s">
        <v>95</v>
      </c>
      <c r="B75">
        <v>72</v>
      </c>
      <c r="C75" s="5">
        <v>73.094800000000006</v>
      </c>
      <c r="D75" s="5" t="s">
        <v>39</v>
      </c>
      <c r="E75" s="5" t="s">
        <v>39</v>
      </c>
      <c r="F75" s="5" t="s">
        <v>39</v>
      </c>
      <c r="G75" s="5" t="s">
        <v>39</v>
      </c>
      <c r="H75" t="s">
        <v>95</v>
      </c>
      <c r="I75" s="11" t="s">
        <v>39</v>
      </c>
      <c r="J75" s="5" t="s">
        <v>39</v>
      </c>
      <c r="K75" s="5" t="s">
        <v>39</v>
      </c>
      <c r="L75" s="44">
        <v>0</v>
      </c>
      <c r="M75" s="65" t="s">
        <v>39</v>
      </c>
      <c r="N75" s="66"/>
      <c r="O75" s="5" t="s">
        <v>39</v>
      </c>
      <c r="P75" s="5" t="s">
        <v>39</v>
      </c>
      <c r="Q75" s="5" t="s">
        <v>39</v>
      </c>
      <c r="R75" s="5" t="s">
        <v>39</v>
      </c>
      <c r="S75" s="5" t="s">
        <v>39</v>
      </c>
      <c r="T75" s="5" t="s">
        <v>39</v>
      </c>
      <c r="U75" s="5" t="s">
        <v>39</v>
      </c>
      <c r="V75" s="5" t="s">
        <v>39</v>
      </c>
      <c r="W75" s="45" t="str">
        <f t="shared" si="2"/>
        <v>DMF-1</v>
      </c>
      <c r="AA75" s="38"/>
      <c r="AD75" s="38"/>
      <c r="AF75" s="38"/>
      <c r="AG75" s="38"/>
      <c r="AH75" s="38"/>
      <c r="AI75" s="34"/>
    </row>
    <row r="76" spans="1:35">
      <c r="A76" t="s">
        <v>96</v>
      </c>
      <c r="B76">
        <v>73</v>
      </c>
      <c r="C76" s="5">
        <v>43.025199999999998</v>
      </c>
      <c r="D76" s="5" t="s">
        <v>39</v>
      </c>
      <c r="E76" s="5" t="s">
        <v>39</v>
      </c>
      <c r="F76" s="5" t="s">
        <v>39</v>
      </c>
      <c r="G76" s="5" t="s">
        <v>39</v>
      </c>
      <c r="H76" t="s">
        <v>96</v>
      </c>
      <c r="I76" s="11" t="s">
        <v>39</v>
      </c>
      <c r="J76" s="5" t="s">
        <v>39</v>
      </c>
      <c r="K76" s="5" t="s">
        <v>39</v>
      </c>
      <c r="L76" s="44">
        <v>0</v>
      </c>
      <c r="M76" s="65" t="s">
        <v>39</v>
      </c>
      <c r="N76" s="66"/>
      <c r="O76" s="5" t="s">
        <v>39</v>
      </c>
      <c r="P76" s="5" t="s">
        <v>39</v>
      </c>
      <c r="Q76" s="5" t="s">
        <v>39</v>
      </c>
      <c r="R76" s="5" t="s">
        <v>39</v>
      </c>
      <c r="S76" s="5" t="s">
        <v>39</v>
      </c>
      <c r="T76" s="5" t="s">
        <v>39</v>
      </c>
      <c r="U76" s="5" t="s">
        <v>39</v>
      </c>
      <c r="V76" s="5" t="s">
        <v>39</v>
      </c>
      <c r="W76" s="45" t="str">
        <f t="shared" si="2"/>
        <v>DMF-2</v>
      </c>
      <c r="AA76" s="38"/>
      <c r="AD76" s="38"/>
      <c r="AF76" s="38"/>
      <c r="AG76" s="38"/>
      <c r="AH76" s="38"/>
      <c r="AI76" s="34"/>
    </row>
    <row r="77" spans="1:35">
      <c r="A77" t="s">
        <v>97</v>
      </c>
      <c r="B77">
        <v>74</v>
      </c>
      <c r="C77" s="5">
        <v>69.006299999999996</v>
      </c>
      <c r="D77" s="39">
        <v>0.22815064698432955</v>
      </c>
      <c r="E77" s="5">
        <v>0.88600000000000001</v>
      </c>
      <c r="F77" s="5">
        <v>188</v>
      </c>
      <c r="G77" s="11">
        <v>102.14459165631916</v>
      </c>
      <c r="H77" t="s">
        <v>97</v>
      </c>
      <c r="I77" s="11">
        <v>37.159999999999997</v>
      </c>
      <c r="J77" s="11">
        <v>79.478369257999574</v>
      </c>
      <c r="K77" s="5">
        <v>0.13</v>
      </c>
      <c r="L77" s="44">
        <v>0.55700000000000005</v>
      </c>
      <c r="M77" s="65">
        <v>6.6293153674639624</v>
      </c>
      <c r="N77" s="66">
        <v>4.8783518209702663</v>
      </c>
      <c r="O77" s="5">
        <v>3.2410999999999999</v>
      </c>
      <c r="P77" s="5">
        <v>8.9009999999999998</v>
      </c>
      <c r="Q77" s="5">
        <v>-679.19500000000005</v>
      </c>
      <c r="R77" s="5">
        <v>-626.58000000000004</v>
      </c>
      <c r="S77" s="45">
        <v>13.3</v>
      </c>
      <c r="T77" s="45">
        <v>0.153</v>
      </c>
      <c r="U77" s="45">
        <v>-6.7999999999999999E-5</v>
      </c>
      <c r="V77" s="45">
        <v>-8.0000000000000005E-9</v>
      </c>
      <c r="W77" s="45" t="str">
        <f t="shared" si="2"/>
        <v>CF3</v>
      </c>
      <c r="X77" s="5">
        <v>-0.2293</v>
      </c>
      <c r="Y77" s="5">
        <v>-1.9735</v>
      </c>
      <c r="Z77" s="5">
        <v>-1.4664999999999999</v>
      </c>
      <c r="AA77" s="38">
        <v>1</v>
      </c>
      <c r="AB77" s="37">
        <v>0</v>
      </c>
      <c r="AD77" s="38"/>
      <c r="AF77" s="38">
        <v>3</v>
      </c>
      <c r="AG77" s="38"/>
      <c r="AH77" s="38"/>
      <c r="AI77" s="34"/>
    </row>
    <row r="78" spans="1:35">
      <c r="A78" t="s">
        <v>98</v>
      </c>
      <c r="B78">
        <v>75</v>
      </c>
      <c r="C78" s="5">
        <v>50.007899999999999</v>
      </c>
      <c r="D78" s="39">
        <v>9.0277559422704115E-2</v>
      </c>
      <c r="E78" s="5">
        <v>0.63800000000000001</v>
      </c>
      <c r="F78" s="5">
        <v>127</v>
      </c>
      <c r="G78" s="11">
        <v>116.50965711383841</v>
      </c>
      <c r="H78" t="s">
        <v>98</v>
      </c>
      <c r="I78" s="11">
        <v>25.96</v>
      </c>
      <c r="J78" s="11">
        <v>98.155247139510209</v>
      </c>
      <c r="K78" s="5">
        <v>7.5999999999999998E-2</v>
      </c>
      <c r="L78" s="44">
        <v>0.126</v>
      </c>
      <c r="M78" s="65">
        <v>4.3162102773975608</v>
      </c>
      <c r="N78" s="66">
        <v>2.4263918835401066</v>
      </c>
      <c r="O78" s="5" t="s">
        <v>39</v>
      </c>
      <c r="P78" s="5">
        <v>1.86</v>
      </c>
      <c r="Q78" s="5" t="s">
        <v>39</v>
      </c>
      <c r="R78" s="5" t="s">
        <v>39</v>
      </c>
      <c r="S78" s="45">
        <v>-13.2</v>
      </c>
      <c r="T78" s="45">
        <v>0.24399999999999999</v>
      </c>
      <c r="U78" s="45">
        <v>-2.5900000000000001E-4</v>
      </c>
      <c r="V78" s="45">
        <v>9.5000000000000004E-8</v>
      </c>
      <c r="W78" s="45" t="str">
        <f t="shared" si="2"/>
        <v>CF2</v>
      </c>
      <c r="X78" s="5">
        <v>-0.97289999999999999</v>
      </c>
      <c r="Y78" s="5">
        <v>0</v>
      </c>
      <c r="Z78" s="5">
        <v>0</v>
      </c>
      <c r="AA78" s="38">
        <v>1</v>
      </c>
      <c r="AB78" s="37">
        <v>0</v>
      </c>
      <c r="AD78" s="38"/>
      <c r="AF78" s="38">
        <v>2</v>
      </c>
      <c r="AG78" s="38"/>
      <c r="AH78" s="38"/>
      <c r="AI78" s="34"/>
    </row>
    <row r="79" spans="1:35">
      <c r="A79" t="s">
        <v>99</v>
      </c>
      <c r="B79">
        <v>76</v>
      </c>
      <c r="C79" s="5">
        <v>31.009599999999999</v>
      </c>
      <c r="D79" s="39">
        <v>-3.3595316619746983E-2</v>
      </c>
      <c r="E79" s="5">
        <v>0.39100000000000001</v>
      </c>
      <c r="F79" s="5">
        <v>66</v>
      </c>
      <c r="G79" s="11">
        <v>125.96096376399554</v>
      </c>
      <c r="H79" t="s">
        <v>99</v>
      </c>
      <c r="I79" s="11">
        <v>14.76</v>
      </c>
      <c r="J79" s="11">
        <v>104.51469575154199</v>
      </c>
      <c r="K79" s="5">
        <v>2.1999999999999999E-2</v>
      </c>
      <c r="L79" s="44">
        <v>0.111</v>
      </c>
      <c r="M79" s="65">
        <v>-4.4577380472181973</v>
      </c>
      <c r="N79" s="66">
        <v>2.4871800776945681</v>
      </c>
      <c r="O79" s="5" t="s">
        <v>39</v>
      </c>
      <c r="P79" s="5">
        <v>8.9009999999999998</v>
      </c>
      <c r="Q79" s="5" t="s">
        <v>39</v>
      </c>
      <c r="R79" s="5" t="s">
        <v>39</v>
      </c>
      <c r="S79" s="45">
        <v>-39.700000000000003</v>
      </c>
      <c r="T79" s="45">
        <v>0.33600000000000002</v>
      </c>
      <c r="U79" s="45">
        <v>-4.4999999999999999E-4</v>
      </c>
      <c r="V79" s="45">
        <v>1.98E-7</v>
      </c>
      <c r="W79" s="45" t="str">
        <f t="shared" si="2"/>
        <v>CF</v>
      </c>
      <c r="X79" s="5">
        <v>0.17069999999999999</v>
      </c>
      <c r="Y79" s="5">
        <v>0</v>
      </c>
      <c r="Z79" s="5">
        <v>0</v>
      </c>
      <c r="AA79" s="38">
        <v>1</v>
      </c>
      <c r="AB79" s="37">
        <v>0</v>
      </c>
      <c r="AD79" s="38"/>
      <c r="AF79" s="38">
        <v>1</v>
      </c>
      <c r="AG79" s="38"/>
      <c r="AH79" s="38"/>
      <c r="AI79" s="34"/>
    </row>
    <row r="80" spans="1:35">
      <c r="A80" t="s">
        <v>100</v>
      </c>
      <c r="B80">
        <v>77</v>
      </c>
      <c r="C80" s="5">
        <v>44.009900000000002</v>
      </c>
      <c r="D80" s="5">
        <v>0.15</v>
      </c>
      <c r="E80" s="5">
        <v>0.48499999999999999</v>
      </c>
      <c r="F80" s="5">
        <v>47</v>
      </c>
      <c r="G80" s="5">
        <v>385.89299999999997</v>
      </c>
      <c r="H80" t="s">
        <v>100</v>
      </c>
      <c r="I80" s="11">
        <v>25.7</v>
      </c>
      <c r="J80" s="11">
        <v>361.33100000000002</v>
      </c>
      <c r="K80" s="5">
        <v>0.16900000000000001</v>
      </c>
      <c r="L80" s="44">
        <v>0.49802000000000002</v>
      </c>
      <c r="M80" s="65">
        <v>1.0079823191235857</v>
      </c>
      <c r="N80" s="66">
        <v>0.40137567883600245</v>
      </c>
      <c r="O80" s="5">
        <v>3.4447999999999999</v>
      </c>
      <c r="P80" s="5">
        <v>13.4</v>
      </c>
      <c r="Q80" s="5">
        <v>-313.54500000000002</v>
      </c>
      <c r="R80" s="5">
        <v>-281.495</v>
      </c>
      <c r="S80" s="45">
        <v>24.5</v>
      </c>
      <c r="T80" s="45">
        <v>4.02E-2</v>
      </c>
      <c r="U80" s="45">
        <v>4.0200000000000001E-5</v>
      </c>
      <c r="V80" s="45">
        <v>-4.5200000000000001E-8</v>
      </c>
      <c r="W80" s="45" t="str">
        <f t="shared" si="2"/>
        <v>COO</v>
      </c>
      <c r="X80" s="5">
        <f>X26-X5</f>
        <v>0.31819999999999998</v>
      </c>
      <c r="Y80" s="5">
        <f>Y26-Y5</f>
        <v>3.9506999999999999</v>
      </c>
      <c r="Z80" s="5">
        <f>Z26-Z5</f>
        <v>1.6641999999999999</v>
      </c>
      <c r="AA80" s="38">
        <v>1</v>
      </c>
      <c r="AB80" s="37">
        <v>0</v>
      </c>
      <c r="AC80" s="37">
        <v>2</v>
      </c>
      <c r="AD80" s="38"/>
      <c r="AF80" s="38"/>
      <c r="AG80" s="38"/>
      <c r="AH80" s="38"/>
      <c r="AI80" s="34"/>
    </row>
    <row r="81" spans="1:35" ht="13.5">
      <c r="A81" t="s">
        <v>101</v>
      </c>
      <c r="B81">
        <v>78</v>
      </c>
      <c r="C81" s="5">
        <v>31.109200000000001</v>
      </c>
      <c r="D81" s="5">
        <v>7.0999999999999994E-2</v>
      </c>
      <c r="E81" s="5">
        <v>0.39800000000000002</v>
      </c>
      <c r="F81" s="5">
        <v>-6</v>
      </c>
      <c r="G81" s="5">
        <v>167.864</v>
      </c>
      <c r="H81" t="s">
        <v>101</v>
      </c>
      <c r="I81" s="46">
        <v>21.55</v>
      </c>
      <c r="J81" s="5">
        <v>137</v>
      </c>
      <c r="K81" s="5">
        <v>3.5000000000000003E-2</v>
      </c>
      <c r="L81" s="44">
        <f>L4/3</f>
        <v>7.6109999999999997E-2</v>
      </c>
      <c r="M81" s="65">
        <v>-0.47010283233834949</v>
      </c>
      <c r="N81" s="44">
        <f>N4/3</f>
        <v>0.16092215071533486</v>
      </c>
      <c r="O81" s="5" t="s">
        <v>39</v>
      </c>
      <c r="P81" s="5">
        <v>3.4</v>
      </c>
      <c r="Q81" s="5" t="s">
        <v>39</v>
      </c>
      <c r="R81" s="5" t="s">
        <v>39</v>
      </c>
      <c r="S81" s="5" t="s">
        <v>39</v>
      </c>
      <c r="T81" s="5" t="s">
        <v>39</v>
      </c>
      <c r="U81" s="5" t="s">
        <v>39</v>
      </c>
      <c r="V81" s="5" t="s">
        <v>39</v>
      </c>
      <c r="W81" s="45" t="str">
        <f t="shared" si="2"/>
        <v>SiH3</v>
      </c>
      <c r="AA81" s="38"/>
      <c r="AB81" s="37">
        <v>3</v>
      </c>
      <c r="AD81" s="38"/>
      <c r="AF81" s="38"/>
      <c r="AG81" s="38"/>
      <c r="AH81" s="38"/>
      <c r="AI81" s="34">
        <v>1</v>
      </c>
    </row>
    <row r="82" spans="1:35" ht="13.5">
      <c r="A82" t="s">
        <v>102</v>
      </c>
      <c r="B82">
        <v>79</v>
      </c>
      <c r="C82" s="5">
        <v>30.101299999999998</v>
      </c>
      <c r="D82" s="5">
        <v>2.9000000000000001E-2</v>
      </c>
      <c r="E82" s="5">
        <v>0.29799999999999999</v>
      </c>
      <c r="F82" s="5">
        <v>41</v>
      </c>
      <c r="G82" s="5">
        <v>160</v>
      </c>
      <c r="H82" t="s">
        <v>102</v>
      </c>
      <c r="I82" s="46">
        <v>58.376768855325182</v>
      </c>
      <c r="J82" s="5">
        <v>153</v>
      </c>
      <c r="K82" s="5">
        <v>3.5000000000000003E-2</v>
      </c>
      <c r="L82" s="44">
        <v>1.035E-2</v>
      </c>
      <c r="M82" s="65">
        <v>-0.11125187098526479</v>
      </c>
      <c r="N82" s="66">
        <v>5.2175747343795369E-2</v>
      </c>
      <c r="O82" s="5" t="s">
        <v>39</v>
      </c>
      <c r="P82" s="5">
        <v>3.4</v>
      </c>
      <c r="Q82" s="5" t="s">
        <v>39</v>
      </c>
      <c r="R82" s="5" t="s">
        <v>39</v>
      </c>
      <c r="S82" s="5" t="s">
        <v>39</v>
      </c>
      <c r="T82" s="5" t="s">
        <v>39</v>
      </c>
      <c r="U82" s="5" t="s">
        <v>39</v>
      </c>
      <c r="V82" s="5" t="s">
        <v>39</v>
      </c>
      <c r="W82" s="45" t="str">
        <f t="shared" si="2"/>
        <v>SiH2</v>
      </c>
      <c r="AA82" s="38"/>
      <c r="AB82" s="37">
        <v>2</v>
      </c>
      <c r="AD82" s="38"/>
      <c r="AF82" s="38"/>
      <c r="AG82" s="38"/>
      <c r="AH82" s="38"/>
      <c r="AI82" s="34">
        <v>1</v>
      </c>
    </row>
    <row r="83" spans="1:35" ht="13.5">
      <c r="A83" t="s">
        <v>103</v>
      </c>
      <c r="B83">
        <v>80</v>
      </c>
      <c r="C83" s="5">
        <v>29.093399999999999</v>
      </c>
      <c r="D83" s="5">
        <v>-2.5999999999999999E-2</v>
      </c>
      <c r="E83" s="5">
        <v>0.251</v>
      </c>
      <c r="F83" s="5">
        <v>25</v>
      </c>
      <c r="G83" s="5">
        <v>133</v>
      </c>
      <c r="H83" t="s">
        <v>103</v>
      </c>
      <c r="I83" s="46">
        <v>53.666601868583065</v>
      </c>
      <c r="J83" s="5">
        <v>144</v>
      </c>
      <c r="K83" s="5">
        <v>3.5000000000000003E-2</v>
      </c>
      <c r="L83" s="44">
        <v>0.19159000000000001</v>
      </c>
      <c r="M83" s="65">
        <v>0.33739386789733261</v>
      </c>
      <c r="N83" s="66">
        <v>0.43822904034498061</v>
      </c>
      <c r="O83" s="5" t="s">
        <v>39</v>
      </c>
      <c r="P83" s="5">
        <v>3.4</v>
      </c>
      <c r="Q83" s="5" t="s">
        <v>39</v>
      </c>
      <c r="R83" s="5" t="s">
        <v>39</v>
      </c>
      <c r="S83" s="5" t="s">
        <v>39</v>
      </c>
      <c r="T83" s="5" t="s">
        <v>39</v>
      </c>
      <c r="U83" s="5" t="s">
        <v>39</v>
      </c>
      <c r="V83" s="5" t="s">
        <v>39</v>
      </c>
      <c r="W83" s="45" t="str">
        <f t="shared" si="2"/>
        <v>SiH</v>
      </c>
      <c r="AA83" s="38"/>
      <c r="AB83" s="37">
        <v>1</v>
      </c>
      <c r="AD83" s="38"/>
      <c r="AF83" s="38"/>
      <c r="AG83" s="38"/>
      <c r="AH83" s="38"/>
      <c r="AI83" s="34">
        <v>1</v>
      </c>
    </row>
    <row r="84" spans="1:35" ht="13.5">
      <c r="A84" t="s">
        <v>104</v>
      </c>
      <c r="B84">
        <v>81</v>
      </c>
      <c r="C84" s="5">
        <v>28.0855</v>
      </c>
      <c r="D84" s="5">
        <v>-5.0999999999999997E-2</v>
      </c>
      <c r="E84" s="5">
        <v>0.26900000000000002</v>
      </c>
      <c r="F84" s="5">
        <v>37</v>
      </c>
      <c r="G84" s="5">
        <v>94</v>
      </c>
      <c r="H84" t="s">
        <v>104</v>
      </c>
      <c r="I84" s="46">
        <v>50.284940653850903</v>
      </c>
      <c r="J84" s="5">
        <v>135</v>
      </c>
      <c r="K84" s="5">
        <v>3.5000000000000003E-2</v>
      </c>
      <c r="L84" s="44">
        <v>0.21529000000000001</v>
      </c>
      <c r="M84" s="65">
        <v>0.32908271423556085</v>
      </c>
      <c r="N84" s="66">
        <v>0.40798720089362372</v>
      </c>
      <c r="O84" s="5" t="s">
        <v>39</v>
      </c>
      <c r="P84" s="5">
        <v>3.4</v>
      </c>
      <c r="Q84" s="5" t="s">
        <v>39</v>
      </c>
      <c r="R84" s="5" t="s">
        <v>39</v>
      </c>
      <c r="S84" s="5" t="s">
        <v>39</v>
      </c>
      <c r="T84" s="5" t="s">
        <v>39</v>
      </c>
      <c r="U84" s="5" t="s">
        <v>39</v>
      </c>
      <c r="V84" s="5" t="s">
        <v>39</v>
      </c>
      <c r="W84" s="45" t="str">
        <f t="shared" si="2"/>
        <v>Si</v>
      </c>
      <c r="AA84" s="38"/>
      <c r="AB84" s="37">
        <v>0</v>
      </c>
      <c r="AD84" s="38"/>
      <c r="AF84" s="38"/>
      <c r="AG84" s="38"/>
      <c r="AH84" s="38"/>
      <c r="AI84" s="34">
        <v>1</v>
      </c>
    </row>
    <row r="85" spans="1:35" ht="13.5">
      <c r="A85" t="s">
        <v>105</v>
      </c>
      <c r="B85">
        <v>82</v>
      </c>
      <c r="C85" s="5">
        <v>46.100700000000003</v>
      </c>
      <c r="D85" s="5">
        <v>8.5199999999999984E-2</v>
      </c>
      <c r="E85" s="5">
        <v>0.67500000000000004</v>
      </c>
      <c r="F85" s="5">
        <v>108</v>
      </c>
      <c r="G85" s="5">
        <v>41.8</v>
      </c>
      <c r="H85" t="s">
        <v>105</v>
      </c>
      <c r="I85" s="46">
        <v>33.84231963364649</v>
      </c>
      <c r="J85" s="5">
        <v>116.60999999999999</v>
      </c>
      <c r="K85" s="5">
        <v>2.8000000000000001E-2</v>
      </c>
      <c r="L85" s="44">
        <v>2.5368499999999998</v>
      </c>
      <c r="M85" s="65">
        <v>2.5368462324447774</v>
      </c>
      <c r="N85" s="66">
        <v>1.819</v>
      </c>
      <c r="O85" s="5" t="s">
        <v>39</v>
      </c>
      <c r="P85" s="5">
        <v>6.8</v>
      </c>
      <c r="Q85" s="5" t="s">
        <v>39</v>
      </c>
      <c r="R85" s="5" t="s">
        <v>39</v>
      </c>
      <c r="S85" s="5" t="s">
        <v>39</v>
      </c>
      <c r="T85" s="5" t="s">
        <v>39</v>
      </c>
      <c r="U85" s="5" t="s">
        <v>39</v>
      </c>
      <c r="V85" s="5" t="s">
        <v>39</v>
      </c>
      <c r="W85" s="45" t="str">
        <f t="shared" si="2"/>
        <v>SiH2O</v>
      </c>
      <c r="AA85" s="38"/>
      <c r="AB85" s="37">
        <v>2</v>
      </c>
      <c r="AD85" s="38"/>
      <c r="AF85" s="38"/>
      <c r="AG85" s="38"/>
      <c r="AH85" s="38"/>
      <c r="AI85" s="34">
        <v>1</v>
      </c>
    </row>
    <row r="86" spans="1:35" ht="13.5">
      <c r="A86" t="s">
        <v>106</v>
      </c>
      <c r="B86">
        <v>83</v>
      </c>
      <c r="C86" s="5">
        <v>45.092799999999997</v>
      </c>
      <c r="D86" s="5">
        <v>3.4799999999999998E-2</v>
      </c>
      <c r="E86" s="5">
        <v>0.67500000000000004</v>
      </c>
      <c r="F86" s="5">
        <v>108</v>
      </c>
      <c r="G86" s="5">
        <v>41.8</v>
      </c>
      <c r="H86" t="s">
        <v>106</v>
      </c>
      <c r="I86" s="46">
        <v>33.84231963364649</v>
      </c>
      <c r="J86" s="5">
        <v>116.60999999999999</v>
      </c>
      <c r="K86" s="5">
        <v>2.8000000000000001E-2</v>
      </c>
      <c r="L86" s="44">
        <v>2.5368499999999998</v>
      </c>
      <c r="M86" s="65">
        <v>2.5368462324447774</v>
      </c>
      <c r="N86" s="66">
        <v>1.819</v>
      </c>
      <c r="O86" s="5" t="s">
        <v>39</v>
      </c>
      <c r="P86" s="5">
        <v>6.8</v>
      </c>
      <c r="Q86" s="5" t="s">
        <v>39</v>
      </c>
      <c r="R86" s="5" t="s">
        <v>39</v>
      </c>
      <c r="S86" s="5" t="s">
        <v>39</v>
      </c>
      <c r="T86" s="5" t="s">
        <v>39</v>
      </c>
      <c r="U86" s="5" t="s">
        <v>39</v>
      </c>
      <c r="V86" s="5" t="s">
        <v>39</v>
      </c>
      <c r="W86" s="45" t="str">
        <f t="shared" si="2"/>
        <v>SiHO</v>
      </c>
      <c r="AA86" s="38"/>
      <c r="AB86" s="37">
        <v>1</v>
      </c>
      <c r="AD86" s="38"/>
      <c r="AF86" s="38"/>
      <c r="AG86" s="38"/>
      <c r="AH86" s="38"/>
      <c r="AI86" s="34">
        <v>1</v>
      </c>
    </row>
    <row r="87" spans="1:35" ht="13.5">
      <c r="A87" t="s">
        <v>107</v>
      </c>
      <c r="B87">
        <v>84</v>
      </c>
      <c r="C87" s="5">
        <v>44.084899999999998</v>
      </c>
      <c r="D87" s="5">
        <v>2.5999999999999999E-2</v>
      </c>
      <c r="E87" s="5">
        <v>0.64500000000000002</v>
      </c>
      <c r="F87" s="5">
        <v>108</v>
      </c>
      <c r="G87" s="5">
        <v>108.48099999999999</v>
      </c>
      <c r="H87" t="s">
        <v>107</v>
      </c>
      <c r="I87" s="46">
        <v>33.84231963364649</v>
      </c>
      <c r="J87" s="5">
        <v>138</v>
      </c>
      <c r="K87" s="5">
        <v>2.8000000000000001E-2</v>
      </c>
      <c r="L87" s="44">
        <v>0.79590000000000005</v>
      </c>
      <c r="M87" s="65">
        <v>2.6715974808470158</v>
      </c>
      <c r="N87" s="66">
        <v>1.6763162403658314</v>
      </c>
      <c r="O87" s="5" t="s">
        <v>39</v>
      </c>
      <c r="P87" s="5">
        <v>6.8</v>
      </c>
      <c r="Q87" s="5" t="s">
        <v>39</v>
      </c>
      <c r="R87" s="5" t="s">
        <v>39</v>
      </c>
      <c r="S87" s="5" t="s">
        <v>39</v>
      </c>
      <c r="T87" s="5" t="s">
        <v>39</v>
      </c>
      <c r="U87" s="5" t="s">
        <v>39</v>
      </c>
      <c r="V87" s="5" t="s">
        <v>39</v>
      </c>
      <c r="W87" s="45" t="str">
        <f t="shared" si="2"/>
        <v>SiO</v>
      </c>
      <c r="AA87" s="38"/>
      <c r="AB87" s="37">
        <v>0</v>
      </c>
      <c r="AC87" s="37">
        <v>1</v>
      </c>
      <c r="AD87" s="38"/>
      <c r="AF87" s="38"/>
      <c r="AG87" s="38"/>
      <c r="AH87" s="38"/>
      <c r="AI87" s="34">
        <v>1</v>
      </c>
    </row>
    <row r="88" spans="1:35">
      <c r="A88" t="s">
        <v>108</v>
      </c>
      <c r="B88">
        <v>85</v>
      </c>
      <c r="C88" s="5">
        <v>14.0067</v>
      </c>
      <c r="D88" s="5">
        <v>-4.1000000000000002E-2</v>
      </c>
      <c r="E88" s="5">
        <v>0.2</v>
      </c>
      <c r="F88" s="5">
        <v>-15</v>
      </c>
      <c r="G88" s="5">
        <v>94</v>
      </c>
      <c r="H88" t="s">
        <v>108</v>
      </c>
      <c r="I88" s="11">
        <v>12.6</v>
      </c>
      <c r="J88" s="5">
        <v>140</v>
      </c>
      <c r="K88" s="5">
        <v>2.1000000000000001E-2</v>
      </c>
      <c r="L88" s="44">
        <v>-0.33739999999999998</v>
      </c>
      <c r="M88" s="65">
        <v>0.46741084190079324</v>
      </c>
      <c r="N88" s="66">
        <v>-1.1285802441041162</v>
      </c>
      <c r="O88" s="5" t="s">
        <v>39</v>
      </c>
      <c r="P88" s="5">
        <v>4.1900000000000004</v>
      </c>
      <c r="Q88" s="5" t="s">
        <v>39</v>
      </c>
      <c r="R88" s="5" t="s">
        <v>39</v>
      </c>
      <c r="S88" s="45">
        <v>-31.1</v>
      </c>
      <c r="T88" s="45">
        <v>0.22700000000000001</v>
      </c>
      <c r="U88" s="45">
        <v>-3.2000000000000003E-4</v>
      </c>
      <c r="V88" s="45">
        <v>1.4600000000000001E-7</v>
      </c>
      <c r="W88" s="45" t="str">
        <f t="shared" si="2"/>
        <v>TERT-N</v>
      </c>
      <c r="X88" s="5">
        <v>1.5438000000000001</v>
      </c>
      <c r="Y88" s="5">
        <v>2.5779999999999998</v>
      </c>
      <c r="Z88" s="5">
        <v>1.1189</v>
      </c>
      <c r="AA88" s="38">
        <v>0</v>
      </c>
      <c r="AB88" s="37">
        <v>0</v>
      </c>
      <c r="AD88" s="38">
        <v>1</v>
      </c>
      <c r="AF88" s="38"/>
      <c r="AG88" s="38"/>
      <c r="AH88" s="38"/>
      <c r="AI88" s="34"/>
    </row>
    <row r="89" spans="1:35">
      <c r="A89" t="s">
        <v>109</v>
      </c>
      <c r="B89">
        <v>86</v>
      </c>
      <c r="C89" s="5">
        <v>137.369</v>
      </c>
      <c r="D89" s="5" t="s">
        <v>39</v>
      </c>
      <c r="E89" s="5" t="s">
        <v>39</v>
      </c>
      <c r="F89" s="5" t="s">
        <v>39</v>
      </c>
      <c r="G89" s="5" t="s">
        <v>39</v>
      </c>
      <c r="H89" t="s">
        <v>109</v>
      </c>
      <c r="I89" s="11" t="s">
        <v>39</v>
      </c>
      <c r="J89" s="5" t="s">
        <v>39</v>
      </c>
      <c r="K89" s="5" t="s">
        <v>39</v>
      </c>
      <c r="L89" s="44">
        <v>0</v>
      </c>
      <c r="M89" s="65" t="s">
        <v>39</v>
      </c>
      <c r="N89" s="66"/>
      <c r="O89" s="5" t="s">
        <v>39</v>
      </c>
      <c r="P89" s="5" t="s">
        <v>39</v>
      </c>
      <c r="Q89" s="5" t="s">
        <v>39</v>
      </c>
      <c r="R89" s="5" t="s">
        <v>39</v>
      </c>
      <c r="S89" s="5" t="s">
        <v>39</v>
      </c>
      <c r="T89" s="5" t="s">
        <v>39</v>
      </c>
      <c r="U89" s="5" t="s">
        <v>39</v>
      </c>
      <c r="V89" s="5" t="s">
        <v>39</v>
      </c>
      <c r="W89" s="45" t="str">
        <f t="shared" si="2"/>
        <v>CCL3F</v>
      </c>
      <c r="AA89" s="38">
        <v>1</v>
      </c>
      <c r="AD89" s="38"/>
      <c r="AE89" s="37">
        <v>3</v>
      </c>
      <c r="AF89" s="38">
        <v>1</v>
      </c>
      <c r="AG89" s="38"/>
      <c r="AH89" s="38"/>
      <c r="AI89" s="34"/>
    </row>
    <row r="90" spans="1:35">
      <c r="A90" t="s">
        <v>110</v>
      </c>
      <c r="B90">
        <v>87</v>
      </c>
      <c r="C90" s="5">
        <v>101.916</v>
      </c>
      <c r="D90" s="5">
        <v>0.161</v>
      </c>
      <c r="E90" s="5">
        <v>1.0269999999999999</v>
      </c>
      <c r="F90" s="5">
        <v>143</v>
      </c>
      <c r="G90" s="5">
        <v>408.55700000000002</v>
      </c>
      <c r="H90" t="s">
        <v>110</v>
      </c>
      <c r="I90" s="11">
        <v>53.76</v>
      </c>
      <c r="J90" s="5">
        <v>344.18099999999998</v>
      </c>
      <c r="K90" s="5">
        <v>0.16</v>
      </c>
      <c r="L90" s="44">
        <v>0.41326000000000002</v>
      </c>
      <c r="M90" s="65">
        <v>0.97619246258647496</v>
      </c>
      <c r="N90" s="66">
        <v>0.64746344874533646</v>
      </c>
      <c r="O90" s="5">
        <v>7.4756</v>
      </c>
      <c r="P90" s="5">
        <v>13.321999999999999</v>
      </c>
      <c r="Q90" s="5">
        <v>-258.95999999999998</v>
      </c>
      <c r="R90" s="5">
        <v>-209.33699999999999</v>
      </c>
      <c r="S90" s="45">
        <v>26.9</v>
      </c>
      <c r="T90" s="45">
        <v>0.14299999999999999</v>
      </c>
      <c r="U90" s="45">
        <v>-7.6000000000000004E-5</v>
      </c>
      <c r="V90" s="45">
        <v>-1.2E-9</v>
      </c>
      <c r="W90" s="45" t="str">
        <f t="shared" si="2"/>
        <v>CCL2F</v>
      </c>
      <c r="X90" s="5">
        <f>X53-0.7069</f>
        <v>-0.34159999999999996</v>
      </c>
      <c r="Y90" s="5">
        <f>Y53</f>
        <v>0.1696</v>
      </c>
      <c r="Z90" s="5">
        <f>Z53</f>
        <v>-1.4334</v>
      </c>
      <c r="AA90" s="38">
        <v>1</v>
      </c>
      <c r="AB90" s="37">
        <v>0</v>
      </c>
      <c r="AC90" s="38"/>
      <c r="AD90" s="38"/>
      <c r="AE90" s="37">
        <v>2</v>
      </c>
      <c r="AF90" s="38">
        <v>1</v>
      </c>
      <c r="AG90" s="38"/>
      <c r="AH90" s="38"/>
      <c r="AI90" s="34"/>
    </row>
    <row r="91" spans="1:35">
      <c r="A91" t="s">
        <v>111</v>
      </c>
      <c r="B91">
        <v>88</v>
      </c>
      <c r="C91" s="5">
        <v>102.923</v>
      </c>
      <c r="D91" s="5" t="s">
        <v>39</v>
      </c>
      <c r="E91" s="5" t="s">
        <v>39</v>
      </c>
      <c r="F91" s="5" t="s">
        <v>39</v>
      </c>
      <c r="G91" s="5" t="s">
        <v>39</v>
      </c>
      <c r="H91" t="s">
        <v>111</v>
      </c>
      <c r="I91" s="11" t="s">
        <v>39</v>
      </c>
      <c r="J91" s="5" t="s">
        <v>39</v>
      </c>
      <c r="K91" s="5" t="s">
        <v>39</v>
      </c>
      <c r="L91" s="44">
        <v>0</v>
      </c>
      <c r="M91" s="65" t="s">
        <v>39</v>
      </c>
      <c r="N91" s="66"/>
      <c r="O91" s="5" t="s">
        <v>39</v>
      </c>
      <c r="P91" s="5" t="s">
        <v>39</v>
      </c>
      <c r="Q91" s="5" t="s">
        <v>39</v>
      </c>
      <c r="R91" s="5" t="s">
        <v>39</v>
      </c>
      <c r="S91" s="5" t="s">
        <v>39</v>
      </c>
      <c r="T91" s="5" t="s">
        <v>39</v>
      </c>
      <c r="U91" s="5" t="s">
        <v>39</v>
      </c>
      <c r="V91" s="5" t="s">
        <v>39</v>
      </c>
      <c r="W91" s="45" t="str">
        <f t="shared" si="2"/>
        <v>HCCL2F</v>
      </c>
      <c r="AA91" s="38">
        <v>1</v>
      </c>
      <c r="AB91" s="37">
        <v>1</v>
      </c>
      <c r="AC91" s="38"/>
      <c r="AE91" s="37">
        <v>2</v>
      </c>
      <c r="AF91" s="38">
        <v>1</v>
      </c>
      <c r="AG91" s="38"/>
      <c r="AH91" s="38"/>
      <c r="AI91" s="34"/>
    </row>
    <row r="92" spans="1:35">
      <c r="A92" t="s">
        <v>112</v>
      </c>
      <c r="B92">
        <v>89</v>
      </c>
      <c r="C92" s="5">
        <v>67.470500000000001</v>
      </c>
      <c r="D92" s="5">
        <v>0.1</v>
      </c>
      <c r="E92" s="5">
        <v>0.70899999999999996</v>
      </c>
      <c r="F92" s="5">
        <v>104</v>
      </c>
      <c r="G92" s="5">
        <v>453.15</v>
      </c>
      <c r="H92" t="s">
        <v>112</v>
      </c>
      <c r="I92" s="11">
        <v>40.26</v>
      </c>
      <c r="J92" s="5">
        <v>344.07749999999999</v>
      </c>
      <c r="K92" s="5">
        <v>0.14699999999999999</v>
      </c>
      <c r="L92" s="44">
        <v>8.4607299999999999</v>
      </c>
      <c r="M92" s="65">
        <v>8.4607287189386984</v>
      </c>
      <c r="N92" s="66">
        <v>2.7250000000000001</v>
      </c>
      <c r="O92" s="5" t="s">
        <v>39</v>
      </c>
      <c r="P92" s="5">
        <v>16.600000000000001</v>
      </c>
      <c r="Q92" s="5" t="s">
        <v>39</v>
      </c>
      <c r="R92" s="5" t="s">
        <v>39</v>
      </c>
      <c r="S92" s="45">
        <v>36.799999999999997</v>
      </c>
      <c r="T92" s="45">
        <v>1.6400000000000001E-2</v>
      </c>
      <c r="U92" s="45">
        <v>1.13E-4</v>
      </c>
      <c r="V92" s="45">
        <v>-8.2599999999999998E-8</v>
      </c>
      <c r="W92" s="45" t="str">
        <f t="shared" si="2"/>
        <v>HCCLF</v>
      </c>
      <c r="X92" s="5">
        <f>X49-0.7069</f>
        <v>-0.26069999999999999</v>
      </c>
      <c r="Y92" s="5">
        <f>Y49-0</f>
        <v>2.806</v>
      </c>
      <c r="Z92" s="5">
        <f>Z49-0</f>
        <v>-1.4125000000000001</v>
      </c>
      <c r="AA92" s="38">
        <v>1</v>
      </c>
      <c r="AB92" s="37">
        <v>1</v>
      </c>
      <c r="AC92" s="38"/>
      <c r="AE92" s="37">
        <v>1</v>
      </c>
      <c r="AF92" s="38">
        <v>1</v>
      </c>
      <c r="AG92" s="38"/>
      <c r="AH92" s="38"/>
      <c r="AI92" s="34"/>
    </row>
    <row r="93" spans="1:35">
      <c r="A93" t="s">
        <v>113</v>
      </c>
      <c r="B93">
        <v>90</v>
      </c>
      <c r="C93" s="5">
        <v>85.460999999999999</v>
      </c>
      <c r="D93" s="5">
        <v>-0.14499999999999999</v>
      </c>
      <c r="E93" s="5">
        <v>0.95599999999999996</v>
      </c>
      <c r="F93" s="5">
        <v>165</v>
      </c>
      <c r="G93" s="5">
        <v>14.5</v>
      </c>
      <c r="H93" t="s">
        <v>113</v>
      </c>
      <c r="I93" s="11">
        <v>45.46</v>
      </c>
      <c r="J93" s="5">
        <v>37.700000000000003</v>
      </c>
      <c r="K93" s="5">
        <v>0.11799999999999999</v>
      </c>
      <c r="L93" s="44">
        <v>0.38196000000000002</v>
      </c>
      <c r="M93" s="65">
        <v>2.2129709626601977</v>
      </c>
      <c r="N93" s="66">
        <v>0.99306484939853967</v>
      </c>
      <c r="O93" s="5">
        <v>2.7523</v>
      </c>
      <c r="P93" s="5">
        <v>8.3010000000000002</v>
      </c>
      <c r="Q93" s="5">
        <v>-446.83499999999998</v>
      </c>
      <c r="R93" s="5">
        <v>-392.97500000000002</v>
      </c>
      <c r="S93" s="45">
        <v>20.100000000000001</v>
      </c>
      <c r="T93" s="45">
        <v>0.14799999999999999</v>
      </c>
      <c r="U93" s="45">
        <v>-7.2000000000000002E-5</v>
      </c>
      <c r="V93" s="45">
        <v>-4.5999999999999998E-9</v>
      </c>
      <c r="W93" s="45" t="str">
        <f t="shared" si="2"/>
        <v>CCLF2</v>
      </c>
      <c r="X93" s="5">
        <f>X78+0.2256</f>
        <v>-0.74729999999999996</v>
      </c>
      <c r="Y93" s="5">
        <f>Y78+1.8711</f>
        <v>1.8711</v>
      </c>
      <c r="Z93" s="5">
        <f>Z78-0.3295</f>
        <v>-0.32950000000000002</v>
      </c>
      <c r="AA93" s="38">
        <v>1</v>
      </c>
      <c r="AB93" s="37">
        <v>0</v>
      </c>
      <c r="AC93" s="38"/>
      <c r="AE93" s="37">
        <v>1</v>
      </c>
      <c r="AF93" s="38">
        <v>2</v>
      </c>
      <c r="AG93" s="38"/>
      <c r="AH93" s="38"/>
      <c r="AI93" s="34"/>
    </row>
    <row r="94" spans="1:35">
      <c r="A94" t="s">
        <v>114</v>
      </c>
      <c r="B94">
        <v>91</v>
      </c>
      <c r="C94" s="5">
        <v>86.468800000000002</v>
      </c>
      <c r="D94" s="5" t="s">
        <v>39</v>
      </c>
      <c r="E94" s="5" t="s">
        <v>39</v>
      </c>
      <c r="F94" s="5" t="s">
        <v>39</v>
      </c>
      <c r="G94" s="5" t="s">
        <v>39</v>
      </c>
      <c r="H94" t="s">
        <v>114</v>
      </c>
      <c r="I94" s="11" t="s">
        <v>39</v>
      </c>
      <c r="J94" s="5" t="s">
        <v>39</v>
      </c>
      <c r="K94" s="5" t="s">
        <v>39</v>
      </c>
      <c r="L94" s="44">
        <v>0</v>
      </c>
      <c r="M94" s="65" t="s">
        <v>39</v>
      </c>
      <c r="N94" s="66"/>
      <c r="O94" s="5" t="s">
        <v>39</v>
      </c>
      <c r="P94" s="5" t="s">
        <v>39</v>
      </c>
      <c r="Q94" s="5" t="s">
        <v>39</v>
      </c>
      <c r="R94" s="5" t="s">
        <v>39</v>
      </c>
      <c r="S94" s="5" t="s">
        <v>39</v>
      </c>
      <c r="T94" s="5" t="s">
        <v>39</v>
      </c>
      <c r="U94" s="5" t="s">
        <v>39</v>
      </c>
      <c r="V94" s="5" t="s">
        <v>39</v>
      </c>
      <c r="W94" s="45" t="str">
        <f t="shared" si="2"/>
        <v>HCCLF2</v>
      </c>
      <c r="AA94" s="38">
        <v>1</v>
      </c>
      <c r="AB94" s="37">
        <v>1</v>
      </c>
      <c r="AC94" s="38"/>
      <c r="AE94" s="37">
        <v>1</v>
      </c>
      <c r="AF94" s="38">
        <v>2</v>
      </c>
      <c r="AG94" s="38"/>
      <c r="AH94" s="38"/>
      <c r="AI94" s="34"/>
    </row>
    <row r="95" spans="1:35">
      <c r="A95" t="s">
        <v>115</v>
      </c>
      <c r="B95">
        <v>92</v>
      </c>
      <c r="C95" s="5">
        <v>104.459</v>
      </c>
      <c r="D95" s="5" t="s">
        <v>39</v>
      </c>
      <c r="E95" s="5" t="s">
        <v>39</v>
      </c>
      <c r="F95" s="5" t="s">
        <v>39</v>
      </c>
      <c r="G95" s="5" t="s">
        <v>39</v>
      </c>
      <c r="H95" t="s">
        <v>115</v>
      </c>
      <c r="I95" s="11" t="s">
        <v>39</v>
      </c>
      <c r="J95" s="5" t="s">
        <v>39</v>
      </c>
      <c r="K95" s="5" t="s">
        <v>39</v>
      </c>
      <c r="L95" s="44">
        <v>0</v>
      </c>
      <c r="M95" s="65" t="s">
        <v>39</v>
      </c>
      <c r="N95" s="66"/>
      <c r="O95" s="5" t="s">
        <v>39</v>
      </c>
      <c r="P95" s="5" t="s">
        <v>39</v>
      </c>
      <c r="Q95" s="5" t="s">
        <v>39</v>
      </c>
      <c r="R95" s="5" t="s">
        <v>39</v>
      </c>
      <c r="S95" s="5" t="s">
        <v>39</v>
      </c>
      <c r="T95" s="5" t="s">
        <v>39</v>
      </c>
      <c r="U95" s="5" t="s">
        <v>39</v>
      </c>
      <c r="V95" s="5" t="s">
        <v>39</v>
      </c>
      <c r="W95" s="45" t="str">
        <f t="shared" si="2"/>
        <v>CCLF3</v>
      </c>
      <c r="AA95" s="38">
        <v>1</v>
      </c>
      <c r="AC95" s="38"/>
      <c r="AE95" s="37">
        <v>1</v>
      </c>
      <c r="AF95" s="38">
        <v>3</v>
      </c>
      <c r="AG95" s="38"/>
      <c r="AH95" s="38"/>
      <c r="AI95" s="34"/>
    </row>
    <row r="96" spans="1:35">
      <c r="A96" t="s">
        <v>116</v>
      </c>
      <c r="B96">
        <v>93</v>
      </c>
      <c r="C96" s="5">
        <v>120.914</v>
      </c>
      <c r="D96" s="5" t="s">
        <v>39</v>
      </c>
      <c r="E96" s="5" t="s">
        <v>39</v>
      </c>
      <c r="F96" s="5" t="s">
        <v>39</v>
      </c>
      <c r="G96" s="5" t="s">
        <v>39</v>
      </c>
      <c r="H96" t="s">
        <v>116</v>
      </c>
      <c r="I96" s="11" t="s">
        <v>39</v>
      </c>
      <c r="J96" s="5" t="s">
        <v>39</v>
      </c>
      <c r="K96" s="5" t="s">
        <v>39</v>
      </c>
      <c r="L96" s="44">
        <v>0</v>
      </c>
      <c r="M96" s="65" t="s">
        <v>39</v>
      </c>
      <c r="N96" s="66"/>
      <c r="O96" s="5" t="s">
        <v>39</v>
      </c>
      <c r="P96" s="5" t="s">
        <v>39</v>
      </c>
      <c r="Q96" s="5" t="s">
        <v>39</v>
      </c>
      <c r="R96" s="5" t="s">
        <v>39</v>
      </c>
      <c r="S96" s="5" t="s">
        <v>39</v>
      </c>
      <c r="T96" s="5" t="s">
        <v>39</v>
      </c>
      <c r="U96" s="5" t="s">
        <v>39</v>
      </c>
      <c r="V96" s="5" t="s">
        <v>39</v>
      </c>
      <c r="W96" s="45" t="str">
        <f t="shared" si="2"/>
        <v>CCL2F2</v>
      </c>
      <c r="AA96" s="38">
        <v>1</v>
      </c>
      <c r="AC96" s="38"/>
      <c r="AE96" s="37">
        <v>2</v>
      </c>
      <c r="AF96" s="38">
        <v>2</v>
      </c>
      <c r="AG96" s="38"/>
      <c r="AH96" s="38"/>
      <c r="AI96" s="34"/>
    </row>
    <row r="97" spans="1:35">
      <c r="A97" t="s">
        <v>117</v>
      </c>
      <c r="B97">
        <v>94</v>
      </c>
      <c r="C97" s="5">
        <v>44.033099999999997</v>
      </c>
      <c r="D97" s="5">
        <v>0.125</v>
      </c>
      <c r="E97" s="5">
        <v>0.372</v>
      </c>
      <c r="F97" s="5">
        <v>73</v>
      </c>
      <c r="G97" s="5">
        <v>1371.95</v>
      </c>
      <c r="H97" t="s">
        <v>117</v>
      </c>
      <c r="I97" s="11">
        <v>34.299999999999997</v>
      </c>
      <c r="J97" s="5">
        <v>1066.585</v>
      </c>
      <c r="K97" s="5">
        <v>0.34799999999999998</v>
      </c>
      <c r="L97" s="44">
        <v>0.69482999999999995</v>
      </c>
      <c r="M97" s="65">
        <v>2.874829924191793</v>
      </c>
      <c r="N97" s="66">
        <v>0.70684822653613433</v>
      </c>
      <c r="O97" s="5">
        <v>31.278600000000001</v>
      </c>
      <c r="P97" s="5">
        <v>41.9</v>
      </c>
      <c r="Q97" s="5">
        <v>-203.18799999999999</v>
      </c>
      <c r="R97" s="5">
        <v>-136.74199999999999</v>
      </c>
      <c r="S97" s="45">
        <v>33.4</v>
      </c>
      <c r="T97" s="45">
        <v>2.58E-2</v>
      </c>
      <c r="U97" s="45">
        <v>1.2799999999999999E-4</v>
      </c>
      <c r="V97" s="45">
        <v>-9.4699999999999994E-8</v>
      </c>
      <c r="W97" s="45" t="str">
        <f t="shared" si="2"/>
        <v>CONH2</v>
      </c>
      <c r="X97" s="5">
        <v>-6.8900000000000003E-2</v>
      </c>
      <c r="Y97" s="5">
        <v>6.0693999999999999</v>
      </c>
      <c r="Z97" s="5">
        <v>5.2279999999999998</v>
      </c>
      <c r="AA97" s="38">
        <v>1</v>
      </c>
      <c r="AB97" s="37">
        <v>2</v>
      </c>
      <c r="AC97" s="38">
        <v>1</v>
      </c>
      <c r="AD97" s="37">
        <v>1</v>
      </c>
      <c r="AF97" s="38"/>
      <c r="AG97" s="38"/>
      <c r="AH97" s="38"/>
      <c r="AI97" s="34"/>
    </row>
    <row r="98" spans="1:35">
      <c r="A98" t="s">
        <v>118</v>
      </c>
      <c r="B98">
        <v>95</v>
      </c>
      <c r="C98" s="5">
        <v>58.06</v>
      </c>
      <c r="D98" s="5">
        <v>0.2109848484848485</v>
      </c>
      <c r="E98" s="5">
        <v>0.60499999999999998</v>
      </c>
      <c r="F98" s="5">
        <v>114</v>
      </c>
      <c r="G98" s="5">
        <v>793.25</v>
      </c>
      <c r="H98" t="s">
        <v>118</v>
      </c>
      <c r="I98" s="11">
        <v>49.85</v>
      </c>
      <c r="J98" s="5">
        <v>1488.5325</v>
      </c>
      <c r="K98" s="5">
        <v>0.40100000000000002</v>
      </c>
      <c r="L98" s="44">
        <v>14.29341</v>
      </c>
      <c r="M98" s="65">
        <v>14.293405801125617</v>
      </c>
      <c r="N98" s="66">
        <v>8.8369999999999997</v>
      </c>
      <c r="O98" s="5" t="s">
        <v>39</v>
      </c>
      <c r="P98" s="5">
        <v>38.5</v>
      </c>
      <c r="Q98" s="5">
        <v>-67.778000000000006</v>
      </c>
      <c r="R98" s="5" t="s">
        <v>39</v>
      </c>
      <c r="S98" s="45">
        <v>24.7</v>
      </c>
      <c r="T98" s="45">
        <v>0.13500000000000001</v>
      </c>
      <c r="U98" s="45">
        <v>6.8700000000000003E-5</v>
      </c>
      <c r="V98" s="45">
        <v>-8.3299999999999998E-8</v>
      </c>
      <c r="W98" s="45" t="str">
        <f t="shared" si="2"/>
        <v>CONHCH3</v>
      </c>
      <c r="X98" s="5">
        <f>(X97+X100)/2</f>
        <v>0.20654999999999998</v>
      </c>
      <c r="Y98" s="5">
        <f>(Y97+Y100)/2</f>
        <v>5.9296500000000005</v>
      </c>
      <c r="Z98" s="5">
        <f>(Z97+Z100)/2</f>
        <v>4.1150000000000002</v>
      </c>
      <c r="AA98" s="38">
        <v>2</v>
      </c>
      <c r="AB98" s="37">
        <v>4</v>
      </c>
      <c r="AC98" s="38">
        <v>1</v>
      </c>
      <c r="AD98" s="37">
        <v>1</v>
      </c>
      <c r="AF98" s="38"/>
      <c r="AG98" s="38"/>
      <c r="AH98" s="38"/>
      <c r="AI98" s="34"/>
    </row>
    <row r="99" spans="1:35">
      <c r="A99" t="s">
        <v>119</v>
      </c>
      <c r="B99">
        <v>96</v>
      </c>
      <c r="C99" s="5">
        <v>57.052100000000003</v>
      </c>
      <c r="D99" s="5">
        <v>0.20946969696969697</v>
      </c>
      <c r="E99" s="5">
        <v>0.59599999999999997</v>
      </c>
      <c r="F99" s="5">
        <v>115</v>
      </c>
      <c r="G99" s="5">
        <v>791.34999999999991</v>
      </c>
      <c r="H99" t="s">
        <v>119</v>
      </c>
      <c r="I99" s="11">
        <v>43.85</v>
      </c>
      <c r="J99" s="5">
        <v>1522.6575</v>
      </c>
      <c r="K99" s="5">
        <v>0.39100000000000001</v>
      </c>
      <c r="L99" s="44">
        <v>13.854469999999999</v>
      </c>
      <c r="M99" s="65">
        <v>13.854474176484551</v>
      </c>
      <c r="N99" s="66">
        <v>8.7219999999999995</v>
      </c>
      <c r="O99" s="5" t="s">
        <v>39</v>
      </c>
      <c r="P99" s="5">
        <v>51.786999999999999</v>
      </c>
      <c r="Q99" s="5">
        <v>-182.096</v>
      </c>
      <c r="R99" s="5" t="s">
        <v>39</v>
      </c>
      <c r="S99" s="45">
        <v>4.33</v>
      </c>
      <c r="T99" s="45">
        <v>0.23799999999999999</v>
      </c>
      <c r="U99" s="45">
        <v>-1.3899999999999999E-4</v>
      </c>
      <c r="V99" s="45">
        <v>2.5300000000000002E-8</v>
      </c>
      <c r="W99" s="45" t="str">
        <f t="shared" si="2"/>
        <v>CONHCH2</v>
      </c>
      <c r="X99" s="5">
        <f>X98</f>
        <v>0.20654999999999998</v>
      </c>
      <c r="Y99" s="5">
        <f>Y98</f>
        <v>5.9296500000000005</v>
      </c>
      <c r="Z99" s="5">
        <f>Z98</f>
        <v>4.1150000000000002</v>
      </c>
      <c r="AA99" s="38">
        <v>2</v>
      </c>
      <c r="AB99" s="37">
        <v>3</v>
      </c>
      <c r="AC99" s="38">
        <v>1</v>
      </c>
      <c r="AD99" s="37">
        <v>1</v>
      </c>
      <c r="AF99" s="38"/>
      <c r="AG99" s="38"/>
      <c r="AH99" s="38"/>
      <c r="AI99" s="34"/>
    </row>
    <row r="100" spans="1:35" ht="13.5">
      <c r="A100" t="s">
        <v>120</v>
      </c>
      <c r="B100">
        <v>97</v>
      </c>
      <c r="C100" s="5">
        <v>72.087000000000003</v>
      </c>
      <c r="D100" s="5">
        <v>0.25378787878787878</v>
      </c>
      <c r="E100" s="5">
        <v>0.94599999999999995</v>
      </c>
      <c r="F100" s="5">
        <v>101</v>
      </c>
      <c r="G100" s="5">
        <v>818.9</v>
      </c>
      <c r="H100" t="s">
        <v>120</v>
      </c>
      <c r="I100" s="46">
        <v>78.900000000000006</v>
      </c>
      <c r="J100" s="5">
        <v>1586.0325</v>
      </c>
      <c r="K100" s="5">
        <v>0.45500000000000002</v>
      </c>
      <c r="L100" s="44">
        <v>15.368270000000001</v>
      </c>
      <c r="M100" s="65">
        <v>15.368270973455047</v>
      </c>
      <c r="N100" s="66">
        <v>9.34</v>
      </c>
      <c r="O100" s="5">
        <v>11.377000000000001</v>
      </c>
      <c r="P100" s="5">
        <v>38.9</v>
      </c>
      <c r="Q100" s="5">
        <v>-189.88800000000001</v>
      </c>
      <c r="R100" s="5">
        <v>-65.641999999999996</v>
      </c>
      <c r="S100" s="45">
        <v>14.4</v>
      </c>
      <c r="T100" s="45">
        <v>0.27800000000000002</v>
      </c>
      <c r="U100" s="45">
        <v>-4.9700000000000002E-5</v>
      </c>
      <c r="V100" s="45">
        <v>-4.4500000000000001E-8</v>
      </c>
      <c r="W100" s="45" t="str">
        <f t="shared" ref="W100:W135" si="3">A100</f>
        <v>CON(CH3)2</v>
      </c>
      <c r="X100" s="5">
        <v>0.48199999999999998</v>
      </c>
      <c r="Y100" s="5">
        <v>5.7899000000000003</v>
      </c>
      <c r="Z100" s="5">
        <v>3.0019999999999998</v>
      </c>
      <c r="AA100" s="38">
        <v>3</v>
      </c>
      <c r="AB100" s="37">
        <v>6</v>
      </c>
      <c r="AC100" s="38">
        <v>1</v>
      </c>
      <c r="AD100" s="37">
        <v>1</v>
      </c>
      <c r="AF100" s="38"/>
      <c r="AG100" s="38"/>
      <c r="AH100" s="38"/>
      <c r="AI100" s="34"/>
    </row>
    <row r="101" spans="1:35" ht="13.5">
      <c r="A101" t="s">
        <v>121</v>
      </c>
      <c r="B101">
        <v>98</v>
      </c>
      <c r="C101" s="5">
        <v>71.078999999999994</v>
      </c>
      <c r="D101" s="5">
        <v>0.25227272727272726</v>
      </c>
      <c r="E101" s="5">
        <v>0.93700000000000006</v>
      </c>
      <c r="F101" s="5">
        <v>102</v>
      </c>
      <c r="G101" s="5">
        <v>817</v>
      </c>
      <c r="H101" t="s">
        <v>121</v>
      </c>
      <c r="I101" s="46">
        <v>72.900000000000006</v>
      </c>
      <c r="J101" s="5">
        <v>1620.1575</v>
      </c>
      <c r="K101" s="5">
        <v>0.44500000000000001</v>
      </c>
      <c r="L101" s="44">
        <v>14.92934</v>
      </c>
      <c r="M101" s="65">
        <v>14.929339348813981</v>
      </c>
      <c r="N101" s="66">
        <v>9.2249999999999996</v>
      </c>
      <c r="O101" s="5" t="s">
        <v>39</v>
      </c>
      <c r="P101" s="5">
        <v>39.1</v>
      </c>
      <c r="Q101" s="5">
        <v>-46.561999999999998</v>
      </c>
      <c r="R101" s="5" t="s">
        <v>39</v>
      </c>
      <c r="S101" s="45">
        <v>-6.06</v>
      </c>
      <c r="T101" s="45">
        <v>0.38100000000000001</v>
      </c>
      <c r="U101" s="45">
        <v>-2.5700000000000001E-4</v>
      </c>
      <c r="V101" s="45">
        <v>6.4099999999999998E-8</v>
      </c>
      <c r="W101" s="45" t="str">
        <f t="shared" si="3"/>
        <v>CONCH3CH2</v>
      </c>
      <c r="X101" s="5">
        <f t="shared" ref="X101:Z102" si="4">X100</f>
        <v>0.48199999999999998</v>
      </c>
      <c r="Y101" s="5">
        <f t="shared" si="4"/>
        <v>5.7899000000000003</v>
      </c>
      <c r="Z101" s="5">
        <f t="shared" si="4"/>
        <v>3.0019999999999998</v>
      </c>
      <c r="AA101" s="38">
        <v>3</v>
      </c>
      <c r="AB101" s="37">
        <v>5</v>
      </c>
      <c r="AC101" s="38">
        <v>1</v>
      </c>
      <c r="AD101" s="37">
        <v>1</v>
      </c>
      <c r="AF101" s="38"/>
      <c r="AG101" s="38"/>
      <c r="AH101" s="38"/>
      <c r="AI101" s="34"/>
    </row>
    <row r="102" spans="1:35" ht="13.5">
      <c r="A102" t="s">
        <v>122</v>
      </c>
      <c r="B102">
        <v>99</v>
      </c>
      <c r="C102" s="5">
        <v>70.071200000000005</v>
      </c>
      <c r="D102" s="5">
        <v>0.25075757575757573</v>
      </c>
      <c r="E102" s="5">
        <v>0.92900000000000005</v>
      </c>
      <c r="F102" s="5">
        <v>103</v>
      </c>
      <c r="G102" s="5">
        <v>815.09999999999991</v>
      </c>
      <c r="H102" t="s">
        <v>122</v>
      </c>
      <c r="I102" s="46">
        <v>66.900000000000006</v>
      </c>
      <c r="J102" s="5">
        <v>1654.2825</v>
      </c>
      <c r="K102" s="5">
        <v>0.435</v>
      </c>
      <c r="L102" s="44">
        <v>14.490410000000001</v>
      </c>
      <c r="M102" s="65">
        <v>14.490407724172915</v>
      </c>
      <c r="N102" s="66">
        <v>9.11</v>
      </c>
      <c r="O102" s="5" t="s">
        <v>39</v>
      </c>
      <c r="P102" s="5">
        <v>39.299999999999997</v>
      </c>
      <c r="Q102" s="5" t="s">
        <v>39</v>
      </c>
      <c r="R102" s="5" t="s">
        <v>39</v>
      </c>
      <c r="S102" s="45">
        <v>-26.5</v>
      </c>
      <c r="T102" s="45">
        <v>0.48399999999999999</v>
      </c>
      <c r="U102" s="45">
        <v>-4.6500000000000003E-4</v>
      </c>
      <c r="V102" s="45">
        <v>1.73E-7</v>
      </c>
      <c r="W102" s="45" t="str">
        <f t="shared" si="3"/>
        <v>CON(CH2)2</v>
      </c>
      <c r="X102" s="5">
        <f t="shared" si="4"/>
        <v>0.48199999999999998</v>
      </c>
      <c r="Y102" s="5">
        <f t="shared" si="4"/>
        <v>5.7899000000000003</v>
      </c>
      <c r="Z102" s="5">
        <f t="shared" si="4"/>
        <v>3.0019999999999998</v>
      </c>
      <c r="AA102" s="38">
        <v>3</v>
      </c>
      <c r="AB102" s="37">
        <v>4</v>
      </c>
      <c r="AC102" s="38">
        <v>1</v>
      </c>
      <c r="AD102" s="37">
        <v>1</v>
      </c>
      <c r="AF102" s="38"/>
      <c r="AG102" s="38"/>
      <c r="AH102" s="38"/>
      <c r="AI102" s="34"/>
    </row>
    <row r="103" spans="1:35">
      <c r="A103" t="s">
        <v>123</v>
      </c>
      <c r="B103">
        <v>100</v>
      </c>
      <c r="C103" s="5">
        <v>61.060600000000001</v>
      </c>
      <c r="D103" s="5">
        <v>0.31780303030303025</v>
      </c>
      <c r="E103" s="5">
        <v>0.65800000000000003</v>
      </c>
      <c r="F103" s="5">
        <v>55</v>
      </c>
      <c r="G103" s="5">
        <v>788.5</v>
      </c>
      <c r="H103" t="s">
        <v>123</v>
      </c>
      <c r="I103" s="11">
        <v>50</v>
      </c>
      <c r="J103" s="5">
        <v>958.71749999999997</v>
      </c>
      <c r="K103" s="5">
        <v>0.57599999999999996</v>
      </c>
      <c r="L103" s="44">
        <v>5.0539699999999996</v>
      </c>
      <c r="M103" s="65">
        <v>5.0539733858724309</v>
      </c>
      <c r="N103" s="66">
        <v>0.79100000000000004</v>
      </c>
      <c r="O103" s="5" t="s">
        <v>39</v>
      </c>
      <c r="P103" s="5">
        <v>36.656999999999996</v>
      </c>
      <c r="Q103" s="5">
        <v>-344.125</v>
      </c>
      <c r="R103" s="5">
        <v>-241.37299999999999</v>
      </c>
      <c r="S103" s="45">
        <v>49.4</v>
      </c>
      <c r="T103" s="45">
        <v>5.7700000000000001E-2</v>
      </c>
      <c r="U103" s="45">
        <v>1.7899999999999999E-4</v>
      </c>
      <c r="V103" s="45">
        <v>-1.3E-7</v>
      </c>
      <c r="W103" s="45" t="str">
        <f t="shared" si="3"/>
        <v>C2H5O2</v>
      </c>
      <c r="X103" s="5">
        <v>-0.1249</v>
      </c>
      <c r="Y103" s="5">
        <v>3.6421999999999999</v>
      </c>
      <c r="Z103" s="5">
        <v>8.3579000000000008</v>
      </c>
      <c r="AA103" s="38">
        <v>2</v>
      </c>
      <c r="AB103" s="37">
        <v>5</v>
      </c>
      <c r="AC103" s="38">
        <v>2</v>
      </c>
      <c r="AF103" s="38"/>
      <c r="AG103" s="38"/>
      <c r="AH103" s="38"/>
      <c r="AI103" s="34"/>
    </row>
    <row r="104" spans="1:35">
      <c r="A104" t="s">
        <v>124</v>
      </c>
      <c r="B104">
        <v>101</v>
      </c>
      <c r="C104" s="5">
        <v>60.052700000000002</v>
      </c>
      <c r="D104" s="5">
        <v>0.23068181818181815</v>
      </c>
      <c r="E104" s="5">
        <v>0.76100000000000001</v>
      </c>
      <c r="F104" s="5">
        <v>109</v>
      </c>
      <c r="G104" s="5">
        <v>470.25</v>
      </c>
      <c r="H104" t="s">
        <v>124</v>
      </c>
      <c r="I104" s="11">
        <v>44</v>
      </c>
      <c r="J104" s="5">
        <v>579.15</v>
      </c>
      <c r="K104" s="5">
        <v>0.27600000000000002</v>
      </c>
      <c r="L104" s="44">
        <v>0.27276</v>
      </c>
      <c r="M104" s="65">
        <v>0.27275667769441292</v>
      </c>
      <c r="N104" s="66">
        <v>0.21</v>
      </c>
      <c r="O104" s="5" t="s">
        <v>39</v>
      </c>
      <c r="P104" s="5">
        <v>14.956</v>
      </c>
      <c r="Q104" s="5" t="s">
        <v>39</v>
      </c>
      <c r="R104" s="5" t="s">
        <v>39</v>
      </c>
      <c r="S104" s="45">
        <v>49.2</v>
      </c>
      <c r="T104" s="45">
        <v>6.3600000000000004E-2</v>
      </c>
      <c r="U104" s="45">
        <v>1.13E-4</v>
      </c>
      <c r="V104" s="45">
        <v>-8.5800000000000001E-8</v>
      </c>
      <c r="W104" s="45" t="str">
        <f t="shared" si="3"/>
        <v>C2H4O2</v>
      </c>
      <c r="X104" s="5">
        <f>X103</f>
        <v>-0.1249</v>
      </c>
      <c r="Y104" s="5">
        <f>Y103</f>
        <v>3.6421999999999999</v>
      </c>
      <c r="Z104" s="5">
        <f>Z103</f>
        <v>8.3579000000000008</v>
      </c>
      <c r="AA104" s="38">
        <v>2</v>
      </c>
      <c r="AB104" s="37">
        <v>4</v>
      </c>
      <c r="AC104" s="38">
        <v>2</v>
      </c>
      <c r="AF104" s="38"/>
      <c r="AG104" s="38"/>
      <c r="AH104" s="38"/>
      <c r="AI104" s="34"/>
    </row>
    <row r="105" spans="1:35">
      <c r="A105" t="s">
        <v>125</v>
      </c>
      <c r="B105">
        <v>102</v>
      </c>
      <c r="C105" s="5">
        <v>47.094799999999999</v>
      </c>
      <c r="D105" s="5">
        <v>0.11899999999999999</v>
      </c>
      <c r="E105" s="5">
        <v>0.48499999999999999</v>
      </c>
      <c r="F105" s="5">
        <v>64</v>
      </c>
      <c r="G105" s="5">
        <v>464.6</v>
      </c>
      <c r="H105" t="s">
        <v>125</v>
      </c>
      <c r="I105" s="11">
        <v>39.549999999999997</v>
      </c>
      <c r="J105" s="5">
        <v>411.03500000000003</v>
      </c>
      <c r="K105" s="5">
        <v>0.13100000000000001</v>
      </c>
      <c r="L105" s="44">
        <v>0.49792999999999998</v>
      </c>
      <c r="M105" s="65">
        <v>1.4643301213470232</v>
      </c>
      <c r="N105" s="66">
        <v>0.88432335198962198</v>
      </c>
      <c r="O105" s="5">
        <v>5.0506000000000002</v>
      </c>
      <c r="P105" s="5">
        <v>16.920999999999999</v>
      </c>
      <c r="Q105" s="5">
        <v>-2.0840000000000001</v>
      </c>
      <c r="R105" s="5">
        <v>30.222000000000001</v>
      </c>
      <c r="S105" s="45">
        <v>39.1</v>
      </c>
      <c r="T105" s="45">
        <v>-1.37E-2</v>
      </c>
      <c r="U105" s="45">
        <v>1.93E-4</v>
      </c>
      <c r="V105" s="45">
        <v>-1.24E-7</v>
      </c>
      <c r="W105" s="45" t="str">
        <f t="shared" si="3"/>
        <v>CH3S</v>
      </c>
      <c r="X105" s="5">
        <v>0</v>
      </c>
      <c r="Y105" s="5">
        <v>0.49440000000000001</v>
      </c>
      <c r="Z105" s="5">
        <v>-1.4861</v>
      </c>
      <c r="AA105" s="38">
        <v>1</v>
      </c>
      <c r="AB105" s="37">
        <v>3</v>
      </c>
      <c r="AC105" s="38"/>
      <c r="AF105" s="38"/>
      <c r="AG105" s="38">
        <v>1</v>
      </c>
      <c r="AH105" s="38"/>
      <c r="AI105" s="34"/>
    </row>
    <row r="106" spans="1:35">
      <c r="A106" t="s">
        <v>126</v>
      </c>
      <c r="B106">
        <v>103</v>
      </c>
      <c r="C106" s="5">
        <v>46.0869</v>
      </c>
      <c r="D106" s="5">
        <v>9.0999999999999998E-2</v>
      </c>
      <c r="E106" s="5">
        <v>0.47599999999999998</v>
      </c>
      <c r="F106" s="5">
        <v>65</v>
      </c>
      <c r="G106" s="5">
        <v>464.6</v>
      </c>
      <c r="H106" t="s">
        <v>126</v>
      </c>
      <c r="I106" s="11">
        <v>33.549999999999997</v>
      </c>
      <c r="J106" s="5">
        <v>411.03500000000003</v>
      </c>
      <c r="K106" s="5">
        <v>0.121</v>
      </c>
      <c r="L106" s="44">
        <v>0.65395000000000003</v>
      </c>
      <c r="M106" s="65">
        <v>1.7629106837125388</v>
      </c>
      <c r="N106" s="66">
        <v>1.167050828125153</v>
      </c>
      <c r="O106" s="5">
        <v>3.1467999999999998</v>
      </c>
      <c r="P106" s="5">
        <v>17.117000000000001</v>
      </c>
      <c r="Q106" s="5">
        <v>18.021999999999998</v>
      </c>
      <c r="R106" s="5">
        <v>38.345999999999997</v>
      </c>
      <c r="S106" s="45">
        <v>18.7</v>
      </c>
      <c r="T106" s="45">
        <v>8.9399999999999993E-2</v>
      </c>
      <c r="U106" s="45">
        <v>-1.42E-5</v>
      </c>
      <c r="V106" s="45">
        <v>-1.5700000000000002E-8</v>
      </c>
      <c r="W106" s="45" t="str">
        <f t="shared" si="3"/>
        <v>CH2S</v>
      </c>
      <c r="X106" s="5">
        <v>1.0595000000000001</v>
      </c>
      <c r="Y106" s="5">
        <v>0.753</v>
      </c>
      <c r="Z106" s="5">
        <v>-0.22869999999999999</v>
      </c>
      <c r="AA106" s="38">
        <v>1</v>
      </c>
      <c r="AB106" s="37">
        <v>2</v>
      </c>
      <c r="AC106" s="38"/>
      <c r="AF106" s="38"/>
      <c r="AG106" s="38">
        <v>1</v>
      </c>
      <c r="AH106" s="38"/>
      <c r="AI106" s="34"/>
    </row>
    <row r="107" spans="1:35">
      <c r="A107" t="s">
        <v>127</v>
      </c>
      <c r="B107">
        <v>104</v>
      </c>
      <c r="C107" s="5">
        <v>45.079000000000001</v>
      </c>
      <c r="D107" s="5">
        <v>3.6999999999999977E-2</v>
      </c>
      <c r="E107" s="5">
        <v>0.42899999999999999</v>
      </c>
      <c r="F107" s="5">
        <v>49</v>
      </c>
      <c r="G107" s="5">
        <v>440.6</v>
      </c>
      <c r="H107" t="s">
        <v>127</v>
      </c>
      <c r="I107" s="11">
        <v>27.56</v>
      </c>
      <c r="J107" s="5">
        <v>411.03500000000003</v>
      </c>
      <c r="K107" s="5">
        <v>0.1</v>
      </c>
      <c r="L107" s="44">
        <v>-2.6919999999999999E-2</v>
      </c>
      <c r="M107" s="65">
        <v>-2.691844888210071E-2</v>
      </c>
      <c r="N107" s="66">
        <v>3.7999999999999999E-2</v>
      </c>
      <c r="O107" s="5" t="s">
        <v>39</v>
      </c>
      <c r="P107" s="5">
        <v>13.265000000000001</v>
      </c>
      <c r="Q107" s="5" t="s">
        <v>39</v>
      </c>
      <c r="R107" s="5" t="s">
        <v>39</v>
      </c>
      <c r="S107" s="45">
        <v>-3.4</v>
      </c>
      <c r="T107" s="45">
        <v>0.19800000000000001</v>
      </c>
      <c r="U107" s="45">
        <v>-2.2499999999999999E-4</v>
      </c>
      <c r="V107" s="45">
        <v>9.2399999999999994E-8</v>
      </c>
      <c r="W107" s="45" t="str">
        <f t="shared" si="3"/>
        <v>CHS</v>
      </c>
      <c r="X107" s="5">
        <f>X106-X5+X6</f>
        <v>1.7314000000000001</v>
      </c>
      <c r="Y107" s="5">
        <f>Y106-Y5+Y6</f>
        <v>1.7066000000000001</v>
      </c>
      <c r="Z107" s="5">
        <f>Z106-Z5+Z6</f>
        <v>-1.8600000000000005E-2</v>
      </c>
      <c r="AA107" s="38">
        <v>1</v>
      </c>
      <c r="AB107" s="37">
        <v>1</v>
      </c>
      <c r="AC107" s="38"/>
      <c r="AF107" s="38"/>
      <c r="AG107" s="38">
        <v>1</v>
      </c>
      <c r="AH107" s="38"/>
      <c r="AI107" s="34"/>
    </row>
    <row r="108" spans="1:35">
      <c r="A108" t="s">
        <v>128</v>
      </c>
      <c r="B108">
        <v>105</v>
      </c>
      <c r="C108" s="5">
        <v>87.121799999999993</v>
      </c>
      <c r="D108" s="5" t="s">
        <v>39</v>
      </c>
      <c r="E108" s="5" t="s">
        <v>39</v>
      </c>
      <c r="F108" s="5" t="s">
        <v>39</v>
      </c>
      <c r="G108" s="5" t="s">
        <v>39</v>
      </c>
      <c r="H108" t="s">
        <v>128</v>
      </c>
      <c r="I108" s="11" t="s">
        <v>39</v>
      </c>
      <c r="J108" s="5" t="s">
        <v>39</v>
      </c>
      <c r="K108" s="5" t="s">
        <v>39</v>
      </c>
      <c r="L108" s="5" t="s">
        <v>39</v>
      </c>
      <c r="M108" s="5" t="s">
        <v>39</v>
      </c>
      <c r="N108" s="5" t="s">
        <v>39</v>
      </c>
      <c r="O108" s="5" t="s">
        <v>39</v>
      </c>
      <c r="P108" s="5" t="s">
        <v>39</v>
      </c>
      <c r="Q108" s="5" t="s">
        <v>39</v>
      </c>
      <c r="R108" s="5" t="s">
        <v>39</v>
      </c>
      <c r="S108" s="5" t="s">
        <v>39</v>
      </c>
      <c r="T108" s="5" t="s">
        <v>39</v>
      </c>
      <c r="U108" s="5" t="s">
        <v>39</v>
      </c>
      <c r="V108" s="5" t="s">
        <v>39</v>
      </c>
      <c r="W108" s="45" t="str">
        <f t="shared" si="3"/>
        <v>MORPH</v>
      </c>
      <c r="AA108" s="38"/>
      <c r="AC108" s="38"/>
      <c r="AF108" s="38"/>
      <c r="AG108" s="38"/>
      <c r="AH108" s="38"/>
      <c r="AI108" s="34"/>
    </row>
    <row r="109" spans="1:35">
      <c r="A109" t="s">
        <v>129</v>
      </c>
      <c r="B109">
        <v>106</v>
      </c>
      <c r="C109" s="5">
        <v>84.136200000000002</v>
      </c>
      <c r="D109" s="5" t="s">
        <v>39</v>
      </c>
      <c r="E109" s="5" t="s">
        <v>39</v>
      </c>
      <c r="F109" s="5" t="s">
        <v>39</v>
      </c>
      <c r="G109" s="5" t="s">
        <v>39</v>
      </c>
      <c r="H109" t="s">
        <v>129</v>
      </c>
      <c r="I109" s="11" t="s">
        <v>39</v>
      </c>
      <c r="J109" s="5" t="s">
        <v>39</v>
      </c>
      <c r="K109" s="5" t="s">
        <v>39</v>
      </c>
      <c r="L109" s="5" t="s">
        <v>39</v>
      </c>
      <c r="M109" s="5" t="s">
        <v>39</v>
      </c>
      <c r="N109" s="5" t="s">
        <v>39</v>
      </c>
      <c r="O109" s="5" t="s">
        <v>39</v>
      </c>
      <c r="P109" s="5" t="s">
        <v>39</v>
      </c>
      <c r="Q109" s="5" t="s">
        <v>39</v>
      </c>
      <c r="R109" s="5" t="s">
        <v>39</v>
      </c>
      <c r="S109" s="5" t="s">
        <v>39</v>
      </c>
      <c r="T109" s="5" t="s">
        <v>39</v>
      </c>
      <c r="U109" s="5" t="s">
        <v>39</v>
      </c>
      <c r="V109" s="5" t="s">
        <v>39</v>
      </c>
      <c r="W109" s="45" t="str">
        <f t="shared" si="3"/>
        <v>C4H4S</v>
      </c>
      <c r="AA109" s="38">
        <v>4</v>
      </c>
      <c r="AB109" s="37">
        <v>4</v>
      </c>
      <c r="AC109" s="38"/>
      <c r="AF109" s="38"/>
      <c r="AG109" s="38">
        <v>1</v>
      </c>
      <c r="AH109" s="38"/>
      <c r="AI109" s="34"/>
    </row>
    <row r="110" spans="1:35">
      <c r="A110" t="s">
        <v>130</v>
      </c>
      <c r="B110">
        <v>107</v>
      </c>
      <c r="C110" s="5">
        <v>83.128299999999996</v>
      </c>
      <c r="D110" s="5">
        <v>0.379</v>
      </c>
      <c r="E110" s="5">
        <v>0.96</v>
      </c>
      <c r="F110" s="5">
        <v>125</v>
      </c>
      <c r="G110" s="5">
        <v>697</v>
      </c>
      <c r="H110" t="s">
        <v>130</v>
      </c>
      <c r="I110" s="11">
        <v>65.680000000000007</v>
      </c>
      <c r="J110" s="5">
        <v>834.2</v>
      </c>
      <c r="K110" s="5">
        <v>0.17799999999999999</v>
      </c>
      <c r="L110" s="44">
        <v>-6.2530000000000002E-2</v>
      </c>
      <c r="M110" s="65">
        <v>-6.2533732272611636E-2</v>
      </c>
      <c r="N110" s="66">
        <v>0.127</v>
      </c>
      <c r="O110" s="5" t="s">
        <v>39</v>
      </c>
      <c r="P110" s="5">
        <v>27.966000000000001</v>
      </c>
      <c r="Q110" s="5" t="s">
        <v>39</v>
      </c>
      <c r="R110" s="5" t="s">
        <v>39</v>
      </c>
      <c r="S110" s="45">
        <v>2.0299999999999998</v>
      </c>
      <c r="T110" s="45">
        <v>0.27800000000000002</v>
      </c>
      <c r="U110" s="45">
        <v>-1.1900000000000001E-4</v>
      </c>
      <c r="V110" s="45">
        <v>-1.0000000000000001E-9</v>
      </c>
      <c r="W110" s="45" t="str">
        <f t="shared" si="3"/>
        <v>C4H3S</v>
      </c>
      <c r="X110" s="5">
        <f>X9+X11+1.4899</f>
        <v>2.0319000000000003</v>
      </c>
      <c r="Y110" s="5">
        <f>Y9+Y11+9.2072</f>
        <v>8.0063999999999993</v>
      </c>
      <c r="Z110" s="5">
        <f>Z9+Z11-0.625</f>
        <v>-2.5522</v>
      </c>
      <c r="AA110" s="38">
        <v>4</v>
      </c>
      <c r="AB110" s="37">
        <v>3</v>
      </c>
      <c r="AC110" s="38"/>
      <c r="AF110" s="38"/>
      <c r="AG110" s="38">
        <v>1</v>
      </c>
      <c r="AH110" s="38"/>
      <c r="AI110" s="34"/>
    </row>
    <row r="111" spans="1:35">
      <c r="A111" t="s">
        <v>131</v>
      </c>
      <c r="B111">
        <v>108</v>
      </c>
      <c r="C111" s="5">
        <v>82.120400000000004</v>
      </c>
      <c r="D111" s="5">
        <v>0.372</v>
      </c>
      <c r="E111" s="5">
        <v>0.97799999999999998</v>
      </c>
      <c r="F111" s="5">
        <v>137</v>
      </c>
      <c r="G111" s="5">
        <v>697</v>
      </c>
      <c r="H111" t="s">
        <v>131</v>
      </c>
      <c r="I111" s="11">
        <v>59.68</v>
      </c>
      <c r="J111" s="5">
        <v>834.2</v>
      </c>
      <c r="K111" s="5">
        <v>0.17799999999999999</v>
      </c>
      <c r="L111" s="44">
        <v>-0.12408</v>
      </c>
      <c r="M111" s="65">
        <v>-0.1240818209330202</v>
      </c>
      <c r="N111" s="66">
        <v>6.8000000000000005E-2</v>
      </c>
      <c r="O111" s="5" t="s">
        <v>39</v>
      </c>
      <c r="P111" s="5">
        <v>28</v>
      </c>
      <c r="Q111" s="5" t="s">
        <v>39</v>
      </c>
      <c r="R111" s="5" t="s">
        <v>39</v>
      </c>
      <c r="S111" s="45">
        <v>-4.08</v>
      </c>
      <c r="T111" s="45">
        <v>0.32200000000000001</v>
      </c>
      <c r="U111" s="45">
        <v>-2.5999999999999998E-4</v>
      </c>
      <c r="V111" s="45">
        <v>8.2700000000000006E-8</v>
      </c>
      <c r="W111" s="45" t="str">
        <f t="shared" si="3"/>
        <v>C4H2S</v>
      </c>
      <c r="X111" s="5">
        <f>2*X9+1.4899</f>
        <v>1.4995000000000001</v>
      </c>
      <c r="Y111" s="5">
        <v>9.2072000000000003</v>
      </c>
      <c r="Z111" s="5">
        <v>-0.625</v>
      </c>
      <c r="AA111" s="38">
        <v>4</v>
      </c>
      <c r="AB111" s="37">
        <v>2</v>
      </c>
      <c r="AC111" s="38"/>
      <c r="AF111" s="38"/>
      <c r="AG111" s="38">
        <v>1</v>
      </c>
      <c r="AH111" s="38"/>
      <c r="AI111" s="34"/>
    </row>
    <row r="112" spans="1:35">
      <c r="A112" t="s">
        <v>132</v>
      </c>
      <c r="B112">
        <v>109</v>
      </c>
      <c r="C112" s="5">
        <v>99.132900000000006</v>
      </c>
      <c r="D112" s="5" t="s">
        <v>39</v>
      </c>
      <c r="E112" s="5" t="s">
        <v>39</v>
      </c>
      <c r="F112" s="5" t="s">
        <v>39</v>
      </c>
      <c r="G112" s="5" t="s">
        <v>39</v>
      </c>
      <c r="H112" t="s">
        <v>132</v>
      </c>
      <c r="I112" s="5" t="s">
        <v>39</v>
      </c>
      <c r="J112" s="5" t="s">
        <v>39</v>
      </c>
      <c r="K112" s="5" t="s">
        <v>39</v>
      </c>
      <c r="L112" s="5" t="s">
        <v>39</v>
      </c>
      <c r="M112" s="5" t="s">
        <v>39</v>
      </c>
      <c r="N112" s="5" t="s">
        <v>39</v>
      </c>
      <c r="O112" s="5" t="s">
        <v>39</v>
      </c>
      <c r="P112" s="5" t="s">
        <v>39</v>
      </c>
      <c r="Q112" s="5" t="s">
        <v>39</v>
      </c>
      <c r="R112" s="5" t="s">
        <v>39</v>
      </c>
      <c r="S112" s="5" t="s">
        <v>39</v>
      </c>
      <c r="T112" s="5" t="s">
        <v>39</v>
      </c>
      <c r="U112" s="5" t="s">
        <v>39</v>
      </c>
      <c r="V112" s="5" t="s">
        <v>39</v>
      </c>
      <c r="W112" s="45" t="str">
        <f t="shared" si="3"/>
        <v>NMP</v>
      </c>
      <c r="AA112" s="38"/>
    </row>
    <row r="113" spans="1:116">
      <c r="A113" t="s">
        <v>134</v>
      </c>
      <c r="B113" t="s">
        <v>133</v>
      </c>
      <c r="C113" s="5">
        <v>14.026899999999999</v>
      </c>
      <c r="D113" s="5">
        <v>3.5999999999999997E-2</v>
      </c>
      <c r="E113" s="5">
        <v>0.17699999999999999</v>
      </c>
      <c r="F113" s="5">
        <v>25</v>
      </c>
      <c r="G113" s="5">
        <v>133.83099999999999</v>
      </c>
      <c r="H113" t="s">
        <v>134</v>
      </c>
      <c r="I113" s="11">
        <v>15.55</v>
      </c>
      <c r="J113" s="5">
        <v>110.85899999999999</v>
      </c>
      <c r="K113" s="5">
        <v>3.6999999999999998E-2</v>
      </c>
      <c r="L113" s="44">
        <v>0.17998</v>
      </c>
      <c r="M113" s="65">
        <v>0.46716896346243325</v>
      </c>
      <c r="N113" s="66">
        <v>0.29447064044463223</v>
      </c>
      <c r="O113" s="5">
        <v>0.46400000000000002</v>
      </c>
      <c r="P113" s="5">
        <v>4.6500000000000004</v>
      </c>
      <c r="Q113" s="5">
        <v>-20.763000000000002</v>
      </c>
      <c r="R113" s="5">
        <v>8.2309999999999999</v>
      </c>
      <c r="S113" s="45">
        <v>-0.90900000000000003</v>
      </c>
      <c r="T113" s="45">
        <v>9.5000000000000001E-2</v>
      </c>
      <c r="U113" s="45">
        <v>-5.4400000000000001E-5</v>
      </c>
      <c r="V113" s="45">
        <v>1.1900000000000001E-8</v>
      </c>
      <c r="W113" s="45" t="str">
        <f t="shared" si="3"/>
        <v>RCH2&lt;</v>
      </c>
      <c r="X113" s="5">
        <f t="shared" ref="X113:Z115" si="5">X5</f>
        <v>-2.69E-2</v>
      </c>
      <c r="Y113" s="5">
        <f t="shared" si="5"/>
        <v>-0.30449999999999999</v>
      </c>
      <c r="Z113" s="5">
        <f t="shared" si="5"/>
        <v>-0.41189999999999999</v>
      </c>
      <c r="AA113" s="38">
        <v>1</v>
      </c>
      <c r="AB113" s="37">
        <v>2</v>
      </c>
    </row>
    <row r="114" spans="1:116">
      <c r="A114" t="s">
        <v>136</v>
      </c>
      <c r="B114" t="s">
        <v>135</v>
      </c>
      <c r="C114" s="5">
        <v>13.019</v>
      </c>
      <c r="D114" s="5">
        <v>1.4999999999999999E-2</v>
      </c>
      <c r="E114" s="5">
        <v>0.19500000000000001</v>
      </c>
      <c r="F114" s="5">
        <v>37</v>
      </c>
      <c r="G114" s="5">
        <v>111.63</v>
      </c>
      <c r="H114" t="s">
        <v>136</v>
      </c>
      <c r="I114" s="11">
        <v>9.56</v>
      </c>
      <c r="J114" s="5">
        <v>101.1</v>
      </c>
      <c r="K114" s="5">
        <v>8.9999999999999993E-3</v>
      </c>
      <c r="L114" s="44">
        <v>-1.2760000000000001E-2</v>
      </c>
      <c r="M114" s="65">
        <v>-0.14766080198415052</v>
      </c>
      <c r="N114" s="66">
        <v>-6.0248058592368127E-2</v>
      </c>
      <c r="O114" s="5">
        <v>0.92459999999999998</v>
      </c>
      <c r="P114" s="5">
        <v>2.7709999999999999</v>
      </c>
      <c r="Q114" s="5">
        <v>-3.766</v>
      </c>
      <c r="R114" s="5">
        <v>19.847999999999999</v>
      </c>
      <c r="S114" s="45">
        <v>-23</v>
      </c>
      <c r="T114" s="45">
        <v>0.20399999999999999</v>
      </c>
      <c r="U114" s="45">
        <v>-2.6499999999999999E-4</v>
      </c>
      <c r="V114" s="45">
        <v>1.1999999999999999E-7</v>
      </c>
      <c r="W114" s="45" t="str">
        <f t="shared" si="3"/>
        <v>&gt;RCH-</v>
      </c>
      <c r="X114" s="5">
        <f t="shared" si="5"/>
        <v>0.64500000000000002</v>
      </c>
      <c r="Y114" s="5">
        <f t="shared" si="5"/>
        <v>0.64910000000000001</v>
      </c>
      <c r="Z114" s="5">
        <f t="shared" si="5"/>
        <v>-0.20180000000000001</v>
      </c>
      <c r="AA114" s="38">
        <v>1</v>
      </c>
      <c r="AB114" s="37">
        <v>1</v>
      </c>
    </row>
    <row r="115" spans="1:116">
      <c r="A115" t="s">
        <v>138</v>
      </c>
      <c r="B115" t="s">
        <v>137</v>
      </c>
      <c r="C115" s="5">
        <v>12.011200000000001</v>
      </c>
      <c r="D115" s="5">
        <v>3.7999999999999999E-2</v>
      </c>
      <c r="E115" s="5">
        <v>0.20399999999999999</v>
      </c>
      <c r="F115" s="5">
        <v>55</v>
      </c>
      <c r="G115" s="5">
        <v>36.299999999999997</v>
      </c>
      <c r="H115" t="s">
        <v>138</v>
      </c>
      <c r="I115" s="11">
        <v>3.56</v>
      </c>
      <c r="J115" s="5">
        <v>72.856999999999999</v>
      </c>
      <c r="K115" s="5">
        <v>-2.1999999999999999E-2</v>
      </c>
      <c r="L115" s="44">
        <v>-0.12414</v>
      </c>
      <c r="M115" s="65">
        <v>-1.0307807445654382</v>
      </c>
      <c r="N115" s="66">
        <v>-0.27508822228622964</v>
      </c>
      <c r="O115" s="5">
        <v>0.35570000000000002</v>
      </c>
      <c r="P115" s="5">
        <v>1.284</v>
      </c>
      <c r="Q115" s="5">
        <v>17.119</v>
      </c>
      <c r="R115" s="5">
        <v>37.976999999999997</v>
      </c>
      <c r="S115" s="45">
        <v>-66.2</v>
      </c>
      <c r="T115" s="45">
        <v>0.42699999999999999</v>
      </c>
      <c r="U115" s="45">
        <v>-6.4099999999999997E-4</v>
      </c>
      <c r="V115" s="45">
        <v>3.0100000000000001E-7</v>
      </c>
      <c r="W115" s="45" t="str">
        <f t="shared" si="3"/>
        <v>&gt;RC&lt;</v>
      </c>
      <c r="X115" s="5">
        <f t="shared" si="5"/>
        <v>1.2685999999999999</v>
      </c>
      <c r="Y115" s="5">
        <f t="shared" si="5"/>
        <v>2.0838000000000001</v>
      </c>
      <c r="Z115" s="5">
        <f t="shared" si="5"/>
        <v>8.6599999999999996E-2</v>
      </c>
      <c r="AA115" s="38">
        <v>1</v>
      </c>
      <c r="AB115" s="37">
        <v>0</v>
      </c>
    </row>
    <row r="116" spans="1:116">
      <c r="A116" t="s">
        <v>140</v>
      </c>
      <c r="B116" t="s">
        <v>139</v>
      </c>
      <c r="C116" s="5">
        <v>39.057099999999998</v>
      </c>
      <c r="D116" s="5">
        <v>0.1515</v>
      </c>
      <c r="E116" s="5">
        <v>0.72</v>
      </c>
      <c r="F116" s="5">
        <v>64</v>
      </c>
      <c r="G116" s="5">
        <v>488.29999999999995</v>
      </c>
      <c r="H116" t="s">
        <v>140</v>
      </c>
      <c r="I116" s="5">
        <f>19.17+7.18+13.18</f>
        <v>39.53</v>
      </c>
      <c r="J116" s="5">
        <v>374.4</v>
      </c>
      <c r="K116" s="5">
        <v>0.10199999999999999</v>
      </c>
      <c r="L116" s="44">
        <v>0.19344</v>
      </c>
      <c r="M116" s="44">
        <f>M10+M11/2</f>
        <v>0.11340209698086008</v>
      </c>
      <c r="N116" s="44">
        <f>N10+N11/2</f>
        <v>0.12043778597483666</v>
      </c>
      <c r="O116" s="5">
        <v>3.3439000000000001</v>
      </c>
      <c r="P116" s="5">
        <v>12.9</v>
      </c>
      <c r="Q116" s="5">
        <v>197.322</v>
      </c>
      <c r="R116" s="5">
        <v>221.30799999999999</v>
      </c>
      <c r="S116" s="45">
        <v>43</v>
      </c>
      <c r="T116" s="45">
        <v>1.12E-2</v>
      </c>
      <c r="U116" s="45">
        <v>1.7699999999999999E-4</v>
      </c>
      <c r="V116" s="45">
        <v>-1.18E-7</v>
      </c>
      <c r="W116" s="45" t="str">
        <f t="shared" si="3"/>
        <v>CH2=C=CH</v>
      </c>
      <c r="X116" s="5">
        <v>-0.28039999999999998</v>
      </c>
      <c r="Y116" s="5">
        <v>0</v>
      </c>
      <c r="Z116" s="5">
        <v>-1.9167000000000001</v>
      </c>
      <c r="AA116" s="38">
        <v>3</v>
      </c>
      <c r="AB116" s="37">
        <v>3</v>
      </c>
    </row>
    <row r="117" spans="1:116">
      <c r="A117" t="s">
        <v>330</v>
      </c>
      <c r="B117" t="s">
        <v>329</v>
      </c>
      <c r="C117" s="5">
        <v>64.061800000000005</v>
      </c>
      <c r="D117" s="5">
        <v>0.22500000000000001</v>
      </c>
      <c r="E117" s="5">
        <v>0.5</v>
      </c>
      <c r="F117" s="5">
        <f>I117</f>
        <v>29</v>
      </c>
      <c r="G117" s="5">
        <v>960.44999999999993</v>
      </c>
      <c r="H117" t="s">
        <v>330</v>
      </c>
      <c r="I117" s="5">
        <v>29</v>
      </c>
      <c r="J117" s="5">
        <v>1084.2975000000001</v>
      </c>
      <c r="K117" s="5">
        <v>0.31</v>
      </c>
      <c r="L117" s="47">
        <v>1</v>
      </c>
      <c r="N117" s="3" t="s">
        <v>39</v>
      </c>
      <c r="O117" s="5">
        <v>1722</v>
      </c>
      <c r="P117" s="5">
        <v>35.799999999999997</v>
      </c>
      <c r="Q117" s="5" t="s">
        <v>39</v>
      </c>
      <c r="R117" s="5" t="s">
        <v>39</v>
      </c>
      <c r="S117" s="5" t="s">
        <v>39</v>
      </c>
      <c r="T117" s="5" t="s">
        <v>39</v>
      </c>
      <c r="U117" s="5" t="s">
        <v>39</v>
      </c>
      <c r="V117" s="5" t="s">
        <v>39</v>
      </c>
      <c r="W117" s="45" t="str">
        <f t="shared" si="3"/>
        <v>SO2</v>
      </c>
      <c r="X117" s="5">
        <v>1.5502</v>
      </c>
      <c r="Y117" s="5">
        <v>11.175800000000001</v>
      </c>
      <c r="Z117" s="5">
        <v>0.1055</v>
      </c>
      <c r="AA117" s="38">
        <v>0</v>
      </c>
      <c r="AB117" s="37">
        <v>0</v>
      </c>
      <c r="AC117" s="37">
        <v>2</v>
      </c>
      <c r="AG117" s="37">
        <v>1</v>
      </c>
    </row>
    <row r="118" spans="1:116">
      <c r="A118" s="52" t="s">
        <v>394</v>
      </c>
      <c r="B118">
        <v>111</v>
      </c>
      <c r="C118" s="5" t="s">
        <v>39</v>
      </c>
      <c r="D118" s="5" t="s">
        <v>39</v>
      </c>
      <c r="E118" s="5" t="s">
        <v>39</v>
      </c>
      <c r="F118" s="5" t="s">
        <v>39</v>
      </c>
      <c r="G118" s="5" t="s">
        <v>39</v>
      </c>
      <c r="H118" s="52" t="s">
        <v>394</v>
      </c>
      <c r="I118" s="5" t="s">
        <v>39</v>
      </c>
      <c r="J118" s="5" t="s">
        <v>39</v>
      </c>
      <c r="K118" s="5" t="s">
        <v>39</v>
      </c>
      <c r="L118" s="43" t="s">
        <v>39</v>
      </c>
      <c r="N118" s="3" t="s">
        <v>39</v>
      </c>
      <c r="O118" s="5" t="s">
        <v>39</v>
      </c>
      <c r="P118" s="5" t="s">
        <v>39</v>
      </c>
      <c r="Q118" s="5" t="s">
        <v>39</v>
      </c>
      <c r="R118" s="5" t="s">
        <v>39</v>
      </c>
      <c r="S118" s="5" t="s">
        <v>39</v>
      </c>
      <c r="T118" s="5" t="s">
        <v>39</v>
      </c>
      <c r="U118" s="5" t="s">
        <v>39</v>
      </c>
      <c r="V118" s="5" t="s">
        <v>39</v>
      </c>
      <c r="W118" s="45" t="str">
        <f t="shared" si="3"/>
        <v>&gt;C=O(other)</v>
      </c>
      <c r="X118" s="5">
        <v>-0.43430000000000002</v>
      </c>
      <c r="Y118" s="5">
        <v>0.79049999999999998</v>
      </c>
      <c r="Z118" s="5">
        <v>1.8147</v>
      </c>
      <c r="AA118" s="38"/>
    </row>
    <row r="119" spans="1:116">
      <c r="A119" t="s">
        <v>39</v>
      </c>
      <c r="B119">
        <v>112</v>
      </c>
      <c r="C119" s="5" t="s">
        <v>39</v>
      </c>
      <c r="D119" s="5" t="s">
        <v>39</v>
      </c>
      <c r="E119" s="5" t="s">
        <v>39</v>
      </c>
      <c r="F119" s="5" t="s">
        <v>39</v>
      </c>
      <c r="G119" s="5" t="s">
        <v>39</v>
      </c>
      <c r="H119" t="s">
        <v>39</v>
      </c>
      <c r="I119" s="5" t="s">
        <v>39</v>
      </c>
      <c r="J119" s="5" t="s">
        <v>39</v>
      </c>
      <c r="K119" s="5" t="s">
        <v>39</v>
      </c>
      <c r="L119" s="43" t="s">
        <v>39</v>
      </c>
      <c r="N119" s="3" t="s">
        <v>39</v>
      </c>
      <c r="O119" s="5" t="s">
        <v>39</v>
      </c>
      <c r="P119" s="5" t="s">
        <v>39</v>
      </c>
      <c r="Q119" s="5" t="s">
        <v>39</v>
      </c>
      <c r="R119" s="5" t="s">
        <v>39</v>
      </c>
      <c r="S119" s="5" t="s">
        <v>39</v>
      </c>
      <c r="T119" s="5" t="s">
        <v>39</v>
      </c>
      <c r="U119" s="5" t="s">
        <v>39</v>
      </c>
      <c r="V119" s="5" t="s">
        <v>39</v>
      </c>
      <c r="W119" s="45" t="str">
        <f t="shared" si="3"/>
        <v>NA</v>
      </c>
      <c r="AA119" s="38"/>
    </row>
    <row r="120" spans="1:116">
      <c r="A120" t="s">
        <v>39</v>
      </c>
      <c r="B120">
        <v>113</v>
      </c>
      <c r="C120" s="5" t="s">
        <v>39</v>
      </c>
      <c r="D120" s="5" t="s">
        <v>39</v>
      </c>
      <c r="E120" s="5" t="s">
        <v>39</v>
      </c>
      <c r="F120" s="5" t="s">
        <v>39</v>
      </c>
      <c r="G120" s="5" t="s">
        <v>39</v>
      </c>
      <c r="H120" t="s">
        <v>39</v>
      </c>
      <c r="I120" s="5" t="s">
        <v>39</v>
      </c>
      <c r="J120" s="5" t="s">
        <v>39</v>
      </c>
      <c r="K120" s="5" t="s">
        <v>39</v>
      </c>
      <c r="L120" s="43" t="s">
        <v>39</v>
      </c>
      <c r="N120" s="3" t="s">
        <v>39</v>
      </c>
      <c r="O120" s="5" t="s">
        <v>39</v>
      </c>
      <c r="P120" s="5" t="s">
        <v>39</v>
      </c>
      <c r="Q120" s="5" t="s">
        <v>39</v>
      </c>
      <c r="R120" s="5" t="s">
        <v>39</v>
      </c>
      <c r="S120" s="5" t="s">
        <v>39</v>
      </c>
      <c r="T120" s="5" t="s">
        <v>39</v>
      </c>
      <c r="U120" s="5" t="s">
        <v>39</v>
      </c>
      <c r="V120" s="5" t="s">
        <v>39</v>
      </c>
      <c r="W120" s="45" t="str">
        <f t="shared" si="3"/>
        <v>NA</v>
      </c>
      <c r="AA120" s="38"/>
    </row>
    <row r="121" spans="1:116">
      <c r="A121" t="s">
        <v>39</v>
      </c>
      <c r="B121">
        <v>114</v>
      </c>
      <c r="C121" s="5" t="s">
        <v>39</v>
      </c>
      <c r="D121" s="5" t="s">
        <v>39</v>
      </c>
      <c r="E121" s="5" t="s">
        <v>39</v>
      </c>
      <c r="F121" s="5" t="s">
        <v>39</v>
      </c>
      <c r="G121" s="5" t="s">
        <v>39</v>
      </c>
      <c r="H121" t="s">
        <v>39</v>
      </c>
      <c r="I121" s="5" t="s">
        <v>39</v>
      </c>
      <c r="J121" s="5" t="s">
        <v>39</v>
      </c>
      <c r="K121" s="5" t="s">
        <v>39</v>
      </c>
      <c r="L121" s="43" t="s">
        <v>39</v>
      </c>
      <c r="N121" s="3" t="s">
        <v>39</v>
      </c>
      <c r="O121" s="5" t="s">
        <v>39</v>
      </c>
      <c r="P121" s="5" t="s">
        <v>39</v>
      </c>
      <c r="Q121" s="5" t="s">
        <v>39</v>
      </c>
      <c r="R121" s="5" t="s">
        <v>39</v>
      </c>
      <c r="S121" s="5" t="s">
        <v>39</v>
      </c>
      <c r="T121" s="5" t="s">
        <v>39</v>
      </c>
      <c r="U121" s="5" t="s">
        <v>39</v>
      </c>
      <c r="V121" s="5" t="s">
        <v>39</v>
      </c>
      <c r="W121" s="45" t="str">
        <f t="shared" si="3"/>
        <v>NA</v>
      </c>
      <c r="AA121" s="38"/>
    </row>
    <row r="122" spans="1:116">
      <c r="A122" t="s">
        <v>39</v>
      </c>
      <c r="B122">
        <v>115</v>
      </c>
      <c r="C122" s="5" t="s">
        <v>39</v>
      </c>
      <c r="D122" s="5" t="s">
        <v>39</v>
      </c>
      <c r="E122" s="5" t="s">
        <v>39</v>
      </c>
      <c r="F122" s="5" t="s">
        <v>39</v>
      </c>
      <c r="G122" s="5" t="s">
        <v>39</v>
      </c>
      <c r="H122" t="s">
        <v>39</v>
      </c>
      <c r="I122" s="5" t="s">
        <v>39</v>
      </c>
      <c r="J122" s="5" t="s">
        <v>39</v>
      </c>
      <c r="K122" s="5" t="s">
        <v>39</v>
      </c>
      <c r="L122" s="43" t="s">
        <v>39</v>
      </c>
      <c r="N122" s="3" t="s">
        <v>39</v>
      </c>
      <c r="O122" s="5" t="s">
        <v>39</v>
      </c>
      <c r="P122" s="5" t="s">
        <v>39</v>
      </c>
      <c r="Q122" s="5" t="s">
        <v>39</v>
      </c>
      <c r="R122" s="5" t="s">
        <v>39</v>
      </c>
      <c r="S122" s="5" t="s">
        <v>39</v>
      </c>
      <c r="T122" s="5" t="s">
        <v>39</v>
      </c>
      <c r="U122" s="5" t="s">
        <v>39</v>
      </c>
      <c r="V122" s="5" t="s">
        <v>39</v>
      </c>
      <c r="W122" s="45" t="str">
        <f t="shared" si="3"/>
        <v>NA</v>
      </c>
      <c r="AA122" s="38"/>
    </row>
    <row r="123" spans="1:116">
      <c r="A123" t="s">
        <v>39</v>
      </c>
      <c r="B123">
        <v>116</v>
      </c>
      <c r="C123" s="5" t="s">
        <v>39</v>
      </c>
      <c r="D123" s="5" t="s">
        <v>39</v>
      </c>
      <c r="E123" s="5" t="s">
        <v>39</v>
      </c>
      <c r="F123" s="5" t="s">
        <v>39</v>
      </c>
      <c r="G123" s="5" t="s">
        <v>39</v>
      </c>
      <c r="H123" t="s">
        <v>39</v>
      </c>
      <c r="I123" s="5" t="s">
        <v>39</v>
      </c>
      <c r="J123" s="5" t="s">
        <v>39</v>
      </c>
      <c r="K123" s="5" t="s">
        <v>39</v>
      </c>
      <c r="L123" s="43" t="s">
        <v>39</v>
      </c>
      <c r="N123" s="3" t="s">
        <v>39</v>
      </c>
      <c r="O123" s="5" t="s">
        <v>39</v>
      </c>
      <c r="P123" s="5" t="s">
        <v>39</v>
      </c>
      <c r="Q123" s="5" t="s">
        <v>39</v>
      </c>
      <c r="R123" s="5" t="s">
        <v>39</v>
      </c>
      <c r="S123" s="5" t="s">
        <v>39</v>
      </c>
      <c r="T123" s="5" t="s">
        <v>39</v>
      </c>
      <c r="U123" s="5" t="s">
        <v>39</v>
      </c>
      <c r="V123" s="5" t="s">
        <v>39</v>
      </c>
      <c r="W123" s="45" t="str">
        <f t="shared" si="3"/>
        <v>NA</v>
      </c>
      <c r="AA123" s="38"/>
    </row>
    <row r="124" spans="1:116">
      <c r="A124" t="s">
        <v>39</v>
      </c>
      <c r="B124">
        <v>117</v>
      </c>
      <c r="C124" s="5" t="s">
        <v>39</v>
      </c>
      <c r="D124" s="5" t="s">
        <v>39</v>
      </c>
      <c r="E124" s="5" t="s">
        <v>39</v>
      </c>
      <c r="F124" s="5" t="s">
        <v>39</v>
      </c>
      <c r="G124" s="5" t="s">
        <v>39</v>
      </c>
      <c r="H124" t="s">
        <v>39</v>
      </c>
      <c r="I124" s="5" t="s">
        <v>39</v>
      </c>
      <c r="J124" s="5" t="s">
        <v>39</v>
      </c>
      <c r="K124" s="5" t="s">
        <v>39</v>
      </c>
      <c r="L124" s="43" t="s">
        <v>39</v>
      </c>
      <c r="N124" s="3" t="s">
        <v>39</v>
      </c>
      <c r="O124" s="5" t="s">
        <v>39</v>
      </c>
      <c r="P124" s="5" t="s">
        <v>39</v>
      </c>
      <c r="Q124" s="5" t="s">
        <v>39</v>
      </c>
      <c r="R124" s="5" t="s">
        <v>39</v>
      </c>
      <c r="S124" s="5" t="s">
        <v>39</v>
      </c>
      <c r="T124" s="5" t="s">
        <v>39</v>
      </c>
      <c r="U124" s="5" t="s">
        <v>39</v>
      </c>
      <c r="V124" s="5" t="s">
        <v>39</v>
      </c>
      <c r="W124" s="45" t="str">
        <f t="shared" si="3"/>
        <v>NA</v>
      </c>
      <c r="AA124" s="38"/>
    </row>
    <row r="125" spans="1:116">
      <c r="A125" t="s">
        <v>39</v>
      </c>
      <c r="B125">
        <v>118</v>
      </c>
      <c r="C125" s="5" t="s">
        <v>39</v>
      </c>
      <c r="D125" s="5" t="s">
        <v>39</v>
      </c>
      <c r="E125" s="5" t="s">
        <v>39</v>
      </c>
      <c r="F125" s="5" t="s">
        <v>39</v>
      </c>
      <c r="G125" s="5" t="s">
        <v>39</v>
      </c>
      <c r="H125" t="s">
        <v>39</v>
      </c>
      <c r="I125" s="5" t="s">
        <v>39</v>
      </c>
      <c r="J125" s="5" t="s">
        <v>39</v>
      </c>
      <c r="K125" s="5" t="s">
        <v>39</v>
      </c>
      <c r="L125" s="43" t="s">
        <v>39</v>
      </c>
      <c r="N125" s="3" t="s">
        <v>39</v>
      </c>
      <c r="O125" s="5" t="s">
        <v>39</v>
      </c>
      <c r="P125" s="5" t="s">
        <v>39</v>
      </c>
      <c r="Q125" s="5" t="s">
        <v>39</v>
      </c>
      <c r="R125" s="5" t="s">
        <v>39</v>
      </c>
      <c r="S125" s="5" t="s">
        <v>39</v>
      </c>
      <c r="T125" s="5" t="s">
        <v>39</v>
      </c>
      <c r="U125" s="5" t="s">
        <v>39</v>
      </c>
      <c r="V125" s="5" t="s">
        <v>39</v>
      </c>
      <c r="W125" s="45" t="str">
        <f t="shared" si="3"/>
        <v>NA</v>
      </c>
      <c r="AA125" s="38"/>
    </row>
    <row r="126" spans="1:116">
      <c r="A126" t="s">
        <v>39</v>
      </c>
      <c r="B126">
        <v>119</v>
      </c>
      <c r="C126" s="5" t="s">
        <v>39</v>
      </c>
      <c r="D126" s="5" t="s">
        <v>39</v>
      </c>
      <c r="E126" s="5" t="s">
        <v>39</v>
      </c>
      <c r="F126" s="5" t="s">
        <v>39</v>
      </c>
      <c r="G126" s="5" t="s">
        <v>39</v>
      </c>
      <c r="H126" t="s">
        <v>39</v>
      </c>
      <c r="I126" s="5" t="s">
        <v>39</v>
      </c>
      <c r="J126" s="5" t="s">
        <v>39</v>
      </c>
      <c r="K126" s="5" t="s">
        <v>39</v>
      </c>
      <c r="L126" s="43" t="s">
        <v>39</v>
      </c>
      <c r="N126" s="3" t="s">
        <v>39</v>
      </c>
      <c r="O126" s="5" t="s">
        <v>39</v>
      </c>
      <c r="P126" s="5" t="s">
        <v>39</v>
      </c>
      <c r="Q126" s="5" t="s">
        <v>39</v>
      </c>
      <c r="R126" s="5" t="s">
        <v>39</v>
      </c>
      <c r="S126" s="5" t="s">
        <v>39</v>
      </c>
      <c r="T126" s="5" t="s">
        <v>39</v>
      </c>
      <c r="U126" s="5" t="s">
        <v>39</v>
      </c>
      <c r="V126" s="5" t="s">
        <v>39</v>
      </c>
      <c r="W126" s="45" t="str">
        <f t="shared" si="3"/>
        <v>NA</v>
      </c>
      <c r="AA126" s="38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>
      <c r="A127" t="s">
        <v>39</v>
      </c>
      <c r="B127">
        <v>120</v>
      </c>
      <c r="C127" s="5" t="s">
        <v>39</v>
      </c>
      <c r="D127" s="5" t="s">
        <v>39</v>
      </c>
      <c r="E127" s="5" t="s">
        <v>39</v>
      </c>
      <c r="F127" s="5" t="s">
        <v>39</v>
      </c>
      <c r="G127" s="5" t="s">
        <v>39</v>
      </c>
      <c r="H127" t="s">
        <v>39</v>
      </c>
      <c r="I127" s="5" t="s">
        <v>39</v>
      </c>
      <c r="J127" s="5" t="s">
        <v>39</v>
      </c>
      <c r="K127" s="5" t="s">
        <v>39</v>
      </c>
      <c r="L127" s="43" t="s">
        <v>39</v>
      </c>
      <c r="N127" s="3" t="s">
        <v>39</v>
      </c>
      <c r="O127" s="5" t="s">
        <v>39</v>
      </c>
      <c r="P127" s="5" t="s">
        <v>39</v>
      </c>
      <c r="Q127" s="5" t="s">
        <v>39</v>
      </c>
      <c r="R127" s="5" t="s">
        <v>39</v>
      </c>
      <c r="S127" s="5" t="s">
        <v>39</v>
      </c>
      <c r="T127" s="5" t="s">
        <v>39</v>
      </c>
      <c r="U127" s="5" t="s">
        <v>39</v>
      </c>
      <c r="V127" s="5" t="s">
        <v>39</v>
      </c>
      <c r="W127" s="45" t="str">
        <f t="shared" si="3"/>
        <v>NA</v>
      </c>
      <c r="AA127" s="38"/>
    </row>
    <row r="128" spans="1:116">
      <c r="A128" t="s">
        <v>39</v>
      </c>
      <c r="B128">
        <v>121</v>
      </c>
      <c r="C128" s="5" t="s">
        <v>39</v>
      </c>
      <c r="D128" s="5" t="s">
        <v>39</v>
      </c>
      <c r="E128" s="5" t="s">
        <v>39</v>
      </c>
      <c r="F128" s="5" t="s">
        <v>39</v>
      </c>
      <c r="G128" s="5" t="s">
        <v>39</v>
      </c>
      <c r="H128" t="s">
        <v>39</v>
      </c>
      <c r="I128" s="5" t="s">
        <v>39</v>
      </c>
      <c r="J128" s="5" t="s">
        <v>39</v>
      </c>
      <c r="K128" s="5" t="s">
        <v>39</v>
      </c>
      <c r="L128" s="43" t="s">
        <v>39</v>
      </c>
      <c r="N128" s="3" t="s">
        <v>39</v>
      </c>
      <c r="O128" s="5" t="s">
        <v>39</v>
      </c>
      <c r="P128" s="5" t="s">
        <v>39</v>
      </c>
      <c r="Q128" s="5" t="s">
        <v>39</v>
      </c>
      <c r="R128" s="5" t="s">
        <v>39</v>
      </c>
      <c r="S128" s="5" t="s">
        <v>39</v>
      </c>
      <c r="T128" s="5" t="s">
        <v>39</v>
      </c>
      <c r="U128" s="5" t="s">
        <v>39</v>
      </c>
      <c r="V128" s="5" t="s">
        <v>39</v>
      </c>
      <c r="W128" s="45" t="str">
        <f t="shared" si="3"/>
        <v>NA</v>
      </c>
      <c r="AA128" s="38"/>
    </row>
    <row r="129" spans="1:129">
      <c r="A129" t="s">
        <v>39</v>
      </c>
      <c r="B129">
        <v>122</v>
      </c>
      <c r="C129" s="5" t="s">
        <v>39</v>
      </c>
      <c r="D129" s="5" t="s">
        <v>39</v>
      </c>
      <c r="E129" s="5" t="s">
        <v>39</v>
      </c>
      <c r="F129" s="5" t="s">
        <v>39</v>
      </c>
      <c r="G129" s="5" t="s">
        <v>39</v>
      </c>
      <c r="H129" t="s">
        <v>39</v>
      </c>
      <c r="I129" s="5" t="s">
        <v>39</v>
      </c>
      <c r="J129" s="5" t="s">
        <v>39</v>
      </c>
      <c r="K129" s="5" t="s">
        <v>39</v>
      </c>
      <c r="L129" s="43" t="s">
        <v>39</v>
      </c>
      <c r="N129" s="3" t="s">
        <v>39</v>
      </c>
      <c r="O129" s="5" t="s">
        <v>39</v>
      </c>
      <c r="P129" s="5" t="s">
        <v>39</v>
      </c>
      <c r="Q129" s="5" t="s">
        <v>39</v>
      </c>
      <c r="R129" s="5" t="s">
        <v>39</v>
      </c>
      <c r="S129" s="5" t="s">
        <v>39</v>
      </c>
      <c r="T129" s="5" t="s">
        <v>39</v>
      </c>
      <c r="U129" s="5" t="s">
        <v>39</v>
      </c>
      <c r="V129" s="5" t="s">
        <v>39</v>
      </c>
      <c r="W129" s="45" t="str">
        <f t="shared" si="3"/>
        <v>NA</v>
      </c>
      <c r="AA129" s="38"/>
    </row>
    <row r="130" spans="1:129">
      <c r="A130" t="s">
        <v>39</v>
      </c>
      <c r="B130">
        <v>123</v>
      </c>
      <c r="C130" s="5" t="s">
        <v>39</v>
      </c>
      <c r="D130" s="5" t="s">
        <v>39</v>
      </c>
      <c r="E130" s="5" t="s">
        <v>39</v>
      </c>
      <c r="F130" s="5" t="s">
        <v>39</v>
      </c>
      <c r="G130" s="5" t="s">
        <v>39</v>
      </c>
      <c r="H130" t="s">
        <v>39</v>
      </c>
      <c r="I130" s="5" t="s">
        <v>39</v>
      </c>
      <c r="J130" s="5" t="s">
        <v>39</v>
      </c>
      <c r="K130" s="5" t="s">
        <v>39</v>
      </c>
      <c r="L130" s="43" t="s">
        <v>39</v>
      </c>
      <c r="N130" s="3" t="s">
        <v>39</v>
      </c>
      <c r="O130" s="5" t="s">
        <v>39</v>
      </c>
      <c r="P130" s="5" t="s">
        <v>39</v>
      </c>
      <c r="Q130" s="5" t="s">
        <v>39</v>
      </c>
      <c r="R130" s="5" t="s">
        <v>39</v>
      </c>
      <c r="S130" s="5" t="s">
        <v>39</v>
      </c>
      <c r="T130" s="5" t="s">
        <v>39</v>
      </c>
      <c r="U130" s="5" t="s">
        <v>39</v>
      </c>
      <c r="V130" s="5" t="s">
        <v>39</v>
      </c>
      <c r="W130" s="45" t="str">
        <f t="shared" si="3"/>
        <v>NA</v>
      </c>
      <c r="AA130" s="38"/>
    </row>
    <row r="131" spans="1:129">
      <c r="A131" t="s">
        <v>39</v>
      </c>
      <c r="B131">
        <v>124</v>
      </c>
      <c r="C131" s="5" t="s">
        <v>39</v>
      </c>
      <c r="D131" s="5" t="s">
        <v>39</v>
      </c>
      <c r="E131" s="5" t="s">
        <v>39</v>
      </c>
      <c r="F131" s="5" t="s">
        <v>39</v>
      </c>
      <c r="G131" s="5" t="s">
        <v>39</v>
      </c>
      <c r="H131" t="s">
        <v>39</v>
      </c>
      <c r="I131" s="5" t="s">
        <v>39</v>
      </c>
      <c r="J131" s="5" t="s">
        <v>39</v>
      </c>
      <c r="K131" s="5" t="s">
        <v>39</v>
      </c>
      <c r="L131" s="43" t="s">
        <v>39</v>
      </c>
      <c r="N131" s="3" t="s">
        <v>39</v>
      </c>
      <c r="O131" s="5" t="s">
        <v>39</v>
      </c>
      <c r="P131" s="5" t="s">
        <v>39</v>
      </c>
      <c r="Q131" s="5" t="s">
        <v>39</v>
      </c>
      <c r="R131" s="5" t="s">
        <v>39</v>
      </c>
      <c r="S131" s="5" t="s">
        <v>39</v>
      </c>
      <c r="T131" s="5" t="s">
        <v>39</v>
      </c>
      <c r="U131" s="5" t="s">
        <v>39</v>
      </c>
      <c r="V131" s="5" t="s">
        <v>39</v>
      </c>
      <c r="W131" s="45" t="str">
        <f t="shared" si="3"/>
        <v>NA</v>
      </c>
      <c r="AA131" s="38"/>
    </row>
    <row r="132" spans="1:129">
      <c r="A132" t="s">
        <v>39</v>
      </c>
      <c r="B132">
        <v>125</v>
      </c>
      <c r="C132" s="5" t="s">
        <v>39</v>
      </c>
      <c r="D132" s="5" t="s">
        <v>39</v>
      </c>
      <c r="E132" s="5" t="s">
        <v>39</v>
      </c>
      <c r="F132" s="5" t="s">
        <v>39</v>
      </c>
      <c r="G132" s="5" t="s">
        <v>39</v>
      </c>
      <c r="H132" t="s">
        <v>39</v>
      </c>
      <c r="I132" s="5" t="s">
        <v>39</v>
      </c>
      <c r="J132" s="5" t="s">
        <v>39</v>
      </c>
      <c r="K132" s="5" t="s">
        <v>39</v>
      </c>
      <c r="L132" s="43" t="s">
        <v>39</v>
      </c>
      <c r="N132" s="3" t="s">
        <v>39</v>
      </c>
      <c r="O132" s="5" t="s">
        <v>39</v>
      </c>
      <c r="P132" s="5" t="s">
        <v>39</v>
      </c>
      <c r="Q132" s="5" t="s">
        <v>39</v>
      </c>
      <c r="R132" s="5" t="s">
        <v>39</v>
      </c>
      <c r="S132" s="5" t="s">
        <v>39</v>
      </c>
      <c r="T132" s="5" t="s">
        <v>39</v>
      </c>
      <c r="U132" s="5" t="s">
        <v>39</v>
      </c>
      <c r="V132" s="5" t="s">
        <v>39</v>
      </c>
      <c r="W132" s="45" t="str">
        <f t="shared" si="3"/>
        <v>NA</v>
      </c>
      <c r="AA132" s="38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</row>
    <row r="133" spans="1:129">
      <c r="A133" t="s">
        <v>39</v>
      </c>
      <c r="B133">
        <v>126</v>
      </c>
      <c r="C133" s="5" t="s">
        <v>39</v>
      </c>
      <c r="D133" s="5" t="s">
        <v>39</v>
      </c>
      <c r="E133" s="5" t="s">
        <v>39</v>
      </c>
      <c r="F133" s="5" t="s">
        <v>39</v>
      </c>
      <c r="G133" s="5" t="s">
        <v>39</v>
      </c>
      <c r="H133" t="s">
        <v>39</v>
      </c>
      <c r="I133" s="5" t="s">
        <v>39</v>
      </c>
      <c r="J133" s="5" t="s">
        <v>39</v>
      </c>
      <c r="K133" s="5" t="s">
        <v>39</v>
      </c>
      <c r="L133" s="43" t="s">
        <v>39</v>
      </c>
      <c r="N133" s="3" t="s">
        <v>39</v>
      </c>
      <c r="O133" s="5" t="s">
        <v>39</v>
      </c>
      <c r="P133" s="5" t="s">
        <v>39</v>
      </c>
      <c r="Q133" s="5" t="s">
        <v>39</v>
      </c>
      <c r="R133" s="5" t="s">
        <v>39</v>
      </c>
      <c r="S133" s="5" t="s">
        <v>39</v>
      </c>
      <c r="T133" s="5" t="s">
        <v>39</v>
      </c>
      <c r="U133" s="5" t="s">
        <v>39</v>
      </c>
      <c r="V133" s="5" t="s">
        <v>39</v>
      </c>
      <c r="W133" s="45" t="str">
        <f t="shared" si="3"/>
        <v>NA</v>
      </c>
      <c r="AA133" s="38"/>
    </row>
    <row r="134" spans="1:129">
      <c r="A134" t="s">
        <v>39</v>
      </c>
      <c r="B134">
        <v>127</v>
      </c>
      <c r="C134" s="5" t="s">
        <v>39</v>
      </c>
      <c r="D134" s="5" t="s">
        <v>39</v>
      </c>
      <c r="E134" s="5" t="s">
        <v>39</v>
      </c>
      <c r="F134" s="5" t="s">
        <v>39</v>
      </c>
      <c r="G134" s="5" t="s">
        <v>39</v>
      </c>
      <c r="H134" t="s">
        <v>39</v>
      </c>
      <c r="I134" s="5" t="s">
        <v>39</v>
      </c>
      <c r="J134" s="5" t="s">
        <v>39</v>
      </c>
      <c r="K134" s="5" t="s">
        <v>39</v>
      </c>
      <c r="L134" s="43" t="s">
        <v>39</v>
      </c>
      <c r="N134" s="3" t="s">
        <v>39</v>
      </c>
      <c r="O134" s="5" t="s">
        <v>39</v>
      </c>
      <c r="P134" s="5" t="s">
        <v>39</v>
      </c>
      <c r="Q134" s="5" t="s">
        <v>39</v>
      </c>
      <c r="R134" s="5" t="s">
        <v>39</v>
      </c>
      <c r="S134" s="5" t="s">
        <v>39</v>
      </c>
      <c r="T134" s="5" t="s">
        <v>39</v>
      </c>
      <c r="U134" s="5" t="s">
        <v>39</v>
      </c>
      <c r="V134" s="5" t="s">
        <v>39</v>
      </c>
      <c r="W134" s="45" t="str">
        <f t="shared" si="3"/>
        <v>NA</v>
      </c>
      <c r="AA134" s="38"/>
    </row>
    <row r="135" spans="1:129">
      <c r="L135" s="43" t="s">
        <v>39</v>
      </c>
      <c r="N135" s="3" t="s">
        <v>39</v>
      </c>
      <c r="W135" s="45">
        <f t="shared" si="3"/>
        <v>0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Intro ESD</vt:lpstr>
      <vt:lpstr>Examples</vt:lpstr>
      <vt:lpstr>GroupC ESD</vt:lpstr>
      <vt:lpstr>GivenPsat ESD</vt:lpstr>
      <vt:lpstr>GivenTcPcAcen ESD</vt:lpstr>
      <vt:lpstr>PvsEta</vt:lpstr>
      <vt:lpstr>ParmsEsd</vt:lpstr>
      <vt:lpstr>ParmsCrit</vt:lpstr>
      <vt:lpstr>Regcf</vt:lpstr>
      <vt:lpstr>RegcfMod</vt:lpstr>
      <vt:lpstr>Emami09</vt:lpstr>
      <vt:lpstr>HBgc's</vt:lpstr>
      <vt:lpstr>'GivenTcPcAcen ESD'!a</vt:lpstr>
      <vt:lpstr>'GivenTcPcAcen ESD'!b</vt:lpstr>
      <vt:lpstr>'GivenTcPcAcen ESD'!k_1</vt:lpstr>
      <vt:lpstr>'GivenTcPcAcen ESD'!Pc</vt:lpstr>
      <vt:lpstr>'GivenTcPcAcen ESD'!qShape</vt:lpstr>
      <vt:lpstr>'GivenTcPcAcen ESD'!Tc</vt:lpstr>
      <vt:lpstr>'GivenTcPcAcen ESD'!Zc</vt:lpstr>
    </vt:vector>
  </TitlesOfParts>
  <Company>Dept of Chemical Engg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</dc:creator>
  <cp:lastModifiedBy>Jarrell Elliott</cp:lastModifiedBy>
  <dcterms:created xsi:type="dcterms:W3CDTF">1999-03-02T01:48:29Z</dcterms:created>
  <dcterms:modified xsi:type="dcterms:W3CDTF">2024-03-05T13:05:15Z</dcterms:modified>
</cp:coreProperties>
</file>