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defaultThemeVersion="124226"/>
  <xr:revisionPtr revIDLastSave="0" documentId="13_ncr:1_{C0B9A4E7-1D95-4CEC-A1D5-6922E555351B}" xr6:coauthVersionLast="47" xr6:coauthVersionMax="47" xr10:uidLastSave="{00000000-0000-0000-0000-000000000000}"/>
  <bookViews>
    <workbookView xWindow="-120" yWindow="-120" windowWidth="20730" windowHeight="11160" firstSheet="1" activeTab="2" xr2:uid="{00000000-000D-0000-FFFF-FFFF00000000}"/>
  </bookViews>
  <sheets>
    <sheet name="صفحه امضا" sheetId="7" r:id="rId1"/>
    <sheet name="راهنما" sheetId="6" r:id="rId2"/>
    <sheet name="Info" sheetId="8" r:id="rId3"/>
    <sheet name="جدول نمونه" sheetId="2" r:id="rId4"/>
    <sheet name="Rates2" sheetId="9" state="hidden" r:id="rId5"/>
    <sheet name="جدول نمونه2" sheetId="11" state="hidden" r:id="rId6"/>
    <sheet name="یکجا" sheetId="4" state="hidden" r:id="rId7"/>
    <sheet name="MIDAS" sheetId="5" state="hidden" r:id="rId8"/>
    <sheet name="Rates" sheetId="3" state="hidden" r:id="rId9"/>
  </sheets>
  <definedNames>
    <definedName name="_xlnm.Print_Area" localSheetId="2">Info!$B$62:$K$88</definedName>
    <definedName name="_xlnm.Print_Area" localSheetId="3">'جدول نمونه'!$A$1:$AJ$10</definedName>
    <definedName name="پرريسک">#REF!</definedName>
    <definedName name="رشد">#REF!</definedName>
    <definedName name="رشد1">#REF!</definedName>
    <definedName name="کم_ريسک">#REF!</definedName>
    <definedName name="متوسط_ريسک">#REF!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4" i="8" l="1"/>
  <c r="L62" i="8"/>
  <c r="AE2" i="2"/>
  <c r="I26" i="8"/>
  <c r="W3" i="2"/>
  <c r="L47" i="8"/>
  <c r="C2" i="2"/>
  <c r="AA3" i="2"/>
  <c r="AB2" i="2"/>
  <c r="L36" i="8"/>
  <c r="L32" i="8"/>
  <c r="L30" i="8"/>
  <c r="AD3" i="2"/>
  <c r="AF3" i="2"/>
  <c r="AG3" i="2"/>
  <c r="AJ4" i="2"/>
  <c r="AH4" i="2"/>
  <c r="S4" i="2"/>
  <c r="L44" i="8"/>
  <c r="AI4" i="2"/>
  <c r="AC3" i="11"/>
  <c r="Z2" i="11"/>
  <c r="AA2" i="11"/>
  <c r="B28" i="9"/>
  <c r="B27" i="9"/>
  <c r="W9" i="9"/>
  <c r="E2" i="9"/>
  <c r="L83" i="8"/>
  <c r="L80" i="8"/>
  <c r="L77" i="8"/>
  <c r="L75" i="8"/>
  <c r="L73" i="8"/>
  <c r="L71" i="8"/>
  <c r="AJ5" i="2"/>
  <c r="B4" i="2"/>
  <c r="AG4" i="2"/>
  <c r="AB3" i="11"/>
  <c r="M3" i="11"/>
  <c r="L3" i="11"/>
  <c r="K3" i="11"/>
  <c r="AD4" i="2"/>
  <c r="U4" i="2"/>
  <c r="Z3" i="11"/>
  <c r="R3" i="11"/>
  <c r="AI5" i="2"/>
  <c r="AG5" i="2"/>
  <c r="O5" i="2"/>
  <c r="P4" i="2"/>
  <c r="AH5" i="2"/>
  <c r="S5" i="2"/>
  <c r="AA4" i="2"/>
  <c r="AA5" i="2" s="1"/>
  <c r="AC4" i="2"/>
  <c r="Z4" i="2"/>
  <c r="V4" i="2"/>
  <c r="AB4" i="2"/>
  <c r="T4" i="2"/>
  <c r="B5" i="2"/>
  <c r="AC4" i="11"/>
  <c r="AB4" i="11"/>
  <c r="Y3" i="11"/>
  <c r="T3" i="11"/>
  <c r="X3" i="11"/>
  <c r="O3" i="11"/>
  <c r="AJ6" i="2"/>
  <c r="O6" i="2"/>
  <c r="AD5" i="2"/>
  <c r="U5" i="2"/>
  <c r="AC5" i="2"/>
  <c r="Z5" i="2"/>
  <c r="V5" i="2"/>
  <c r="AB5" i="2"/>
  <c r="T5" i="2"/>
  <c r="Z4" i="11"/>
  <c r="R4" i="11"/>
  <c r="AC5" i="11"/>
  <c r="M4" i="11"/>
  <c r="L4" i="11"/>
  <c r="K4" i="11"/>
  <c r="P3" i="11"/>
  <c r="AH6" i="2"/>
  <c r="S6" i="2"/>
  <c r="AI6" i="2"/>
  <c r="AG6" i="2"/>
  <c r="P5" i="2"/>
  <c r="Y4" i="11"/>
  <c r="T4" i="11"/>
  <c r="P4" i="11"/>
  <c r="X4" i="11"/>
  <c r="O4" i="11"/>
  <c r="AB5" i="11"/>
  <c r="V3" i="11"/>
  <c r="U3" i="11"/>
  <c r="AD6" i="2"/>
  <c r="AC6" i="2"/>
  <c r="Z6" i="2"/>
  <c r="V6" i="2"/>
  <c r="B6" i="2"/>
  <c r="AJ7" i="2"/>
  <c r="U6" i="2"/>
  <c r="AB6" i="2"/>
  <c r="T6" i="2"/>
  <c r="AH7" i="2"/>
  <c r="S7" i="2"/>
  <c r="P6" i="2"/>
  <c r="Q3" i="11"/>
  <c r="S3" i="11"/>
  <c r="I3" i="11"/>
  <c r="H3" i="11"/>
  <c r="AC6" i="11"/>
  <c r="Z5" i="11"/>
  <c r="R5" i="11"/>
  <c r="J3" i="11"/>
  <c r="M5" i="11"/>
  <c r="L5" i="11"/>
  <c r="K5" i="11"/>
  <c r="O7" i="2"/>
  <c r="AI7" i="2"/>
  <c r="N3" i="11"/>
  <c r="X5" i="11"/>
  <c r="O5" i="11"/>
  <c r="Y5" i="11"/>
  <c r="T5" i="11"/>
  <c r="AB6" i="11"/>
  <c r="V4" i="11"/>
  <c r="U4" i="11"/>
  <c r="G3" i="11"/>
  <c r="F3" i="11"/>
  <c r="E3" i="11"/>
  <c r="AJ8" i="2"/>
  <c r="B7" i="2"/>
  <c r="AD7" i="2"/>
  <c r="U7" i="2"/>
  <c r="AG7" i="2"/>
  <c r="AC7" i="2"/>
  <c r="Z7" i="2"/>
  <c r="V7" i="2"/>
  <c r="AB7" i="2"/>
  <c r="T7" i="2"/>
  <c r="Z6" i="11"/>
  <c r="R6" i="11"/>
  <c r="AC7" i="11"/>
  <c r="S4" i="11"/>
  <c r="Q4" i="11"/>
  <c r="H4" i="11"/>
  <c r="I4" i="11"/>
  <c r="J4" i="11"/>
  <c r="M6" i="11"/>
  <c r="L6" i="11"/>
  <c r="K6" i="11"/>
  <c r="P5" i="11"/>
  <c r="P7" i="2"/>
  <c r="O8" i="2"/>
  <c r="AI8" i="2"/>
  <c r="AH8" i="2"/>
  <c r="S8" i="2"/>
  <c r="N4" i="11"/>
  <c r="AB7" i="11"/>
  <c r="X6" i="11"/>
  <c r="O6" i="11"/>
  <c r="Y6" i="11"/>
  <c r="T6" i="11"/>
  <c r="V5" i="11"/>
  <c r="U5" i="11"/>
  <c r="I5" i="11"/>
  <c r="G4" i="11"/>
  <c r="F4" i="11"/>
  <c r="E4" i="11"/>
  <c r="AD8" i="2"/>
  <c r="AJ9" i="2"/>
  <c r="AG8" i="2"/>
  <c r="B8" i="2"/>
  <c r="S5" i="11"/>
  <c r="Q5" i="11"/>
  <c r="H5" i="11"/>
  <c r="G5" i="11"/>
  <c r="AC8" i="11"/>
  <c r="Z7" i="11"/>
  <c r="R7" i="11"/>
  <c r="J5" i="11"/>
  <c r="V6" i="11"/>
  <c r="U6" i="11"/>
  <c r="M7" i="11"/>
  <c r="L7" i="11"/>
  <c r="K7" i="11"/>
  <c r="P6" i="11"/>
  <c r="U8" i="2"/>
  <c r="AC8" i="2"/>
  <c r="Z8" i="2"/>
  <c r="V8" i="2"/>
  <c r="AB8" i="2"/>
  <c r="T8" i="2"/>
  <c r="P9" i="2"/>
  <c r="AI9" i="2"/>
  <c r="O9" i="2"/>
  <c r="AH9" i="2"/>
  <c r="S9" i="2"/>
  <c r="P8" i="2"/>
  <c r="N5" i="11"/>
  <c r="I6" i="11"/>
  <c r="H6" i="11"/>
  <c r="R8" i="11"/>
  <c r="AB8" i="11"/>
  <c r="X7" i="11"/>
  <c r="O7" i="11"/>
  <c r="Y7" i="11"/>
  <c r="T7" i="11"/>
  <c r="P7" i="11"/>
  <c r="S6" i="11"/>
  <c r="Q6" i="11"/>
  <c r="F5" i="11"/>
  <c r="E5" i="11"/>
  <c r="J6" i="11"/>
  <c r="AG9" i="2"/>
  <c r="AD9" i="2"/>
  <c r="B9" i="2"/>
  <c r="U9" i="2"/>
  <c r="AC9" i="2"/>
  <c r="Z9" i="2"/>
  <c r="V9" i="2"/>
  <c r="AB9" i="2"/>
  <c r="T9" i="2"/>
  <c r="AJ10" i="2"/>
  <c r="N6" i="11"/>
  <c r="AC9" i="11"/>
  <c r="Z8" i="11"/>
  <c r="Y8" i="11"/>
  <c r="T8" i="11"/>
  <c r="V7" i="11"/>
  <c r="U7" i="11"/>
  <c r="M8" i="11"/>
  <c r="L8" i="11"/>
  <c r="K8" i="11"/>
  <c r="G6" i="11"/>
  <c r="F6" i="11"/>
  <c r="E6" i="11"/>
  <c r="AH10" i="2"/>
  <c r="S10" i="2"/>
  <c r="O10" i="2"/>
  <c r="P10" i="2"/>
  <c r="AI10" i="2"/>
  <c r="X8" i="11"/>
  <c r="O8" i="11"/>
  <c r="Q7" i="11"/>
  <c r="S7" i="11"/>
  <c r="H7" i="11"/>
  <c r="AB9" i="11"/>
  <c r="R9" i="11"/>
  <c r="I7" i="11"/>
  <c r="P8" i="11"/>
  <c r="J7" i="11"/>
  <c r="AG10" i="2"/>
  <c r="AD10" i="2"/>
  <c r="B10" i="2"/>
  <c r="AJ11" i="2"/>
  <c r="U10" i="2"/>
  <c r="AC10" i="2"/>
  <c r="Z10" i="2"/>
  <c r="V10" i="2"/>
  <c r="AB10" i="2"/>
  <c r="T10" i="2"/>
  <c r="N7" i="11"/>
  <c r="G7" i="11"/>
  <c r="F7" i="11"/>
  <c r="E7" i="11"/>
  <c r="AC10" i="11"/>
  <c r="Z9" i="11"/>
  <c r="Y9" i="11"/>
  <c r="T9" i="11"/>
  <c r="V8" i="11"/>
  <c r="U8" i="11"/>
  <c r="H8" i="11"/>
  <c r="M9" i="11"/>
  <c r="L9" i="11"/>
  <c r="K9" i="11"/>
  <c r="P11" i="2"/>
  <c r="O11" i="2"/>
  <c r="AI11" i="2"/>
  <c r="AH11" i="2"/>
  <c r="S11" i="2"/>
  <c r="X9" i="11"/>
  <c r="O9" i="11"/>
  <c r="Q8" i="11"/>
  <c r="S8" i="11"/>
  <c r="I8" i="11"/>
  <c r="AB10" i="11"/>
  <c r="R10" i="11"/>
  <c r="P9" i="11"/>
  <c r="J8" i="11"/>
  <c r="B11" i="2"/>
  <c r="AG11" i="2"/>
  <c r="AD11" i="2"/>
  <c r="U11" i="2"/>
  <c r="AC11" i="2"/>
  <c r="Z11" i="2"/>
  <c r="V11" i="2"/>
  <c r="AB11" i="2"/>
  <c r="T11" i="2"/>
  <c r="AJ12" i="2"/>
  <c r="N8" i="11"/>
  <c r="AC11" i="11"/>
  <c r="Z10" i="11"/>
  <c r="Y10" i="11"/>
  <c r="T10" i="11"/>
  <c r="M10" i="11"/>
  <c r="L10" i="11"/>
  <c r="K10" i="11"/>
  <c r="G8" i="11"/>
  <c r="F8" i="11"/>
  <c r="E8" i="11"/>
  <c r="P12" i="2"/>
  <c r="AH12" i="2"/>
  <c r="S12" i="2"/>
  <c r="O12" i="2"/>
  <c r="AI12" i="2"/>
  <c r="AB11" i="11"/>
  <c r="R11" i="11"/>
  <c r="X10" i="11"/>
  <c r="O10" i="11"/>
  <c r="V9" i="11"/>
  <c r="U9" i="11"/>
  <c r="P10" i="11"/>
  <c r="B12" i="2"/>
  <c r="AG12" i="2"/>
  <c r="AD12" i="2"/>
  <c r="U12" i="2"/>
  <c r="AC12" i="2"/>
  <c r="Z12" i="2"/>
  <c r="V12" i="2"/>
  <c r="AB12" i="2"/>
  <c r="T12" i="2"/>
  <c r="AJ13" i="2"/>
  <c r="S9" i="11"/>
  <c r="Q9" i="11"/>
  <c r="I9" i="11"/>
  <c r="H9" i="11"/>
  <c r="AC12" i="11"/>
  <c r="Z11" i="11"/>
  <c r="X11" i="11"/>
  <c r="O11" i="11"/>
  <c r="V10" i="11"/>
  <c r="U10" i="11"/>
  <c r="M11" i="11"/>
  <c r="L11" i="11"/>
  <c r="K11" i="11"/>
  <c r="J9" i="11"/>
  <c r="O13" i="2"/>
  <c r="AI13" i="2"/>
  <c r="AH13" i="2"/>
  <c r="S13" i="2"/>
  <c r="P13" i="2"/>
  <c r="N9" i="11"/>
  <c r="G9" i="11"/>
  <c r="F9" i="11"/>
  <c r="E9" i="11"/>
  <c r="Y11" i="11"/>
  <c r="T11" i="11"/>
  <c r="P11" i="11"/>
  <c r="S10" i="11"/>
  <c r="Q10" i="11"/>
  <c r="R12" i="11"/>
  <c r="AB12" i="11"/>
  <c r="I10" i="11"/>
  <c r="H10" i="11"/>
  <c r="J10" i="11"/>
  <c r="B13" i="2"/>
  <c r="AG13" i="2"/>
  <c r="AD13" i="2"/>
  <c r="U13" i="2"/>
  <c r="AC13" i="2"/>
  <c r="Z13" i="2"/>
  <c r="V13" i="2"/>
  <c r="AB13" i="2"/>
  <c r="T13" i="2"/>
  <c r="AJ14" i="2"/>
  <c r="N10" i="11"/>
  <c r="AC13" i="11"/>
  <c r="Z12" i="11"/>
  <c r="Y12" i="11"/>
  <c r="T12" i="11"/>
  <c r="M12" i="11"/>
  <c r="L12" i="11"/>
  <c r="K12" i="11"/>
  <c r="G10" i="11"/>
  <c r="F10" i="11"/>
  <c r="E10" i="11"/>
  <c r="O14" i="2"/>
  <c r="AH14" i="2"/>
  <c r="S14" i="2"/>
  <c r="P14" i="2"/>
  <c r="AI14" i="2"/>
  <c r="X12" i="11"/>
  <c r="O12" i="11"/>
  <c r="AB13" i="11"/>
  <c r="R13" i="11"/>
  <c r="V11" i="11"/>
  <c r="U11" i="11"/>
  <c r="P12" i="11"/>
  <c r="AJ15" i="2"/>
  <c r="B14" i="2"/>
  <c r="AD14" i="2"/>
  <c r="AC14" i="2"/>
  <c r="Z14" i="2"/>
  <c r="V14" i="2"/>
  <c r="AG14" i="2"/>
  <c r="AA14" i="2"/>
  <c r="W14" i="2"/>
  <c r="Q11" i="11"/>
  <c r="S11" i="11"/>
  <c r="I11" i="11"/>
  <c r="H11" i="11"/>
  <c r="AC14" i="11"/>
  <c r="Z13" i="11"/>
  <c r="X13" i="11"/>
  <c r="O13" i="11"/>
  <c r="M13" i="11"/>
  <c r="L13" i="11"/>
  <c r="K13" i="11"/>
  <c r="J11" i="11"/>
  <c r="AB14" i="2"/>
  <c r="T14" i="2"/>
  <c r="U14" i="2"/>
  <c r="X14" i="2"/>
  <c r="R14" i="2" s="1"/>
  <c r="L14" i="2" s="1"/>
  <c r="A14" i="2"/>
  <c r="AF14" i="2"/>
  <c r="P15" i="2"/>
  <c r="AI15" i="2"/>
  <c r="O15" i="2"/>
  <c r="AH15" i="2"/>
  <c r="S15" i="2"/>
  <c r="Y13" i="11"/>
  <c r="T13" i="11"/>
  <c r="AB14" i="11"/>
  <c r="R14" i="11"/>
  <c r="N11" i="11"/>
  <c r="V12" i="11"/>
  <c r="U12" i="11"/>
  <c r="G11" i="11"/>
  <c r="F11" i="11"/>
  <c r="E11" i="11"/>
  <c r="AG15" i="2"/>
  <c r="B15" i="2"/>
  <c r="AJ16" i="2"/>
  <c r="AD15" i="2"/>
  <c r="AC15" i="2"/>
  <c r="Z15" i="2"/>
  <c r="V15" i="2"/>
  <c r="AC15" i="11"/>
  <c r="Z14" i="11"/>
  <c r="Y14" i="11"/>
  <c r="T14" i="11"/>
  <c r="Q12" i="11"/>
  <c r="S12" i="11"/>
  <c r="I12" i="11"/>
  <c r="H12" i="11"/>
  <c r="J12" i="11"/>
  <c r="V13" i="11"/>
  <c r="U13" i="11"/>
  <c r="P13" i="11"/>
  <c r="M14" i="11"/>
  <c r="L14" i="11"/>
  <c r="K14" i="11"/>
  <c r="Q14" i="2"/>
  <c r="J14" i="2" s="1"/>
  <c r="I14" i="2" s="1"/>
  <c r="AB15" i="2"/>
  <c r="T15" i="2"/>
  <c r="U15" i="2"/>
  <c r="AA15" i="2"/>
  <c r="W15" i="2" s="1"/>
  <c r="X15" i="2" s="1"/>
  <c r="A15" i="2"/>
  <c r="AF15" i="2"/>
  <c r="AI16" i="2"/>
  <c r="AH16" i="2"/>
  <c r="S16" i="2"/>
  <c r="O16" i="2"/>
  <c r="P16" i="2"/>
  <c r="N12" i="11"/>
  <c r="I13" i="11"/>
  <c r="H13" i="11"/>
  <c r="S13" i="11"/>
  <c r="Q13" i="11"/>
  <c r="X14" i="11"/>
  <c r="O14" i="11"/>
  <c r="AB15" i="11"/>
  <c r="R15" i="11"/>
  <c r="J13" i="11"/>
  <c r="P14" i="11"/>
  <c r="G12" i="11"/>
  <c r="F12" i="11"/>
  <c r="E12" i="11"/>
  <c r="B16" i="2"/>
  <c r="AG16" i="2"/>
  <c r="AJ17" i="2"/>
  <c r="AD16" i="2"/>
  <c r="U16" i="2"/>
  <c r="N13" i="11"/>
  <c r="AC16" i="11"/>
  <c r="Z15" i="11"/>
  <c r="X15" i="11"/>
  <c r="O15" i="11"/>
  <c r="M15" i="11"/>
  <c r="L15" i="11"/>
  <c r="K15" i="11"/>
  <c r="V14" i="11"/>
  <c r="U14" i="11"/>
  <c r="I14" i="11"/>
  <c r="G13" i="11"/>
  <c r="F13" i="11"/>
  <c r="E13" i="11"/>
  <c r="O17" i="2"/>
  <c r="AI17" i="2"/>
  <c r="P17" i="2"/>
  <c r="AH17" i="2"/>
  <c r="S17" i="2"/>
  <c r="AB16" i="2"/>
  <c r="T16" i="2"/>
  <c r="AA16" i="2"/>
  <c r="W16" i="2" s="1"/>
  <c r="X16" i="2" s="1"/>
  <c r="AC16" i="2"/>
  <c r="Z16" i="2"/>
  <c r="V16" i="2"/>
  <c r="Y15" i="11"/>
  <c r="T15" i="11"/>
  <c r="P15" i="11"/>
  <c r="AB16" i="11"/>
  <c r="R16" i="11"/>
  <c r="S14" i="11"/>
  <c r="Q14" i="11"/>
  <c r="H14" i="11"/>
  <c r="G14" i="11"/>
  <c r="J14" i="11"/>
  <c r="AJ18" i="2"/>
  <c r="B17" i="2"/>
  <c r="AD17" i="2"/>
  <c r="AG17" i="2"/>
  <c r="N14" i="11"/>
  <c r="AC17" i="11"/>
  <c r="Z16" i="11"/>
  <c r="Y16" i="11"/>
  <c r="T16" i="11"/>
  <c r="F14" i="11"/>
  <c r="E14" i="11"/>
  <c r="M16" i="11"/>
  <c r="L16" i="11"/>
  <c r="K16" i="11"/>
  <c r="V15" i="11"/>
  <c r="U15" i="11"/>
  <c r="U17" i="2"/>
  <c r="AB17" i="2"/>
  <c r="T17" i="2"/>
  <c r="AC17" i="2"/>
  <c r="Z17" i="2"/>
  <c r="V17" i="2"/>
  <c r="AI18" i="2"/>
  <c r="P18" i="2"/>
  <c r="AH18" i="2"/>
  <c r="S18" i="2"/>
  <c r="O18" i="2"/>
  <c r="AA17" i="2"/>
  <c r="W17" i="2"/>
  <c r="X17" i="2" s="1"/>
  <c r="AF17" i="2"/>
  <c r="X16" i="11"/>
  <c r="O16" i="11"/>
  <c r="Q15" i="11"/>
  <c r="S15" i="11"/>
  <c r="H15" i="11"/>
  <c r="L17" i="11"/>
  <c r="E17" i="11"/>
  <c r="AB17" i="11"/>
  <c r="R17" i="11"/>
  <c r="K17" i="11"/>
  <c r="I15" i="11"/>
  <c r="P16" i="11"/>
  <c r="J15" i="11"/>
  <c r="AJ19" i="2"/>
  <c r="B18" i="2"/>
  <c r="AD18" i="2"/>
  <c r="AB18" i="2"/>
  <c r="T18" i="2"/>
  <c r="AG18" i="2"/>
  <c r="G15" i="11"/>
  <c r="F15" i="11"/>
  <c r="E15" i="11"/>
  <c r="AC18" i="11"/>
  <c r="Z17" i="11"/>
  <c r="Y17" i="11"/>
  <c r="T17" i="11"/>
  <c r="X17" i="11"/>
  <c r="O17" i="11"/>
  <c r="AA17" i="11"/>
  <c r="G17" i="11"/>
  <c r="J17" i="11"/>
  <c r="F17" i="11"/>
  <c r="M17" i="11"/>
  <c r="V16" i="11"/>
  <c r="U16" i="11"/>
  <c r="H16" i="11"/>
  <c r="N15" i="11"/>
  <c r="U18" i="2"/>
  <c r="AA18" i="2"/>
  <c r="W18" i="2" s="1"/>
  <c r="AC18" i="2"/>
  <c r="Z18" i="2"/>
  <c r="V18" i="2"/>
  <c r="P19" i="2"/>
  <c r="O19" i="2"/>
  <c r="AH19" i="2"/>
  <c r="S19" i="2"/>
  <c r="AI19" i="2"/>
  <c r="L18" i="11"/>
  <c r="E18" i="11"/>
  <c r="AB18" i="11"/>
  <c r="R18" i="11"/>
  <c r="K18" i="11"/>
  <c r="Q16" i="11"/>
  <c r="S16" i="11"/>
  <c r="I16" i="11"/>
  <c r="P17" i="11"/>
  <c r="J16" i="11"/>
  <c r="AG19" i="2"/>
  <c r="AJ20" i="2"/>
  <c r="B19" i="2"/>
  <c r="AD19" i="2"/>
  <c r="AB19" i="2"/>
  <c r="T19" i="2"/>
  <c r="N16" i="11"/>
  <c r="X18" i="11"/>
  <c r="O18" i="11"/>
  <c r="AA18" i="11"/>
  <c r="AC19" i="11"/>
  <c r="Z18" i="11"/>
  <c r="Y18" i="11"/>
  <c r="T18" i="11"/>
  <c r="G16" i="11"/>
  <c r="F16" i="11"/>
  <c r="E16" i="11"/>
  <c r="V17" i="11"/>
  <c r="U17" i="11"/>
  <c r="G18" i="11"/>
  <c r="J18" i="11"/>
  <c r="F18" i="11"/>
  <c r="M18" i="11"/>
  <c r="AI20" i="2"/>
  <c r="O20" i="2"/>
  <c r="AH20" i="2"/>
  <c r="S20" i="2"/>
  <c r="P20" i="2"/>
  <c r="U19" i="2"/>
  <c r="AC19" i="2"/>
  <c r="Z19" i="2"/>
  <c r="V19" i="2"/>
  <c r="AA19" i="2"/>
  <c r="W19" i="2" s="1"/>
  <c r="X19" i="2" s="1"/>
  <c r="A19" i="2"/>
  <c r="AF19" i="2"/>
  <c r="S17" i="11"/>
  <c r="Q17" i="11"/>
  <c r="AB19" i="11"/>
  <c r="R19" i="11"/>
  <c r="K19" i="11"/>
  <c r="E19" i="11"/>
  <c r="L19" i="11"/>
  <c r="H17" i="11"/>
  <c r="I17" i="11"/>
  <c r="P18" i="11"/>
  <c r="B20" i="2"/>
  <c r="AG20" i="2"/>
  <c r="AD20" i="2"/>
  <c r="AJ21" i="2"/>
  <c r="N17" i="11"/>
  <c r="X19" i="11"/>
  <c r="O19" i="11"/>
  <c r="AA19" i="11"/>
  <c r="AC20" i="11"/>
  <c r="Z19" i="11"/>
  <c r="Y19" i="11"/>
  <c r="T19" i="11"/>
  <c r="V18" i="11"/>
  <c r="U18" i="11"/>
  <c r="G19" i="11"/>
  <c r="J19" i="11"/>
  <c r="F19" i="11"/>
  <c r="M19" i="11"/>
  <c r="AI21" i="2"/>
  <c r="P21" i="2"/>
  <c r="O21" i="2"/>
  <c r="AH21" i="2"/>
  <c r="S21" i="2"/>
  <c r="U20" i="2"/>
  <c r="AC20" i="2"/>
  <c r="Z20" i="2"/>
  <c r="V20" i="2"/>
  <c r="AB20" i="2"/>
  <c r="T20" i="2"/>
  <c r="AA20" i="2"/>
  <c r="W20" i="2"/>
  <c r="AF20" i="2"/>
  <c r="L20" i="11"/>
  <c r="E20" i="11"/>
  <c r="AB20" i="11"/>
  <c r="R20" i="11"/>
  <c r="K20" i="11"/>
  <c r="S18" i="11"/>
  <c r="Q18" i="11"/>
  <c r="H18" i="11"/>
  <c r="I18" i="11"/>
  <c r="P19" i="11"/>
  <c r="AJ22" i="2"/>
  <c r="AD21" i="2"/>
  <c r="AG21" i="2"/>
  <c r="B21" i="2"/>
  <c r="N18" i="11"/>
  <c r="AA20" i="11"/>
  <c r="AC21" i="11"/>
  <c r="Z20" i="11"/>
  <c r="Y20" i="11"/>
  <c r="T20" i="11"/>
  <c r="X20" i="11"/>
  <c r="O20" i="11"/>
  <c r="V19" i="11"/>
  <c r="U19" i="11"/>
  <c r="G20" i="11"/>
  <c r="J20" i="11"/>
  <c r="F20" i="11"/>
  <c r="M20" i="11"/>
  <c r="AA21" i="2"/>
  <c r="W21" i="2" s="1"/>
  <c r="U21" i="2"/>
  <c r="AC21" i="2"/>
  <c r="Z21" i="2"/>
  <c r="V21" i="2"/>
  <c r="AB21" i="2"/>
  <c r="T21" i="2"/>
  <c r="AI22" i="2"/>
  <c r="O22" i="2"/>
  <c r="P22" i="2"/>
  <c r="AH22" i="2"/>
  <c r="S22" i="2"/>
  <c r="L21" i="11"/>
  <c r="E21" i="11"/>
  <c r="AB21" i="11"/>
  <c r="R21" i="11"/>
  <c r="K21" i="11"/>
  <c r="Q19" i="11"/>
  <c r="S19" i="11"/>
  <c r="H19" i="11"/>
  <c r="I19" i="11"/>
  <c r="P20" i="11"/>
  <c r="AD22" i="2"/>
  <c r="AG22" i="2"/>
  <c r="B22" i="2"/>
  <c r="AJ23" i="2"/>
  <c r="N19" i="11"/>
  <c r="AC22" i="11"/>
  <c r="Z21" i="11"/>
  <c r="Y21" i="11"/>
  <c r="T21" i="11"/>
  <c r="X21" i="11"/>
  <c r="O21" i="11"/>
  <c r="AA21" i="11"/>
  <c r="V20" i="11"/>
  <c r="U20" i="11"/>
  <c r="I20" i="11"/>
  <c r="G21" i="11"/>
  <c r="J21" i="11"/>
  <c r="F21" i="11"/>
  <c r="M21" i="11"/>
  <c r="AH23" i="2"/>
  <c r="S23" i="2"/>
  <c r="P23" i="2"/>
  <c r="O23" i="2"/>
  <c r="AI23" i="2"/>
  <c r="AA22" i="2"/>
  <c r="W22" i="2" s="1"/>
  <c r="U22" i="2"/>
  <c r="AC22" i="2"/>
  <c r="Z22" i="2"/>
  <c r="V22" i="2"/>
  <c r="AB22" i="2"/>
  <c r="T22" i="2"/>
  <c r="Q20" i="11"/>
  <c r="S20" i="11"/>
  <c r="L22" i="11"/>
  <c r="E22" i="11"/>
  <c r="AB22" i="11"/>
  <c r="R22" i="11"/>
  <c r="K22" i="11"/>
  <c r="H20" i="11"/>
  <c r="P21" i="11"/>
  <c r="AG23" i="2"/>
  <c r="AD23" i="2"/>
  <c r="AJ24" i="2"/>
  <c r="B23" i="2"/>
  <c r="N20" i="11"/>
  <c r="X22" i="11"/>
  <c r="O22" i="11"/>
  <c r="AA22" i="11"/>
  <c r="AC23" i="11"/>
  <c r="Z22" i="11"/>
  <c r="Y22" i="11"/>
  <c r="T22" i="11"/>
  <c r="V21" i="11"/>
  <c r="U21" i="11"/>
  <c r="G22" i="11"/>
  <c r="J22" i="11"/>
  <c r="F22" i="11"/>
  <c r="M22" i="11"/>
  <c r="P24" i="2"/>
  <c r="AH24" i="2"/>
  <c r="S24" i="2"/>
  <c r="O24" i="2"/>
  <c r="AI24" i="2"/>
  <c r="U23" i="2"/>
  <c r="AC23" i="2"/>
  <c r="Z23" i="2"/>
  <c r="V23" i="2"/>
  <c r="AB23" i="2"/>
  <c r="T23" i="2"/>
  <c r="AA23" i="2"/>
  <c r="W23" i="2"/>
  <c r="X23" i="2" s="1"/>
  <c r="A23" i="2"/>
  <c r="AF23" i="2"/>
  <c r="S21" i="11"/>
  <c r="Q21" i="11"/>
  <c r="AB23" i="11"/>
  <c r="R23" i="11"/>
  <c r="K23" i="11"/>
  <c r="L23" i="11"/>
  <c r="E23" i="11"/>
  <c r="I21" i="11"/>
  <c r="H21" i="11"/>
  <c r="P22" i="11"/>
  <c r="AG24" i="2"/>
  <c r="AD24" i="2"/>
  <c r="B24" i="2"/>
  <c r="AJ25" i="2"/>
  <c r="U24" i="2"/>
  <c r="AA24" i="2"/>
  <c r="W24" i="2" s="1"/>
  <c r="X24" i="2" s="1"/>
  <c r="AC24" i="2"/>
  <c r="Z24" i="2"/>
  <c r="V24" i="2"/>
  <c r="AB24" i="2"/>
  <c r="T24" i="2"/>
  <c r="N21" i="11"/>
  <c r="X23" i="11"/>
  <c r="O23" i="11"/>
  <c r="AA23" i="11"/>
  <c r="AC24" i="11"/>
  <c r="Z23" i="11"/>
  <c r="Y23" i="11"/>
  <c r="T23" i="11"/>
  <c r="V22" i="11"/>
  <c r="U22" i="11"/>
  <c r="M23" i="11"/>
  <c r="G23" i="11"/>
  <c r="J23" i="11"/>
  <c r="F23" i="11"/>
  <c r="O25" i="2"/>
  <c r="AH25" i="2"/>
  <c r="S25" i="2"/>
  <c r="P25" i="2"/>
  <c r="AI25" i="2"/>
  <c r="S22" i="11"/>
  <c r="Q22" i="11"/>
  <c r="K24" i="11"/>
  <c r="R24" i="11"/>
  <c r="L24" i="11"/>
  <c r="E24" i="11"/>
  <c r="AB24" i="11"/>
  <c r="H22" i="11"/>
  <c r="I22" i="11"/>
  <c r="P23" i="11"/>
  <c r="B25" i="2"/>
  <c r="AJ26" i="2"/>
  <c r="AD25" i="2"/>
  <c r="AG25" i="2"/>
  <c r="N22" i="11"/>
  <c r="AA24" i="11"/>
  <c r="X24" i="11"/>
  <c r="O24" i="11"/>
  <c r="AC25" i="11"/>
  <c r="Z24" i="11"/>
  <c r="Y24" i="11"/>
  <c r="T24" i="11"/>
  <c r="J24" i="11"/>
  <c r="F24" i="11"/>
  <c r="M24" i="11"/>
  <c r="G24" i="11"/>
  <c r="V23" i="11"/>
  <c r="U23" i="11"/>
  <c r="AB25" i="2"/>
  <c r="T25" i="2"/>
  <c r="AC25" i="2"/>
  <c r="Z25" i="2"/>
  <c r="V25" i="2"/>
  <c r="U25" i="2"/>
  <c r="O26" i="2"/>
  <c r="AH26" i="2"/>
  <c r="S26" i="2"/>
  <c r="P26" i="2"/>
  <c r="AI26" i="2"/>
  <c r="AA25" i="2"/>
  <c r="W25" i="2" s="1"/>
  <c r="X25" i="2" s="1"/>
  <c r="AF25" i="2"/>
  <c r="Q23" i="11"/>
  <c r="S23" i="11"/>
  <c r="L25" i="11"/>
  <c r="E25" i="11"/>
  <c r="AB25" i="11"/>
  <c r="R25" i="11"/>
  <c r="K25" i="11"/>
  <c r="H23" i="11"/>
  <c r="I23" i="11"/>
  <c r="P24" i="11"/>
  <c r="AD26" i="2"/>
  <c r="AG26" i="2"/>
  <c r="B26" i="2"/>
  <c r="AJ27" i="2"/>
  <c r="AC26" i="11"/>
  <c r="Z25" i="11"/>
  <c r="Y25" i="11"/>
  <c r="T25" i="11"/>
  <c r="AA25" i="11"/>
  <c r="X25" i="11"/>
  <c r="O25" i="11"/>
  <c r="N23" i="11"/>
  <c r="V24" i="11"/>
  <c r="U24" i="11"/>
  <c r="I24" i="11"/>
  <c r="J25" i="11"/>
  <c r="F25" i="11"/>
  <c r="M25" i="11"/>
  <c r="G25" i="11"/>
  <c r="U26" i="2"/>
  <c r="AA26" i="2"/>
  <c r="W26" i="2" s="1"/>
  <c r="AC26" i="2"/>
  <c r="Z26" i="2"/>
  <c r="V26" i="2"/>
  <c r="AB26" i="2"/>
  <c r="T26" i="2"/>
  <c r="AH27" i="2"/>
  <c r="S27" i="2"/>
  <c r="P27" i="2"/>
  <c r="O27" i="2"/>
  <c r="AI27" i="2"/>
  <c r="L26" i="11"/>
  <c r="E26" i="11"/>
  <c r="AB26" i="11"/>
  <c r="R26" i="11"/>
  <c r="K26" i="11"/>
  <c r="Q24" i="11"/>
  <c r="S24" i="11"/>
  <c r="H24" i="11"/>
  <c r="P25" i="11"/>
  <c r="AD27" i="2"/>
  <c r="AJ28" i="2"/>
  <c r="B27" i="2"/>
  <c r="AG27" i="2"/>
  <c r="Z26" i="11"/>
  <c r="Y26" i="11"/>
  <c r="T26" i="11"/>
  <c r="X26" i="11"/>
  <c r="O26" i="11"/>
  <c r="AC27" i="11"/>
  <c r="AA26" i="11"/>
  <c r="G26" i="11"/>
  <c r="J26" i="11"/>
  <c r="F26" i="11"/>
  <c r="M26" i="11"/>
  <c r="V25" i="11"/>
  <c r="U25" i="11"/>
  <c r="N24" i="11"/>
  <c r="P28" i="2"/>
  <c r="O28" i="2"/>
  <c r="AI28" i="2"/>
  <c r="AH28" i="2"/>
  <c r="S28" i="2"/>
  <c r="U27" i="2"/>
  <c r="AA27" i="2"/>
  <c r="W27" i="2" s="1"/>
  <c r="AC27" i="2"/>
  <c r="Z27" i="2"/>
  <c r="V27" i="2"/>
  <c r="AB27" i="2"/>
  <c r="T27" i="2"/>
  <c r="S25" i="11"/>
  <c r="Q25" i="11"/>
  <c r="AB27" i="11"/>
  <c r="R27" i="11"/>
  <c r="K27" i="11"/>
  <c r="L27" i="11"/>
  <c r="E27" i="11"/>
  <c r="H25" i="11"/>
  <c r="I25" i="11"/>
  <c r="P26" i="11"/>
  <c r="AG28" i="2"/>
  <c r="AA28" i="2"/>
  <c r="W28" i="2"/>
  <c r="X28" i="2" s="1"/>
  <c r="R28" i="2" s="1"/>
  <c r="L28" i="2" s="1"/>
  <c r="G28" i="2" s="1"/>
  <c r="AJ29" i="2"/>
  <c r="AD28" i="2"/>
  <c r="U28" i="2"/>
  <c r="B28" i="2"/>
  <c r="N25" i="11"/>
  <c r="X27" i="11"/>
  <c r="O27" i="11"/>
  <c r="AA27" i="11"/>
  <c r="AC28" i="11"/>
  <c r="Z27" i="11"/>
  <c r="Y27" i="11"/>
  <c r="T27" i="11"/>
  <c r="G27" i="11"/>
  <c r="J27" i="11"/>
  <c r="F27" i="11"/>
  <c r="M27" i="11"/>
  <c r="V26" i="11"/>
  <c r="U26" i="11"/>
  <c r="AB28" i="2"/>
  <c r="T28" i="2"/>
  <c r="P29" i="2"/>
  <c r="AH29" i="2"/>
  <c r="S29" i="2"/>
  <c r="O29" i="2"/>
  <c r="AI29" i="2"/>
  <c r="AC28" i="2"/>
  <c r="Z28" i="2"/>
  <c r="V28" i="2"/>
  <c r="A28" i="2"/>
  <c r="AF28" i="2"/>
  <c r="AB28" i="11"/>
  <c r="K28" i="11"/>
  <c r="L28" i="11"/>
  <c r="E28" i="11"/>
  <c r="R28" i="11"/>
  <c r="S26" i="11"/>
  <c r="Q26" i="11"/>
  <c r="H26" i="11"/>
  <c r="I26" i="11"/>
  <c r="P27" i="11"/>
  <c r="AD29" i="2"/>
  <c r="U29" i="2"/>
  <c r="AG29" i="2"/>
  <c r="B29" i="2"/>
  <c r="AJ30" i="2"/>
  <c r="N26" i="11"/>
  <c r="AA28" i="11"/>
  <c r="AC29" i="11"/>
  <c r="Z28" i="11"/>
  <c r="Y28" i="11"/>
  <c r="T28" i="11"/>
  <c r="X28" i="11"/>
  <c r="O28" i="11"/>
  <c r="G28" i="11"/>
  <c r="J28" i="11"/>
  <c r="F28" i="11"/>
  <c r="M28" i="11"/>
  <c r="V27" i="11"/>
  <c r="U27" i="11"/>
  <c r="H27" i="11"/>
  <c r="AB29" i="2"/>
  <c r="T29" i="2"/>
  <c r="AA29" i="2"/>
  <c r="W29" i="2" s="1"/>
  <c r="X29" i="2" s="1"/>
  <c r="O30" i="2"/>
  <c r="AI30" i="2"/>
  <c r="AH30" i="2"/>
  <c r="S30" i="2"/>
  <c r="P30" i="2"/>
  <c r="AC29" i="2"/>
  <c r="Z29" i="2"/>
  <c r="V29" i="2"/>
  <c r="A29" i="2"/>
  <c r="AF29" i="2"/>
  <c r="L29" i="11"/>
  <c r="E29" i="11"/>
  <c r="AB29" i="11"/>
  <c r="R29" i="11"/>
  <c r="K29" i="11"/>
  <c r="S27" i="11"/>
  <c r="Q27" i="11"/>
  <c r="I27" i="11"/>
  <c r="P28" i="11"/>
  <c r="AD30" i="2"/>
  <c r="AJ31" i="2"/>
  <c r="AG30" i="2"/>
  <c r="B30" i="2"/>
  <c r="N27" i="11"/>
  <c r="AC30" i="11"/>
  <c r="Z29" i="11"/>
  <c r="Y29" i="11"/>
  <c r="T29" i="11"/>
  <c r="AA29" i="11"/>
  <c r="X29" i="11"/>
  <c r="O29" i="11"/>
  <c r="G29" i="11"/>
  <c r="J29" i="11"/>
  <c r="F29" i="11"/>
  <c r="M29" i="11"/>
  <c r="V28" i="11"/>
  <c r="U28" i="11"/>
  <c r="I28" i="11"/>
  <c r="U30" i="2"/>
  <c r="AA30" i="2"/>
  <c r="W30" i="2" s="1"/>
  <c r="X30" i="2" s="1"/>
  <c r="R30" i="2" s="1"/>
  <c r="L30" i="2" s="1"/>
  <c r="AC30" i="2"/>
  <c r="Z30" i="2"/>
  <c r="V30" i="2"/>
  <c r="AB30" i="2"/>
  <c r="T30" i="2"/>
  <c r="AH31" i="2"/>
  <c r="S31" i="2"/>
  <c r="P31" i="2"/>
  <c r="O31" i="2"/>
  <c r="AI31" i="2"/>
  <c r="Q28" i="11"/>
  <c r="S28" i="11"/>
  <c r="H28" i="11"/>
  <c r="L30" i="11"/>
  <c r="E30" i="11"/>
  <c r="AB30" i="11"/>
  <c r="R30" i="11"/>
  <c r="K30" i="11"/>
  <c r="P29" i="11"/>
  <c r="AD31" i="2"/>
  <c r="B31" i="2"/>
  <c r="AJ32" i="2"/>
  <c r="AG31" i="2"/>
  <c r="N28" i="11"/>
  <c r="AC31" i="11"/>
  <c r="X30" i="11"/>
  <c r="O30" i="11"/>
  <c r="AA30" i="11"/>
  <c r="Z30" i="11"/>
  <c r="Y30" i="11"/>
  <c r="T30" i="11"/>
  <c r="G30" i="11"/>
  <c r="J30" i="11"/>
  <c r="F30" i="11"/>
  <c r="M30" i="11"/>
  <c r="V29" i="11"/>
  <c r="U29" i="11"/>
  <c r="AI32" i="2"/>
  <c r="O32" i="2"/>
  <c r="AH32" i="2"/>
  <c r="S32" i="2"/>
  <c r="P32" i="2"/>
  <c r="AB31" i="2"/>
  <c r="T31" i="2"/>
  <c r="U31" i="2"/>
  <c r="AC31" i="2"/>
  <c r="Z31" i="2"/>
  <c r="V31" i="2"/>
  <c r="AA31" i="2"/>
  <c r="W31" i="2" s="1"/>
  <c r="X31" i="2" s="1"/>
  <c r="R31" i="2" s="1"/>
  <c r="L31" i="2" s="1"/>
  <c r="AF31" i="2"/>
  <c r="S29" i="11"/>
  <c r="Q29" i="11"/>
  <c r="H29" i="11"/>
  <c r="AB31" i="11"/>
  <c r="R31" i="11"/>
  <c r="K31" i="11"/>
  <c r="E31" i="11"/>
  <c r="L31" i="11"/>
  <c r="I29" i="11"/>
  <c r="P30" i="11"/>
  <c r="B32" i="2"/>
  <c r="AJ33" i="2"/>
  <c r="AG32" i="2"/>
  <c r="AD32" i="2"/>
  <c r="N29" i="11"/>
  <c r="AC32" i="11"/>
  <c r="Z31" i="11"/>
  <c r="Y31" i="11"/>
  <c r="T31" i="11"/>
  <c r="X31" i="11"/>
  <c r="O31" i="11"/>
  <c r="AA31" i="11"/>
  <c r="G31" i="11"/>
  <c r="J31" i="11"/>
  <c r="F31" i="11"/>
  <c r="M31" i="11"/>
  <c r="V30" i="11"/>
  <c r="U30" i="11"/>
  <c r="Q31" i="2"/>
  <c r="J31" i="2" s="1"/>
  <c r="I31" i="2" s="1"/>
  <c r="U32" i="2"/>
  <c r="AA32" i="2"/>
  <c r="W32" i="2" s="1"/>
  <c r="AC32" i="2"/>
  <c r="Z32" i="2"/>
  <c r="V32" i="2"/>
  <c r="AB32" i="2"/>
  <c r="T32" i="2"/>
  <c r="AH33" i="2"/>
  <c r="S33" i="2"/>
  <c r="AI33" i="2"/>
  <c r="P33" i="2"/>
  <c r="O33" i="2"/>
  <c r="S30" i="11"/>
  <c r="Q30" i="11"/>
  <c r="H30" i="11"/>
  <c r="I30" i="11"/>
  <c r="L32" i="11"/>
  <c r="E32" i="11"/>
  <c r="AB32" i="11"/>
  <c r="K32" i="11"/>
  <c r="R32" i="11"/>
  <c r="P31" i="11"/>
  <c r="B33" i="2"/>
  <c r="AJ34" i="2"/>
  <c r="AD33" i="2"/>
  <c r="AG33" i="2"/>
  <c r="N30" i="11"/>
  <c r="AA32" i="11"/>
  <c r="Z32" i="11"/>
  <c r="Y32" i="11"/>
  <c r="T32" i="11"/>
  <c r="AC33" i="11"/>
  <c r="X32" i="11"/>
  <c r="O32" i="11"/>
  <c r="G32" i="11"/>
  <c r="J32" i="11"/>
  <c r="F32" i="11"/>
  <c r="M32" i="11"/>
  <c r="V31" i="11"/>
  <c r="U31" i="11"/>
  <c r="H31" i="11"/>
  <c r="AC33" i="2"/>
  <c r="Z33" i="2"/>
  <c r="V33" i="2"/>
  <c r="AB33" i="2"/>
  <c r="T33" i="2"/>
  <c r="U33" i="2"/>
  <c r="P34" i="2"/>
  <c r="AI34" i="2"/>
  <c r="O34" i="2"/>
  <c r="AH34" i="2"/>
  <c r="S34" i="2"/>
  <c r="AA33" i="2"/>
  <c r="W33" i="2" s="1"/>
  <c r="X33" i="2" s="1"/>
  <c r="AF33" i="2"/>
  <c r="S31" i="11"/>
  <c r="Q31" i="11"/>
  <c r="I31" i="11"/>
  <c r="AB33" i="11"/>
  <c r="R33" i="11"/>
  <c r="K33" i="11"/>
  <c r="L33" i="11"/>
  <c r="E33" i="11"/>
  <c r="P32" i="11"/>
  <c r="B34" i="2"/>
  <c r="A34" i="2"/>
  <c r="AD34" i="2"/>
  <c r="E34" i="2"/>
  <c r="AJ35" i="2"/>
  <c r="AG34" i="2"/>
  <c r="N31" i="11"/>
  <c r="X33" i="11"/>
  <c r="O33" i="11"/>
  <c r="AA33" i="11"/>
  <c r="AC34" i="11"/>
  <c r="Z33" i="11"/>
  <c r="Y33" i="11"/>
  <c r="T33" i="11"/>
  <c r="G33" i="11"/>
  <c r="J33" i="11"/>
  <c r="F33" i="11"/>
  <c r="M33" i="11"/>
  <c r="V32" i="11"/>
  <c r="U32" i="11"/>
  <c r="AH35" i="2"/>
  <c r="S35" i="2"/>
  <c r="P35" i="2"/>
  <c r="O35" i="2"/>
  <c r="AI35" i="2"/>
  <c r="C34" i="2"/>
  <c r="AA34" i="2"/>
  <c r="W34" i="2" s="1"/>
  <c r="U34" i="2"/>
  <c r="AC34" i="2"/>
  <c r="Z34" i="2"/>
  <c r="V34" i="2"/>
  <c r="AB34" i="2"/>
  <c r="T34" i="2"/>
  <c r="S32" i="11"/>
  <c r="Q32" i="11"/>
  <c r="H32" i="11"/>
  <c r="L34" i="11"/>
  <c r="E34" i="11"/>
  <c r="K34" i="11"/>
  <c r="AB34" i="11"/>
  <c r="R34" i="11"/>
  <c r="I32" i="11"/>
  <c r="P33" i="11"/>
  <c r="AD35" i="2"/>
  <c r="AG35" i="2"/>
  <c r="B35" i="2"/>
  <c r="A35" i="2"/>
  <c r="AJ36" i="2"/>
  <c r="E35" i="2"/>
  <c r="D35" i="2" s="1"/>
  <c r="N32" i="11"/>
  <c r="AA34" i="11"/>
  <c r="AC35" i="11"/>
  <c r="Z34" i="11"/>
  <c r="Y34" i="11"/>
  <c r="T34" i="11"/>
  <c r="X34" i="11"/>
  <c r="O34" i="11"/>
  <c r="G34" i="11"/>
  <c r="J34" i="11"/>
  <c r="F34" i="11"/>
  <c r="M34" i="11"/>
  <c r="V33" i="11"/>
  <c r="U33" i="11"/>
  <c r="H33" i="11"/>
  <c r="O36" i="2"/>
  <c r="AI36" i="2"/>
  <c r="P36" i="2"/>
  <c r="AH36" i="2"/>
  <c r="S36" i="2"/>
  <c r="AA35" i="2"/>
  <c r="W35" i="2" s="1"/>
  <c r="X35" i="2" s="1"/>
  <c r="U35" i="2"/>
  <c r="AC35" i="2"/>
  <c r="Z35" i="2"/>
  <c r="V35" i="2"/>
  <c r="AB35" i="2"/>
  <c r="T35" i="2"/>
  <c r="C35" i="2"/>
  <c r="L35" i="11"/>
  <c r="E35" i="11"/>
  <c r="AB35" i="11"/>
  <c r="R35" i="11"/>
  <c r="K35" i="11"/>
  <c r="Q33" i="11"/>
  <c r="S33" i="11"/>
  <c r="I33" i="11"/>
  <c r="P34" i="11"/>
  <c r="E36" i="2"/>
  <c r="AJ37" i="2"/>
  <c r="AG36" i="2"/>
  <c r="AD36" i="2"/>
  <c r="B36" i="2"/>
  <c r="A36" i="2"/>
  <c r="N33" i="11"/>
  <c r="AC36" i="11"/>
  <c r="Z35" i="11"/>
  <c r="Y35" i="11"/>
  <c r="T35" i="11"/>
  <c r="X35" i="11"/>
  <c r="O35" i="11"/>
  <c r="AA35" i="11"/>
  <c r="G35" i="11"/>
  <c r="J35" i="11"/>
  <c r="F35" i="11"/>
  <c r="M35" i="11"/>
  <c r="V34" i="11"/>
  <c r="U34" i="11"/>
  <c r="H34" i="11"/>
  <c r="U36" i="2"/>
  <c r="AC36" i="2"/>
  <c r="Z36" i="2"/>
  <c r="V36" i="2"/>
  <c r="AB36" i="2"/>
  <c r="T36" i="2"/>
  <c r="AA36" i="2"/>
  <c r="W36" i="2" s="1"/>
  <c r="X36" i="2" s="1"/>
  <c r="AF36" i="2"/>
  <c r="C36" i="2"/>
  <c r="P37" i="2"/>
  <c r="AH37" i="2"/>
  <c r="S37" i="2"/>
  <c r="O37" i="2"/>
  <c r="AI37" i="2"/>
  <c r="L36" i="11"/>
  <c r="E36" i="11"/>
  <c r="AB36" i="11"/>
  <c r="R36" i="11"/>
  <c r="K36" i="11"/>
  <c r="Q34" i="11"/>
  <c r="S34" i="11"/>
  <c r="I34" i="11"/>
  <c r="P35" i="11"/>
  <c r="AG37" i="2"/>
  <c r="E37" i="2"/>
  <c r="D37" i="2" s="1"/>
  <c r="B37" i="2"/>
  <c r="A37" i="2"/>
  <c r="AD37" i="2"/>
  <c r="AJ38" i="2"/>
  <c r="N34" i="11"/>
  <c r="X36" i="11"/>
  <c r="O36" i="11"/>
  <c r="AA36" i="11"/>
  <c r="AC37" i="11"/>
  <c r="Z36" i="11"/>
  <c r="Y36" i="11"/>
  <c r="T36" i="11"/>
  <c r="G36" i="11"/>
  <c r="J36" i="11"/>
  <c r="F36" i="11"/>
  <c r="M36" i="11"/>
  <c r="V35" i="11"/>
  <c r="U35" i="11"/>
  <c r="AB37" i="2"/>
  <c r="T37" i="2"/>
  <c r="U37" i="2"/>
  <c r="AC37" i="2"/>
  <c r="Z37" i="2"/>
  <c r="V37" i="2"/>
  <c r="AH38" i="2"/>
  <c r="S38" i="2"/>
  <c r="P38" i="2"/>
  <c r="O38" i="2"/>
  <c r="AI38" i="2"/>
  <c r="C37" i="2"/>
  <c r="AA37" i="2"/>
  <c r="W37" i="2"/>
  <c r="X37" i="2" s="1"/>
  <c r="AF37" i="2"/>
  <c r="AB37" i="11"/>
  <c r="R37" i="11"/>
  <c r="K37" i="11"/>
  <c r="E37" i="11"/>
  <c r="L37" i="11"/>
  <c r="S35" i="11"/>
  <c r="Q35" i="11"/>
  <c r="H35" i="11"/>
  <c r="I35" i="11"/>
  <c r="P36" i="11"/>
  <c r="AD38" i="2"/>
  <c r="U38" i="2"/>
  <c r="AG38" i="2"/>
  <c r="C38" i="2"/>
  <c r="B38" i="2"/>
  <c r="A38" i="2"/>
  <c r="AJ39" i="2"/>
  <c r="E38" i="2"/>
  <c r="AA38" i="2"/>
  <c r="W38" i="2" s="1"/>
  <c r="X38" i="2" s="1"/>
  <c r="AC38" i="2"/>
  <c r="Z38" i="2"/>
  <c r="V38" i="2"/>
  <c r="AB38" i="2"/>
  <c r="T38" i="2"/>
  <c r="N35" i="11"/>
  <c r="X37" i="11"/>
  <c r="O37" i="11"/>
  <c r="AA37" i="11"/>
  <c r="AC38" i="11"/>
  <c r="Z37" i="11"/>
  <c r="Y37" i="11"/>
  <c r="T37" i="11"/>
  <c r="G37" i="11"/>
  <c r="J37" i="11"/>
  <c r="F37" i="11"/>
  <c r="M37" i="11"/>
  <c r="V36" i="11"/>
  <c r="U36" i="11"/>
  <c r="H36" i="11"/>
  <c r="O39" i="2"/>
  <c r="AH39" i="2"/>
  <c r="S39" i="2"/>
  <c r="P39" i="2"/>
  <c r="AI39" i="2"/>
  <c r="L38" i="11"/>
  <c r="E38" i="11"/>
  <c r="AB38" i="11"/>
  <c r="K38" i="11"/>
  <c r="R38" i="11"/>
  <c r="S36" i="11"/>
  <c r="Q36" i="11"/>
  <c r="I36" i="11"/>
  <c r="P37" i="11"/>
  <c r="E39" i="2"/>
  <c r="B39" i="2"/>
  <c r="A39" i="2"/>
  <c r="AD39" i="2"/>
  <c r="AJ40" i="2"/>
  <c r="AG39" i="2"/>
  <c r="N36" i="11"/>
  <c r="AA38" i="11"/>
  <c r="AC39" i="11"/>
  <c r="Z38" i="11"/>
  <c r="Y38" i="11"/>
  <c r="T38" i="11"/>
  <c r="X38" i="11"/>
  <c r="O38" i="11"/>
  <c r="G38" i="11"/>
  <c r="J38" i="11"/>
  <c r="F38" i="11"/>
  <c r="M38" i="11"/>
  <c r="V37" i="11"/>
  <c r="U37" i="11"/>
  <c r="U39" i="2"/>
  <c r="AA39" i="2"/>
  <c r="W39" i="2" s="1"/>
  <c r="AC39" i="2"/>
  <c r="Z39" i="2"/>
  <c r="V39" i="2"/>
  <c r="AB39" i="2"/>
  <c r="T39" i="2"/>
  <c r="C39" i="2"/>
  <c r="O40" i="2"/>
  <c r="AH40" i="2"/>
  <c r="S40" i="2"/>
  <c r="P40" i="2"/>
  <c r="AI40" i="2"/>
  <c r="L39" i="11"/>
  <c r="E39" i="11"/>
  <c r="AB39" i="11"/>
  <c r="R39" i="11"/>
  <c r="K39" i="11"/>
  <c r="Q37" i="11"/>
  <c r="S37" i="11"/>
  <c r="H37" i="11"/>
  <c r="I37" i="11"/>
  <c r="P38" i="11"/>
  <c r="B40" i="2"/>
  <c r="A40" i="2"/>
  <c r="AJ41" i="2"/>
  <c r="E40" i="2"/>
  <c r="D40" i="2" s="1"/>
  <c r="AG40" i="2"/>
  <c r="AD40" i="2"/>
  <c r="N37" i="11"/>
  <c r="AC40" i="11"/>
  <c r="Z39" i="11"/>
  <c r="Y39" i="11"/>
  <c r="T39" i="11"/>
  <c r="X39" i="11"/>
  <c r="O39" i="11"/>
  <c r="AA39" i="11"/>
  <c r="G39" i="11"/>
  <c r="J39" i="11"/>
  <c r="F39" i="11"/>
  <c r="M39" i="11"/>
  <c r="V38" i="11"/>
  <c r="U38" i="11"/>
  <c r="H38" i="11"/>
  <c r="AC40" i="2"/>
  <c r="Z40" i="2"/>
  <c r="V40" i="2"/>
  <c r="AB40" i="2"/>
  <c r="T40" i="2"/>
  <c r="U40" i="2"/>
  <c r="AA40" i="2"/>
  <c r="W40" i="2" s="1"/>
  <c r="X40" i="2" s="1"/>
  <c r="R40" i="2" s="1"/>
  <c r="L40" i="2" s="1"/>
  <c r="AF40" i="2"/>
  <c r="C40" i="2"/>
  <c r="P41" i="2"/>
  <c r="AI41" i="2"/>
  <c r="O41" i="2"/>
  <c r="AH41" i="2"/>
  <c r="S41" i="2"/>
  <c r="Q38" i="11"/>
  <c r="S38" i="11"/>
  <c r="I38" i="11"/>
  <c r="L40" i="11"/>
  <c r="E40" i="11"/>
  <c r="AB40" i="11"/>
  <c r="R40" i="11"/>
  <c r="K40" i="11"/>
  <c r="P39" i="11"/>
  <c r="AG41" i="2"/>
  <c r="B41" i="2"/>
  <c r="A41" i="2"/>
  <c r="AJ42" i="2"/>
  <c r="E41" i="2"/>
  <c r="D41" i="2" s="1"/>
  <c r="AD41" i="2"/>
  <c r="N38" i="11"/>
  <c r="X40" i="11"/>
  <c r="O40" i="11"/>
  <c r="AA40" i="11"/>
  <c r="Z40" i="11"/>
  <c r="Y40" i="11"/>
  <c r="T40" i="11"/>
  <c r="AC41" i="11"/>
  <c r="G40" i="11"/>
  <c r="J40" i="11"/>
  <c r="F40" i="11"/>
  <c r="M40" i="11"/>
  <c r="V39" i="11"/>
  <c r="U39" i="11"/>
  <c r="AH42" i="2"/>
  <c r="S42" i="2"/>
  <c r="P42" i="2"/>
  <c r="O42" i="2"/>
  <c r="AI42" i="2"/>
  <c r="AB41" i="2"/>
  <c r="T41" i="2"/>
  <c r="U41" i="2"/>
  <c r="AC41" i="2"/>
  <c r="Z41" i="2"/>
  <c r="V41" i="2"/>
  <c r="AA41" i="2"/>
  <c r="W41" i="2" s="1"/>
  <c r="X41" i="2" s="1"/>
  <c r="C41" i="2"/>
  <c r="AF41" i="2"/>
  <c r="AB41" i="11"/>
  <c r="R41" i="11"/>
  <c r="K41" i="11"/>
  <c r="E41" i="11"/>
  <c r="L41" i="11"/>
  <c r="S39" i="11"/>
  <c r="Q39" i="11"/>
  <c r="I39" i="11"/>
  <c r="H39" i="11"/>
  <c r="P40" i="11"/>
  <c r="E42" i="2"/>
  <c r="D42" i="2" s="1"/>
  <c r="AD42" i="2"/>
  <c r="AG42" i="2"/>
  <c r="B42" i="2"/>
  <c r="A42" i="2"/>
  <c r="AJ43" i="2"/>
  <c r="N39" i="11"/>
  <c r="X41" i="11"/>
  <c r="O41" i="11"/>
  <c r="AA41" i="11"/>
  <c r="AC42" i="11"/>
  <c r="Z41" i="11"/>
  <c r="Y41" i="11"/>
  <c r="T41" i="11"/>
  <c r="G41" i="11"/>
  <c r="J41" i="11"/>
  <c r="F41" i="11"/>
  <c r="M41" i="11"/>
  <c r="V40" i="11"/>
  <c r="U40" i="11"/>
  <c r="U42" i="2"/>
  <c r="AA42" i="2"/>
  <c r="W42" i="2"/>
  <c r="AC42" i="2"/>
  <c r="Z42" i="2"/>
  <c r="V42" i="2"/>
  <c r="AB42" i="2"/>
  <c r="T42" i="2"/>
  <c r="C42" i="2"/>
  <c r="P43" i="2"/>
  <c r="AI43" i="2"/>
  <c r="O43" i="2"/>
  <c r="AH43" i="2"/>
  <c r="S43" i="2"/>
  <c r="S40" i="11"/>
  <c r="Q40" i="11"/>
  <c r="L42" i="11"/>
  <c r="E42" i="11"/>
  <c r="R42" i="11"/>
  <c r="AB42" i="11"/>
  <c r="K42" i="11"/>
  <c r="I40" i="11"/>
  <c r="H40" i="11"/>
  <c r="P41" i="11"/>
  <c r="AG43" i="2"/>
  <c r="B43" i="2"/>
  <c r="A43" i="2"/>
  <c r="AJ44" i="2"/>
  <c r="E43" i="2"/>
  <c r="AD43" i="2"/>
  <c r="N40" i="11"/>
  <c r="AA42" i="11"/>
  <c r="AC43" i="11"/>
  <c r="Z42" i="11"/>
  <c r="Y42" i="11"/>
  <c r="T42" i="11"/>
  <c r="X42" i="11"/>
  <c r="O42" i="11"/>
  <c r="G42" i="11"/>
  <c r="J42" i="11"/>
  <c r="F42" i="11"/>
  <c r="M42" i="11"/>
  <c r="V41" i="11"/>
  <c r="U41" i="11"/>
  <c r="I41" i="11"/>
  <c r="P44" i="2"/>
  <c r="AH44" i="2"/>
  <c r="S44" i="2"/>
  <c r="AI44" i="2"/>
  <c r="O44" i="2"/>
  <c r="AB43" i="2"/>
  <c r="T43" i="2"/>
  <c r="AC43" i="2"/>
  <c r="Z43" i="2"/>
  <c r="V43" i="2"/>
  <c r="U43" i="2"/>
  <c r="AA43" i="2"/>
  <c r="W43" i="2"/>
  <c r="X43" i="2"/>
  <c r="AF43" i="2"/>
  <c r="C43" i="2"/>
  <c r="L43" i="11"/>
  <c r="E43" i="11"/>
  <c r="AB43" i="11"/>
  <c r="R43" i="11"/>
  <c r="K43" i="11"/>
  <c r="Q41" i="11"/>
  <c r="S41" i="11"/>
  <c r="H41" i="11"/>
  <c r="P42" i="11"/>
  <c r="AD44" i="2"/>
  <c r="U44" i="2"/>
  <c r="B44" i="2"/>
  <c r="A44" i="2"/>
  <c r="AJ45" i="2"/>
  <c r="E44" i="2"/>
  <c r="AG44" i="2"/>
  <c r="N41" i="11"/>
  <c r="AC44" i="11"/>
  <c r="Z43" i="11"/>
  <c r="Y43" i="11"/>
  <c r="T43" i="11"/>
  <c r="X43" i="11"/>
  <c r="O43" i="11"/>
  <c r="AA43" i="11"/>
  <c r="G43" i="11"/>
  <c r="J43" i="11"/>
  <c r="F43" i="11"/>
  <c r="M43" i="11"/>
  <c r="V42" i="11"/>
  <c r="U42" i="11"/>
  <c r="AB44" i="2"/>
  <c r="T44" i="2"/>
  <c r="AC44" i="2"/>
  <c r="Z44" i="2"/>
  <c r="V44" i="2"/>
  <c r="AI45" i="2"/>
  <c r="O45" i="2"/>
  <c r="AH45" i="2"/>
  <c r="S45" i="2"/>
  <c r="P45" i="2"/>
  <c r="AA44" i="2"/>
  <c r="W44" i="2"/>
  <c r="X44" i="2" s="1"/>
  <c r="AF44" i="2"/>
  <c r="C44" i="2"/>
  <c r="Q42" i="11"/>
  <c r="S42" i="11"/>
  <c r="H42" i="11"/>
  <c r="I42" i="11"/>
  <c r="L44" i="11"/>
  <c r="E44" i="11"/>
  <c r="AB44" i="11"/>
  <c r="R44" i="11"/>
  <c r="K44" i="11"/>
  <c r="P43" i="11"/>
  <c r="B45" i="2"/>
  <c r="A45" i="2"/>
  <c r="AJ46" i="2"/>
  <c r="AD45" i="2"/>
  <c r="AB45" i="2"/>
  <c r="T45" i="2"/>
  <c r="AG45" i="2"/>
  <c r="U45" i="2"/>
  <c r="AA45" i="2"/>
  <c r="W45" i="2"/>
  <c r="X45" i="2" s="1"/>
  <c r="Q45" i="2" s="1"/>
  <c r="J45" i="2" s="1"/>
  <c r="AC45" i="2"/>
  <c r="Z45" i="2"/>
  <c r="V45" i="2"/>
  <c r="E45" i="2"/>
  <c r="D45" i="2" s="1"/>
  <c r="N42" i="11"/>
  <c r="X44" i="11"/>
  <c r="O44" i="11"/>
  <c r="AA44" i="11"/>
  <c r="Z44" i="11"/>
  <c r="Y44" i="11"/>
  <c r="T44" i="11"/>
  <c r="AC45" i="11"/>
  <c r="G44" i="11"/>
  <c r="J44" i="11"/>
  <c r="F44" i="11"/>
  <c r="M44" i="11"/>
  <c r="V43" i="11"/>
  <c r="U43" i="11"/>
  <c r="H43" i="11"/>
  <c r="C45" i="2"/>
  <c r="AI46" i="2"/>
  <c r="P46" i="2"/>
  <c r="O46" i="2"/>
  <c r="AH46" i="2"/>
  <c r="S46" i="2"/>
  <c r="S43" i="11"/>
  <c r="Q43" i="11"/>
  <c r="AB45" i="11"/>
  <c r="R45" i="11"/>
  <c r="K45" i="11"/>
  <c r="L45" i="11"/>
  <c r="E45" i="11"/>
  <c r="I43" i="11"/>
  <c r="P44" i="11"/>
  <c r="AG46" i="2"/>
  <c r="B46" i="2"/>
  <c r="A46" i="2"/>
  <c r="E46" i="2"/>
  <c r="AD46" i="2"/>
  <c r="AJ47" i="2"/>
  <c r="N43" i="11"/>
  <c r="X45" i="11"/>
  <c r="O45" i="11"/>
  <c r="AA45" i="11"/>
  <c r="AC46" i="11"/>
  <c r="Z45" i="11"/>
  <c r="Y45" i="11"/>
  <c r="T45" i="11"/>
  <c r="G45" i="11"/>
  <c r="J45" i="11"/>
  <c r="F45" i="11"/>
  <c r="M45" i="11"/>
  <c r="V44" i="11"/>
  <c r="U44" i="11"/>
  <c r="H44" i="11"/>
  <c r="U46" i="2"/>
  <c r="AC46" i="2"/>
  <c r="Z46" i="2"/>
  <c r="V46" i="2"/>
  <c r="AB46" i="2"/>
  <c r="T46" i="2"/>
  <c r="P47" i="2"/>
  <c r="O47" i="2"/>
  <c r="AI47" i="2"/>
  <c r="AH47" i="2"/>
  <c r="S47" i="2"/>
  <c r="C46" i="2"/>
  <c r="AA46" i="2"/>
  <c r="W46" i="2" s="1"/>
  <c r="X46" i="2" s="1"/>
  <c r="AF46" i="2"/>
  <c r="L46" i="11"/>
  <c r="E46" i="11"/>
  <c r="R46" i="11"/>
  <c r="K46" i="11"/>
  <c r="AB46" i="11"/>
  <c r="S44" i="11"/>
  <c r="Q44" i="11"/>
  <c r="I44" i="11"/>
  <c r="P45" i="11"/>
  <c r="E47" i="2"/>
  <c r="D47" i="2" s="1"/>
  <c r="B47" i="2"/>
  <c r="A47" i="2"/>
  <c r="AJ48" i="2"/>
  <c r="AD47" i="2"/>
  <c r="AG47" i="2"/>
  <c r="N44" i="11"/>
  <c r="AC47" i="11"/>
  <c r="AA46" i="11"/>
  <c r="Z46" i="11"/>
  <c r="Y46" i="11"/>
  <c r="T46" i="11"/>
  <c r="X46" i="11"/>
  <c r="O46" i="11"/>
  <c r="G46" i="11"/>
  <c r="J46" i="11"/>
  <c r="F46" i="11"/>
  <c r="M46" i="11"/>
  <c r="V45" i="11"/>
  <c r="U45" i="11"/>
  <c r="H45" i="11"/>
  <c r="AB47" i="2"/>
  <c r="T47" i="2"/>
  <c r="AC47" i="2"/>
  <c r="Z47" i="2"/>
  <c r="V47" i="2"/>
  <c r="U47" i="2"/>
  <c r="O48" i="2"/>
  <c r="AH48" i="2"/>
  <c r="S48" i="2"/>
  <c r="P48" i="2"/>
  <c r="AI48" i="2"/>
  <c r="AA47" i="2"/>
  <c r="W47" i="2" s="1"/>
  <c r="X47" i="2" s="1"/>
  <c r="C47" i="2"/>
  <c r="AF47" i="2"/>
  <c r="L47" i="11"/>
  <c r="AB47" i="11"/>
  <c r="E47" i="11"/>
  <c r="K47" i="11"/>
  <c r="R47" i="11"/>
  <c r="Q45" i="11"/>
  <c r="S45" i="11"/>
  <c r="I45" i="11"/>
  <c r="P46" i="11"/>
  <c r="B48" i="2"/>
  <c r="A48" i="2"/>
  <c r="AD48" i="2"/>
  <c r="E48" i="2"/>
  <c r="AG48" i="2"/>
  <c r="AJ49" i="2"/>
  <c r="N45" i="11"/>
  <c r="X47" i="11"/>
  <c r="O47" i="11"/>
  <c r="AA47" i="11"/>
  <c r="AC48" i="11"/>
  <c r="Z47" i="11"/>
  <c r="Y47" i="11"/>
  <c r="T47" i="11"/>
  <c r="G47" i="11"/>
  <c r="J47" i="11"/>
  <c r="F47" i="11"/>
  <c r="M47" i="11"/>
  <c r="V46" i="11"/>
  <c r="U46" i="11"/>
  <c r="P49" i="2"/>
  <c r="AI49" i="2"/>
  <c r="O49" i="2"/>
  <c r="AH49" i="2"/>
  <c r="S49" i="2"/>
  <c r="AC48" i="2"/>
  <c r="Z48" i="2"/>
  <c r="V48" i="2"/>
  <c r="AB48" i="2"/>
  <c r="T48" i="2"/>
  <c r="U48" i="2"/>
  <c r="AA48" i="2"/>
  <c r="W48" i="2" s="1"/>
  <c r="X48" i="2" s="1"/>
  <c r="R48" i="2"/>
  <c r="L48" i="2" s="1"/>
  <c r="AF48" i="2"/>
  <c r="C48" i="2"/>
  <c r="Q46" i="11"/>
  <c r="S46" i="11"/>
  <c r="H46" i="11"/>
  <c r="AB48" i="11"/>
  <c r="R48" i="11"/>
  <c r="K48" i="11"/>
  <c r="E48" i="11"/>
  <c r="L48" i="11"/>
  <c r="I46" i="11"/>
  <c r="P47" i="11"/>
  <c r="E49" i="2"/>
  <c r="D49" i="2" s="1"/>
  <c r="AD49" i="2"/>
  <c r="AG49" i="2"/>
  <c r="B49" i="2"/>
  <c r="A49" i="2"/>
  <c r="AJ50" i="2"/>
  <c r="Q48" i="2"/>
  <c r="J48" i="2" s="1"/>
  <c r="N46" i="11"/>
  <c r="X48" i="11"/>
  <c r="O48" i="11"/>
  <c r="AC49" i="11"/>
  <c r="Z48" i="11"/>
  <c r="Y48" i="11"/>
  <c r="T48" i="11"/>
  <c r="AA48" i="11"/>
  <c r="V47" i="11"/>
  <c r="U47" i="11"/>
  <c r="J48" i="11"/>
  <c r="F48" i="11"/>
  <c r="M48" i="11"/>
  <c r="G48" i="11"/>
  <c r="P50" i="2"/>
  <c r="AI50" i="2"/>
  <c r="AH50" i="2"/>
  <c r="S50" i="2"/>
  <c r="O50" i="2"/>
  <c r="C49" i="2"/>
  <c r="AA49" i="2"/>
  <c r="W49" i="2" s="1"/>
  <c r="X49" i="2" s="1"/>
  <c r="R49" i="2" s="1"/>
  <c r="L49" i="2" s="1"/>
  <c r="U49" i="2"/>
  <c r="AC49" i="2"/>
  <c r="Z49" i="2"/>
  <c r="V49" i="2"/>
  <c r="AB49" i="2"/>
  <c r="T49" i="2"/>
  <c r="S47" i="11"/>
  <c r="Q47" i="11"/>
  <c r="I47" i="11"/>
  <c r="L49" i="11"/>
  <c r="E49" i="11"/>
  <c r="AB49" i="11"/>
  <c r="K49" i="11"/>
  <c r="R49" i="11"/>
  <c r="H47" i="11"/>
  <c r="P48" i="11"/>
  <c r="B50" i="2"/>
  <c r="A50" i="2"/>
  <c r="AD50" i="2"/>
  <c r="AG50" i="2"/>
  <c r="E50" i="2"/>
  <c r="AJ51" i="2"/>
  <c r="N47" i="11"/>
  <c r="AA49" i="11"/>
  <c r="AC50" i="11"/>
  <c r="Z49" i="11"/>
  <c r="Y49" i="11"/>
  <c r="T49" i="11"/>
  <c r="X49" i="11"/>
  <c r="O49" i="11"/>
  <c r="V48" i="11"/>
  <c r="U48" i="11"/>
  <c r="G49" i="11"/>
  <c r="J49" i="11"/>
  <c r="F49" i="11"/>
  <c r="M49" i="11"/>
  <c r="P51" i="2"/>
  <c r="O51" i="2"/>
  <c r="AI51" i="2"/>
  <c r="AH51" i="2"/>
  <c r="S51" i="2"/>
  <c r="U50" i="2"/>
  <c r="AA50" i="2"/>
  <c r="W50" i="2" s="1"/>
  <c r="AC50" i="2"/>
  <c r="Z50" i="2"/>
  <c r="V50" i="2"/>
  <c r="AB50" i="2"/>
  <c r="T50" i="2"/>
  <c r="C50" i="2"/>
  <c r="Q48" i="11"/>
  <c r="S48" i="11"/>
  <c r="H48" i="11"/>
  <c r="L50" i="11"/>
  <c r="E50" i="11"/>
  <c r="AB50" i="11"/>
  <c r="R50" i="11"/>
  <c r="K50" i="11"/>
  <c r="I48" i="11"/>
  <c r="P49" i="11"/>
  <c r="AD51" i="2"/>
  <c r="AG51" i="2"/>
  <c r="E51" i="2"/>
  <c r="D51" i="2" s="1"/>
  <c r="B51" i="2"/>
  <c r="A51" i="2"/>
  <c r="AJ52" i="2"/>
  <c r="N48" i="11"/>
  <c r="AC51" i="11"/>
  <c r="Z50" i="11"/>
  <c r="Y50" i="11"/>
  <c r="T50" i="11"/>
  <c r="X50" i="11"/>
  <c r="O50" i="11"/>
  <c r="AA50" i="11"/>
  <c r="G50" i="11"/>
  <c r="J50" i="11"/>
  <c r="F50" i="11"/>
  <c r="M50" i="11"/>
  <c r="V49" i="11"/>
  <c r="U49" i="11"/>
  <c r="U51" i="2"/>
  <c r="AA51" i="2"/>
  <c r="W51" i="2" s="1"/>
  <c r="AC51" i="2"/>
  <c r="Z51" i="2"/>
  <c r="V51" i="2"/>
  <c r="AB51" i="2"/>
  <c r="T51" i="2"/>
  <c r="C51" i="2"/>
  <c r="O52" i="2"/>
  <c r="AH52" i="2"/>
  <c r="S52" i="2"/>
  <c r="AI52" i="2"/>
  <c r="P52" i="2"/>
  <c r="L51" i="11"/>
  <c r="E51" i="11"/>
  <c r="AB51" i="11"/>
  <c r="R51" i="11"/>
  <c r="K51" i="11"/>
  <c r="Q49" i="11"/>
  <c r="S49" i="11"/>
  <c r="I49" i="11"/>
  <c r="H49" i="11"/>
  <c r="P50" i="11"/>
  <c r="AG52" i="2"/>
  <c r="AD52" i="2"/>
  <c r="B52" i="2"/>
  <c r="A52" i="2"/>
  <c r="AJ53" i="2"/>
  <c r="E52" i="2"/>
  <c r="D52" i="2" s="1"/>
  <c r="N49" i="11"/>
  <c r="X51" i="11"/>
  <c r="O51" i="11"/>
  <c r="AA51" i="11"/>
  <c r="AC52" i="11"/>
  <c r="Z51" i="11"/>
  <c r="Y51" i="11"/>
  <c r="T51" i="11"/>
  <c r="G51" i="11"/>
  <c r="J51" i="11"/>
  <c r="F51" i="11"/>
  <c r="M51" i="11"/>
  <c r="V50" i="11"/>
  <c r="U50" i="11"/>
  <c r="P53" i="2"/>
  <c r="AI53" i="2"/>
  <c r="O53" i="2"/>
  <c r="AH53" i="2"/>
  <c r="S53" i="2"/>
  <c r="U52" i="2"/>
  <c r="AC52" i="2"/>
  <c r="Z52" i="2"/>
  <c r="V52" i="2"/>
  <c r="AB52" i="2"/>
  <c r="T52" i="2"/>
  <c r="AA52" i="2"/>
  <c r="W52" i="2" s="1"/>
  <c r="X52" i="2" s="1"/>
  <c r="AF52" i="2"/>
  <c r="C52" i="2"/>
  <c r="S50" i="11"/>
  <c r="Q50" i="11"/>
  <c r="AB52" i="11"/>
  <c r="R52" i="11"/>
  <c r="K52" i="11"/>
  <c r="E52" i="11"/>
  <c r="L52" i="11"/>
  <c r="H50" i="11"/>
  <c r="I50" i="11"/>
  <c r="P51" i="11"/>
  <c r="AG53" i="2"/>
  <c r="E53" i="2"/>
  <c r="D53" i="2" s="1"/>
  <c r="AJ54" i="2"/>
  <c r="B53" i="2"/>
  <c r="A53" i="2"/>
  <c r="AD53" i="2"/>
  <c r="N50" i="11"/>
  <c r="X52" i="11"/>
  <c r="O52" i="11"/>
  <c r="AA52" i="11"/>
  <c r="AC53" i="11"/>
  <c r="Z52" i="11"/>
  <c r="Y52" i="11"/>
  <c r="T52" i="11"/>
  <c r="G52" i="11"/>
  <c r="J52" i="11"/>
  <c r="F52" i="11"/>
  <c r="M52" i="11"/>
  <c r="V51" i="11"/>
  <c r="U51" i="11"/>
  <c r="AI54" i="2"/>
  <c r="AH54" i="2"/>
  <c r="S54" i="2"/>
  <c r="O54" i="2"/>
  <c r="P54" i="2"/>
  <c r="AB53" i="2"/>
  <c r="T53" i="2"/>
  <c r="U53" i="2"/>
  <c r="AC53" i="2"/>
  <c r="Z53" i="2"/>
  <c r="V53" i="2"/>
  <c r="C53" i="2"/>
  <c r="AA53" i="2"/>
  <c r="W53" i="2" s="1"/>
  <c r="X53" i="2" s="1"/>
  <c r="AF53" i="2"/>
  <c r="S51" i="11"/>
  <c r="Q51" i="11"/>
  <c r="L53" i="11"/>
  <c r="E53" i="11"/>
  <c r="AB53" i="11"/>
  <c r="R53" i="11"/>
  <c r="K53" i="11"/>
  <c r="H51" i="11"/>
  <c r="I51" i="11"/>
  <c r="P52" i="11"/>
  <c r="E54" i="2"/>
  <c r="AD54" i="2"/>
  <c r="AG54" i="2"/>
  <c r="B54" i="2"/>
  <c r="A54" i="2"/>
  <c r="AJ55" i="2"/>
  <c r="N51" i="11"/>
  <c r="AA53" i="11"/>
  <c r="AC54" i="11"/>
  <c r="Z53" i="11"/>
  <c r="Y53" i="11"/>
  <c r="T53" i="11"/>
  <c r="X53" i="11"/>
  <c r="O53" i="11"/>
  <c r="G53" i="11"/>
  <c r="J53" i="11"/>
  <c r="F53" i="11"/>
  <c r="M53" i="11"/>
  <c r="V52" i="11"/>
  <c r="U52" i="11"/>
  <c r="AI55" i="2"/>
  <c r="P55" i="2"/>
  <c r="AH55" i="2"/>
  <c r="S55" i="2"/>
  <c r="O55" i="2"/>
  <c r="C54" i="2"/>
  <c r="AA54" i="2"/>
  <c r="W54" i="2" s="1"/>
  <c r="U54" i="2"/>
  <c r="AC54" i="2"/>
  <c r="Z54" i="2"/>
  <c r="V54" i="2"/>
  <c r="AB54" i="2"/>
  <c r="T54" i="2"/>
  <c r="Q52" i="11"/>
  <c r="S52" i="11"/>
  <c r="H52" i="11"/>
  <c r="L54" i="11"/>
  <c r="E54" i="11"/>
  <c r="AB54" i="11"/>
  <c r="R54" i="11"/>
  <c r="K54" i="11"/>
  <c r="I52" i="11"/>
  <c r="P53" i="11"/>
  <c r="AD55" i="2"/>
  <c r="E55" i="2"/>
  <c r="D55" i="2" s="1"/>
  <c r="AG55" i="2"/>
  <c r="B55" i="2"/>
  <c r="A55" i="2"/>
  <c r="AJ56" i="2"/>
  <c r="N52" i="11"/>
  <c r="AC55" i="11"/>
  <c r="Z54" i="11"/>
  <c r="Y54" i="11"/>
  <c r="T54" i="11"/>
  <c r="X54" i="11"/>
  <c r="O54" i="11"/>
  <c r="AA54" i="11"/>
  <c r="G54" i="11"/>
  <c r="J54" i="11"/>
  <c r="F54" i="11"/>
  <c r="M54" i="11"/>
  <c r="V53" i="11"/>
  <c r="U53" i="11"/>
  <c r="U55" i="2"/>
  <c r="AA55" i="2"/>
  <c r="W55" i="2"/>
  <c r="X55" i="2" s="1"/>
  <c r="AC55" i="2"/>
  <c r="Z55" i="2"/>
  <c r="V55" i="2"/>
  <c r="AB55" i="2"/>
  <c r="T55" i="2"/>
  <c r="C55" i="2"/>
  <c r="O56" i="2"/>
  <c r="P56" i="2"/>
  <c r="AI56" i="2"/>
  <c r="AH56" i="2"/>
  <c r="S56" i="2"/>
  <c r="L55" i="11"/>
  <c r="E55" i="11"/>
  <c r="AB55" i="11"/>
  <c r="R55" i="11"/>
  <c r="K55" i="11"/>
  <c r="Q53" i="11"/>
  <c r="S53" i="11"/>
  <c r="H53" i="11"/>
  <c r="I53" i="11"/>
  <c r="P54" i="11"/>
  <c r="E56" i="2"/>
  <c r="D56" i="2" s="1"/>
  <c r="AG56" i="2"/>
  <c r="B56" i="2"/>
  <c r="A56" i="2"/>
  <c r="AJ57" i="2"/>
  <c r="AD56" i="2"/>
  <c r="N53" i="11"/>
  <c r="X55" i="11"/>
  <c r="O55" i="11"/>
  <c r="AA55" i="11"/>
  <c r="Z55" i="11"/>
  <c r="Y55" i="11"/>
  <c r="T55" i="11"/>
  <c r="AC56" i="11"/>
  <c r="G55" i="11"/>
  <c r="J55" i="11"/>
  <c r="F55" i="11"/>
  <c r="M55" i="11"/>
  <c r="V54" i="11"/>
  <c r="U54" i="11"/>
  <c r="O57" i="2"/>
  <c r="AH57" i="2"/>
  <c r="S57" i="2"/>
  <c r="P57" i="2"/>
  <c r="AI57" i="2"/>
  <c r="U56" i="2"/>
  <c r="AA56" i="2"/>
  <c r="W56" i="2" s="1"/>
  <c r="X56" i="2" s="1"/>
  <c r="Q56" i="2" s="1"/>
  <c r="AC56" i="2"/>
  <c r="Z56" i="2"/>
  <c r="V56" i="2"/>
  <c r="AB56" i="2"/>
  <c r="T56" i="2"/>
  <c r="C56" i="2"/>
  <c r="S54" i="11"/>
  <c r="Q54" i="11"/>
  <c r="AB56" i="11"/>
  <c r="R56" i="11"/>
  <c r="K56" i="11"/>
  <c r="L56" i="11"/>
  <c r="E56" i="11"/>
  <c r="I54" i="11"/>
  <c r="H54" i="11"/>
  <c r="P55" i="11"/>
  <c r="AG57" i="2"/>
  <c r="B57" i="2"/>
  <c r="A57" i="2"/>
  <c r="AD57" i="2"/>
  <c r="E57" i="2"/>
  <c r="AJ58" i="2"/>
  <c r="N54" i="11"/>
  <c r="X56" i="11"/>
  <c r="O56" i="11"/>
  <c r="AA56" i="11"/>
  <c r="AC57" i="11"/>
  <c r="Z56" i="11"/>
  <c r="Y56" i="11"/>
  <c r="T56" i="11"/>
  <c r="G56" i="11"/>
  <c r="J56" i="11"/>
  <c r="F56" i="11"/>
  <c r="M56" i="11"/>
  <c r="V55" i="11"/>
  <c r="U55" i="11"/>
  <c r="I55" i="11"/>
  <c r="AB57" i="2"/>
  <c r="T57" i="2"/>
  <c r="U57" i="2"/>
  <c r="AC57" i="2"/>
  <c r="Z57" i="2"/>
  <c r="V57" i="2"/>
  <c r="AI58" i="2"/>
  <c r="P58" i="2"/>
  <c r="AH58" i="2"/>
  <c r="S58" i="2"/>
  <c r="O58" i="2"/>
  <c r="AA57" i="2"/>
  <c r="W57" i="2" s="1"/>
  <c r="C57" i="2"/>
  <c r="X57" i="2"/>
  <c r="AF57" i="2"/>
  <c r="L57" i="11"/>
  <c r="E57" i="11"/>
  <c r="R57" i="11"/>
  <c r="K57" i="11"/>
  <c r="AB57" i="11"/>
  <c r="S55" i="11"/>
  <c r="Q55" i="11"/>
  <c r="H55" i="11"/>
  <c r="P56" i="11"/>
  <c r="AD58" i="2"/>
  <c r="AG58" i="2"/>
  <c r="B58" i="2"/>
  <c r="A58" i="2"/>
  <c r="E58" i="2"/>
  <c r="D58" i="2" s="1"/>
  <c r="AJ59" i="2"/>
  <c r="N55" i="11"/>
  <c r="AA57" i="11"/>
  <c r="AC58" i="11"/>
  <c r="Z57" i="11"/>
  <c r="Y57" i="11"/>
  <c r="T57" i="11"/>
  <c r="X57" i="11"/>
  <c r="O57" i="11"/>
  <c r="G57" i="11"/>
  <c r="J57" i="11"/>
  <c r="F57" i="11"/>
  <c r="M57" i="11"/>
  <c r="V56" i="11"/>
  <c r="U56" i="11"/>
  <c r="C58" i="2"/>
  <c r="AA58" i="2"/>
  <c r="W58" i="2" s="1"/>
  <c r="X58" i="2" s="1"/>
  <c r="U58" i="2"/>
  <c r="AC58" i="2"/>
  <c r="Z58" i="2"/>
  <c r="V58" i="2"/>
  <c r="AB58" i="2"/>
  <c r="T58" i="2"/>
  <c r="P59" i="2"/>
  <c r="O59" i="2"/>
  <c r="AI59" i="2"/>
  <c r="AH59" i="2"/>
  <c r="S59" i="2"/>
  <c r="Q56" i="11"/>
  <c r="S56" i="11"/>
  <c r="H56" i="11"/>
  <c r="L58" i="11"/>
  <c r="E58" i="11"/>
  <c r="AB58" i="11"/>
  <c r="R58" i="11"/>
  <c r="K58" i="11"/>
  <c r="I56" i="11"/>
  <c r="P57" i="11"/>
  <c r="AD59" i="2"/>
  <c r="U59" i="2"/>
  <c r="AG59" i="2"/>
  <c r="E59" i="2"/>
  <c r="D59" i="2" s="1"/>
  <c r="AJ60" i="2"/>
  <c r="B59" i="2"/>
  <c r="A59" i="2"/>
  <c r="N56" i="11"/>
  <c r="AC59" i="11"/>
  <c r="Z58" i="11"/>
  <c r="Y58" i="11"/>
  <c r="T58" i="11"/>
  <c r="X58" i="11"/>
  <c r="O58" i="11"/>
  <c r="AA58" i="11"/>
  <c r="G58" i="11"/>
  <c r="J58" i="11"/>
  <c r="F58" i="11"/>
  <c r="M58" i="11"/>
  <c r="V57" i="11"/>
  <c r="U57" i="11"/>
  <c r="AB59" i="2"/>
  <c r="T59" i="2"/>
  <c r="AC59" i="2"/>
  <c r="Z59" i="2"/>
  <c r="V59" i="2"/>
  <c r="AA59" i="2"/>
  <c r="W59" i="2" s="1"/>
  <c r="X59" i="2" s="1"/>
  <c r="AF59" i="2"/>
  <c r="C59" i="2"/>
  <c r="O60" i="2"/>
  <c r="AI60" i="2"/>
  <c r="P60" i="2"/>
  <c r="AH60" i="2"/>
  <c r="S60" i="2"/>
  <c r="L59" i="11"/>
  <c r="E59" i="11"/>
  <c r="AB59" i="11"/>
  <c r="R59" i="11"/>
  <c r="K59" i="11"/>
  <c r="Q57" i="11"/>
  <c r="S57" i="11"/>
  <c r="H57" i="11"/>
  <c r="I57" i="11"/>
  <c r="P58" i="11"/>
  <c r="E60" i="2"/>
  <c r="AG60" i="2"/>
  <c r="B60" i="2"/>
  <c r="A60" i="2"/>
  <c r="AD60" i="2"/>
  <c r="U60" i="2"/>
  <c r="AJ61" i="2"/>
  <c r="AA60" i="2"/>
  <c r="W60" i="2" s="1"/>
  <c r="X60" i="2" s="1"/>
  <c r="N57" i="11"/>
  <c r="X59" i="11"/>
  <c r="O59" i="11"/>
  <c r="AA59" i="11"/>
  <c r="AC60" i="11"/>
  <c r="Z59" i="11"/>
  <c r="Y59" i="11"/>
  <c r="T59" i="11"/>
  <c r="J59" i="11"/>
  <c r="F59" i="11"/>
  <c r="M59" i="11"/>
  <c r="G59" i="11"/>
  <c r="V58" i="11"/>
  <c r="U58" i="11"/>
  <c r="H58" i="11"/>
  <c r="AC60" i="2"/>
  <c r="Z60" i="2"/>
  <c r="V60" i="2"/>
  <c r="AB60" i="2"/>
  <c r="T60" i="2"/>
  <c r="AF60" i="2"/>
  <c r="C60" i="2"/>
  <c r="O61" i="2"/>
  <c r="AI61" i="2"/>
  <c r="P61" i="2"/>
  <c r="AH61" i="2"/>
  <c r="S61" i="2"/>
  <c r="AB60" i="11"/>
  <c r="R60" i="11"/>
  <c r="K60" i="11"/>
  <c r="L60" i="11"/>
  <c r="E60" i="11"/>
  <c r="S58" i="11"/>
  <c r="Q58" i="11"/>
  <c r="I58" i="11"/>
  <c r="P59" i="11"/>
  <c r="E61" i="2"/>
  <c r="AJ62" i="2"/>
  <c r="AD61" i="2"/>
  <c r="AG61" i="2"/>
  <c r="B61" i="2"/>
  <c r="A61" i="2"/>
  <c r="N58" i="11"/>
  <c r="X60" i="11"/>
  <c r="O60" i="11"/>
  <c r="AA60" i="11"/>
  <c r="AC61" i="11"/>
  <c r="Z60" i="11"/>
  <c r="Y60" i="11"/>
  <c r="T60" i="11"/>
  <c r="G60" i="11"/>
  <c r="J60" i="11"/>
  <c r="F60" i="11"/>
  <c r="M60" i="11"/>
  <c r="V59" i="11"/>
  <c r="U59" i="11"/>
  <c r="C61" i="2"/>
  <c r="U61" i="2"/>
  <c r="AA61" i="2"/>
  <c r="W61" i="2"/>
  <c r="AC61" i="2"/>
  <c r="Z61" i="2"/>
  <c r="V61" i="2"/>
  <c r="AB61" i="2"/>
  <c r="T61" i="2"/>
  <c r="P62" i="2"/>
  <c r="AH62" i="2"/>
  <c r="S62" i="2"/>
  <c r="O62" i="2"/>
  <c r="AI62" i="2"/>
  <c r="S59" i="11"/>
  <c r="Q59" i="11"/>
  <c r="L61" i="11"/>
  <c r="E61" i="11"/>
  <c r="R61" i="11"/>
  <c r="K61" i="11"/>
  <c r="AB61" i="11"/>
  <c r="I59" i="11"/>
  <c r="H59" i="11"/>
  <c r="P60" i="11"/>
  <c r="AJ63" i="2"/>
  <c r="E62" i="2"/>
  <c r="AD62" i="2"/>
  <c r="U62" i="2"/>
  <c r="AG62" i="2"/>
  <c r="B62" i="2"/>
  <c r="A62" i="2"/>
  <c r="N59" i="11"/>
  <c r="AA61" i="11"/>
  <c r="AC62" i="11"/>
  <c r="Z61" i="11"/>
  <c r="Y61" i="11"/>
  <c r="T61" i="11"/>
  <c r="X61" i="11"/>
  <c r="O61" i="11"/>
  <c r="G61" i="11"/>
  <c r="J61" i="11"/>
  <c r="F61" i="11"/>
  <c r="M61" i="11"/>
  <c r="V60" i="11"/>
  <c r="U60" i="11"/>
  <c r="H60" i="11"/>
  <c r="AB62" i="2"/>
  <c r="T62" i="2"/>
  <c r="C62" i="2"/>
  <c r="AA62" i="2"/>
  <c r="W62" i="2" s="1"/>
  <c r="X62" i="2" s="1"/>
  <c r="R62" i="2" s="1"/>
  <c r="AC62" i="2"/>
  <c r="Z62" i="2"/>
  <c r="V62" i="2"/>
  <c r="L62" i="2"/>
  <c r="G62" i="2" s="1"/>
  <c r="AF62" i="2"/>
  <c r="AI63" i="2"/>
  <c r="P63" i="2"/>
  <c r="AH63" i="2"/>
  <c r="S63" i="2"/>
  <c r="O63" i="2"/>
  <c r="L62" i="11"/>
  <c r="E62" i="11"/>
  <c r="AB62" i="11"/>
  <c r="R62" i="11"/>
  <c r="K62" i="11"/>
  <c r="Q60" i="11"/>
  <c r="S60" i="11"/>
  <c r="I60" i="11"/>
  <c r="P61" i="11"/>
  <c r="Q62" i="2"/>
  <c r="AD63" i="2"/>
  <c r="B63" i="2"/>
  <c r="A63" i="2"/>
  <c r="AJ64" i="2"/>
  <c r="AG63" i="2"/>
  <c r="E63" i="2"/>
  <c r="D63" i="2" s="1"/>
  <c r="N60" i="11"/>
  <c r="AC63" i="11"/>
  <c r="Z62" i="11"/>
  <c r="Y62" i="11"/>
  <c r="T62" i="11"/>
  <c r="X62" i="11"/>
  <c r="O62" i="11"/>
  <c r="AA62" i="11"/>
  <c r="G62" i="11"/>
  <c r="J62" i="11"/>
  <c r="F62" i="11"/>
  <c r="M62" i="11"/>
  <c r="V61" i="11"/>
  <c r="U61" i="11"/>
  <c r="O64" i="2"/>
  <c r="P64" i="2"/>
  <c r="AI64" i="2"/>
  <c r="AH64" i="2"/>
  <c r="S64" i="2"/>
  <c r="U63" i="2"/>
  <c r="AC63" i="2"/>
  <c r="Z63" i="2"/>
  <c r="V63" i="2"/>
  <c r="AB63" i="2"/>
  <c r="T63" i="2"/>
  <c r="AA63" i="2"/>
  <c r="W63" i="2" s="1"/>
  <c r="X63" i="2" s="1"/>
  <c r="AF63" i="2"/>
  <c r="C63" i="2"/>
  <c r="Q61" i="11"/>
  <c r="S61" i="11"/>
  <c r="H61" i="11"/>
  <c r="I61" i="11"/>
  <c r="AB63" i="11"/>
  <c r="R63" i="11"/>
  <c r="K63" i="11"/>
  <c r="E63" i="11"/>
  <c r="L63" i="11"/>
  <c r="P62" i="11"/>
  <c r="B64" i="2"/>
  <c r="A64" i="2"/>
  <c r="AD64" i="2"/>
  <c r="E64" i="2"/>
  <c r="D64" i="2" s="1"/>
  <c r="AG64" i="2"/>
  <c r="AJ65" i="2"/>
  <c r="N61" i="11"/>
  <c r="X63" i="11"/>
  <c r="O63" i="11"/>
  <c r="AC64" i="11"/>
  <c r="Z63" i="11"/>
  <c r="Y63" i="11"/>
  <c r="T63" i="11"/>
  <c r="AA63" i="11"/>
  <c r="G63" i="11"/>
  <c r="J63" i="11"/>
  <c r="F63" i="11"/>
  <c r="M63" i="11"/>
  <c r="V62" i="11"/>
  <c r="U62" i="11"/>
  <c r="AI65" i="2"/>
  <c r="P65" i="2"/>
  <c r="O65" i="2"/>
  <c r="AH65" i="2"/>
  <c r="S65" i="2"/>
  <c r="U64" i="2"/>
  <c r="AB64" i="2"/>
  <c r="T64" i="2"/>
  <c r="AC64" i="2"/>
  <c r="Z64" i="2"/>
  <c r="V64" i="2"/>
  <c r="AA64" i="2"/>
  <c r="W64" i="2" s="1"/>
  <c r="X64" i="2" s="1"/>
  <c r="R64" i="2" s="1"/>
  <c r="L64" i="2" s="1"/>
  <c r="AF64" i="2"/>
  <c r="C64" i="2"/>
  <c r="L64" i="11"/>
  <c r="E64" i="11"/>
  <c r="AB64" i="11"/>
  <c r="R64" i="11"/>
  <c r="K64" i="11"/>
  <c r="S62" i="11"/>
  <c r="Q62" i="11"/>
  <c r="H62" i="11"/>
  <c r="I62" i="11"/>
  <c r="P63" i="11"/>
  <c r="AD65" i="2"/>
  <c r="AG65" i="2"/>
  <c r="AJ66" i="2"/>
  <c r="B65" i="2"/>
  <c r="A65" i="2"/>
  <c r="E65" i="2"/>
  <c r="N62" i="11"/>
  <c r="AA64" i="11"/>
  <c r="AC65" i="11"/>
  <c r="Z64" i="11"/>
  <c r="Y64" i="11"/>
  <c r="T64" i="11"/>
  <c r="X64" i="11"/>
  <c r="O64" i="11"/>
  <c r="G64" i="11"/>
  <c r="J64" i="11"/>
  <c r="F64" i="11"/>
  <c r="M64" i="11"/>
  <c r="V63" i="11"/>
  <c r="U63" i="11"/>
  <c r="AH66" i="2"/>
  <c r="S66" i="2"/>
  <c r="P66" i="2"/>
  <c r="AI66" i="2"/>
  <c r="O66" i="2"/>
  <c r="AA65" i="2"/>
  <c r="W65" i="2" s="1"/>
  <c r="X65" i="2" s="1"/>
  <c r="R65" i="2" s="1"/>
  <c r="L65" i="2" s="1"/>
  <c r="C65" i="2"/>
  <c r="U65" i="2"/>
  <c r="AC65" i="2"/>
  <c r="Z65" i="2"/>
  <c r="V65" i="2"/>
  <c r="AB65" i="2"/>
  <c r="T65" i="2"/>
  <c r="L65" i="11"/>
  <c r="E65" i="11"/>
  <c r="AB65" i="11"/>
  <c r="R65" i="11"/>
  <c r="K65" i="11"/>
  <c r="S63" i="11"/>
  <c r="Q63" i="11"/>
  <c r="H63" i="11"/>
  <c r="I63" i="11"/>
  <c r="P64" i="11"/>
  <c r="B66" i="2"/>
  <c r="A66" i="2"/>
  <c r="AJ67" i="2"/>
  <c r="AG66" i="2"/>
  <c r="AD66" i="2"/>
  <c r="E66" i="2"/>
  <c r="N63" i="11"/>
  <c r="AC66" i="11"/>
  <c r="Z65" i="11"/>
  <c r="Y65" i="11"/>
  <c r="T65" i="11"/>
  <c r="X65" i="11"/>
  <c r="O65" i="11"/>
  <c r="AA65" i="11"/>
  <c r="G65" i="11"/>
  <c r="J65" i="11"/>
  <c r="F65" i="11"/>
  <c r="M65" i="11"/>
  <c r="V64" i="11"/>
  <c r="U64" i="11"/>
  <c r="U66" i="2"/>
  <c r="AB66" i="2"/>
  <c r="T66" i="2"/>
  <c r="AC66" i="2"/>
  <c r="Z66" i="2"/>
  <c r="V66" i="2"/>
  <c r="C66" i="2"/>
  <c r="AA66" i="2"/>
  <c r="W66" i="2" s="1"/>
  <c r="X66" i="2" s="1"/>
  <c r="AF66" i="2"/>
  <c r="AI67" i="2"/>
  <c r="P67" i="2"/>
  <c r="AH67" i="2"/>
  <c r="S67" i="2"/>
  <c r="O67" i="2"/>
  <c r="L66" i="11"/>
  <c r="E66" i="11"/>
  <c r="AB66" i="11"/>
  <c r="R66" i="11"/>
  <c r="K66" i="11"/>
  <c r="Q64" i="11"/>
  <c r="S64" i="11"/>
  <c r="H64" i="11"/>
  <c r="I64" i="11"/>
  <c r="P65" i="11"/>
  <c r="AD67" i="2"/>
  <c r="U67" i="2"/>
  <c r="B67" i="2"/>
  <c r="A67" i="2"/>
  <c r="AJ68" i="2"/>
  <c r="E67" i="2"/>
  <c r="AG67" i="2"/>
  <c r="N64" i="11"/>
  <c r="X66" i="11"/>
  <c r="O66" i="11"/>
  <c r="AA66" i="11"/>
  <c r="Z66" i="11"/>
  <c r="Y66" i="11"/>
  <c r="T66" i="11"/>
  <c r="AC67" i="11"/>
  <c r="G66" i="11"/>
  <c r="J66" i="11"/>
  <c r="F66" i="11"/>
  <c r="M66" i="11"/>
  <c r="V65" i="11"/>
  <c r="U65" i="11"/>
  <c r="P68" i="2"/>
  <c r="AI68" i="2"/>
  <c r="AH68" i="2"/>
  <c r="S68" i="2"/>
  <c r="O68" i="2"/>
  <c r="AA67" i="2"/>
  <c r="W67" i="2"/>
  <c r="AC67" i="2"/>
  <c r="Z67" i="2"/>
  <c r="V67" i="2"/>
  <c r="AB67" i="2"/>
  <c r="T67" i="2"/>
  <c r="C67" i="2"/>
  <c r="S65" i="11"/>
  <c r="Q65" i="11"/>
  <c r="AB67" i="11"/>
  <c r="R67" i="11"/>
  <c r="K67" i="11"/>
  <c r="L67" i="11"/>
  <c r="E67" i="11"/>
  <c r="I65" i="11"/>
  <c r="H65" i="11"/>
  <c r="P66" i="11"/>
  <c r="B68" i="2"/>
  <c r="A68" i="2"/>
  <c r="AJ69" i="2"/>
  <c r="AD68" i="2"/>
  <c r="E68" i="2"/>
  <c r="AG68" i="2"/>
  <c r="N65" i="11"/>
  <c r="X67" i="11"/>
  <c r="O67" i="11"/>
  <c r="AA67" i="11"/>
  <c r="AC68" i="11"/>
  <c r="Z67" i="11"/>
  <c r="Y67" i="11"/>
  <c r="T67" i="11"/>
  <c r="G67" i="11"/>
  <c r="J67" i="11"/>
  <c r="F67" i="11"/>
  <c r="M67" i="11"/>
  <c r="V66" i="11"/>
  <c r="U66" i="11"/>
  <c r="I66" i="11"/>
  <c r="U68" i="2"/>
  <c r="AC68" i="2"/>
  <c r="Z68" i="2"/>
  <c r="V68" i="2"/>
  <c r="AB68" i="2"/>
  <c r="T68" i="2"/>
  <c r="P69" i="2"/>
  <c r="AI69" i="2"/>
  <c r="O69" i="2"/>
  <c r="AH69" i="2"/>
  <c r="S69" i="2"/>
  <c r="AA68" i="2"/>
  <c r="W68" i="2" s="1"/>
  <c r="X68" i="2" s="1"/>
  <c r="R68" i="2" s="1"/>
  <c r="L68" i="2"/>
  <c r="H68" i="2" s="1"/>
  <c r="AF68" i="2"/>
  <c r="C68" i="2"/>
  <c r="L68" i="11"/>
  <c r="E68" i="11"/>
  <c r="R68" i="11"/>
  <c r="K68" i="11"/>
  <c r="AB68" i="11"/>
  <c r="S66" i="11"/>
  <c r="Q66" i="11"/>
  <c r="H66" i="11"/>
  <c r="P67" i="11"/>
  <c r="Q68" i="2"/>
  <c r="J68" i="2" s="1"/>
  <c r="I68" i="2" s="1"/>
  <c r="B69" i="2"/>
  <c r="A69" i="2"/>
  <c r="E69" i="2"/>
  <c r="AJ70" i="2"/>
  <c r="AD69" i="2"/>
  <c r="AG69" i="2"/>
  <c r="AA68" i="11"/>
  <c r="AC69" i="11"/>
  <c r="Z68" i="11"/>
  <c r="Y68" i="11"/>
  <c r="T68" i="11"/>
  <c r="X68" i="11"/>
  <c r="O68" i="11"/>
  <c r="N66" i="11"/>
  <c r="V67" i="11"/>
  <c r="U67" i="11"/>
  <c r="H67" i="11"/>
  <c r="G68" i="11"/>
  <c r="J68" i="11"/>
  <c r="F68" i="11"/>
  <c r="M68" i="11"/>
  <c r="O70" i="2"/>
  <c r="AH70" i="2"/>
  <c r="S70" i="2"/>
  <c r="P70" i="2"/>
  <c r="AI70" i="2"/>
  <c r="C69" i="2"/>
  <c r="U69" i="2"/>
  <c r="AA69" i="2"/>
  <c r="W69" i="2" s="1"/>
  <c r="X69" i="2" s="1"/>
  <c r="AC69" i="2"/>
  <c r="Z69" i="2"/>
  <c r="V69" i="2"/>
  <c r="AB69" i="2"/>
  <c r="T69" i="2"/>
  <c r="L69" i="11"/>
  <c r="E69" i="11"/>
  <c r="AB69" i="11"/>
  <c r="R69" i="11"/>
  <c r="K69" i="11"/>
  <c r="Q67" i="11"/>
  <c r="S67" i="11"/>
  <c r="I67" i="11"/>
  <c r="P68" i="11"/>
  <c r="AD70" i="2"/>
  <c r="AG70" i="2"/>
  <c r="B70" i="2"/>
  <c r="A70" i="2"/>
  <c r="AJ71" i="2"/>
  <c r="E70" i="2"/>
  <c r="D70" i="2" s="1"/>
  <c r="N67" i="11"/>
  <c r="AC70" i="11"/>
  <c r="Z69" i="11"/>
  <c r="Y69" i="11"/>
  <c r="T69" i="11"/>
  <c r="X69" i="11"/>
  <c r="O69" i="11"/>
  <c r="AA69" i="11"/>
  <c r="V68" i="11"/>
  <c r="U68" i="11"/>
  <c r="J69" i="11"/>
  <c r="F69" i="11"/>
  <c r="M69" i="11"/>
  <c r="G69" i="11"/>
  <c r="AI71" i="2"/>
  <c r="AH71" i="2"/>
  <c r="S71" i="2"/>
  <c r="P71" i="2"/>
  <c r="O71" i="2"/>
  <c r="C70" i="2"/>
  <c r="U70" i="2"/>
  <c r="AA70" i="2"/>
  <c r="W70" i="2" s="1"/>
  <c r="AC70" i="2"/>
  <c r="Z70" i="2"/>
  <c r="V70" i="2"/>
  <c r="AB70" i="2"/>
  <c r="T70" i="2"/>
  <c r="Q68" i="11"/>
  <c r="S68" i="11"/>
  <c r="H68" i="11"/>
  <c r="I68" i="11"/>
  <c r="L70" i="11"/>
  <c r="E70" i="11"/>
  <c r="AB70" i="11"/>
  <c r="R70" i="11"/>
  <c r="K70" i="11"/>
  <c r="P69" i="11"/>
  <c r="AD71" i="2"/>
  <c r="AJ72" i="2"/>
  <c r="AG71" i="2"/>
  <c r="E71" i="2"/>
  <c r="B71" i="2"/>
  <c r="A71" i="2"/>
  <c r="X70" i="11"/>
  <c r="O70" i="11"/>
  <c r="AA70" i="11"/>
  <c r="AC71" i="11"/>
  <c r="Z70" i="11"/>
  <c r="Y70" i="11"/>
  <c r="T70" i="11"/>
  <c r="N68" i="11"/>
  <c r="J70" i="11"/>
  <c r="F70" i="11"/>
  <c r="G70" i="11"/>
  <c r="M70" i="11"/>
  <c r="V69" i="11"/>
  <c r="U69" i="11"/>
  <c r="C71" i="2"/>
  <c r="U71" i="2"/>
  <c r="AA71" i="2"/>
  <c r="W71" i="2"/>
  <c r="AC71" i="2"/>
  <c r="Z71" i="2"/>
  <c r="V71" i="2"/>
  <c r="AB71" i="2"/>
  <c r="T71" i="2"/>
  <c r="O72" i="2"/>
  <c r="AI72" i="2"/>
  <c r="P72" i="2"/>
  <c r="AH72" i="2"/>
  <c r="S72" i="2"/>
  <c r="S69" i="11"/>
  <c r="Q69" i="11"/>
  <c r="H69" i="11"/>
  <c r="AB71" i="11"/>
  <c r="R71" i="11"/>
  <c r="K71" i="11"/>
  <c r="L71" i="11"/>
  <c r="E71" i="11"/>
  <c r="I69" i="11"/>
  <c r="P70" i="11"/>
  <c r="AG72" i="2"/>
  <c r="AD72" i="2"/>
  <c r="E72" i="2"/>
  <c r="D72" i="2" s="1"/>
  <c r="AJ73" i="2"/>
  <c r="B72" i="2"/>
  <c r="A72" i="2"/>
  <c r="N69" i="11"/>
  <c r="X71" i="11"/>
  <c r="O71" i="11"/>
  <c r="AA71" i="11"/>
  <c r="AC72" i="11"/>
  <c r="Z71" i="11"/>
  <c r="Y71" i="11"/>
  <c r="T71" i="11"/>
  <c r="V70" i="11"/>
  <c r="U70" i="11"/>
  <c r="G71" i="11"/>
  <c r="J71" i="11"/>
  <c r="F71" i="11"/>
  <c r="M71" i="11"/>
  <c r="AB72" i="2"/>
  <c r="T72" i="2"/>
  <c r="AC72" i="2"/>
  <c r="Z72" i="2"/>
  <c r="V72" i="2"/>
  <c r="U72" i="2"/>
  <c r="AA72" i="2"/>
  <c r="W72" i="2"/>
  <c r="X72" i="2" s="1"/>
  <c r="C72" i="2"/>
  <c r="AF72" i="2"/>
  <c r="P73" i="2"/>
  <c r="AI73" i="2"/>
  <c r="O73" i="2"/>
  <c r="AH73" i="2"/>
  <c r="S73" i="2"/>
  <c r="L72" i="11"/>
  <c r="E72" i="11"/>
  <c r="R72" i="11"/>
  <c r="K72" i="11"/>
  <c r="AB72" i="11"/>
  <c r="S70" i="11"/>
  <c r="Q70" i="11"/>
  <c r="I70" i="11"/>
  <c r="H70" i="11"/>
  <c r="P71" i="11"/>
  <c r="AD73" i="2"/>
  <c r="AB73" i="2"/>
  <c r="T73" i="2"/>
  <c r="AG73" i="2"/>
  <c r="B73" i="2"/>
  <c r="A73" i="2"/>
  <c r="AJ74" i="2"/>
  <c r="E73" i="2"/>
  <c r="D73" i="2" s="1"/>
  <c r="U73" i="2"/>
  <c r="AC73" i="2"/>
  <c r="Z73" i="2"/>
  <c r="V73" i="2"/>
  <c r="N70" i="11"/>
  <c r="AA72" i="11"/>
  <c r="AC73" i="11"/>
  <c r="Z72" i="11"/>
  <c r="Y72" i="11"/>
  <c r="T72" i="11"/>
  <c r="X72" i="11"/>
  <c r="O72" i="11"/>
  <c r="V71" i="11"/>
  <c r="U71" i="11"/>
  <c r="G72" i="11"/>
  <c r="J72" i="11"/>
  <c r="F72" i="11"/>
  <c r="M72" i="11"/>
  <c r="AI74" i="2"/>
  <c r="P74" i="2"/>
  <c r="AH74" i="2"/>
  <c r="S74" i="2"/>
  <c r="O74" i="2"/>
  <c r="AA73" i="2"/>
  <c r="W73" i="2" s="1"/>
  <c r="X73" i="2" s="1"/>
  <c r="Q73" i="2" s="1"/>
  <c r="J73" i="2" s="1"/>
  <c r="R73" i="2"/>
  <c r="L73" i="2" s="1"/>
  <c r="AF73" i="2"/>
  <c r="C73" i="2"/>
  <c r="L73" i="11"/>
  <c r="E73" i="11"/>
  <c r="AB73" i="11"/>
  <c r="R73" i="11"/>
  <c r="K73" i="11"/>
  <c r="Q71" i="11"/>
  <c r="S71" i="11"/>
  <c r="H71" i="11"/>
  <c r="I71" i="11"/>
  <c r="P72" i="11"/>
  <c r="AD74" i="2"/>
  <c r="AG74" i="2"/>
  <c r="B74" i="2"/>
  <c r="A74" i="2"/>
  <c r="AJ75" i="2"/>
  <c r="E74" i="2"/>
  <c r="D74" i="2" s="1"/>
  <c r="N71" i="11"/>
  <c r="AC74" i="11"/>
  <c r="Z73" i="11"/>
  <c r="Y73" i="11"/>
  <c r="T73" i="11"/>
  <c r="X73" i="11"/>
  <c r="O73" i="11"/>
  <c r="AA73" i="11"/>
  <c r="G73" i="11"/>
  <c r="J73" i="11"/>
  <c r="F73" i="11"/>
  <c r="M73" i="11"/>
  <c r="V72" i="11"/>
  <c r="U72" i="11"/>
  <c r="O75" i="2"/>
  <c r="P75" i="2"/>
  <c r="AH75" i="2"/>
  <c r="S75" i="2"/>
  <c r="AI75" i="2"/>
  <c r="U74" i="2"/>
  <c r="AA74" i="2"/>
  <c r="W74" i="2" s="1"/>
  <c r="AC74" i="2"/>
  <c r="Z74" i="2"/>
  <c r="V74" i="2"/>
  <c r="AB74" i="2"/>
  <c r="T74" i="2"/>
  <c r="C74" i="2"/>
  <c r="L74" i="11"/>
  <c r="E74" i="11"/>
  <c r="AB74" i="11"/>
  <c r="R74" i="11"/>
  <c r="K74" i="11"/>
  <c r="Q72" i="11"/>
  <c r="S72" i="11"/>
  <c r="H72" i="11"/>
  <c r="I72" i="11"/>
  <c r="P73" i="11"/>
  <c r="E75" i="2"/>
  <c r="AJ76" i="2"/>
  <c r="AD75" i="2"/>
  <c r="AG75" i="2"/>
  <c r="B75" i="2"/>
  <c r="A75" i="2"/>
  <c r="N72" i="11"/>
  <c r="X74" i="11"/>
  <c r="O74" i="11"/>
  <c r="AA74" i="11"/>
  <c r="AC75" i="11"/>
  <c r="Z74" i="11"/>
  <c r="Y74" i="11"/>
  <c r="T74" i="11"/>
  <c r="V73" i="11"/>
  <c r="U73" i="11"/>
  <c r="H73" i="11"/>
  <c r="G74" i="11"/>
  <c r="J74" i="11"/>
  <c r="F74" i="11"/>
  <c r="M74" i="11"/>
  <c r="U75" i="2"/>
  <c r="AC75" i="2"/>
  <c r="Z75" i="2"/>
  <c r="V75" i="2"/>
  <c r="AB75" i="2"/>
  <c r="T75" i="2"/>
  <c r="AH76" i="2"/>
  <c r="S76" i="2"/>
  <c r="P76" i="2"/>
  <c r="AI76" i="2"/>
  <c r="O76" i="2"/>
  <c r="AA75" i="2"/>
  <c r="W75" i="2"/>
  <c r="X75" i="2" s="1"/>
  <c r="AF75" i="2"/>
  <c r="C75" i="2"/>
  <c r="AB75" i="11"/>
  <c r="R75" i="11"/>
  <c r="K75" i="11"/>
  <c r="L75" i="11"/>
  <c r="E75" i="11"/>
  <c r="S73" i="11"/>
  <c r="Q73" i="11"/>
  <c r="I73" i="11"/>
  <c r="P74" i="11"/>
  <c r="AG76" i="2"/>
  <c r="AD76" i="2"/>
  <c r="B76" i="2"/>
  <c r="A76" i="2"/>
  <c r="E76" i="2"/>
  <c r="AJ77" i="2"/>
  <c r="N73" i="11"/>
  <c r="X75" i="11"/>
  <c r="O75" i="11"/>
  <c r="AA75" i="11"/>
  <c r="AC76" i="11"/>
  <c r="Z75" i="11"/>
  <c r="Y75" i="11"/>
  <c r="T75" i="11"/>
  <c r="V74" i="11"/>
  <c r="U74" i="11"/>
  <c r="G75" i="11"/>
  <c r="J75" i="11"/>
  <c r="F75" i="11"/>
  <c r="M75" i="11"/>
  <c r="U76" i="2"/>
  <c r="AB76" i="2"/>
  <c r="T76" i="2"/>
  <c r="AC76" i="2"/>
  <c r="Z76" i="2"/>
  <c r="V76" i="2"/>
  <c r="P77" i="2"/>
  <c r="AI77" i="2"/>
  <c r="O77" i="2"/>
  <c r="AH77" i="2"/>
  <c r="S77" i="2"/>
  <c r="AA76" i="2"/>
  <c r="W76" i="2"/>
  <c r="X76" i="2" s="1"/>
  <c r="R76" i="2" s="1"/>
  <c r="L76" i="2" s="1"/>
  <c r="AF76" i="2"/>
  <c r="C76" i="2"/>
  <c r="S74" i="11"/>
  <c r="Q74" i="11"/>
  <c r="L76" i="11"/>
  <c r="E76" i="11"/>
  <c r="K76" i="11"/>
  <c r="AB76" i="11"/>
  <c r="R76" i="11"/>
  <c r="H74" i="11"/>
  <c r="I74" i="11"/>
  <c r="P75" i="11"/>
  <c r="Q76" i="2"/>
  <c r="J76" i="2" s="1"/>
  <c r="AD77" i="2"/>
  <c r="AG77" i="2"/>
  <c r="B77" i="2"/>
  <c r="A77" i="2"/>
  <c r="AJ78" i="2"/>
  <c r="E77" i="2"/>
  <c r="N74" i="11"/>
  <c r="AA76" i="11"/>
  <c r="AC77" i="11"/>
  <c r="Z76" i="11"/>
  <c r="Y76" i="11"/>
  <c r="T76" i="11"/>
  <c r="X76" i="11"/>
  <c r="O76" i="11"/>
  <c r="V75" i="11"/>
  <c r="U75" i="11"/>
  <c r="G76" i="11"/>
  <c r="J76" i="11"/>
  <c r="F76" i="11"/>
  <c r="M76" i="11"/>
  <c r="C77" i="2"/>
  <c r="U77" i="2"/>
  <c r="AA77" i="2"/>
  <c r="W77" i="2"/>
  <c r="AC77" i="2"/>
  <c r="Z77" i="2"/>
  <c r="V77" i="2"/>
  <c r="AB77" i="2"/>
  <c r="T77" i="2"/>
  <c r="AI78" i="2"/>
  <c r="P78" i="2"/>
  <c r="AH78" i="2"/>
  <c r="S78" i="2"/>
  <c r="O78" i="2"/>
  <c r="L77" i="11"/>
  <c r="E77" i="11"/>
  <c r="AB77" i="11"/>
  <c r="R77" i="11"/>
  <c r="K77" i="11"/>
  <c r="Q75" i="11"/>
  <c r="S75" i="11"/>
  <c r="H75" i="11"/>
  <c r="I75" i="11"/>
  <c r="P76" i="11"/>
  <c r="B78" i="2"/>
  <c r="A78" i="2"/>
  <c r="AJ79" i="2"/>
  <c r="E78" i="2"/>
  <c r="D78" i="2" s="1"/>
  <c r="AD78" i="2"/>
  <c r="AG78" i="2"/>
  <c r="N75" i="11"/>
  <c r="AC78" i="11"/>
  <c r="Z77" i="11"/>
  <c r="Y77" i="11"/>
  <c r="T77" i="11"/>
  <c r="X77" i="11"/>
  <c r="O77" i="11"/>
  <c r="AA77" i="11"/>
  <c r="G77" i="11"/>
  <c r="J77" i="11"/>
  <c r="F77" i="11"/>
  <c r="M77" i="11"/>
  <c r="V76" i="11"/>
  <c r="U76" i="11"/>
  <c r="P79" i="2"/>
  <c r="AH79" i="2"/>
  <c r="S79" i="2"/>
  <c r="O79" i="2"/>
  <c r="AI79" i="2"/>
  <c r="C78" i="2"/>
  <c r="U78" i="2"/>
  <c r="AA78" i="2"/>
  <c r="W78" i="2" s="1"/>
  <c r="X78" i="2" s="1"/>
  <c r="Q78" i="2" s="1"/>
  <c r="AC78" i="2"/>
  <c r="Z78" i="2"/>
  <c r="V78" i="2"/>
  <c r="AB78" i="2"/>
  <c r="T78" i="2"/>
  <c r="L78" i="11"/>
  <c r="E78" i="11"/>
  <c r="AB78" i="11"/>
  <c r="R78" i="11"/>
  <c r="K78" i="11"/>
  <c r="Q76" i="11"/>
  <c r="S76" i="11"/>
  <c r="H76" i="11"/>
  <c r="I76" i="11"/>
  <c r="P77" i="11"/>
  <c r="AG79" i="2"/>
  <c r="AJ80" i="2"/>
  <c r="E79" i="2"/>
  <c r="AD79" i="2"/>
  <c r="B79" i="2"/>
  <c r="A79" i="2"/>
  <c r="N76" i="11"/>
  <c r="X78" i="11"/>
  <c r="O78" i="11"/>
  <c r="AA78" i="11"/>
  <c r="AC79" i="11"/>
  <c r="Z78" i="11"/>
  <c r="Y78" i="11"/>
  <c r="T78" i="11"/>
  <c r="V77" i="11"/>
  <c r="U77" i="11"/>
  <c r="G78" i="11"/>
  <c r="J78" i="11"/>
  <c r="F78" i="11"/>
  <c r="M78" i="11"/>
  <c r="AB79" i="2"/>
  <c r="T79" i="2"/>
  <c r="U79" i="2"/>
  <c r="AC79" i="2"/>
  <c r="Z79" i="2"/>
  <c r="V79" i="2"/>
  <c r="AI80" i="2"/>
  <c r="AH80" i="2"/>
  <c r="S80" i="2"/>
  <c r="P80" i="2"/>
  <c r="O80" i="2"/>
  <c r="AA79" i="2"/>
  <c r="W79" i="2" s="1"/>
  <c r="X79" i="2" s="1"/>
  <c r="AF79" i="2"/>
  <c r="C79" i="2"/>
  <c r="S77" i="11"/>
  <c r="Q77" i="11"/>
  <c r="H77" i="11"/>
  <c r="I77" i="11"/>
  <c r="AB79" i="11"/>
  <c r="R79" i="11"/>
  <c r="K79" i="11"/>
  <c r="E79" i="11"/>
  <c r="L79" i="11"/>
  <c r="P78" i="11"/>
  <c r="B80" i="2"/>
  <c r="A80" i="2"/>
  <c r="AJ81" i="2"/>
  <c r="AD80" i="2"/>
  <c r="AG80" i="2"/>
  <c r="E80" i="2"/>
  <c r="N77" i="11"/>
  <c r="X79" i="11"/>
  <c r="O79" i="11"/>
  <c r="AA79" i="11"/>
  <c r="AC80" i="11"/>
  <c r="Z79" i="11"/>
  <c r="Y79" i="11"/>
  <c r="T79" i="11"/>
  <c r="V78" i="11"/>
  <c r="U78" i="11"/>
  <c r="I78" i="11"/>
  <c r="G79" i="11"/>
  <c r="J79" i="11"/>
  <c r="F79" i="11"/>
  <c r="M79" i="11"/>
  <c r="U80" i="2"/>
  <c r="AA80" i="2"/>
  <c r="W80" i="2"/>
  <c r="X80" i="2" s="1"/>
  <c r="R80" i="2" s="1"/>
  <c r="L80" i="2" s="1"/>
  <c r="H80" i="2" s="1"/>
  <c r="AC80" i="2"/>
  <c r="Z80" i="2"/>
  <c r="V80" i="2"/>
  <c r="AB80" i="2"/>
  <c r="T80" i="2"/>
  <c r="C80" i="2"/>
  <c r="AH81" i="2"/>
  <c r="S81" i="2"/>
  <c r="P81" i="2"/>
  <c r="AI81" i="2"/>
  <c r="O81" i="2"/>
  <c r="L80" i="11"/>
  <c r="E80" i="11"/>
  <c r="AB80" i="11"/>
  <c r="R80" i="11"/>
  <c r="K80" i="11"/>
  <c r="S78" i="11"/>
  <c r="Q78" i="11"/>
  <c r="H78" i="11"/>
  <c r="P79" i="11"/>
  <c r="AG81" i="2"/>
  <c r="E81" i="2"/>
  <c r="AJ82" i="2"/>
  <c r="AD81" i="2"/>
  <c r="B81" i="2"/>
  <c r="A81" i="2"/>
  <c r="N78" i="11"/>
  <c r="AA80" i="11"/>
  <c r="AC81" i="11"/>
  <c r="Z80" i="11"/>
  <c r="Y80" i="11"/>
  <c r="T80" i="11"/>
  <c r="X80" i="11"/>
  <c r="O80" i="11"/>
  <c r="V79" i="11"/>
  <c r="U79" i="11"/>
  <c r="G80" i="11"/>
  <c r="J80" i="11"/>
  <c r="F80" i="11"/>
  <c r="M80" i="11"/>
  <c r="AH82" i="2"/>
  <c r="S82" i="2"/>
  <c r="P82" i="2"/>
  <c r="O82" i="2"/>
  <c r="AI82" i="2"/>
  <c r="C81" i="2"/>
  <c r="AA81" i="2"/>
  <c r="W81" i="2"/>
  <c r="X81" i="2" s="1"/>
  <c r="U81" i="2"/>
  <c r="AC81" i="2"/>
  <c r="Z81" i="2"/>
  <c r="V81" i="2"/>
  <c r="AB81" i="2"/>
  <c r="T81" i="2"/>
  <c r="L81" i="11"/>
  <c r="E81" i="11"/>
  <c r="AB81" i="11"/>
  <c r="R81" i="11"/>
  <c r="K81" i="11"/>
  <c r="Q79" i="11"/>
  <c r="S79" i="11"/>
  <c r="H79" i="11"/>
  <c r="I79" i="11"/>
  <c r="P80" i="11"/>
  <c r="AD82" i="2"/>
  <c r="AG82" i="2"/>
  <c r="E82" i="2"/>
  <c r="AJ83" i="2"/>
  <c r="B82" i="2"/>
  <c r="A82" i="2"/>
  <c r="N79" i="11"/>
  <c r="AC82" i="11"/>
  <c r="Z81" i="11"/>
  <c r="Y81" i="11"/>
  <c r="T81" i="11"/>
  <c r="X81" i="11"/>
  <c r="O81" i="11"/>
  <c r="AA81" i="11"/>
  <c r="V80" i="11"/>
  <c r="U80" i="11"/>
  <c r="G81" i="11"/>
  <c r="J81" i="11"/>
  <c r="F81" i="11"/>
  <c r="M81" i="11"/>
  <c r="AI83" i="2"/>
  <c r="P83" i="2"/>
  <c r="AH83" i="2"/>
  <c r="S83" i="2"/>
  <c r="O83" i="2"/>
  <c r="U82" i="2"/>
  <c r="AA82" i="2"/>
  <c r="W82" i="2"/>
  <c r="AC82" i="2"/>
  <c r="Z82" i="2"/>
  <c r="V82" i="2"/>
  <c r="AB82" i="2"/>
  <c r="T82" i="2"/>
  <c r="C82" i="2"/>
  <c r="L82" i="11"/>
  <c r="E82" i="11"/>
  <c r="AB82" i="11"/>
  <c r="R82" i="11"/>
  <c r="K82" i="11"/>
  <c r="Q80" i="11"/>
  <c r="S80" i="11"/>
  <c r="H80" i="11"/>
  <c r="I80" i="11"/>
  <c r="P81" i="11"/>
  <c r="AD83" i="2"/>
  <c r="AG83" i="2"/>
  <c r="B83" i="2"/>
  <c r="A83" i="2"/>
  <c r="E83" i="2"/>
  <c r="AJ84" i="2"/>
  <c r="N80" i="11"/>
  <c r="X82" i="11"/>
  <c r="O82" i="11"/>
  <c r="AA82" i="11"/>
  <c r="Z82" i="11"/>
  <c r="Y82" i="11"/>
  <c r="T82" i="11"/>
  <c r="V81" i="11"/>
  <c r="U81" i="11"/>
  <c r="I81" i="11"/>
  <c r="G82" i="11"/>
  <c r="J82" i="11"/>
  <c r="F82" i="11"/>
  <c r="M82" i="11"/>
  <c r="AA83" i="2"/>
  <c r="W83" i="2" s="1"/>
  <c r="X83" i="2" s="1"/>
  <c r="U83" i="2"/>
  <c r="AC83" i="2"/>
  <c r="Z83" i="2"/>
  <c r="V83" i="2"/>
  <c r="AB83" i="2"/>
  <c r="T83" i="2"/>
  <c r="C83" i="2"/>
  <c r="AI84" i="2"/>
  <c r="P84" i="2"/>
  <c r="AH84" i="2"/>
  <c r="S84" i="2"/>
  <c r="O84" i="2"/>
  <c r="S81" i="11"/>
  <c r="Q81" i="11"/>
  <c r="H81" i="11"/>
  <c r="P82" i="11"/>
  <c r="AG84" i="2"/>
  <c r="AD84" i="2"/>
  <c r="B84" i="2"/>
  <c r="A84" i="2"/>
  <c r="AJ85" i="2"/>
  <c r="E84" i="2"/>
  <c r="N81" i="11"/>
  <c r="V82" i="11"/>
  <c r="U82" i="11"/>
  <c r="O85" i="2"/>
  <c r="AH85" i="2"/>
  <c r="S85" i="2"/>
  <c r="P85" i="2"/>
  <c r="AI85" i="2"/>
  <c r="AC84" i="2"/>
  <c r="Z84" i="2"/>
  <c r="V84" i="2"/>
  <c r="AB84" i="2"/>
  <c r="T84" i="2"/>
  <c r="U84" i="2"/>
  <c r="AA84" i="2"/>
  <c r="W84" i="2"/>
  <c r="X84" i="2" s="1"/>
  <c r="AF84" i="2"/>
  <c r="C84" i="2"/>
  <c r="S82" i="11"/>
  <c r="Q82" i="11"/>
  <c r="I82" i="11"/>
  <c r="H82" i="11"/>
  <c r="B85" i="2"/>
  <c r="A85" i="2"/>
  <c r="AJ86" i="2"/>
  <c r="E85" i="2"/>
  <c r="AD85" i="2"/>
  <c r="AG85" i="2"/>
  <c r="N82" i="11"/>
  <c r="AB85" i="2"/>
  <c r="T85" i="2"/>
  <c r="U85" i="2"/>
  <c r="AC85" i="2"/>
  <c r="Z85" i="2"/>
  <c r="V85" i="2"/>
  <c r="P86" i="2"/>
  <c r="AI86" i="2"/>
  <c r="O86" i="2"/>
  <c r="AH86" i="2"/>
  <c r="S86" i="2"/>
  <c r="C85" i="2"/>
  <c r="AA85" i="2"/>
  <c r="W85" i="2" s="1"/>
  <c r="X85" i="2" s="1"/>
  <c r="AF85" i="2"/>
  <c r="B86" i="2"/>
  <c r="A86" i="2"/>
  <c r="AG86" i="2"/>
  <c r="E86" i="2"/>
  <c r="D86" i="2" s="1"/>
  <c r="AJ87" i="2"/>
  <c r="AD86" i="2"/>
  <c r="AB86" i="2"/>
  <c r="T86" i="2"/>
  <c r="U86" i="2"/>
  <c r="AC86" i="2"/>
  <c r="Z86" i="2"/>
  <c r="V86" i="2"/>
  <c r="C86" i="2"/>
  <c r="AA86" i="2"/>
  <c r="W86" i="2"/>
  <c r="X86" i="2"/>
  <c r="AF86" i="2"/>
  <c r="AH87" i="2"/>
  <c r="S87" i="2"/>
  <c r="P87" i="2"/>
  <c r="AI87" i="2"/>
  <c r="O87" i="2"/>
  <c r="B87" i="2"/>
  <c r="A87" i="2"/>
  <c r="AD87" i="2"/>
  <c r="AJ88" i="2"/>
  <c r="E87" i="2"/>
  <c r="D87" i="2" s="1"/>
  <c r="AG87" i="2"/>
  <c r="O88" i="2"/>
  <c r="AI88" i="2"/>
  <c r="P88" i="2"/>
  <c r="AH88" i="2"/>
  <c r="S88" i="2"/>
  <c r="AB87" i="2"/>
  <c r="T87" i="2"/>
  <c r="AC87" i="2"/>
  <c r="Z87" i="2"/>
  <c r="V87" i="2"/>
  <c r="U87" i="2"/>
  <c r="AA87" i="2"/>
  <c r="W87" i="2" s="1"/>
  <c r="X87" i="2" s="1"/>
  <c r="AF87" i="2"/>
  <c r="C87" i="2"/>
  <c r="AG88" i="2"/>
  <c r="AD88" i="2"/>
  <c r="E88" i="2"/>
  <c r="D88" i="2" s="1"/>
  <c r="B88" i="2"/>
  <c r="A88" i="2"/>
  <c r="AJ89" i="2"/>
  <c r="AB88" i="2"/>
  <c r="T88" i="2"/>
  <c r="U88" i="2"/>
  <c r="AC88" i="2"/>
  <c r="Z88" i="2"/>
  <c r="V88" i="2"/>
  <c r="P89" i="2"/>
  <c r="AH89" i="2"/>
  <c r="S89" i="2"/>
  <c r="AI89" i="2"/>
  <c r="O89" i="2"/>
  <c r="AA88" i="2"/>
  <c r="W88" i="2" s="1"/>
  <c r="X88" i="2" s="1"/>
  <c r="AF88" i="2"/>
  <c r="C88" i="2"/>
  <c r="AD89" i="2"/>
  <c r="AJ90" i="2"/>
  <c r="AG89" i="2"/>
  <c r="E89" i="2"/>
  <c r="D89" i="2" s="1"/>
  <c r="B89" i="2"/>
  <c r="A89" i="2"/>
  <c r="AI90" i="2"/>
  <c r="P90" i="2"/>
  <c r="AH90" i="2"/>
  <c r="S90" i="2"/>
  <c r="O90" i="2"/>
  <c r="AC89" i="2"/>
  <c r="Z89" i="2"/>
  <c r="V89" i="2"/>
  <c r="U89" i="2"/>
  <c r="AB89" i="2"/>
  <c r="T89" i="2"/>
  <c r="AA89" i="2"/>
  <c r="W89" i="2" s="1"/>
  <c r="X89" i="2" s="1"/>
  <c r="R89" i="2" s="1"/>
  <c r="L89" i="2" s="1"/>
  <c r="AF89" i="2"/>
  <c r="C89" i="2"/>
  <c r="E90" i="2"/>
  <c r="AJ91" i="2"/>
  <c r="AG90" i="2"/>
  <c r="AD90" i="2"/>
  <c r="B90" i="2"/>
  <c r="A90" i="2"/>
  <c r="C90" i="2"/>
  <c r="U90" i="2"/>
  <c r="AA90" i="2"/>
  <c r="W90" i="2" s="1"/>
  <c r="AC90" i="2"/>
  <c r="Z90" i="2"/>
  <c r="V90" i="2"/>
  <c r="AB90" i="2"/>
  <c r="T90" i="2"/>
  <c r="AI91" i="2"/>
  <c r="AH91" i="2"/>
  <c r="S91" i="2"/>
  <c r="O91" i="2"/>
  <c r="P91" i="2"/>
  <c r="AD91" i="2"/>
  <c r="AG91" i="2"/>
  <c r="E91" i="2"/>
  <c r="AJ92" i="2"/>
  <c r="B91" i="2"/>
  <c r="A91" i="2"/>
  <c r="AA91" i="2"/>
  <c r="W91" i="2"/>
  <c r="X91" i="2" s="1"/>
  <c r="C91" i="2"/>
  <c r="U91" i="2"/>
  <c r="AC91" i="2"/>
  <c r="Z91" i="2"/>
  <c r="V91" i="2"/>
  <c r="AB91" i="2"/>
  <c r="T91" i="2"/>
  <c r="AI92" i="2"/>
  <c r="O92" i="2"/>
  <c r="P92" i="2"/>
  <c r="AH92" i="2"/>
  <c r="S92" i="2"/>
  <c r="AG92" i="2"/>
  <c r="B92" i="2"/>
  <c r="A92" i="2"/>
  <c r="AJ93" i="2"/>
  <c r="AD92" i="2"/>
  <c r="E92" i="2"/>
  <c r="AB92" i="2"/>
  <c r="T92" i="2"/>
  <c r="AC92" i="2"/>
  <c r="Z92" i="2"/>
  <c r="V92" i="2"/>
  <c r="U92" i="2"/>
  <c r="P93" i="2"/>
  <c r="AI93" i="2"/>
  <c r="AH93" i="2"/>
  <c r="S93" i="2"/>
  <c r="O93" i="2"/>
  <c r="AA92" i="2"/>
  <c r="W92" i="2"/>
  <c r="X92" i="2"/>
  <c r="AF92" i="2"/>
  <c r="C92" i="2"/>
  <c r="E93" i="2"/>
  <c r="AG93" i="2"/>
  <c r="B93" i="2"/>
  <c r="A93" i="2"/>
  <c r="AJ94" i="2"/>
  <c r="AD93" i="2"/>
  <c r="U93" i="2"/>
  <c r="AB93" i="2"/>
  <c r="T93" i="2"/>
  <c r="AC93" i="2"/>
  <c r="Z93" i="2"/>
  <c r="V93" i="2"/>
  <c r="C93" i="2"/>
  <c r="AA93" i="2"/>
  <c r="W93" i="2" s="1"/>
  <c r="X93" i="2" s="1"/>
  <c r="AF93" i="2"/>
  <c r="P94" i="2"/>
  <c r="AH94" i="2"/>
  <c r="S94" i="2"/>
  <c r="O94" i="2"/>
  <c r="AI94" i="2"/>
  <c r="B94" i="2"/>
  <c r="A94" i="2"/>
  <c r="E94" i="2"/>
  <c r="AJ95" i="2"/>
  <c r="AD94" i="2"/>
  <c r="AG94" i="2"/>
  <c r="AI95" i="2"/>
  <c r="P95" i="2"/>
  <c r="AH95" i="2"/>
  <c r="S95" i="2"/>
  <c r="O95" i="2"/>
  <c r="AC94" i="2"/>
  <c r="Z94" i="2"/>
  <c r="V94" i="2"/>
  <c r="U94" i="2"/>
  <c r="AB94" i="2"/>
  <c r="T94" i="2"/>
  <c r="C94" i="2"/>
  <c r="AA94" i="2"/>
  <c r="W94" i="2" s="1"/>
  <c r="X94" i="2" s="1"/>
  <c r="AF94" i="2"/>
  <c r="AD95" i="2"/>
  <c r="AG95" i="2"/>
  <c r="B95" i="2"/>
  <c r="A95" i="2"/>
  <c r="AJ96" i="2"/>
  <c r="E95" i="2"/>
  <c r="D95" i="2" s="1"/>
  <c r="AI96" i="2"/>
  <c r="P96" i="2"/>
  <c r="O96" i="2"/>
  <c r="AH96" i="2"/>
  <c r="S96" i="2"/>
  <c r="AA95" i="2"/>
  <c r="W95" i="2"/>
  <c r="X95" i="2" s="1"/>
  <c r="R95" i="2" s="1"/>
  <c r="L95" i="2" s="1"/>
  <c r="U95" i="2"/>
  <c r="AC95" i="2"/>
  <c r="Z95" i="2"/>
  <c r="V95" i="2"/>
  <c r="AB95" i="2"/>
  <c r="T95" i="2"/>
  <c r="C95" i="2"/>
  <c r="B96" i="2"/>
  <c r="A96" i="2"/>
  <c r="AG96" i="2"/>
  <c r="AD96" i="2"/>
  <c r="E96" i="2"/>
  <c r="D96" i="2" s="1"/>
  <c r="AJ97" i="2"/>
  <c r="U96" i="2"/>
  <c r="AC96" i="2"/>
  <c r="Z96" i="2"/>
  <c r="V96" i="2"/>
  <c r="AB96" i="2"/>
  <c r="T96" i="2"/>
  <c r="AA96" i="2"/>
  <c r="W96" i="2" s="1"/>
  <c r="X96" i="2" s="1"/>
  <c r="AF96" i="2"/>
  <c r="C96" i="2"/>
  <c r="P97" i="2"/>
  <c r="O97" i="2"/>
  <c r="AI97" i="2"/>
  <c r="AH97" i="2"/>
  <c r="S97" i="2"/>
  <c r="AD97" i="2"/>
  <c r="B97" i="2"/>
  <c r="A97" i="2"/>
  <c r="AJ98" i="2"/>
  <c r="AG97" i="2"/>
  <c r="E97" i="2"/>
  <c r="D97" i="2" s="1"/>
  <c r="U97" i="2"/>
  <c r="AA97" i="2"/>
  <c r="W97" i="2" s="1"/>
  <c r="AC97" i="2"/>
  <c r="Z97" i="2"/>
  <c r="V97" i="2"/>
  <c r="AB97" i="2"/>
  <c r="T97" i="2"/>
  <c r="C97" i="2"/>
  <c r="O98" i="2"/>
  <c r="AI98" i="2"/>
  <c r="P98" i="2"/>
  <c r="AH98" i="2"/>
  <c r="S98" i="2"/>
  <c r="AG98" i="2"/>
  <c r="AJ99" i="2"/>
  <c r="B98" i="2"/>
  <c r="A98" i="2"/>
  <c r="AD98" i="2"/>
  <c r="E98" i="2"/>
  <c r="U98" i="2"/>
  <c r="AB98" i="2"/>
  <c r="T98" i="2"/>
  <c r="AC98" i="2"/>
  <c r="Z98" i="2"/>
  <c r="V98" i="2"/>
  <c r="P99" i="2"/>
  <c r="O99" i="2"/>
  <c r="AI99" i="2"/>
  <c r="AH99" i="2"/>
  <c r="S99" i="2"/>
  <c r="C98" i="2"/>
  <c r="AA98" i="2"/>
  <c r="W98" i="2" s="1"/>
  <c r="X98" i="2" s="1"/>
  <c r="AF98" i="2"/>
  <c r="AG99" i="2"/>
  <c r="B99" i="2"/>
  <c r="A99" i="2"/>
  <c r="AD99" i="2"/>
  <c r="AJ100" i="2"/>
  <c r="E99" i="2"/>
  <c r="D99" i="2" s="1"/>
  <c r="U99" i="2"/>
  <c r="AA99" i="2"/>
  <c r="W99" i="2" s="1"/>
  <c r="AC99" i="2"/>
  <c r="Z99" i="2"/>
  <c r="V99" i="2"/>
  <c r="AB99" i="2"/>
  <c r="T99" i="2"/>
  <c r="C99" i="2"/>
  <c r="AH100" i="2"/>
  <c r="S100" i="2"/>
  <c r="O100" i="2"/>
  <c r="P100" i="2"/>
  <c r="AI100" i="2"/>
  <c r="B100" i="2"/>
  <c r="A100" i="2"/>
  <c r="AJ101" i="2"/>
  <c r="E100" i="2"/>
  <c r="AG100" i="2"/>
  <c r="AD100" i="2"/>
  <c r="U100" i="2"/>
  <c r="AA100" i="2"/>
  <c r="W100" i="2" s="1"/>
  <c r="AC100" i="2"/>
  <c r="Z100" i="2"/>
  <c r="V100" i="2"/>
  <c r="AB100" i="2"/>
  <c r="T100" i="2"/>
  <c r="C100" i="2"/>
  <c r="P101" i="2"/>
  <c r="AI101" i="2"/>
  <c r="O101" i="2"/>
  <c r="AH101" i="2"/>
  <c r="S101" i="2"/>
  <c r="B101" i="2"/>
  <c r="A101" i="2"/>
  <c r="AJ102" i="2"/>
  <c r="AD101" i="2"/>
  <c r="AG101" i="2"/>
  <c r="E101" i="2"/>
  <c r="D101" i="2" s="1"/>
  <c r="U101" i="2"/>
  <c r="AC101" i="2"/>
  <c r="Z101" i="2"/>
  <c r="V101" i="2"/>
  <c r="AB101" i="2"/>
  <c r="T101" i="2"/>
  <c r="AH102" i="2"/>
  <c r="S102" i="2"/>
  <c r="P102" i="2"/>
  <c r="AI102" i="2"/>
  <c r="O102" i="2"/>
  <c r="C101" i="2"/>
  <c r="AA101" i="2"/>
  <c r="W101" i="2" s="1"/>
  <c r="X101" i="2" s="1"/>
  <c r="Q101" i="2" s="1"/>
  <c r="J101" i="2" s="1"/>
  <c r="R101" i="2"/>
  <c r="L101" i="2" s="1"/>
  <c r="AF101" i="2"/>
  <c r="AD102" i="2"/>
  <c r="E102" i="2"/>
  <c r="D102" i="2" s="1"/>
  <c r="AJ103" i="2"/>
  <c r="AG102" i="2"/>
  <c r="B102" i="2"/>
  <c r="A102" i="2"/>
  <c r="AC102" i="2"/>
  <c r="Z102" i="2"/>
  <c r="V102" i="2"/>
  <c r="AB102" i="2"/>
  <c r="T102" i="2"/>
  <c r="C102" i="2"/>
  <c r="U102" i="2"/>
  <c r="AA102" i="2"/>
  <c r="W102" i="2" s="1"/>
  <c r="X102" i="2" s="1"/>
  <c r="R102" i="2"/>
  <c r="L102" i="2" s="1"/>
  <c r="H102" i="2" s="1"/>
  <c r="AF102" i="2"/>
  <c r="AI103" i="2"/>
  <c r="P103" i="2"/>
  <c r="AH103" i="2"/>
  <c r="S103" i="2"/>
  <c r="O103" i="2"/>
  <c r="Q102" i="2"/>
  <c r="J102" i="2" s="1"/>
  <c r="I102" i="2" s="1"/>
  <c r="B103" i="2"/>
  <c r="A103" i="2"/>
  <c r="AJ104" i="2"/>
  <c r="AD103" i="2"/>
  <c r="U103" i="2"/>
  <c r="AG103" i="2"/>
  <c r="E103" i="2"/>
  <c r="AA103" i="2"/>
  <c r="W103" i="2" s="1"/>
  <c r="X103" i="2" s="1"/>
  <c r="C103" i="2"/>
  <c r="AB103" i="2"/>
  <c r="T103" i="2"/>
  <c r="AC103" i="2"/>
  <c r="Z103" i="2"/>
  <c r="V103" i="2"/>
  <c r="AI104" i="2"/>
  <c r="O104" i="2"/>
  <c r="AH104" i="2"/>
  <c r="S104" i="2"/>
  <c r="P104" i="2"/>
  <c r="AF103" i="2"/>
  <c r="B104" i="2"/>
  <c r="A104" i="2"/>
  <c r="AD104" i="2"/>
  <c r="AB104" i="2"/>
  <c r="T104" i="2"/>
  <c r="E104" i="2"/>
  <c r="AJ105" i="2"/>
  <c r="AG104" i="2"/>
  <c r="AA104" i="2"/>
  <c r="W104" i="2" s="1"/>
  <c r="X104" i="2" s="1"/>
  <c r="R104" i="2" s="1"/>
  <c r="L104" i="2" s="1"/>
  <c r="G104" i="2" s="1"/>
  <c r="P105" i="2"/>
  <c r="AI105" i="2"/>
  <c r="O105" i="2"/>
  <c r="AH105" i="2"/>
  <c r="S105" i="2"/>
  <c r="U104" i="2"/>
  <c r="AC104" i="2"/>
  <c r="Z104" i="2"/>
  <c r="V104" i="2"/>
  <c r="AF104" i="2"/>
  <c r="C104" i="2"/>
  <c r="AG105" i="2"/>
  <c r="B105" i="2"/>
  <c r="A105" i="2"/>
  <c r="AJ106" i="2"/>
  <c r="E105" i="2"/>
  <c r="D105" i="2" s="1"/>
  <c r="AD105" i="2"/>
  <c r="AC105" i="2"/>
  <c r="Z105" i="2"/>
  <c r="V105" i="2"/>
  <c r="U105" i="2"/>
  <c r="AB105" i="2"/>
  <c r="T105" i="2"/>
  <c r="AA105" i="2"/>
  <c r="W105" i="2" s="1"/>
  <c r="X105" i="2" s="1"/>
  <c r="R105" i="2" s="1"/>
  <c r="L105" i="2" s="1"/>
  <c r="H105" i="2" s="1"/>
  <c r="AF105" i="2"/>
  <c r="C105" i="2"/>
  <c r="P106" i="2"/>
  <c r="AI106" i="2"/>
  <c r="AH106" i="2"/>
  <c r="S106" i="2"/>
  <c r="O106" i="2"/>
  <c r="AD106" i="2"/>
  <c r="AG106" i="2"/>
  <c r="E106" i="2"/>
  <c r="B106" i="2"/>
  <c r="A106" i="2"/>
  <c r="AJ107" i="2"/>
  <c r="U106" i="2"/>
  <c r="AA106" i="2"/>
  <c r="W106" i="2"/>
  <c r="X106" i="2" s="1"/>
  <c r="R106" i="2" s="1"/>
  <c r="L106" i="2" s="1"/>
  <c r="AC106" i="2"/>
  <c r="Z106" i="2"/>
  <c r="V106" i="2"/>
  <c r="AB106" i="2"/>
  <c r="T106" i="2"/>
  <c r="C106" i="2"/>
  <c r="AH107" i="2"/>
  <c r="S107" i="2"/>
  <c r="AI107" i="2"/>
  <c r="O107" i="2"/>
  <c r="P107" i="2"/>
  <c r="E107" i="2"/>
  <c r="AD107" i="2"/>
  <c r="AG107" i="2"/>
  <c r="B107" i="2"/>
  <c r="A107" i="2"/>
  <c r="AJ108" i="2"/>
  <c r="AA107" i="2"/>
  <c r="W107" i="2" s="1"/>
  <c r="X107" i="2" s="1"/>
  <c r="U107" i="2"/>
  <c r="AC107" i="2"/>
  <c r="Z107" i="2"/>
  <c r="V107" i="2"/>
  <c r="AB107" i="2"/>
  <c r="T107" i="2"/>
  <c r="C107" i="2"/>
  <c r="AH108" i="2"/>
  <c r="S108" i="2"/>
  <c r="O108" i="2"/>
  <c r="P108" i="2"/>
  <c r="AI108" i="2"/>
  <c r="E108" i="2"/>
  <c r="AG108" i="2"/>
  <c r="AD108" i="2"/>
  <c r="AB108" i="2"/>
  <c r="T108" i="2"/>
  <c r="B108" i="2"/>
  <c r="A108" i="2"/>
  <c r="U108" i="2"/>
  <c r="AA108" i="2"/>
  <c r="W108" i="2"/>
  <c r="AC108" i="2"/>
  <c r="Z108" i="2"/>
  <c r="V108" i="2"/>
  <c r="C108" i="2"/>
  <c r="J15" i="3"/>
  <c r="J19" i="3"/>
  <c r="I19" i="3"/>
  <c r="H19" i="3"/>
  <c r="G19" i="3"/>
  <c r="F19" i="3"/>
  <c r="E19" i="3"/>
  <c r="J18" i="3"/>
  <c r="I18" i="3"/>
  <c r="H18" i="3"/>
  <c r="G18" i="3"/>
  <c r="F18" i="3"/>
  <c r="E18" i="3"/>
  <c r="J17" i="3"/>
  <c r="I17" i="3"/>
  <c r="H17" i="3"/>
  <c r="G17" i="3"/>
  <c r="F17" i="3"/>
  <c r="E17" i="3"/>
  <c r="J16" i="3"/>
  <c r="I16" i="3"/>
  <c r="H16" i="3"/>
  <c r="G16" i="3"/>
  <c r="F16" i="3"/>
  <c r="I15" i="3"/>
  <c r="H15" i="3"/>
  <c r="G15" i="3"/>
  <c r="F15" i="3"/>
  <c r="E15" i="3"/>
  <c r="E7" i="3"/>
  <c r="E6" i="3"/>
  <c r="E4" i="3"/>
  <c r="I38" i="8"/>
  <c r="L38" i="8"/>
  <c r="C3" i="2"/>
  <c r="E5" i="3"/>
  <c r="E3" i="3"/>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M4" i="4"/>
  <c r="H4" i="4"/>
  <c r="M5" i="4"/>
  <c r="H5" i="4"/>
  <c r="M6" i="4"/>
  <c r="H6" i="4"/>
  <c r="M7" i="4"/>
  <c r="H7" i="4"/>
  <c r="M8" i="4"/>
  <c r="H8" i="4"/>
  <c r="M9" i="4"/>
  <c r="H9" i="4"/>
  <c r="M10" i="4"/>
  <c r="H10" i="4"/>
  <c r="M11" i="4"/>
  <c r="H11" i="4"/>
  <c r="M12" i="4"/>
  <c r="H12" i="4"/>
  <c r="M13" i="4"/>
  <c r="H13" i="4"/>
  <c r="M14" i="4"/>
  <c r="H14" i="4"/>
  <c r="M15" i="4"/>
  <c r="H15" i="4"/>
  <c r="M16" i="4"/>
  <c r="H16" i="4"/>
  <c r="M17" i="4"/>
  <c r="H17" i="4"/>
  <c r="M18" i="4"/>
  <c r="H18" i="4"/>
  <c r="M19" i="4"/>
  <c r="H19" i="4"/>
  <c r="M20" i="4"/>
  <c r="H20" i="4"/>
  <c r="M21" i="4"/>
  <c r="H21" i="4"/>
  <c r="M22" i="4"/>
  <c r="H22" i="4"/>
  <c r="M23" i="4"/>
  <c r="H23" i="4"/>
  <c r="M24" i="4"/>
  <c r="H24" i="4"/>
  <c r="M25" i="4"/>
  <c r="H25" i="4"/>
  <c r="M26" i="4"/>
  <c r="H26" i="4"/>
  <c r="M27" i="4"/>
  <c r="H27" i="4"/>
  <c r="M28" i="4"/>
  <c r="H28" i="4"/>
  <c r="M29" i="4"/>
  <c r="H29" i="4"/>
  <c r="M30" i="4"/>
  <c r="H30" i="4"/>
  <c r="M31" i="4"/>
  <c r="H31" i="4"/>
  <c r="M32" i="4"/>
  <c r="H32" i="4"/>
  <c r="M33" i="4"/>
  <c r="H33" i="4"/>
  <c r="M34" i="4"/>
  <c r="H34" i="4"/>
  <c r="M35" i="4"/>
  <c r="H35" i="4"/>
  <c r="M36" i="4"/>
  <c r="H36" i="4"/>
  <c r="M37" i="4"/>
  <c r="H37" i="4"/>
  <c r="M38" i="4"/>
  <c r="H38" i="4"/>
  <c r="M39" i="4"/>
  <c r="H39" i="4"/>
  <c r="M40" i="4"/>
  <c r="H40" i="4"/>
  <c r="M41" i="4"/>
  <c r="H41" i="4"/>
  <c r="M42" i="4"/>
  <c r="H42" i="4"/>
  <c r="M43" i="4"/>
  <c r="H43" i="4"/>
  <c r="M44" i="4"/>
  <c r="H44" i="4"/>
  <c r="M45" i="4"/>
  <c r="H45" i="4"/>
  <c r="M46" i="4"/>
  <c r="H46" i="4"/>
  <c r="M47" i="4"/>
  <c r="H47" i="4"/>
  <c r="M48" i="4"/>
  <c r="H48" i="4"/>
  <c r="M49" i="4"/>
  <c r="H49" i="4"/>
  <c r="M50" i="4"/>
  <c r="H50" i="4"/>
  <c r="M51" i="4"/>
  <c r="H51" i="4"/>
  <c r="M52" i="4"/>
  <c r="H52" i="4"/>
  <c r="M53" i="4"/>
  <c r="H53" i="4"/>
  <c r="M54" i="4"/>
  <c r="H54" i="4"/>
  <c r="M55" i="4"/>
  <c r="H55" i="4"/>
  <c r="M56" i="4"/>
  <c r="H56" i="4"/>
  <c r="M57" i="4"/>
  <c r="H57" i="4"/>
  <c r="M58" i="4"/>
  <c r="H58" i="4"/>
  <c r="M59" i="4"/>
  <c r="H59" i="4"/>
  <c r="M60" i="4"/>
  <c r="H60" i="4"/>
  <c r="M61" i="4"/>
  <c r="H61" i="4"/>
  <c r="M62" i="4"/>
  <c r="H62" i="4"/>
  <c r="M63" i="4"/>
  <c r="H63" i="4"/>
  <c r="M64" i="4"/>
  <c r="H64" i="4"/>
  <c r="M65" i="4"/>
  <c r="H65" i="4"/>
  <c r="M66" i="4"/>
  <c r="H66" i="4"/>
  <c r="M67" i="4"/>
  <c r="H67" i="4"/>
  <c r="M68" i="4"/>
  <c r="H68" i="4"/>
  <c r="M69" i="4"/>
  <c r="H69" i="4"/>
  <c r="M70" i="4"/>
  <c r="H70" i="4"/>
  <c r="M71" i="4"/>
  <c r="H71" i="4"/>
  <c r="M3" i="4"/>
  <c r="H3" i="4"/>
  <c r="Z9" i="3"/>
  <c r="AL2" i="5"/>
  <c r="AF1" i="5"/>
  <c r="AL3" i="5"/>
  <c r="AK3" i="5"/>
  <c r="AK2" i="5"/>
  <c r="AJ2" i="5"/>
  <c r="AL4" i="5"/>
  <c r="AK4" i="5"/>
  <c r="AJ3" i="5"/>
  <c r="AF2" i="5"/>
  <c r="AC2" i="5"/>
  <c r="AA2" i="5"/>
  <c r="AI2" i="5"/>
  <c r="O2" i="5"/>
  <c r="AJ4" i="5"/>
  <c r="X2" i="5"/>
  <c r="W2" i="5"/>
  <c r="AB2" i="5"/>
  <c r="N2" i="5"/>
  <c r="AL5" i="5"/>
  <c r="AK5" i="5"/>
  <c r="M2" i="5"/>
  <c r="AD2" i="5"/>
  <c r="Z2" i="5"/>
  <c r="Y2" i="5"/>
  <c r="AG2" i="5"/>
  <c r="AI3" i="5"/>
  <c r="AH3" i="5"/>
  <c r="V3" i="5"/>
  <c r="U3" i="5"/>
  <c r="AF3" i="5"/>
  <c r="AH2" i="5"/>
  <c r="V2" i="5"/>
  <c r="AF4" i="5"/>
  <c r="X4" i="5"/>
  <c r="W4" i="5"/>
  <c r="T3" i="5"/>
  <c r="S3" i="5"/>
  <c r="U2" i="5"/>
  <c r="T2" i="5"/>
  <c r="S2" i="5"/>
  <c r="O3" i="5"/>
  <c r="X3" i="5"/>
  <c r="W3" i="5"/>
  <c r="AB3" i="5"/>
  <c r="AE2" i="5"/>
  <c r="AL6" i="5"/>
  <c r="AJ5" i="5"/>
  <c r="L2" i="5"/>
  <c r="J2" i="5"/>
  <c r="K2" i="5"/>
  <c r="AI4" i="5"/>
  <c r="O4" i="5"/>
  <c r="AC3" i="5"/>
  <c r="AA3" i="5"/>
  <c r="AD3" i="5"/>
  <c r="Z3" i="5"/>
  <c r="Y3" i="5"/>
  <c r="AG3" i="5"/>
  <c r="N3" i="5"/>
  <c r="M3" i="5"/>
  <c r="AE3" i="5"/>
  <c r="AC2" i="4"/>
  <c r="AB2" i="4"/>
  <c r="R2" i="5"/>
  <c r="P2" i="5"/>
  <c r="Q2" i="5"/>
  <c r="R3" i="5"/>
  <c r="P3" i="5"/>
  <c r="Q3" i="5"/>
  <c r="AF5" i="5"/>
  <c r="AB5" i="5"/>
  <c r="AK6" i="5"/>
  <c r="AL7" i="5"/>
  <c r="AK7" i="5"/>
  <c r="AJ6" i="5"/>
  <c r="Y2" i="4"/>
  <c r="U2" i="4"/>
  <c r="Z2" i="4"/>
  <c r="K3" i="5"/>
  <c r="L3" i="5"/>
  <c r="AG4" i="5"/>
  <c r="AI5" i="5"/>
  <c r="O5" i="5"/>
  <c r="AH4" i="5"/>
  <c r="V4" i="5"/>
  <c r="AC4" i="5"/>
  <c r="AA4" i="5"/>
  <c r="AE4" i="5"/>
  <c r="AD4" i="5"/>
  <c r="Z4" i="5"/>
  <c r="Y4" i="5"/>
  <c r="AB4" i="5"/>
  <c r="M4" i="5"/>
  <c r="K4" i="5"/>
  <c r="N4" i="5"/>
  <c r="AA2" i="4"/>
  <c r="AC3" i="4"/>
  <c r="U4" i="5"/>
  <c r="T4" i="5"/>
  <c r="S4" i="5"/>
  <c r="AF6" i="5"/>
  <c r="AB6" i="5"/>
  <c r="AJ7" i="5"/>
  <c r="AE5" i="5"/>
  <c r="AD5" i="5"/>
  <c r="Z5" i="5"/>
  <c r="Y5" i="5"/>
  <c r="N5" i="5"/>
  <c r="X5" i="5"/>
  <c r="W5" i="5"/>
  <c r="AL8" i="5"/>
  <c r="AK8" i="5"/>
  <c r="N2" i="4"/>
  <c r="K2" i="4"/>
  <c r="J2" i="4"/>
  <c r="T2" i="4"/>
  <c r="X2" i="4"/>
  <c r="W2" i="4"/>
  <c r="P2" i="4"/>
  <c r="AC5" i="5"/>
  <c r="AA5" i="5"/>
  <c r="V2" i="4"/>
  <c r="Q2" i="4"/>
  <c r="AI6" i="5"/>
  <c r="O6" i="5"/>
  <c r="AH5" i="5"/>
  <c r="V5" i="5"/>
  <c r="AG5" i="5"/>
  <c r="M5" i="5"/>
  <c r="J3" i="5"/>
  <c r="AB3" i="4"/>
  <c r="AC4" i="4"/>
  <c r="AA3" i="4"/>
  <c r="AF7" i="5"/>
  <c r="AB7" i="5"/>
  <c r="AJ8" i="5"/>
  <c r="AE6" i="5"/>
  <c r="AD6" i="5"/>
  <c r="Z6" i="5"/>
  <c r="Y6" i="5"/>
  <c r="AL9" i="5"/>
  <c r="AK9" i="5"/>
  <c r="X6" i="5"/>
  <c r="W6" i="5"/>
  <c r="Q4" i="5"/>
  <c r="R4" i="5"/>
  <c r="P4" i="5"/>
  <c r="U5" i="5"/>
  <c r="T5" i="5"/>
  <c r="S5" i="5"/>
  <c r="N6" i="5"/>
  <c r="Y3" i="4"/>
  <c r="X3" i="4"/>
  <c r="L2" i="4"/>
  <c r="A2" i="4"/>
  <c r="R2" i="4"/>
  <c r="I2" i="5"/>
  <c r="H2" i="5"/>
  <c r="E2" i="5"/>
  <c r="AC6" i="5"/>
  <c r="AA6" i="5"/>
  <c r="V3" i="4"/>
  <c r="Q3" i="4"/>
  <c r="M6" i="5"/>
  <c r="AI7" i="5"/>
  <c r="O7" i="5"/>
  <c r="AG6" i="5"/>
  <c r="AH6" i="5"/>
  <c r="V6" i="5"/>
  <c r="L4" i="5"/>
  <c r="K5" i="5"/>
  <c r="AB4" i="4"/>
  <c r="AC5" i="4"/>
  <c r="AA4" i="4"/>
  <c r="AE7" i="5"/>
  <c r="AD7" i="5"/>
  <c r="Z7" i="5"/>
  <c r="Y7" i="5"/>
  <c r="X7" i="5"/>
  <c r="W7" i="5"/>
  <c r="AF8" i="5"/>
  <c r="AB8" i="5"/>
  <c r="AL10" i="5"/>
  <c r="AK10" i="5"/>
  <c r="AJ9" i="5"/>
  <c r="Q5" i="5"/>
  <c r="R5" i="5"/>
  <c r="P5" i="5"/>
  <c r="U6" i="5"/>
  <c r="T6" i="5"/>
  <c r="S6" i="5"/>
  <c r="Y4" i="4"/>
  <c r="M2" i="4"/>
  <c r="O2" i="4"/>
  <c r="F2" i="5"/>
  <c r="G2" i="5"/>
  <c r="J4" i="5"/>
  <c r="L5" i="5"/>
  <c r="J5" i="5"/>
  <c r="V4" i="4"/>
  <c r="Q4" i="4"/>
  <c r="AC7" i="5"/>
  <c r="AA7" i="5"/>
  <c r="M7" i="5"/>
  <c r="AG7" i="5"/>
  <c r="AH7" i="5"/>
  <c r="V7" i="5"/>
  <c r="AI8" i="5"/>
  <c r="O8" i="5"/>
  <c r="I3" i="5"/>
  <c r="H3" i="5"/>
  <c r="W3" i="4"/>
  <c r="P3" i="4"/>
  <c r="K6" i="5"/>
  <c r="U3" i="4"/>
  <c r="AB5" i="4"/>
  <c r="AC6" i="4"/>
  <c r="AA5" i="4"/>
  <c r="AE8" i="5"/>
  <c r="AF9" i="5"/>
  <c r="AB9" i="5"/>
  <c r="AD8" i="5"/>
  <c r="Z8" i="5"/>
  <c r="Y8" i="5"/>
  <c r="X8" i="5"/>
  <c r="W8" i="5"/>
  <c r="AL11" i="5"/>
  <c r="AK11" i="5"/>
  <c r="AJ10" i="5"/>
  <c r="R6" i="5"/>
  <c r="P6" i="5"/>
  <c r="Q6" i="5"/>
  <c r="U7" i="5"/>
  <c r="T7" i="5"/>
  <c r="S7" i="5"/>
  <c r="K3" i="4"/>
  <c r="J3" i="4"/>
  <c r="T3" i="4"/>
  <c r="H2" i="4"/>
  <c r="R3" i="4"/>
  <c r="L3" i="4"/>
  <c r="D2" i="5"/>
  <c r="AC8" i="5"/>
  <c r="AG8" i="5"/>
  <c r="V5" i="4"/>
  <c r="Q5" i="4"/>
  <c r="M8" i="5"/>
  <c r="G3" i="5"/>
  <c r="AH8" i="5"/>
  <c r="V8" i="5"/>
  <c r="AI9" i="5"/>
  <c r="F3" i="5"/>
  <c r="E3" i="5"/>
  <c r="I4" i="5"/>
  <c r="H4" i="5"/>
  <c r="W4" i="4"/>
  <c r="P4" i="4"/>
  <c r="K7" i="5"/>
  <c r="L6" i="5"/>
  <c r="J6" i="5"/>
  <c r="U4" i="4"/>
  <c r="X4" i="4"/>
  <c r="AB6" i="4"/>
  <c r="AC7" i="4"/>
  <c r="AA6" i="4"/>
  <c r="Y5" i="4"/>
  <c r="AF10" i="5"/>
  <c r="AB10" i="5"/>
  <c r="AE9" i="5"/>
  <c r="AD9" i="5"/>
  <c r="Z9" i="5"/>
  <c r="Y9" i="5"/>
  <c r="X9" i="5"/>
  <c r="W9" i="5"/>
  <c r="AL12" i="5"/>
  <c r="AK12" i="5"/>
  <c r="AJ11" i="5"/>
  <c r="R7" i="5"/>
  <c r="P7" i="5"/>
  <c r="Q7" i="5"/>
  <c r="U8" i="5"/>
  <c r="T8" i="5"/>
  <c r="S8" i="5"/>
  <c r="A2" i="5"/>
  <c r="C2" i="5"/>
  <c r="B2" i="5"/>
  <c r="AH9" i="5"/>
  <c r="V9" i="5"/>
  <c r="O9" i="5"/>
  <c r="AC9" i="5"/>
  <c r="AA9" i="5"/>
  <c r="AA8" i="5"/>
  <c r="K4" i="4"/>
  <c r="J4" i="4"/>
  <c r="T4" i="4"/>
  <c r="L4" i="4"/>
  <c r="F4" i="4"/>
  <c r="R4" i="4"/>
  <c r="F3" i="4"/>
  <c r="G3" i="4"/>
  <c r="D3" i="5"/>
  <c r="M9" i="5"/>
  <c r="V6" i="4"/>
  <c r="Q6" i="4"/>
  <c r="AG9" i="5"/>
  <c r="AI10" i="5"/>
  <c r="G4" i="5"/>
  <c r="I6" i="5"/>
  <c r="H6" i="5"/>
  <c r="F4" i="5"/>
  <c r="E4" i="5"/>
  <c r="I5" i="5"/>
  <c r="H5" i="5"/>
  <c r="W5" i="4"/>
  <c r="P5" i="4"/>
  <c r="R5" i="4"/>
  <c r="K8" i="5"/>
  <c r="L7" i="5"/>
  <c r="J7" i="5"/>
  <c r="X5" i="4"/>
  <c r="AB7" i="4"/>
  <c r="AC8" i="4"/>
  <c r="AA7" i="4"/>
  <c r="Y6" i="4"/>
  <c r="U5" i="4"/>
  <c r="AE10" i="5"/>
  <c r="X10" i="5"/>
  <c r="W10" i="5"/>
  <c r="AF11" i="5"/>
  <c r="AD11" i="5"/>
  <c r="Z11" i="5"/>
  <c r="Y11" i="5"/>
  <c r="AD10" i="5"/>
  <c r="Z10" i="5"/>
  <c r="Y10" i="5"/>
  <c r="AL13" i="5"/>
  <c r="AK13" i="5"/>
  <c r="AJ12" i="5"/>
  <c r="AC10" i="5"/>
  <c r="AA10" i="5"/>
  <c r="U9" i="5"/>
  <c r="T9" i="5"/>
  <c r="S9" i="5"/>
  <c r="A3" i="5"/>
  <c r="C3" i="5"/>
  <c r="AH10" i="5"/>
  <c r="V10" i="5"/>
  <c r="O10" i="5"/>
  <c r="Q8" i="5"/>
  <c r="R8" i="5"/>
  <c r="P8" i="5"/>
  <c r="K5" i="4"/>
  <c r="J5" i="4"/>
  <c r="T5" i="4"/>
  <c r="E3" i="4"/>
  <c r="G4" i="4"/>
  <c r="E4" i="4"/>
  <c r="I7" i="5"/>
  <c r="H7" i="5"/>
  <c r="G7" i="5"/>
  <c r="AI11" i="5"/>
  <c r="M10" i="5"/>
  <c r="AG10" i="5"/>
  <c r="L5" i="4"/>
  <c r="V7" i="4"/>
  <c r="Q7" i="4"/>
  <c r="D4" i="5"/>
  <c r="F6" i="5"/>
  <c r="E6" i="5"/>
  <c r="G6" i="5"/>
  <c r="E5" i="5"/>
  <c r="F5" i="5"/>
  <c r="G5" i="5"/>
  <c r="X6" i="4"/>
  <c r="W6" i="4"/>
  <c r="P6" i="4"/>
  <c r="K9" i="5"/>
  <c r="L8" i="5"/>
  <c r="J8" i="5"/>
  <c r="U6" i="4"/>
  <c r="AB8" i="4"/>
  <c r="AC9" i="4"/>
  <c r="AA8" i="4"/>
  <c r="Y7" i="4"/>
  <c r="Y4" i="2"/>
  <c r="AB11" i="5"/>
  <c r="AF12" i="5"/>
  <c r="AB12" i="5"/>
  <c r="AE11" i="5"/>
  <c r="X11" i="5"/>
  <c r="W11" i="5"/>
  <c r="AJ13" i="5"/>
  <c r="AL14" i="5"/>
  <c r="AK14" i="5"/>
  <c r="Q9" i="5"/>
  <c r="AC11" i="5"/>
  <c r="AA11" i="5"/>
  <c r="R9" i="5"/>
  <c r="P9" i="5"/>
  <c r="U10" i="5"/>
  <c r="T10" i="5"/>
  <c r="S10" i="5"/>
  <c r="A4" i="5"/>
  <c r="C4" i="5"/>
  <c r="B4" i="5"/>
  <c r="AI12" i="5"/>
  <c r="M11" i="5"/>
  <c r="O11" i="5"/>
  <c r="T6" i="4"/>
  <c r="K6" i="4"/>
  <c r="J6" i="4"/>
  <c r="L6" i="4"/>
  <c r="F6" i="4"/>
  <c r="R6" i="4"/>
  <c r="F5" i="4"/>
  <c r="G5" i="4"/>
  <c r="AG11" i="5"/>
  <c r="AH11" i="5"/>
  <c r="V11" i="5"/>
  <c r="F7" i="5"/>
  <c r="E7" i="5"/>
  <c r="I8" i="5"/>
  <c r="H8" i="5"/>
  <c r="E8" i="5"/>
  <c r="B3" i="5"/>
  <c r="V8" i="4"/>
  <c r="Q8" i="4"/>
  <c r="D5" i="5"/>
  <c r="D6" i="5"/>
  <c r="X7" i="4"/>
  <c r="W7" i="4"/>
  <c r="P7" i="4"/>
  <c r="K10" i="5"/>
  <c r="L9" i="5"/>
  <c r="J9" i="5"/>
  <c r="U7" i="4"/>
  <c r="K7" i="4"/>
  <c r="AB9" i="4"/>
  <c r="AC10" i="4"/>
  <c r="AA9" i="4"/>
  <c r="Y8" i="4"/>
  <c r="K4" i="2"/>
  <c r="AD12" i="5"/>
  <c r="Z12" i="5"/>
  <c r="Y12" i="5"/>
  <c r="AE12" i="5"/>
  <c r="Y5" i="2"/>
  <c r="K5" i="2"/>
  <c r="X12" i="5"/>
  <c r="W12" i="5"/>
  <c r="AF13" i="5"/>
  <c r="AB13" i="5"/>
  <c r="AJ14" i="5"/>
  <c r="AL15" i="5"/>
  <c r="AK15" i="5"/>
  <c r="AI13" i="5"/>
  <c r="M13" i="5"/>
  <c r="C5" i="5"/>
  <c r="C6" i="5"/>
  <c r="R10" i="5"/>
  <c r="P10" i="5"/>
  <c r="AC12" i="5"/>
  <c r="AA12" i="5"/>
  <c r="Q10" i="5"/>
  <c r="U11" i="5"/>
  <c r="T11" i="5"/>
  <c r="S11" i="5"/>
  <c r="G6" i="4"/>
  <c r="E6" i="4"/>
  <c r="M12" i="5"/>
  <c r="O12" i="5"/>
  <c r="AG12" i="5"/>
  <c r="AH12" i="5"/>
  <c r="V12" i="5"/>
  <c r="K11" i="5"/>
  <c r="L7" i="4"/>
  <c r="G7" i="4"/>
  <c r="R7" i="4"/>
  <c r="E5" i="4"/>
  <c r="D7" i="5"/>
  <c r="G8" i="5"/>
  <c r="F8" i="5"/>
  <c r="A5" i="5"/>
  <c r="A6" i="5"/>
  <c r="V9" i="4"/>
  <c r="Q9" i="4"/>
  <c r="I9" i="5"/>
  <c r="H9" i="5"/>
  <c r="W8" i="4"/>
  <c r="P8" i="4"/>
  <c r="R8" i="4"/>
  <c r="L10" i="5"/>
  <c r="J10" i="5"/>
  <c r="U8" i="4"/>
  <c r="X8" i="4"/>
  <c r="AB10" i="4"/>
  <c r="AC11" i="4"/>
  <c r="AA10" i="4"/>
  <c r="Y9" i="4"/>
  <c r="J7" i="4"/>
  <c r="T7" i="4"/>
  <c r="AL16" i="5"/>
  <c r="AK16" i="5"/>
  <c r="AE13" i="5"/>
  <c r="X13" i="5"/>
  <c r="W13" i="5"/>
  <c r="AD13" i="5"/>
  <c r="Z13" i="5"/>
  <c r="Y13" i="5"/>
  <c r="AF14" i="5"/>
  <c r="AB14" i="5"/>
  <c r="AI14" i="5"/>
  <c r="M14" i="5"/>
  <c r="K14" i="5"/>
  <c r="O13" i="5"/>
  <c r="AJ15" i="5"/>
  <c r="AH13" i="5"/>
  <c r="V13" i="5"/>
  <c r="T13" i="5"/>
  <c r="S13" i="5"/>
  <c r="AG13" i="5"/>
  <c r="AC13" i="5"/>
  <c r="AA13" i="5"/>
  <c r="A7" i="5"/>
  <c r="C7" i="5"/>
  <c r="R11" i="5"/>
  <c r="P11" i="5"/>
  <c r="Q11" i="5"/>
  <c r="U12" i="5"/>
  <c r="T12" i="5"/>
  <c r="S12" i="5"/>
  <c r="U13" i="5"/>
  <c r="L11" i="5"/>
  <c r="J11" i="5"/>
  <c r="K12" i="5"/>
  <c r="K13" i="5"/>
  <c r="F7" i="4"/>
  <c r="E7" i="4"/>
  <c r="I10" i="5"/>
  <c r="H10" i="5"/>
  <c r="E10" i="5"/>
  <c r="K8" i="4"/>
  <c r="J8" i="4"/>
  <c r="D8" i="5"/>
  <c r="B5" i="5"/>
  <c r="V10" i="4"/>
  <c r="Q10" i="4"/>
  <c r="E9" i="5"/>
  <c r="B6" i="5"/>
  <c r="G9" i="5"/>
  <c r="F9" i="5"/>
  <c r="L8" i="4"/>
  <c r="X9" i="4"/>
  <c r="W9" i="4"/>
  <c r="P9" i="4"/>
  <c r="T8" i="4"/>
  <c r="U9" i="4"/>
  <c r="AB11" i="4"/>
  <c r="AC12" i="4"/>
  <c r="AA11" i="4"/>
  <c r="Y10" i="4"/>
  <c r="AJ16" i="5"/>
  <c r="Y6" i="2"/>
  <c r="K6" i="2"/>
  <c r="AL17" i="5"/>
  <c r="AK17" i="5"/>
  <c r="AE14" i="5"/>
  <c r="AD14" i="5"/>
  <c r="Z14" i="5"/>
  <c r="Y14" i="5"/>
  <c r="AF15" i="5"/>
  <c r="AB15" i="5"/>
  <c r="X14" i="5"/>
  <c r="W14" i="5"/>
  <c r="AG14" i="5"/>
  <c r="AI15" i="5"/>
  <c r="M15" i="5"/>
  <c r="K15" i="5"/>
  <c r="AH14" i="5"/>
  <c r="V14" i="5"/>
  <c r="T14" i="5"/>
  <c r="S14" i="5"/>
  <c r="O14" i="5"/>
  <c r="AC14" i="5"/>
  <c r="AA14" i="5"/>
  <c r="A8" i="5"/>
  <c r="R13" i="5"/>
  <c r="P13" i="5"/>
  <c r="Q12" i="5"/>
  <c r="Q13" i="5"/>
  <c r="R12" i="5"/>
  <c r="P12" i="5"/>
  <c r="U14" i="5"/>
  <c r="C8" i="5"/>
  <c r="L12" i="5"/>
  <c r="L13" i="5"/>
  <c r="G10" i="5"/>
  <c r="F10" i="5"/>
  <c r="K9" i="4"/>
  <c r="J9" i="4"/>
  <c r="L9" i="4"/>
  <c r="F9" i="4"/>
  <c r="R9" i="4"/>
  <c r="F8" i="4"/>
  <c r="G8" i="4"/>
  <c r="D9" i="5"/>
  <c r="V11" i="4"/>
  <c r="Q11" i="4"/>
  <c r="B7" i="5"/>
  <c r="I11" i="5"/>
  <c r="W10" i="4"/>
  <c r="P10" i="4"/>
  <c r="R10" i="4"/>
  <c r="T9" i="4"/>
  <c r="U10" i="4"/>
  <c r="X10" i="4"/>
  <c r="AB12" i="4"/>
  <c r="AC13" i="4"/>
  <c r="AA12" i="4"/>
  <c r="Y11" i="4"/>
  <c r="U11" i="4"/>
  <c r="K11" i="4"/>
  <c r="AJ17" i="5"/>
  <c r="AL18" i="5"/>
  <c r="AK18" i="5"/>
  <c r="X15" i="5"/>
  <c r="W15" i="5"/>
  <c r="AF16" i="5"/>
  <c r="AB16" i="5"/>
  <c r="AE15" i="5"/>
  <c r="AD15" i="5"/>
  <c r="Z15" i="5"/>
  <c r="Y15" i="5"/>
  <c r="AG15" i="5"/>
  <c r="AI16" i="5"/>
  <c r="M16" i="5"/>
  <c r="K16" i="5"/>
  <c r="AC15" i="5"/>
  <c r="AA15" i="5"/>
  <c r="AH15" i="5"/>
  <c r="V15" i="5"/>
  <c r="T15" i="5"/>
  <c r="S15" i="5"/>
  <c r="O15" i="5"/>
  <c r="J12" i="5"/>
  <c r="I12" i="5"/>
  <c r="H12" i="5"/>
  <c r="F12" i="5"/>
  <c r="R14" i="5"/>
  <c r="P14" i="5"/>
  <c r="Q14" i="5"/>
  <c r="U15" i="5"/>
  <c r="C9" i="5"/>
  <c r="J13" i="5"/>
  <c r="I13" i="5"/>
  <c r="H13" i="5"/>
  <c r="L14" i="5"/>
  <c r="D10" i="5"/>
  <c r="K10" i="4"/>
  <c r="J10" i="4"/>
  <c r="G9" i="4"/>
  <c r="E9" i="4"/>
  <c r="E8" i="4"/>
  <c r="A9" i="5"/>
  <c r="V12" i="4"/>
  <c r="Q12" i="4"/>
  <c r="B8" i="5"/>
  <c r="T10" i="4"/>
  <c r="L10" i="4"/>
  <c r="H11" i="5"/>
  <c r="X11" i="4"/>
  <c r="W11" i="4"/>
  <c r="P11" i="4"/>
  <c r="AB13" i="4"/>
  <c r="AC14" i="4"/>
  <c r="AA13" i="4"/>
  <c r="Y12" i="4"/>
  <c r="Y7" i="2"/>
  <c r="K7" i="2"/>
  <c r="AJ18" i="5"/>
  <c r="AL19" i="5"/>
  <c r="AK19" i="5"/>
  <c r="AD16" i="5"/>
  <c r="Z16" i="5"/>
  <c r="Y16" i="5"/>
  <c r="AF17" i="5"/>
  <c r="X17" i="5"/>
  <c r="W17" i="5"/>
  <c r="AE16" i="5"/>
  <c r="X16" i="5"/>
  <c r="W16" i="5"/>
  <c r="AI17" i="5"/>
  <c r="M17" i="5"/>
  <c r="K17" i="5"/>
  <c r="AH16" i="5"/>
  <c r="V16" i="5"/>
  <c r="T16" i="5"/>
  <c r="S16" i="5"/>
  <c r="O16" i="5"/>
  <c r="AG16" i="5"/>
  <c r="AC16" i="5"/>
  <c r="AA16" i="5"/>
  <c r="Q15" i="5"/>
  <c r="G12" i="5"/>
  <c r="E12" i="5"/>
  <c r="R15" i="5"/>
  <c r="P15" i="5"/>
  <c r="U16" i="5"/>
  <c r="C10" i="5"/>
  <c r="J14" i="5"/>
  <c r="I14" i="5"/>
  <c r="H14" i="5"/>
  <c r="L15" i="5"/>
  <c r="A10" i="5"/>
  <c r="L11" i="4"/>
  <c r="F11" i="4"/>
  <c r="R11" i="4"/>
  <c r="G10" i="4"/>
  <c r="F10" i="4"/>
  <c r="V13" i="4"/>
  <c r="Q13" i="4"/>
  <c r="B9" i="5"/>
  <c r="G13" i="5"/>
  <c r="E13" i="5"/>
  <c r="F13" i="5"/>
  <c r="G11" i="5"/>
  <c r="E11" i="5"/>
  <c r="F11" i="5"/>
  <c r="X12" i="4"/>
  <c r="W12" i="4"/>
  <c r="P12" i="4"/>
  <c r="R12" i="4"/>
  <c r="J11" i="4"/>
  <c r="T11" i="4"/>
  <c r="U12" i="4"/>
  <c r="AB14" i="4"/>
  <c r="AC15" i="4"/>
  <c r="AA14" i="4"/>
  <c r="Y13" i="4"/>
  <c r="AJ19" i="5"/>
  <c r="AL20" i="5"/>
  <c r="AK20" i="5"/>
  <c r="AD17" i="5"/>
  <c r="Z17" i="5"/>
  <c r="Y17" i="5"/>
  <c r="AE17" i="5"/>
  <c r="AF18" i="5"/>
  <c r="AB18" i="5"/>
  <c r="AB17" i="5"/>
  <c r="AH17" i="5"/>
  <c r="V17" i="5"/>
  <c r="T17" i="5"/>
  <c r="S17" i="5"/>
  <c r="AI18" i="5"/>
  <c r="M18" i="5"/>
  <c r="K18" i="5"/>
  <c r="O17" i="5"/>
  <c r="AG17" i="5"/>
  <c r="AC17" i="5"/>
  <c r="AA17" i="5"/>
  <c r="D12" i="5"/>
  <c r="R16" i="5"/>
  <c r="P16" i="5"/>
  <c r="Q16" i="5"/>
  <c r="U17" i="5"/>
  <c r="L16" i="5"/>
  <c r="J15" i="5"/>
  <c r="I15" i="5"/>
  <c r="H15" i="5"/>
  <c r="G11" i="4"/>
  <c r="E11" i="4"/>
  <c r="K12" i="4"/>
  <c r="J12" i="4"/>
  <c r="E10" i="4"/>
  <c r="V14" i="4"/>
  <c r="Q14" i="4"/>
  <c r="D13" i="5"/>
  <c r="D11" i="5"/>
  <c r="A11" i="5"/>
  <c r="E14" i="5"/>
  <c r="B10" i="5"/>
  <c r="F14" i="5"/>
  <c r="G14" i="5"/>
  <c r="X13" i="4"/>
  <c r="W13" i="4"/>
  <c r="P13" i="4"/>
  <c r="L12" i="4"/>
  <c r="T12" i="4"/>
  <c r="U13" i="4"/>
  <c r="AB15" i="4"/>
  <c r="AC16" i="4"/>
  <c r="AA15" i="4"/>
  <c r="Y14" i="4"/>
  <c r="AJ20" i="5"/>
  <c r="AL21" i="5"/>
  <c r="AK21" i="5"/>
  <c r="AF19" i="5"/>
  <c r="AB19" i="5"/>
  <c r="Y8" i="2"/>
  <c r="K8" i="2"/>
  <c r="O18" i="5"/>
  <c r="AD18" i="5"/>
  <c r="Z18" i="5"/>
  <c r="Y18" i="5"/>
  <c r="AE18" i="5"/>
  <c r="X18" i="5"/>
  <c r="W18" i="5"/>
  <c r="AH18" i="5"/>
  <c r="V18" i="5"/>
  <c r="T18" i="5"/>
  <c r="S18" i="5"/>
  <c r="AI19" i="5"/>
  <c r="M19" i="5"/>
  <c r="K19" i="5"/>
  <c r="AC18" i="5"/>
  <c r="AA18" i="5"/>
  <c r="AG18" i="5"/>
  <c r="A12" i="5"/>
  <c r="A13" i="5"/>
  <c r="Q17" i="5"/>
  <c r="R17" i="5"/>
  <c r="P17" i="5"/>
  <c r="U18" i="5"/>
  <c r="C11" i="5"/>
  <c r="C12" i="5"/>
  <c r="C13" i="5"/>
  <c r="L17" i="5"/>
  <c r="J16" i="5"/>
  <c r="I16" i="5"/>
  <c r="H16" i="5"/>
  <c r="K13" i="4"/>
  <c r="J13" i="4"/>
  <c r="L13" i="4"/>
  <c r="G13" i="4"/>
  <c r="R13" i="4"/>
  <c r="F12" i="4"/>
  <c r="G12" i="4"/>
  <c r="D14" i="5"/>
  <c r="V15" i="4"/>
  <c r="Q15" i="4"/>
  <c r="G15" i="5"/>
  <c r="E15" i="5"/>
  <c r="F15" i="5"/>
  <c r="W14" i="4"/>
  <c r="P14" i="4"/>
  <c r="R14" i="4"/>
  <c r="T13" i="4"/>
  <c r="U14" i="4"/>
  <c r="X14" i="4"/>
  <c r="AB16" i="4"/>
  <c r="AC17" i="4"/>
  <c r="AA16" i="4"/>
  <c r="Y15" i="4"/>
  <c r="AL22" i="5"/>
  <c r="AK22" i="5"/>
  <c r="AD19" i="5"/>
  <c r="Z19" i="5"/>
  <c r="Y19" i="5"/>
  <c r="AJ21" i="5"/>
  <c r="X19" i="5"/>
  <c r="W19" i="5"/>
  <c r="AF20" i="5"/>
  <c r="AB20" i="5"/>
  <c r="AE19" i="5"/>
  <c r="AI20" i="5"/>
  <c r="M20" i="5"/>
  <c r="K20" i="5"/>
  <c r="AG19" i="5"/>
  <c r="AH19" i="5"/>
  <c r="V19" i="5"/>
  <c r="T19" i="5"/>
  <c r="S19" i="5"/>
  <c r="O19" i="5"/>
  <c r="AC19" i="5"/>
  <c r="AA19" i="5"/>
  <c r="R18" i="5"/>
  <c r="P18" i="5"/>
  <c r="Q18" i="5"/>
  <c r="U19" i="5"/>
  <c r="C14" i="5"/>
  <c r="L18" i="5"/>
  <c r="J17" i="5"/>
  <c r="I17" i="5"/>
  <c r="H17" i="5"/>
  <c r="K14" i="4"/>
  <c r="J14" i="4"/>
  <c r="F13" i="4"/>
  <c r="E13" i="4"/>
  <c r="E12" i="4"/>
  <c r="A14" i="5"/>
  <c r="D15" i="5"/>
  <c r="V16" i="4"/>
  <c r="Q16" i="4"/>
  <c r="E16" i="5"/>
  <c r="G16" i="5"/>
  <c r="F16" i="5"/>
  <c r="B11" i="5"/>
  <c r="B12" i="5"/>
  <c r="B13" i="5"/>
  <c r="L14" i="4"/>
  <c r="W15" i="4"/>
  <c r="P15" i="4"/>
  <c r="R15" i="4"/>
  <c r="T14" i="4"/>
  <c r="U15" i="4"/>
  <c r="K15" i="4"/>
  <c r="X15" i="4"/>
  <c r="AC18" i="4"/>
  <c r="AB17" i="4"/>
  <c r="AA17" i="4"/>
  <c r="Y16" i="4"/>
  <c r="AL23" i="5"/>
  <c r="AK23" i="5"/>
  <c r="AJ22" i="5"/>
  <c r="X20" i="5"/>
  <c r="W20" i="5"/>
  <c r="AF21" i="5"/>
  <c r="X21" i="5"/>
  <c r="W21" i="5"/>
  <c r="AE20" i="5"/>
  <c r="AD20" i="5"/>
  <c r="Z20" i="5"/>
  <c r="Y20" i="5"/>
  <c r="Y9" i="2"/>
  <c r="K9" i="2"/>
  <c r="AH20" i="5"/>
  <c r="V20" i="5"/>
  <c r="T20" i="5"/>
  <c r="S20" i="5"/>
  <c r="AI21" i="5"/>
  <c r="M21" i="5"/>
  <c r="K21" i="5"/>
  <c r="O20" i="5"/>
  <c r="AG20" i="5"/>
  <c r="AC20" i="5"/>
  <c r="AA20" i="5"/>
  <c r="Q19" i="5"/>
  <c r="R19" i="5"/>
  <c r="P19" i="5"/>
  <c r="C15" i="5"/>
  <c r="U20" i="5"/>
  <c r="L19" i="5"/>
  <c r="J18" i="5"/>
  <c r="I18" i="5"/>
  <c r="H18" i="5"/>
  <c r="G14" i="4"/>
  <c r="F14" i="4"/>
  <c r="A15" i="5"/>
  <c r="V17" i="4"/>
  <c r="Q17" i="4"/>
  <c r="D16" i="5"/>
  <c r="F17" i="5"/>
  <c r="E17" i="5"/>
  <c r="G17" i="5"/>
  <c r="B14" i="5"/>
  <c r="L15" i="4"/>
  <c r="U16" i="4"/>
  <c r="W16" i="4"/>
  <c r="P16" i="4"/>
  <c r="AL24" i="5"/>
  <c r="AK24" i="5"/>
  <c r="X16" i="4"/>
  <c r="T15" i="4"/>
  <c r="AC19" i="4"/>
  <c r="AA18" i="4"/>
  <c r="AB18" i="4"/>
  <c r="Y17" i="4"/>
  <c r="AJ23" i="5"/>
  <c r="AB21" i="5"/>
  <c r="AD21" i="5"/>
  <c r="Z21" i="5"/>
  <c r="Y21" i="5"/>
  <c r="AE21" i="5"/>
  <c r="AF22" i="5"/>
  <c r="AD22" i="5"/>
  <c r="Z22" i="5"/>
  <c r="Y22" i="5"/>
  <c r="O21" i="5"/>
  <c r="AH21" i="5"/>
  <c r="V21" i="5"/>
  <c r="T21" i="5"/>
  <c r="S21" i="5"/>
  <c r="AI22" i="5"/>
  <c r="M22" i="5"/>
  <c r="K22" i="5"/>
  <c r="AG21" i="5"/>
  <c r="Y10" i="2"/>
  <c r="K10" i="2"/>
  <c r="AC21" i="5"/>
  <c r="AA21" i="5"/>
  <c r="R20" i="5"/>
  <c r="P20" i="5"/>
  <c r="Q20" i="5"/>
  <c r="C16" i="5"/>
  <c r="U21" i="5"/>
  <c r="L20" i="5"/>
  <c r="J19" i="5"/>
  <c r="I19" i="5"/>
  <c r="K16" i="4"/>
  <c r="J16" i="4"/>
  <c r="L16" i="4"/>
  <c r="G16" i="4"/>
  <c r="R16" i="4"/>
  <c r="F15" i="4"/>
  <c r="G15" i="4"/>
  <c r="E14" i="4"/>
  <c r="A16" i="5"/>
  <c r="V18" i="4"/>
  <c r="Q18" i="4"/>
  <c r="D17" i="5"/>
  <c r="E18" i="5"/>
  <c r="G18" i="5"/>
  <c r="F18" i="5"/>
  <c r="T16" i="4"/>
  <c r="X17" i="4"/>
  <c r="W17" i="4"/>
  <c r="P17" i="4"/>
  <c r="AL25" i="5"/>
  <c r="AK25" i="5"/>
  <c r="AJ24" i="5"/>
  <c r="U17" i="4"/>
  <c r="J15" i="4"/>
  <c r="Y18" i="4"/>
  <c r="W18" i="4"/>
  <c r="AC20" i="4"/>
  <c r="AA19" i="4"/>
  <c r="AB19" i="4"/>
  <c r="AE22" i="5"/>
  <c r="AB22" i="5"/>
  <c r="X22" i="5"/>
  <c r="W22" i="5"/>
  <c r="AF23" i="5"/>
  <c r="AB23" i="5"/>
  <c r="AG22" i="5"/>
  <c r="AH22" i="5"/>
  <c r="V22" i="5"/>
  <c r="T22" i="5"/>
  <c r="S22" i="5"/>
  <c r="O22" i="5"/>
  <c r="AI23" i="5"/>
  <c r="M23" i="5"/>
  <c r="K23" i="5"/>
  <c r="AC22" i="5"/>
  <c r="AA22" i="5"/>
  <c r="Y11" i="2"/>
  <c r="K11" i="2"/>
  <c r="Q21" i="5"/>
  <c r="C17" i="5"/>
  <c r="B17" i="5"/>
  <c r="R21" i="5"/>
  <c r="P21" i="5"/>
  <c r="U22" i="5"/>
  <c r="L21" i="5"/>
  <c r="J20" i="5"/>
  <c r="I20" i="5"/>
  <c r="H20" i="5"/>
  <c r="K17" i="4"/>
  <c r="J17" i="4"/>
  <c r="F16" i="4"/>
  <c r="E16" i="4"/>
  <c r="E15" i="4"/>
  <c r="L17" i="4"/>
  <c r="G17" i="4"/>
  <c r="R17" i="4"/>
  <c r="A17" i="5"/>
  <c r="V19" i="4"/>
  <c r="Q19" i="4"/>
  <c r="D18" i="5"/>
  <c r="B16" i="5"/>
  <c r="B15" i="5"/>
  <c r="H19" i="5"/>
  <c r="P18" i="4"/>
  <c r="R18" i="4"/>
  <c r="AL26" i="5"/>
  <c r="AK26" i="5"/>
  <c r="AJ25" i="5"/>
  <c r="T17" i="4"/>
  <c r="X18" i="4"/>
  <c r="U18" i="4"/>
  <c r="Y19" i="4"/>
  <c r="X19" i="4"/>
  <c r="AC21" i="4"/>
  <c r="AA20" i="4"/>
  <c r="AB20" i="4"/>
  <c r="AD23" i="5"/>
  <c r="Z23" i="5"/>
  <c r="Y23" i="5"/>
  <c r="AF24" i="5"/>
  <c r="AD24" i="5"/>
  <c r="Z24" i="5"/>
  <c r="Y24" i="5"/>
  <c r="X23" i="5"/>
  <c r="W23" i="5"/>
  <c r="AE23" i="5"/>
  <c r="AC23" i="5"/>
  <c r="AA23" i="5"/>
  <c r="AG23" i="5"/>
  <c r="AI24" i="5"/>
  <c r="M24" i="5"/>
  <c r="K24" i="5"/>
  <c r="AH23" i="5"/>
  <c r="V23" i="5"/>
  <c r="T23" i="5"/>
  <c r="S23" i="5"/>
  <c r="O23" i="5"/>
  <c r="R22" i="5"/>
  <c r="P22" i="5"/>
  <c r="Q22" i="5"/>
  <c r="C18" i="5"/>
  <c r="B18" i="5"/>
  <c r="U23" i="5"/>
  <c r="X24" i="5"/>
  <c r="W24" i="5"/>
  <c r="L22" i="5"/>
  <c r="J21" i="5"/>
  <c r="I21" i="5"/>
  <c r="H21" i="5"/>
  <c r="F17" i="4"/>
  <c r="E17" i="4"/>
  <c r="K18" i="4"/>
  <c r="J18" i="4"/>
  <c r="A18" i="5"/>
  <c r="V20" i="4"/>
  <c r="Q20" i="4"/>
  <c r="G19" i="5"/>
  <c r="E19" i="5"/>
  <c r="F19" i="5"/>
  <c r="F20" i="5"/>
  <c r="G20" i="5"/>
  <c r="E20" i="5"/>
  <c r="L18" i="4"/>
  <c r="U19" i="4"/>
  <c r="W19" i="4"/>
  <c r="P19" i="4"/>
  <c r="AJ26" i="5"/>
  <c r="AL27" i="5"/>
  <c r="AK27" i="5"/>
  <c r="T18" i="4"/>
  <c r="Y20" i="4"/>
  <c r="X20" i="4"/>
  <c r="AC22" i="4"/>
  <c r="AA21" i="4"/>
  <c r="AB21" i="4"/>
  <c r="AF25" i="5"/>
  <c r="AD25" i="5"/>
  <c r="Z25" i="5"/>
  <c r="Y25" i="5"/>
  <c r="AE24" i="5"/>
  <c r="AB24" i="5"/>
  <c r="AG24" i="5"/>
  <c r="AC24" i="5"/>
  <c r="AA24" i="5"/>
  <c r="AH24" i="5"/>
  <c r="V24" i="5"/>
  <c r="T24" i="5"/>
  <c r="S24" i="5"/>
  <c r="O24" i="5"/>
  <c r="AI25" i="5"/>
  <c r="M25" i="5"/>
  <c r="K25" i="5"/>
  <c r="Y12" i="2"/>
  <c r="K12" i="2"/>
  <c r="R23" i="5"/>
  <c r="P23" i="5"/>
  <c r="Q23" i="5"/>
  <c r="U24" i="5"/>
  <c r="L23" i="5"/>
  <c r="J22" i="5"/>
  <c r="I22" i="5"/>
  <c r="K19" i="4"/>
  <c r="J19" i="4"/>
  <c r="L19" i="4"/>
  <c r="G19" i="4"/>
  <c r="R19" i="4"/>
  <c r="G18" i="4"/>
  <c r="F18" i="4"/>
  <c r="V21" i="4"/>
  <c r="Q21" i="4"/>
  <c r="D20" i="5"/>
  <c r="D19" i="5"/>
  <c r="C19" i="5"/>
  <c r="T19" i="4"/>
  <c r="G21" i="5"/>
  <c r="E21" i="5"/>
  <c r="F21" i="5"/>
  <c r="U20" i="4"/>
  <c r="W20" i="4"/>
  <c r="P20" i="4"/>
  <c r="R20" i="4"/>
  <c r="AF26" i="5"/>
  <c r="AL28" i="5"/>
  <c r="AK28" i="5"/>
  <c r="AJ27" i="5"/>
  <c r="Y21" i="4"/>
  <c r="X21" i="4"/>
  <c r="AC23" i="4"/>
  <c r="AA22" i="4"/>
  <c r="AB22" i="4"/>
  <c r="AC25" i="5"/>
  <c r="AA25" i="5"/>
  <c r="AE25" i="5"/>
  <c r="AB25" i="5"/>
  <c r="X25" i="5"/>
  <c r="W25" i="5"/>
  <c r="AI26" i="5"/>
  <c r="M26" i="5"/>
  <c r="K26" i="5"/>
  <c r="AH25" i="5"/>
  <c r="V25" i="5"/>
  <c r="T25" i="5"/>
  <c r="S25" i="5"/>
  <c r="AG25" i="5"/>
  <c r="O25" i="5"/>
  <c r="Q24" i="5"/>
  <c r="C20" i="5"/>
  <c r="B20" i="5"/>
  <c r="R24" i="5"/>
  <c r="P24" i="5"/>
  <c r="AC26" i="5"/>
  <c r="AA26" i="5"/>
  <c r="U25" i="5"/>
  <c r="AD26" i="5"/>
  <c r="Z26" i="5"/>
  <c r="Y26" i="5"/>
  <c r="X26" i="5"/>
  <c r="W26" i="5"/>
  <c r="L24" i="5"/>
  <c r="J23" i="5"/>
  <c r="I23" i="5"/>
  <c r="T20" i="4"/>
  <c r="K20" i="4"/>
  <c r="J20" i="4"/>
  <c r="F19" i="4"/>
  <c r="E19" i="4"/>
  <c r="E18" i="4"/>
  <c r="L20" i="4"/>
  <c r="A19" i="5"/>
  <c r="A20" i="5"/>
  <c r="V22" i="4"/>
  <c r="Q22" i="4"/>
  <c r="D21" i="5"/>
  <c r="B19" i="5"/>
  <c r="AB26" i="5"/>
  <c r="H22" i="5"/>
  <c r="W21" i="4"/>
  <c r="P21" i="4"/>
  <c r="R21" i="4"/>
  <c r="AF27" i="5"/>
  <c r="X27" i="5"/>
  <c r="W27" i="5"/>
  <c r="AE26" i="5"/>
  <c r="AL29" i="5"/>
  <c r="AK29" i="5"/>
  <c r="AJ28" i="5"/>
  <c r="Y22" i="4"/>
  <c r="AC24" i="4"/>
  <c r="AA23" i="4"/>
  <c r="AB23" i="4"/>
  <c r="U21" i="4"/>
  <c r="K21" i="4"/>
  <c r="AI27" i="5"/>
  <c r="O27" i="5"/>
  <c r="AH26" i="5"/>
  <c r="V26" i="5"/>
  <c r="T26" i="5"/>
  <c r="S26" i="5"/>
  <c r="AG26" i="5"/>
  <c r="O26" i="5"/>
  <c r="Y13" i="2"/>
  <c r="K13" i="2"/>
  <c r="C21" i="5"/>
  <c r="B21" i="5"/>
  <c r="Q25" i="5"/>
  <c r="R25" i="5"/>
  <c r="P25" i="5"/>
  <c r="U26" i="5"/>
  <c r="AD27" i="5"/>
  <c r="Z27" i="5"/>
  <c r="Y27" i="5"/>
  <c r="AC27" i="5"/>
  <c r="AA27" i="5"/>
  <c r="L25" i="5"/>
  <c r="J24" i="5"/>
  <c r="I24" i="5"/>
  <c r="F20" i="4"/>
  <c r="G20" i="4"/>
  <c r="AE27" i="5"/>
  <c r="A21" i="5"/>
  <c r="V23" i="4"/>
  <c r="Q23" i="4"/>
  <c r="AB27" i="5"/>
  <c r="F22" i="5"/>
  <c r="G22" i="5"/>
  <c r="E22" i="5"/>
  <c r="H23" i="5"/>
  <c r="W22" i="4"/>
  <c r="P22" i="4"/>
  <c r="L21" i="4"/>
  <c r="AF28" i="5"/>
  <c r="AD28" i="5"/>
  <c r="Z28" i="5"/>
  <c r="Y28" i="5"/>
  <c r="AL30" i="5"/>
  <c r="AK30" i="5"/>
  <c r="AJ29" i="5"/>
  <c r="X22" i="4"/>
  <c r="U22" i="4"/>
  <c r="T21" i="4"/>
  <c r="Y23" i="4"/>
  <c r="AA24" i="4"/>
  <c r="AC25" i="4"/>
  <c r="AB24" i="4"/>
  <c r="M27" i="5"/>
  <c r="K27" i="5"/>
  <c r="AH27" i="5"/>
  <c r="V27" i="5"/>
  <c r="T27" i="5"/>
  <c r="S27" i="5"/>
  <c r="AI28" i="5"/>
  <c r="O28" i="5"/>
  <c r="AG27" i="5"/>
  <c r="Q26" i="5"/>
  <c r="U27" i="5"/>
  <c r="R26" i="5"/>
  <c r="P26" i="5"/>
  <c r="AC28" i="5"/>
  <c r="AA28" i="5"/>
  <c r="X28" i="5"/>
  <c r="W28" i="5"/>
  <c r="L26" i="5"/>
  <c r="J25" i="5"/>
  <c r="I25" i="5"/>
  <c r="K22" i="4"/>
  <c r="J22" i="4"/>
  <c r="F21" i="4"/>
  <c r="G21" i="4"/>
  <c r="L22" i="4"/>
  <c r="R22" i="4"/>
  <c r="E20" i="4"/>
  <c r="V24" i="4"/>
  <c r="Q24" i="4"/>
  <c r="D22" i="5"/>
  <c r="AB28" i="5"/>
  <c r="T22" i="4"/>
  <c r="G23" i="5"/>
  <c r="E23" i="5"/>
  <c r="F23" i="5"/>
  <c r="H24" i="5"/>
  <c r="AE28" i="5"/>
  <c r="W23" i="4"/>
  <c r="P23" i="4"/>
  <c r="R23" i="4"/>
  <c r="AF29" i="5"/>
  <c r="X29" i="5"/>
  <c r="W29" i="5"/>
  <c r="AL31" i="5"/>
  <c r="AJ30" i="5"/>
  <c r="AI29" i="5"/>
  <c r="O29" i="5"/>
  <c r="X23" i="4"/>
  <c r="U23" i="4"/>
  <c r="Y24" i="4"/>
  <c r="U24" i="4"/>
  <c r="K24" i="4"/>
  <c r="J21" i="4"/>
  <c r="AB25" i="4"/>
  <c r="AC26" i="4"/>
  <c r="AA25" i="4"/>
  <c r="AH28" i="5"/>
  <c r="V28" i="5"/>
  <c r="AG28" i="5"/>
  <c r="M28" i="5"/>
  <c r="K28" i="5"/>
  <c r="Y14" i="2"/>
  <c r="K14" i="2"/>
  <c r="Q27" i="5"/>
  <c r="R27" i="5"/>
  <c r="P27" i="5"/>
  <c r="U28" i="5"/>
  <c r="T28" i="5"/>
  <c r="S28" i="5"/>
  <c r="A22" i="5"/>
  <c r="C22" i="5"/>
  <c r="B22" i="5"/>
  <c r="AD29" i="5"/>
  <c r="Z29" i="5"/>
  <c r="Y29" i="5"/>
  <c r="AC29" i="5"/>
  <c r="AA29" i="5"/>
  <c r="AK31" i="5"/>
  <c r="AL32" i="5"/>
  <c r="AG29" i="5"/>
  <c r="M29" i="5"/>
  <c r="L27" i="5"/>
  <c r="J26" i="5"/>
  <c r="I26" i="5"/>
  <c r="H26" i="5"/>
  <c r="E26" i="5"/>
  <c r="G22" i="4"/>
  <c r="F22" i="4"/>
  <c r="K23" i="4"/>
  <c r="J23" i="4"/>
  <c r="E21" i="4"/>
  <c r="V25" i="4"/>
  <c r="Q25" i="4"/>
  <c r="D23" i="5"/>
  <c r="AE29" i="5"/>
  <c r="AB29" i="5"/>
  <c r="F24" i="5"/>
  <c r="G24" i="5"/>
  <c r="E24" i="5"/>
  <c r="AH29" i="5"/>
  <c r="V29" i="5"/>
  <c r="H25" i="5"/>
  <c r="L23" i="4"/>
  <c r="W24" i="4"/>
  <c r="P24" i="4"/>
  <c r="R24" i="4"/>
  <c r="X24" i="4"/>
  <c r="J24" i="4"/>
  <c r="AF30" i="5"/>
  <c r="AD30" i="5"/>
  <c r="Z30" i="5"/>
  <c r="Y30" i="5"/>
  <c r="AI30" i="5"/>
  <c r="O30" i="5"/>
  <c r="AJ31" i="5"/>
  <c r="T23" i="4"/>
  <c r="AB26" i="4"/>
  <c r="AC27" i="4"/>
  <c r="AA26" i="4"/>
  <c r="Y25" i="4"/>
  <c r="K29" i="5"/>
  <c r="Q28" i="5"/>
  <c r="R28" i="5"/>
  <c r="P28" i="5"/>
  <c r="U29" i="5"/>
  <c r="T29" i="5"/>
  <c r="S29" i="5"/>
  <c r="C23" i="5"/>
  <c r="B23" i="5"/>
  <c r="AC30" i="5"/>
  <c r="AA30" i="5"/>
  <c r="X30" i="5"/>
  <c r="W30" i="5"/>
  <c r="AJ32" i="5"/>
  <c r="AL33" i="5"/>
  <c r="AK32" i="5"/>
  <c r="M30" i="5"/>
  <c r="K30" i="5"/>
  <c r="L28" i="5"/>
  <c r="J27" i="5"/>
  <c r="I27" i="5"/>
  <c r="H27" i="5"/>
  <c r="E22" i="4"/>
  <c r="F23" i="4"/>
  <c r="G23" i="4"/>
  <c r="A23" i="5"/>
  <c r="V26" i="4"/>
  <c r="Q26" i="4"/>
  <c r="D24" i="5"/>
  <c r="T24" i="4"/>
  <c r="AB30" i="5"/>
  <c r="G25" i="5"/>
  <c r="E25" i="5"/>
  <c r="F25" i="5"/>
  <c r="F26" i="5"/>
  <c r="G26" i="5"/>
  <c r="AH30" i="5"/>
  <c r="V30" i="5"/>
  <c r="L24" i="4"/>
  <c r="W25" i="4"/>
  <c r="P25" i="4"/>
  <c r="R25" i="4"/>
  <c r="AF31" i="5"/>
  <c r="X31" i="5"/>
  <c r="W31" i="5"/>
  <c r="AG30" i="5"/>
  <c r="AI31" i="5"/>
  <c r="M31" i="5"/>
  <c r="AE30" i="5"/>
  <c r="U25" i="4"/>
  <c r="K25" i="4"/>
  <c r="X25" i="4"/>
  <c r="AB27" i="4"/>
  <c r="AC28" i="4"/>
  <c r="AA27" i="4"/>
  <c r="Y26" i="4"/>
  <c r="Y15" i="2"/>
  <c r="K15" i="2"/>
  <c r="Q29" i="5"/>
  <c r="K31" i="5"/>
  <c r="R29" i="5"/>
  <c r="P29" i="5"/>
  <c r="U30" i="5"/>
  <c r="T30" i="5"/>
  <c r="S30" i="5"/>
  <c r="C24" i="5"/>
  <c r="B24" i="5"/>
  <c r="AC31" i="5"/>
  <c r="AA31" i="5"/>
  <c r="AD31" i="5"/>
  <c r="Z31" i="5"/>
  <c r="Y31" i="5"/>
  <c r="O31" i="5"/>
  <c r="L29" i="5"/>
  <c r="J28" i="5"/>
  <c r="I28" i="5"/>
  <c r="H28" i="5"/>
  <c r="AK33" i="5"/>
  <c r="AJ33" i="5"/>
  <c r="AL34" i="5"/>
  <c r="AF32" i="5"/>
  <c r="AB32" i="5"/>
  <c r="AI32" i="5"/>
  <c r="M32" i="5"/>
  <c r="K32" i="5"/>
  <c r="F24" i="4"/>
  <c r="G24" i="4"/>
  <c r="E23" i="4"/>
  <c r="A24" i="5"/>
  <c r="AE31" i="5"/>
  <c r="E27" i="5"/>
  <c r="V27" i="4"/>
  <c r="Q27" i="4"/>
  <c r="D26" i="5"/>
  <c r="D25" i="5"/>
  <c r="U26" i="4"/>
  <c r="F27" i="5"/>
  <c r="G27" i="5"/>
  <c r="AB31" i="5"/>
  <c r="AG31" i="5"/>
  <c r="AH31" i="5"/>
  <c r="V31" i="5"/>
  <c r="L25" i="4"/>
  <c r="W26" i="4"/>
  <c r="P26" i="4"/>
  <c r="R26" i="4"/>
  <c r="X26" i="4"/>
  <c r="J25" i="4"/>
  <c r="T25" i="4"/>
  <c r="AB28" i="4"/>
  <c r="AC29" i="4"/>
  <c r="AA28" i="4"/>
  <c r="Y27" i="4"/>
  <c r="M14" i="2"/>
  <c r="X32" i="5"/>
  <c r="W32" i="5"/>
  <c r="R30" i="5"/>
  <c r="P30" i="5"/>
  <c r="Q30" i="5"/>
  <c r="U31" i="5"/>
  <c r="T31" i="5"/>
  <c r="S31" i="5"/>
  <c r="C25" i="5"/>
  <c r="C26" i="5"/>
  <c r="AC32" i="5"/>
  <c r="AA32" i="5"/>
  <c r="AE32" i="5"/>
  <c r="AH32" i="5"/>
  <c r="V32" i="5"/>
  <c r="AD32" i="5"/>
  <c r="Z32" i="5"/>
  <c r="Y32" i="5"/>
  <c r="O32" i="5"/>
  <c r="AG32" i="5"/>
  <c r="Q31" i="5"/>
  <c r="AI33" i="5"/>
  <c r="M33" i="5"/>
  <c r="K33" i="5"/>
  <c r="AF33" i="5"/>
  <c r="AB33" i="5"/>
  <c r="AL35" i="5"/>
  <c r="AJ34" i="5"/>
  <c r="AK34" i="5"/>
  <c r="L30" i="5"/>
  <c r="J29" i="5"/>
  <c r="I29" i="5"/>
  <c r="H29" i="5"/>
  <c r="G25" i="4"/>
  <c r="F25" i="4"/>
  <c r="E24" i="4"/>
  <c r="T26" i="4"/>
  <c r="K26" i="4"/>
  <c r="J26" i="4"/>
  <c r="D27" i="5"/>
  <c r="A25" i="5"/>
  <c r="A26" i="5"/>
  <c r="E28" i="5"/>
  <c r="V28" i="4"/>
  <c r="Q28" i="4"/>
  <c r="F28" i="5"/>
  <c r="G28" i="5"/>
  <c r="L26" i="4"/>
  <c r="W27" i="4"/>
  <c r="P27" i="4"/>
  <c r="R27" i="4"/>
  <c r="U27" i="4"/>
  <c r="K27" i="4"/>
  <c r="X27" i="4"/>
  <c r="AB29" i="4"/>
  <c r="AC30" i="4"/>
  <c r="AA29" i="4"/>
  <c r="Y28" i="4"/>
  <c r="X28" i="4"/>
  <c r="Y16" i="2"/>
  <c r="K16" i="2"/>
  <c r="R31" i="5"/>
  <c r="P31" i="5"/>
  <c r="U32" i="5"/>
  <c r="T32" i="5"/>
  <c r="S32" i="5"/>
  <c r="C27" i="5"/>
  <c r="B27" i="5"/>
  <c r="X33" i="5"/>
  <c r="W33" i="5"/>
  <c r="AC33" i="5"/>
  <c r="AA33" i="5"/>
  <c r="AG33" i="5"/>
  <c r="AH33" i="5"/>
  <c r="V33" i="5"/>
  <c r="AE33" i="5"/>
  <c r="AD33" i="5"/>
  <c r="Z33" i="5"/>
  <c r="Y33" i="5"/>
  <c r="O33" i="5"/>
  <c r="AL36" i="5"/>
  <c r="AK35" i="5"/>
  <c r="AJ35" i="5"/>
  <c r="L31" i="5"/>
  <c r="J30" i="5"/>
  <c r="I30" i="5"/>
  <c r="H30" i="5"/>
  <c r="AI34" i="5"/>
  <c r="M34" i="5"/>
  <c r="K34" i="5"/>
  <c r="AF34" i="5"/>
  <c r="AE34" i="5"/>
  <c r="F26" i="4"/>
  <c r="G26" i="4"/>
  <c r="E25" i="4"/>
  <c r="A27" i="5"/>
  <c r="B25" i="5"/>
  <c r="D28" i="5"/>
  <c r="G29" i="5"/>
  <c r="V29" i="4"/>
  <c r="Q29" i="4"/>
  <c r="F29" i="5"/>
  <c r="E29" i="5"/>
  <c r="B26" i="5"/>
  <c r="L27" i="4"/>
  <c r="W28" i="4"/>
  <c r="P28" i="4"/>
  <c r="R28" i="4"/>
  <c r="U28" i="4"/>
  <c r="J27" i="4"/>
  <c r="T27" i="4"/>
  <c r="AB30" i="4"/>
  <c r="AC31" i="4"/>
  <c r="AA30" i="4"/>
  <c r="Y29" i="4"/>
  <c r="AH34" i="5"/>
  <c r="V34" i="5"/>
  <c r="T34" i="5"/>
  <c r="S34" i="5"/>
  <c r="Q32" i="5"/>
  <c r="R32" i="5"/>
  <c r="P32" i="5"/>
  <c r="U34" i="5"/>
  <c r="AC34" i="5"/>
  <c r="AA34" i="5"/>
  <c r="U33" i="5"/>
  <c r="T33" i="5"/>
  <c r="S33" i="5"/>
  <c r="C28" i="5"/>
  <c r="B28" i="5"/>
  <c r="AD34" i="5"/>
  <c r="Z34" i="5"/>
  <c r="Y34" i="5"/>
  <c r="AB34" i="5"/>
  <c r="X34" i="5"/>
  <c r="W34" i="5"/>
  <c r="AG34" i="5"/>
  <c r="O34" i="5"/>
  <c r="L32" i="5"/>
  <c r="J31" i="5"/>
  <c r="I31" i="5"/>
  <c r="H31" i="5"/>
  <c r="AF35" i="5"/>
  <c r="AD35" i="5"/>
  <c r="Z35" i="5"/>
  <c r="Y35" i="5"/>
  <c r="AI35" i="5"/>
  <c r="M35" i="5"/>
  <c r="K35" i="5"/>
  <c r="AL37" i="5"/>
  <c r="AJ36" i="5"/>
  <c r="AK36" i="5"/>
  <c r="G27" i="4"/>
  <c r="F27" i="4"/>
  <c r="E26" i="4"/>
  <c r="K28" i="4"/>
  <c r="J28" i="4"/>
  <c r="A28" i="5"/>
  <c r="D29" i="5"/>
  <c r="V30" i="4"/>
  <c r="Q30" i="4"/>
  <c r="F30" i="5"/>
  <c r="G30" i="5"/>
  <c r="E30" i="5"/>
  <c r="L28" i="4"/>
  <c r="T28" i="4"/>
  <c r="W29" i="4"/>
  <c r="P29" i="4"/>
  <c r="R29" i="4"/>
  <c r="U29" i="4"/>
  <c r="K29" i="4"/>
  <c r="X29" i="4"/>
  <c r="AB31" i="4"/>
  <c r="AC32" i="4"/>
  <c r="AA31" i="4"/>
  <c r="Y30" i="4"/>
  <c r="Y17" i="2"/>
  <c r="K17" i="2"/>
  <c r="Q33" i="5"/>
  <c r="R33" i="5"/>
  <c r="P33" i="5"/>
  <c r="R34" i="5"/>
  <c r="P34" i="5"/>
  <c r="C29" i="5"/>
  <c r="B29" i="5"/>
  <c r="Q34" i="5"/>
  <c r="AH35" i="5"/>
  <c r="V35" i="5"/>
  <c r="O35" i="5"/>
  <c r="X35" i="5"/>
  <c r="W35" i="5"/>
  <c r="AE35" i="5"/>
  <c r="AB35" i="5"/>
  <c r="AG35" i="5"/>
  <c r="AC35" i="5"/>
  <c r="AA35" i="5"/>
  <c r="AF36" i="5"/>
  <c r="AD36" i="5"/>
  <c r="Z36" i="5"/>
  <c r="Y36" i="5"/>
  <c r="AI36" i="5"/>
  <c r="M36" i="5"/>
  <c r="K36" i="5"/>
  <c r="AJ37" i="5"/>
  <c r="AK37" i="5"/>
  <c r="AL38" i="5"/>
  <c r="L33" i="5"/>
  <c r="J32" i="5"/>
  <c r="I32" i="5"/>
  <c r="H32" i="5"/>
  <c r="G28" i="4"/>
  <c r="F28" i="4"/>
  <c r="E27" i="4"/>
  <c r="A29" i="5"/>
  <c r="D30" i="5"/>
  <c r="V31" i="4"/>
  <c r="Q31" i="4"/>
  <c r="E31" i="5"/>
  <c r="G31" i="5"/>
  <c r="F31" i="5"/>
  <c r="L29" i="4"/>
  <c r="W30" i="4"/>
  <c r="P30" i="4"/>
  <c r="R30" i="4"/>
  <c r="X30" i="4"/>
  <c r="U30" i="4"/>
  <c r="K30" i="4"/>
  <c r="J29" i="4"/>
  <c r="T29" i="4"/>
  <c r="AB32" i="4"/>
  <c r="AC33" i="4"/>
  <c r="AA32" i="4"/>
  <c r="Y31" i="4"/>
  <c r="C30" i="5"/>
  <c r="B30" i="5"/>
  <c r="U35" i="5"/>
  <c r="T35" i="5"/>
  <c r="S35" i="5"/>
  <c r="X36" i="5"/>
  <c r="W36" i="5"/>
  <c r="AH36" i="5"/>
  <c r="V36" i="5"/>
  <c r="AC36" i="5"/>
  <c r="AA36" i="5"/>
  <c r="AG36" i="5"/>
  <c r="AE36" i="5"/>
  <c r="AB36" i="5"/>
  <c r="O36" i="5"/>
  <c r="E32" i="5"/>
  <c r="G32" i="5"/>
  <c r="F32" i="5"/>
  <c r="L34" i="5"/>
  <c r="J33" i="5"/>
  <c r="I33" i="5"/>
  <c r="H33" i="5"/>
  <c r="AJ38" i="5"/>
  <c r="AK38" i="5"/>
  <c r="AL39" i="5"/>
  <c r="AF37" i="5"/>
  <c r="X37" i="5"/>
  <c r="W37" i="5"/>
  <c r="AI37" i="5"/>
  <c r="M37" i="5"/>
  <c r="K37" i="5"/>
  <c r="E28" i="4"/>
  <c r="G29" i="4"/>
  <c r="F29" i="4"/>
  <c r="A30" i="5"/>
  <c r="D31" i="5"/>
  <c r="V32" i="4"/>
  <c r="Q32" i="4"/>
  <c r="L30" i="4"/>
  <c r="W31" i="4"/>
  <c r="P31" i="4"/>
  <c r="R31" i="4"/>
  <c r="X31" i="4"/>
  <c r="U31" i="4"/>
  <c r="J30" i="4"/>
  <c r="T30" i="4"/>
  <c r="AB33" i="4"/>
  <c r="AC34" i="4"/>
  <c r="AA33" i="4"/>
  <c r="Y32" i="4"/>
  <c r="W32" i="4"/>
  <c r="P32" i="4"/>
  <c r="Y18" i="2"/>
  <c r="K18" i="2"/>
  <c r="R35" i="5"/>
  <c r="P35" i="5"/>
  <c r="AG37" i="5"/>
  <c r="AC37" i="5"/>
  <c r="AA37" i="5"/>
  <c r="AE37" i="5"/>
  <c r="AB37" i="5"/>
  <c r="AD37" i="5"/>
  <c r="Z37" i="5"/>
  <c r="Y37" i="5"/>
  <c r="AH37" i="5"/>
  <c r="V37" i="5"/>
  <c r="O37" i="5"/>
  <c r="U36" i="5"/>
  <c r="T36" i="5"/>
  <c r="S36" i="5"/>
  <c r="Q35" i="5"/>
  <c r="C31" i="5"/>
  <c r="B31" i="5"/>
  <c r="D32" i="5"/>
  <c r="F33" i="5"/>
  <c r="E33" i="5"/>
  <c r="G33" i="5"/>
  <c r="AF38" i="5"/>
  <c r="AI38" i="5"/>
  <c r="M38" i="5"/>
  <c r="K38" i="5"/>
  <c r="AJ39" i="5"/>
  <c r="AK39" i="5"/>
  <c r="AL40" i="5"/>
  <c r="L35" i="5"/>
  <c r="J34" i="5"/>
  <c r="I34" i="5"/>
  <c r="H34" i="5"/>
  <c r="F30" i="4"/>
  <c r="G30" i="4"/>
  <c r="E29" i="4"/>
  <c r="R32" i="4"/>
  <c r="K31" i="4"/>
  <c r="J31" i="4"/>
  <c r="A31" i="5"/>
  <c r="V33" i="4"/>
  <c r="Q33" i="4"/>
  <c r="U32" i="4"/>
  <c r="K32" i="4"/>
  <c r="X32" i="4"/>
  <c r="L31" i="4"/>
  <c r="L32" i="4"/>
  <c r="T31" i="4"/>
  <c r="AB34" i="4"/>
  <c r="AC35" i="4"/>
  <c r="AA34" i="4"/>
  <c r="Y33" i="4"/>
  <c r="U33" i="4"/>
  <c r="AC38" i="5"/>
  <c r="AA38" i="5"/>
  <c r="R36" i="5"/>
  <c r="P36" i="5"/>
  <c r="A32" i="5"/>
  <c r="Q36" i="5"/>
  <c r="AB38" i="5"/>
  <c r="AH38" i="5"/>
  <c r="V38" i="5"/>
  <c r="AG38" i="5"/>
  <c r="AE38" i="5"/>
  <c r="O38" i="5"/>
  <c r="X38" i="5"/>
  <c r="W38" i="5"/>
  <c r="T37" i="5"/>
  <c r="S37" i="5"/>
  <c r="U37" i="5"/>
  <c r="AD38" i="5"/>
  <c r="Z38" i="5"/>
  <c r="Y38" i="5"/>
  <c r="C32" i="5"/>
  <c r="B32" i="5"/>
  <c r="D33" i="5"/>
  <c r="E34" i="5"/>
  <c r="G34" i="5"/>
  <c r="F34" i="5"/>
  <c r="AJ40" i="5"/>
  <c r="AK40" i="5"/>
  <c r="AL41" i="5"/>
  <c r="L36" i="5"/>
  <c r="J35" i="5"/>
  <c r="I35" i="5"/>
  <c r="H35" i="5"/>
  <c r="AI39" i="5"/>
  <c r="M39" i="5"/>
  <c r="K39" i="5"/>
  <c r="AF39" i="5"/>
  <c r="AB39" i="5"/>
  <c r="U39" i="5"/>
  <c r="V39" i="5"/>
  <c r="T39" i="5"/>
  <c r="S39" i="5"/>
  <c r="F32" i="4"/>
  <c r="G32" i="4"/>
  <c r="G31" i="4"/>
  <c r="F31" i="4"/>
  <c r="E30" i="4"/>
  <c r="K33" i="4"/>
  <c r="J33" i="4"/>
  <c r="W33" i="4"/>
  <c r="P33" i="4"/>
  <c r="R33" i="4"/>
  <c r="X33" i="4"/>
  <c r="V34" i="4"/>
  <c r="Q34" i="4"/>
  <c r="T33" i="4"/>
  <c r="J32" i="4"/>
  <c r="T32" i="4"/>
  <c r="AB35" i="4"/>
  <c r="AC36" i="4"/>
  <c r="AA35" i="4"/>
  <c r="Y34" i="4"/>
  <c r="U34" i="4"/>
  <c r="K34" i="4"/>
  <c r="Y19" i="2"/>
  <c r="K19" i="2"/>
  <c r="R37" i="5"/>
  <c r="P37" i="5"/>
  <c r="A33" i="5"/>
  <c r="AH39" i="5"/>
  <c r="AC39" i="5"/>
  <c r="AA39" i="5"/>
  <c r="R39" i="5"/>
  <c r="X39" i="5"/>
  <c r="W39" i="5"/>
  <c r="AD39" i="5"/>
  <c r="Z39" i="5"/>
  <c r="Y39" i="5"/>
  <c r="AG39" i="5"/>
  <c r="AE39" i="5"/>
  <c r="O39" i="5"/>
  <c r="Q37" i="5"/>
  <c r="C33" i="5"/>
  <c r="B33" i="5"/>
  <c r="T38" i="5"/>
  <c r="S38" i="5"/>
  <c r="U38" i="5"/>
  <c r="D34" i="5"/>
  <c r="F35" i="5"/>
  <c r="G35" i="5"/>
  <c r="E35" i="5"/>
  <c r="AF40" i="5"/>
  <c r="AD40" i="5"/>
  <c r="Z40" i="5"/>
  <c r="Y40" i="5"/>
  <c r="AI40" i="5"/>
  <c r="AH40" i="5"/>
  <c r="U40" i="5"/>
  <c r="V40" i="5"/>
  <c r="T40" i="5"/>
  <c r="S40" i="5"/>
  <c r="L37" i="5"/>
  <c r="J36" i="5"/>
  <c r="I36" i="5"/>
  <c r="H36" i="5"/>
  <c r="AK41" i="5"/>
  <c r="AJ41" i="5"/>
  <c r="AL42" i="5"/>
  <c r="E32" i="4"/>
  <c r="E31" i="4"/>
  <c r="L33" i="4"/>
  <c r="W34" i="4"/>
  <c r="P34" i="4"/>
  <c r="R34" i="4"/>
  <c r="V35" i="4"/>
  <c r="Q35" i="4"/>
  <c r="J34" i="4"/>
  <c r="T34" i="4"/>
  <c r="X34" i="4"/>
  <c r="AB36" i="4"/>
  <c r="AC37" i="4"/>
  <c r="AA36" i="4"/>
  <c r="Y35" i="4"/>
  <c r="X35" i="4"/>
  <c r="AC40" i="5"/>
  <c r="AA40" i="5"/>
  <c r="A34" i="5"/>
  <c r="Q38" i="5"/>
  <c r="P39" i="5"/>
  <c r="X40" i="5"/>
  <c r="W40" i="5"/>
  <c r="AE40" i="5"/>
  <c r="AB40" i="5"/>
  <c r="Q39" i="5"/>
  <c r="AG40" i="5"/>
  <c r="O40" i="5"/>
  <c r="R38" i="5"/>
  <c r="P38" i="5"/>
  <c r="C34" i="5"/>
  <c r="B34" i="5"/>
  <c r="D35" i="5"/>
  <c r="E36" i="5"/>
  <c r="G36" i="5"/>
  <c r="F36" i="5"/>
  <c r="AI41" i="5"/>
  <c r="AF41" i="5"/>
  <c r="AE41" i="5"/>
  <c r="U41" i="5"/>
  <c r="V41" i="5"/>
  <c r="T41" i="5"/>
  <c r="S41" i="5"/>
  <c r="L38" i="5"/>
  <c r="J37" i="5"/>
  <c r="I37" i="5"/>
  <c r="H37" i="5"/>
  <c r="AJ42" i="5"/>
  <c r="AK42" i="5"/>
  <c r="AL43" i="5"/>
  <c r="G33" i="4"/>
  <c r="F33" i="4"/>
  <c r="L34" i="4"/>
  <c r="W35" i="4"/>
  <c r="P35" i="4"/>
  <c r="U35" i="4"/>
  <c r="V36" i="4"/>
  <c r="Q36" i="4"/>
  <c r="M40" i="5"/>
  <c r="AB37" i="4"/>
  <c r="AC38" i="4"/>
  <c r="AA37" i="4"/>
  <c r="Y36" i="4"/>
  <c r="X36" i="4"/>
  <c r="Y20" i="2"/>
  <c r="K20" i="2"/>
  <c r="R40" i="5"/>
  <c r="P40" i="5"/>
  <c r="A35" i="5"/>
  <c r="AG41" i="5"/>
  <c r="Q40" i="5"/>
  <c r="X41" i="5"/>
  <c r="W41" i="5"/>
  <c r="AD41" i="5"/>
  <c r="Z41" i="5"/>
  <c r="Y41" i="5"/>
  <c r="AH41" i="5"/>
  <c r="AC41" i="5"/>
  <c r="AA41" i="5"/>
  <c r="O41" i="5"/>
  <c r="AB41" i="5"/>
  <c r="F37" i="5"/>
  <c r="E37" i="5"/>
  <c r="G37" i="5"/>
  <c r="C35" i="5"/>
  <c r="D36" i="5"/>
  <c r="AK43" i="5"/>
  <c r="AJ43" i="5"/>
  <c r="AL44" i="5"/>
  <c r="L39" i="5"/>
  <c r="J39" i="5"/>
  <c r="I39" i="5"/>
  <c r="H39" i="5"/>
  <c r="J38" i="5"/>
  <c r="I38" i="5"/>
  <c r="H38" i="5"/>
  <c r="L40" i="5"/>
  <c r="J40" i="5"/>
  <c r="K40" i="5"/>
  <c r="AF42" i="5"/>
  <c r="AI42" i="5"/>
  <c r="V42" i="5"/>
  <c r="T42" i="5"/>
  <c r="S42" i="5"/>
  <c r="U42" i="5"/>
  <c r="E33" i="4"/>
  <c r="F34" i="4"/>
  <c r="G34" i="4"/>
  <c r="T35" i="4"/>
  <c r="K35" i="4"/>
  <c r="J35" i="4"/>
  <c r="L35" i="4"/>
  <c r="R35" i="4"/>
  <c r="W36" i="4"/>
  <c r="P36" i="4"/>
  <c r="U36" i="4"/>
  <c r="V37" i="4"/>
  <c r="Q37" i="4"/>
  <c r="M41" i="5"/>
  <c r="AB38" i="4"/>
  <c r="AC39" i="4"/>
  <c r="AA38" i="4"/>
  <c r="Y37" i="4"/>
  <c r="W37" i="4"/>
  <c r="P37" i="4"/>
  <c r="I40" i="5"/>
  <c r="H40" i="5"/>
  <c r="E40" i="5"/>
  <c r="AC42" i="5"/>
  <c r="AA42" i="5"/>
  <c r="A36" i="5"/>
  <c r="AG42" i="5"/>
  <c r="R41" i="5"/>
  <c r="P41" i="5"/>
  <c r="Q41" i="5"/>
  <c r="AD42" i="5"/>
  <c r="Z42" i="5"/>
  <c r="Y42" i="5"/>
  <c r="X42" i="5"/>
  <c r="W42" i="5"/>
  <c r="AE42" i="5"/>
  <c r="AH42" i="5"/>
  <c r="AB42" i="5"/>
  <c r="O42" i="5"/>
  <c r="F39" i="5"/>
  <c r="E39" i="5"/>
  <c r="G39" i="5"/>
  <c r="D37" i="5"/>
  <c r="E38" i="5"/>
  <c r="G38" i="5"/>
  <c r="F38" i="5"/>
  <c r="C36" i="5"/>
  <c r="B36" i="5"/>
  <c r="B35" i="5"/>
  <c r="AJ44" i="5"/>
  <c r="AK44" i="5"/>
  <c r="AL45" i="5"/>
  <c r="K41" i="5"/>
  <c r="L41" i="5"/>
  <c r="J41" i="5"/>
  <c r="AI43" i="5"/>
  <c r="O43" i="5"/>
  <c r="AF43" i="5"/>
  <c r="AD43" i="5"/>
  <c r="Z43" i="5"/>
  <c r="Y43" i="5"/>
  <c r="V43" i="5"/>
  <c r="T43" i="5"/>
  <c r="S43" i="5"/>
  <c r="U43" i="5"/>
  <c r="R37" i="4"/>
  <c r="E34" i="4"/>
  <c r="F35" i="4"/>
  <c r="G35" i="4"/>
  <c r="K36" i="4"/>
  <c r="J36" i="4"/>
  <c r="L36" i="4"/>
  <c r="R36" i="4"/>
  <c r="X37" i="4"/>
  <c r="T36" i="4"/>
  <c r="U37" i="4"/>
  <c r="V38" i="4"/>
  <c r="Q38" i="4"/>
  <c r="M42" i="5"/>
  <c r="L37" i="4"/>
  <c r="AB39" i="4"/>
  <c r="AC40" i="4"/>
  <c r="AA39" i="4"/>
  <c r="Y38" i="4"/>
  <c r="X38" i="4"/>
  <c r="Y21" i="2"/>
  <c r="K21" i="2"/>
  <c r="G40" i="5"/>
  <c r="F40" i="5"/>
  <c r="A37" i="5"/>
  <c r="R42" i="5"/>
  <c r="P42" i="5"/>
  <c r="AG43" i="5"/>
  <c r="I41" i="5"/>
  <c r="H41" i="5"/>
  <c r="G41" i="5"/>
  <c r="AH43" i="5"/>
  <c r="D39" i="5"/>
  <c r="AC43" i="5"/>
  <c r="AA43" i="5"/>
  <c r="X43" i="5"/>
  <c r="W43" i="5"/>
  <c r="AE43" i="5"/>
  <c r="AB43" i="5"/>
  <c r="Q42" i="5"/>
  <c r="C37" i="5"/>
  <c r="B37" i="5"/>
  <c r="D38" i="5"/>
  <c r="AK45" i="5"/>
  <c r="AJ45" i="5"/>
  <c r="AL46" i="5"/>
  <c r="L42" i="5"/>
  <c r="J42" i="5"/>
  <c r="K42" i="5"/>
  <c r="AF44" i="5"/>
  <c r="AD44" i="5"/>
  <c r="Z44" i="5"/>
  <c r="Y44" i="5"/>
  <c r="AI44" i="5"/>
  <c r="V44" i="5"/>
  <c r="T44" i="5"/>
  <c r="S44" i="5"/>
  <c r="U44" i="5"/>
  <c r="E35" i="4"/>
  <c r="G37" i="4"/>
  <c r="F37" i="4"/>
  <c r="F36" i="4"/>
  <c r="G36" i="4"/>
  <c r="T37" i="4"/>
  <c r="K37" i="4"/>
  <c r="J37" i="4"/>
  <c r="W38" i="4"/>
  <c r="P38" i="4"/>
  <c r="U38" i="4"/>
  <c r="V39" i="4"/>
  <c r="Q39" i="4"/>
  <c r="M43" i="5"/>
  <c r="AB40" i="4"/>
  <c r="AC41" i="4"/>
  <c r="AA40" i="4"/>
  <c r="Y39" i="4"/>
  <c r="X39" i="4"/>
  <c r="AC44" i="5"/>
  <c r="AA44" i="5"/>
  <c r="D40" i="5"/>
  <c r="A38" i="5"/>
  <c r="A39" i="5"/>
  <c r="AG44" i="5"/>
  <c r="E41" i="5"/>
  <c r="F41" i="5"/>
  <c r="C38" i="5"/>
  <c r="B38" i="5"/>
  <c r="X44" i="5"/>
  <c r="W44" i="5"/>
  <c r="AE44" i="5"/>
  <c r="AB44" i="5"/>
  <c r="Q43" i="5"/>
  <c r="I42" i="5"/>
  <c r="H42" i="5"/>
  <c r="E42" i="5"/>
  <c r="R43" i="5"/>
  <c r="P43" i="5"/>
  <c r="AH44" i="5"/>
  <c r="O44" i="5"/>
  <c r="AJ46" i="5"/>
  <c r="AK46" i="5"/>
  <c r="AL47" i="5"/>
  <c r="K43" i="5"/>
  <c r="L43" i="5"/>
  <c r="J43" i="5"/>
  <c r="AI45" i="5"/>
  <c r="AH45" i="5"/>
  <c r="AF45" i="5"/>
  <c r="AC45" i="5"/>
  <c r="AA45" i="5"/>
  <c r="V45" i="5"/>
  <c r="T45" i="5"/>
  <c r="S45" i="5"/>
  <c r="U45" i="5"/>
  <c r="E37" i="4"/>
  <c r="E36" i="4"/>
  <c r="T38" i="4"/>
  <c r="K38" i="4"/>
  <c r="J38" i="4"/>
  <c r="L38" i="4"/>
  <c r="R38" i="4"/>
  <c r="U39" i="4"/>
  <c r="K39" i="4"/>
  <c r="J39" i="4"/>
  <c r="W39" i="4"/>
  <c r="P39" i="4"/>
  <c r="V40" i="4"/>
  <c r="Q40" i="4"/>
  <c r="M44" i="5"/>
  <c r="AB41" i="4"/>
  <c r="AC42" i="4"/>
  <c r="AA41" i="4"/>
  <c r="Y40" i="4"/>
  <c r="U40" i="4"/>
  <c r="K40" i="4"/>
  <c r="R44" i="5"/>
  <c r="P44" i="5"/>
  <c r="A40" i="5"/>
  <c r="Y22" i="2"/>
  <c r="K22" i="2"/>
  <c r="D41" i="5"/>
  <c r="AE45" i="5"/>
  <c r="C39" i="5"/>
  <c r="B39" i="5"/>
  <c r="AD45" i="5"/>
  <c r="Z45" i="5"/>
  <c r="Y45" i="5"/>
  <c r="F42" i="5"/>
  <c r="Q44" i="5"/>
  <c r="AB45" i="5"/>
  <c r="R45" i="5"/>
  <c r="G42" i="5"/>
  <c r="X45" i="5"/>
  <c r="W45" i="5"/>
  <c r="I43" i="5"/>
  <c r="H43" i="5"/>
  <c r="G43" i="5"/>
  <c r="W40" i="4"/>
  <c r="P40" i="4"/>
  <c r="R40" i="4"/>
  <c r="AG45" i="5"/>
  <c r="O45" i="5"/>
  <c r="L44" i="5"/>
  <c r="J44" i="5"/>
  <c r="K44" i="5"/>
  <c r="AJ47" i="5"/>
  <c r="AK47" i="5"/>
  <c r="AL48" i="5"/>
  <c r="AF46" i="5"/>
  <c r="X46" i="5"/>
  <c r="W46" i="5"/>
  <c r="AI46" i="5"/>
  <c r="AH46" i="5"/>
  <c r="V46" i="5"/>
  <c r="T46" i="5"/>
  <c r="S46" i="5"/>
  <c r="U46" i="5"/>
  <c r="T39" i="4"/>
  <c r="G38" i="4"/>
  <c r="F38" i="4"/>
  <c r="L39" i="4"/>
  <c r="R39" i="4"/>
  <c r="V41" i="4"/>
  <c r="Q41" i="4"/>
  <c r="J40" i="4"/>
  <c r="T40" i="4"/>
  <c r="X40" i="4"/>
  <c r="M45" i="5"/>
  <c r="AB42" i="4"/>
  <c r="AC43" i="4"/>
  <c r="AA42" i="4"/>
  <c r="Y41" i="4"/>
  <c r="X41" i="4"/>
  <c r="A41" i="5"/>
  <c r="C40" i="5"/>
  <c r="B40" i="5"/>
  <c r="E43" i="5"/>
  <c r="D42" i="5"/>
  <c r="AB46" i="5"/>
  <c r="Q45" i="5"/>
  <c r="I44" i="5"/>
  <c r="H44" i="5"/>
  <c r="G44" i="5"/>
  <c r="F43" i="5"/>
  <c r="L40" i="4"/>
  <c r="F40" i="4"/>
  <c r="P45" i="5"/>
  <c r="O46" i="5"/>
  <c r="AG46" i="5"/>
  <c r="AE46" i="5"/>
  <c r="W41" i="4"/>
  <c r="P41" i="4"/>
  <c r="R41" i="4"/>
  <c r="AD46" i="5"/>
  <c r="Z46" i="5"/>
  <c r="Y46" i="5"/>
  <c r="AC46" i="5"/>
  <c r="AA46" i="5"/>
  <c r="K45" i="5"/>
  <c r="L45" i="5"/>
  <c r="J45" i="5"/>
  <c r="AJ48" i="5"/>
  <c r="AK48" i="5"/>
  <c r="AL49" i="5"/>
  <c r="AF47" i="5"/>
  <c r="AD47" i="5"/>
  <c r="Z47" i="5"/>
  <c r="Y47" i="5"/>
  <c r="AI47" i="5"/>
  <c r="V47" i="5"/>
  <c r="T47" i="5"/>
  <c r="S47" i="5"/>
  <c r="U47" i="5"/>
  <c r="E38" i="4"/>
  <c r="F39" i="4"/>
  <c r="G39" i="4"/>
  <c r="V42" i="4"/>
  <c r="Q42" i="4"/>
  <c r="U41" i="4"/>
  <c r="K41" i="4"/>
  <c r="M46" i="5"/>
  <c r="AB43" i="4"/>
  <c r="AC44" i="4"/>
  <c r="AA43" i="4"/>
  <c r="Y42" i="4"/>
  <c r="U42" i="4"/>
  <c r="K42" i="4"/>
  <c r="A42" i="5"/>
  <c r="Y23" i="2"/>
  <c r="K23" i="2"/>
  <c r="G40" i="4"/>
  <c r="E40" i="4"/>
  <c r="C41" i="5"/>
  <c r="B41" i="5"/>
  <c r="L41" i="4"/>
  <c r="G41" i="4"/>
  <c r="F44" i="5"/>
  <c r="I45" i="5"/>
  <c r="H45" i="5"/>
  <c r="G45" i="5"/>
  <c r="E44" i="5"/>
  <c r="D43" i="5"/>
  <c r="Q46" i="5"/>
  <c r="AG47" i="5"/>
  <c r="AE47" i="5"/>
  <c r="AB47" i="5"/>
  <c r="O47" i="5"/>
  <c r="W42" i="4"/>
  <c r="P42" i="4"/>
  <c r="R42" i="4"/>
  <c r="AC47" i="5"/>
  <c r="AA47" i="5"/>
  <c r="AH47" i="5"/>
  <c r="X47" i="5"/>
  <c r="W47" i="5"/>
  <c r="R46" i="5"/>
  <c r="P46" i="5"/>
  <c r="L46" i="5"/>
  <c r="J46" i="5"/>
  <c r="K46" i="5"/>
  <c r="AF48" i="5"/>
  <c r="AD48" i="5"/>
  <c r="Z48" i="5"/>
  <c r="Y48" i="5"/>
  <c r="AI48" i="5"/>
  <c r="V48" i="5"/>
  <c r="T48" i="5"/>
  <c r="S48" i="5"/>
  <c r="U48" i="5"/>
  <c r="AK49" i="5"/>
  <c r="AJ49" i="5"/>
  <c r="AL50" i="5"/>
  <c r="E39" i="4"/>
  <c r="V43" i="4"/>
  <c r="Q43" i="4"/>
  <c r="J42" i="4"/>
  <c r="T42" i="4"/>
  <c r="X42" i="4"/>
  <c r="J41" i="4"/>
  <c r="T41" i="4"/>
  <c r="M47" i="5"/>
  <c r="AB44" i="4"/>
  <c r="AC45" i="4"/>
  <c r="AA44" i="4"/>
  <c r="Y43" i="4"/>
  <c r="U43" i="4"/>
  <c r="K43" i="4"/>
  <c r="X48" i="5"/>
  <c r="W48" i="5"/>
  <c r="A43" i="5"/>
  <c r="D44" i="5"/>
  <c r="E45" i="5"/>
  <c r="C42" i="5"/>
  <c r="B42" i="5"/>
  <c r="F41" i="4"/>
  <c r="E41" i="4"/>
  <c r="F45" i="5"/>
  <c r="L42" i="4"/>
  <c r="G42" i="4"/>
  <c r="AC48" i="5"/>
  <c r="AA48" i="5"/>
  <c r="AE48" i="5"/>
  <c r="AB48" i="5"/>
  <c r="W43" i="4"/>
  <c r="P43" i="4"/>
  <c r="R43" i="4"/>
  <c r="AG48" i="5"/>
  <c r="Q47" i="5"/>
  <c r="AH48" i="5"/>
  <c r="O48" i="5"/>
  <c r="I46" i="5"/>
  <c r="H46" i="5"/>
  <c r="R47" i="5"/>
  <c r="P47" i="5"/>
  <c r="AK50" i="5"/>
  <c r="AJ50" i="5"/>
  <c r="AL51" i="5"/>
  <c r="K47" i="5"/>
  <c r="L47" i="5"/>
  <c r="J47" i="5"/>
  <c r="AF49" i="5"/>
  <c r="AI49" i="5"/>
  <c r="AH49" i="5"/>
  <c r="V49" i="5"/>
  <c r="T49" i="5"/>
  <c r="S49" i="5"/>
  <c r="U49" i="5"/>
  <c r="X43" i="4"/>
  <c r="V44" i="4"/>
  <c r="Q44" i="4"/>
  <c r="J43" i="4"/>
  <c r="T43" i="4"/>
  <c r="M48" i="5"/>
  <c r="AB45" i="4"/>
  <c r="AC46" i="4"/>
  <c r="AA45" i="4"/>
  <c r="Y44" i="4"/>
  <c r="U44" i="4"/>
  <c r="K44" i="4"/>
  <c r="Y24" i="2"/>
  <c r="Q48" i="5"/>
  <c r="A44" i="5"/>
  <c r="C43" i="5"/>
  <c r="B43" i="5"/>
  <c r="D45" i="5"/>
  <c r="F42" i="4"/>
  <c r="E42" i="4"/>
  <c r="L43" i="4"/>
  <c r="G43" i="4"/>
  <c r="R48" i="5"/>
  <c r="P48" i="5"/>
  <c r="AC49" i="5"/>
  <c r="AA49" i="5"/>
  <c r="X49" i="5"/>
  <c r="W49" i="5"/>
  <c r="AG49" i="5"/>
  <c r="AE49" i="5"/>
  <c r="W44" i="4"/>
  <c r="P44" i="4"/>
  <c r="L44" i="4"/>
  <c r="AD49" i="5"/>
  <c r="Z49" i="5"/>
  <c r="Y49" i="5"/>
  <c r="AB49" i="5"/>
  <c r="O49" i="5"/>
  <c r="G46" i="5"/>
  <c r="E46" i="5"/>
  <c r="F46" i="5"/>
  <c r="I47" i="5"/>
  <c r="H47" i="5"/>
  <c r="AK51" i="5"/>
  <c r="AJ51" i="5"/>
  <c r="AL52" i="5"/>
  <c r="K48" i="5"/>
  <c r="L48" i="5"/>
  <c r="J48" i="5"/>
  <c r="AI50" i="5"/>
  <c r="O50" i="5"/>
  <c r="AF50" i="5"/>
  <c r="U50" i="5"/>
  <c r="V50" i="5"/>
  <c r="T50" i="5"/>
  <c r="S50" i="5"/>
  <c r="X44" i="4"/>
  <c r="V45" i="4"/>
  <c r="Q45" i="4"/>
  <c r="J44" i="4"/>
  <c r="T44" i="4"/>
  <c r="M49" i="5"/>
  <c r="AB46" i="4"/>
  <c r="AC47" i="4"/>
  <c r="AA46" i="4"/>
  <c r="Y45" i="4"/>
  <c r="X45" i="4"/>
  <c r="K24" i="2"/>
  <c r="AA3" i="11"/>
  <c r="AC50" i="5"/>
  <c r="AA50" i="5"/>
  <c r="A45" i="5"/>
  <c r="C44" i="5"/>
  <c r="B44" i="5"/>
  <c r="R44" i="4"/>
  <c r="F43" i="4"/>
  <c r="E43" i="4"/>
  <c r="I48" i="5"/>
  <c r="H48" i="5"/>
  <c r="G48" i="5"/>
  <c r="R49" i="5"/>
  <c r="P49" i="5"/>
  <c r="AH50" i="5"/>
  <c r="AE50" i="5"/>
  <c r="D46" i="5"/>
  <c r="W45" i="4"/>
  <c r="P45" i="4"/>
  <c r="R45" i="4"/>
  <c r="AB50" i="5"/>
  <c r="X50" i="5"/>
  <c r="W50" i="5"/>
  <c r="AD50" i="5"/>
  <c r="Z50" i="5"/>
  <c r="Y50" i="5"/>
  <c r="AG50" i="5"/>
  <c r="F47" i="5"/>
  <c r="E47" i="5"/>
  <c r="G47" i="5"/>
  <c r="Q49" i="5"/>
  <c r="AJ52" i="5"/>
  <c r="AK52" i="5"/>
  <c r="AL53" i="5"/>
  <c r="K49" i="5"/>
  <c r="L49" i="5"/>
  <c r="J49" i="5"/>
  <c r="AI51" i="5"/>
  <c r="AF51" i="5"/>
  <c r="AD51" i="5"/>
  <c r="Z51" i="5"/>
  <c r="Y51" i="5"/>
  <c r="V51" i="5"/>
  <c r="T51" i="5"/>
  <c r="S51" i="5"/>
  <c r="U51" i="5"/>
  <c r="F44" i="4"/>
  <c r="G44" i="4"/>
  <c r="U45" i="4"/>
  <c r="K45" i="4"/>
  <c r="J45" i="4"/>
  <c r="V46" i="4"/>
  <c r="Q46" i="4"/>
  <c r="M50" i="5"/>
  <c r="AC48" i="4"/>
  <c r="AB47" i="4"/>
  <c r="AA47" i="4"/>
  <c r="Y46" i="4"/>
  <c r="U46" i="4"/>
  <c r="K46" i="4"/>
  <c r="AA5" i="11"/>
  <c r="AA6" i="11"/>
  <c r="AA7" i="11"/>
  <c r="AA8" i="11"/>
  <c r="AA9" i="11"/>
  <c r="AA10" i="11"/>
  <c r="AA11" i="11"/>
  <c r="AA12" i="11"/>
  <c r="AA13" i="11"/>
  <c r="AA14" i="11"/>
  <c r="AA15" i="11"/>
  <c r="AA16" i="11"/>
  <c r="R50" i="5"/>
  <c r="P50" i="5"/>
  <c r="A46" i="5"/>
  <c r="Y25" i="2"/>
  <c r="F48" i="5"/>
  <c r="C45" i="5"/>
  <c r="B45" i="5"/>
  <c r="E48" i="5"/>
  <c r="L45" i="4"/>
  <c r="G45" i="4"/>
  <c r="AG51" i="5"/>
  <c r="I49" i="5"/>
  <c r="H49" i="5"/>
  <c r="G49" i="5"/>
  <c r="D47" i="5"/>
  <c r="W46" i="4"/>
  <c r="P46" i="4"/>
  <c r="L46" i="4"/>
  <c r="O51" i="5"/>
  <c r="AE51" i="5"/>
  <c r="AB51" i="5"/>
  <c r="AH51" i="5"/>
  <c r="AC51" i="5"/>
  <c r="AA51" i="5"/>
  <c r="X51" i="5"/>
  <c r="W51" i="5"/>
  <c r="Q50" i="5"/>
  <c r="L50" i="5"/>
  <c r="J50" i="5"/>
  <c r="K50" i="5"/>
  <c r="AF52" i="5"/>
  <c r="AB52" i="5"/>
  <c r="AI52" i="5"/>
  <c r="V52" i="5"/>
  <c r="T52" i="5"/>
  <c r="S52" i="5"/>
  <c r="U52" i="5"/>
  <c r="AJ53" i="5"/>
  <c r="AK53" i="5"/>
  <c r="AL54" i="5"/>
  <c r="T45" i="4"/>
  <c r="E44" i="4"/>
  <c r="X46" i="4"/>
  <c r="V47" i="4"/>
  <c r="Q47" i="4"/>
  <c r="J46" i="4"/>
  <c r="T46" i="4"/>
  <c r="M51" i="5"/>
  <c r="Y47" i="4"/>
  <c r="U47" i="4"/>
  <c r="AC49" i="4"/>
  <c r="AA48" i="4"/>
  <c r="AB48" i="4"/>
  <c r="C3" i="11"/>
  <c r="W3" i="11"/>
  <c r="D3" i="11"/>
  <c r="B3" i="11"/>
  <c r="K25" i="2"/>
  <c r="A47" i="5"/>
  <c r="X52" i="5"/>
  <c r="W52" i="5"/>
  <c r="D48" i="5"/>
  <c r="C46" i="5"/>
  <c r="B46" i="5"/>
  <c r="F45" i="4"/>
  <c r="E45" i="4"/>
  <c r="E49" i="5"/>
  <c r="R46" i="4"/>
  <c r="AG52" i="5"/>
  <c r="R51" i="5"/>
  <c r="P51" i="5"/>
  <c r="I50" i="5"/>
  <c r="H50" i="5"/>
  <c r="E50" i="5"/>
  <c r="F49" i="5"/>
  <c r="AC52" i="5"/>
  <c r="AA52" i="5"/>
  <c r="R52" i="5"/>
  <c r="AH52" i="5"/>
  <c r="O52" i="5"/>
  <c r="AD52" i="5"/>
  <c r="Z52" i="5"/>
  <c r="Y52" i="5"/>
  <c r="F46" i="4"/>
  <c r="G46" i="4"/>
  <c r="W47" i="4"/>
  <c r="P47" i="4"/>
  <c r="R47" i="4"/>
  <c r="AE52" i="5"/>
  <c r="Q51" i="5"/>
  <c r="AJ54" i="5"/>
  <c r="AK54" i="5"/>
  <c r="AL55" i="5"/>
  <c r="K51" i="5"/>
  <c r="L51" i="5"/>
  <c r="J51" i="5"/>
  <c r="AF53" i="5"/>
  <c r="AC53" i="5"/>
  <c r="AA53" i="5"/>
  <c r="AI53" i="5"/>
  <c r="U53" i="5"/>
  <c r="V53" i="5"/>
  <c r="T53" i="5"/>
  <c r="S53" i="5"/>
  <c r="K47" i="4"/>
  <c r="J47" i="4"/>
  <c r="X47" i="4"/>
  <c r="V48" i="4"/>
  <c r="Q48" i="4"/>
  <c r="T47" i="4"/>
  <c r="M52" i="5"/>
  <c r="Y48" i="4"/>
  <c r="U48" i="4"/>
  <c r="K48" i="4"/>
  <c r="AC50" i="4"/>
  <c r="AA49" i="4"/>
  <c r="AB49" i="4"/>
  <c r="A3" i="11"/>
  <c r="A48" i="5"/>
  <c r="AD53" i="5"/>
  <c r="Z53" i="5"/>
  <c r="Y53" i="5"/>
  <c r="Y26" i="2"/>
  <c r="C47" i="5"/>
  <c r="B47" i="5"/>
  <c r="D49" i="5"/>
  <c r="AG53" i="5"/>
  <c r="L47" i="4"/>
  <c r="G47" i="4"/>
  <c r="I51" i="5"/>
  <c r="H51" i="5"/>
  <c r="E51" i="5"/>
  <c r="P52" i="5"/>
  <c r="G50" i="5"/>
  <c r="F50" i="5"/>
  <c r="AE53" i="5"/>
  <c r="AB53" i="5"/>
  <c r="R53" i="5"/>
  <c r="X53" i="5"/>
  <c r="W53" i="5"/>
  <c r="E46" i="4"/>
  <c r="W48" i="4"/>
  <c r="P48" i="4"/>
  <c r="L48" i="4"/>
  <c r="AH53" i="5"/>
  <c r="O53" i="5"/>
  <c r="Q52" i="5"/>
  <c r="K52" i="5"/>
  <c r="L52" i="5"/>
  <c r="J52" i="5"/>
  <c r="AJ55" i="5"/>
  <c r="AK55" i="5"/>
  <c r="AL56" i="5"/>
  <c r="AI54" i="5"/>
  <c r="O54" i="5"/>
  <c r="AF54" i="5"/>
  <c r="X54" i="5"/>
  <c r="W54" i="5"/>
  <c r="U54" i="5"/>
  <c r="V54" i="5"/>
  <c r="T54" i="5"/>
  <c r="S54" i="5"/>
  <c r="X48" i="4"/>
  <c r="V49" i="4"/>
  <c r="Q49" i="4"/>
  <c r="J48" i="4"/>
  <c r="T48" i="4"/>
  <c r="M53" i="5"/>
  <c r="Y49" i="4"/>
  <c r="U49" i="4"/>
  <c r="AC51" i="4"/>
  <c r="AA50" i="4"/>
  <c r="AB50" i="4"/>
  <c r="K26" i="2"/>
  <c r="A49" i="5"/>
  <c r="C48" i="5"/>
  <c r="B48" i="5"/>
  <c r="F47" i="4"/>
  <c r="E47" i="4"/>
  <c r="R48" i="4"/>
  <c r="G51" i="5"/>
  <c r="F51" i="5"/>
  <c r="Q53" i="5"/>
  <c r="D50" i="5"/>
  <c r="P53" i="5"/>
  <c r="I52" i="5"/>
  <c r="H52" i="5"/>
  <c r="E52" i="5"/>
  <c r="X49" i="4"/>
  <c r="AB54" i="5"/>
  <c r="AD54" i="5"/>
  <c r="Z54" i="5"/>
  <c r="Y54" i="5"/>
  <c r="W49" i="4"/>
  <c r="P49" i="4"/>
  <c r="R49" i="4"/>
  <c r="G48" i="4"/>
  <c r="F48" i="4"/>
  <c r="AG54" i="5"/>
  <c r="AH54" i="5"/>
  <c r="AE54" i="5"/>
  <c r="AC54" i="5"/>
  <c r="AA54" i="5"/>
  <c r="K53" i="5"/>
  <c r="L53" i="5"/>
  <c r="J53" i="5"/>
  <c r="AI55" i="5"/>
  <c r="O55" i="5"/>
  <c r="AF55" i="5"/>
  <c r="AB55" i="5"/>
  <c r="V55" i="5"/>
  <c r="T55" i="5"/>
  <c r="S55" i="5"/>
  <c r="U55" i="5"/>
  <c r="AJ56" i="5"/>
  <c r="AK56" i="5"/>
  <c r="AL57" i="5"/>
  <c r="K49" i="4"/>
  <c r="J49" i="4"/>
  <c r="V50" i="4"/>
  <c r="Q50" i="4"/>
  <c r="T49" i="4"/>
  <c r="M54" i="5"/>
  <c r="Y50" i="4"/>
  <c r="U50" i="4"/>
  <c r="K50" i="4"/>
  <c r="AC52" i="4"/>
  <c r="AA51" i="4"/>
  <c r="AB51" i="4"/>
  <c r="L79" i="8" a="1"/>
  <c r="L79" i="8"/>
  <c r="A50" i="5"/>
  <c r="Y27" i="2"/>
  <c r="C49" i="5"/>
  <c r="B49" i="5"/>
  <c r="D51" i="5"/>
  <c r="Q54" i="5"/>
  <c r="G52" i="5"/>
  <c r="L49" i="4"/>
  <c r="G49" i="4"/>
  <c r="I53" i="5"/>
  <c r="H53" i="5"/>
  <c r="G53" i="5"/>
  <c r="F52" i="5"/>
  <c r="AC55" i="5"/>
  <c r="AA55" i="5"/>
  <c r="R55" i="5"/>
  <c r="AH55" i="5"/>
  <c r="AG55" i="5"/>
  <c r="E48" i="4"/>
  <c r="AD55" i="5"/>
  <c r="Z55" i="5"/>
  <c r="Y55" i="5"/>
  <c r="X50" i="4"/>
  <c r="W50" i="4"/>
  <c r="P50" i="4"/>
  <c r="R50" i="4"/>
  <c r="X55" i="5"/>
  <c r="W55" i="5"/>
  <c r="AE55" i="5"/>
  <c r="R54" i="5"/>
  <c r="P54" i="5"/>
  <c r="L54" i="5"/>
  <c r="J54" i="5"/>
  <c r="K54" i="5"/>
  <c r="AF56" i="5"/>
  <c r="AD56" i="5"/>
  <c r="Z56" i="5"/>
  <c r="AI56" i="5"/>
  <c r="U56" i="5"/>
  <c r="V56" i="5"/>
  <c r="T56" i="5"/>
  <c r="S56" i="5"/>
  <c r="AK57" i="5"/>
  <c r="AJ57" i="5"/>
  <c r="AL58" i="5"/>
  <c r="V51" i="4"/>
  <c r="Q51" i="4"/>
  <c r="J50" i="4"/>
  <c r="T50" i="4"/>
  <c r="M55" i="5"/>
  <c r="Y51" i="4"/>
  <c r="U51" i="4"/>
  <c r="K51" i="4"/>
  <c r="AC53" i="4"/>
  <c r="AA52" i="4"/>
  <c r="AB52" i="4"/>
  <c r="K27" i="2"/>
  <c r="A51" i="5"/>
  <c r="C50" i="5"/>
  <c r="B50" i="5"/>
  <c r="D52" i="5"/>
  <c r="F49" i="4"/>
  <c r="E49" i="4"/>
  <c r="F53" i="5"/>
  <c r="E53" i="5"/>
  <c r="AC56" i="5"/>
  <c r="AA56" i="5"/>
  <c r="L50" i="4"/>
  <c r="F50" i="4"/>
  <c r="AB56" i="5"/>
  <c r="X56" i="5"/>
  <c r="W56" i="5"/>
  <c r="AE56" i="5"/>
  <c r="Y56" i="5"/>
  <c r="W51" i="4"/>
  <c r="P51" i="4"/>
  <c r="L51" i="4"/>
  <c r="P55" i="5"/>
  <c r="AG56" i="5"/>
  <c r="X51" i="4"/>
  <c r="AH56" i="5"/>
  <c r="O56" i="5"/>
  <c r="I54" i="5"/>
  <c r="H54" i="5"/>
  <c r="Q55" i="5"/>
  <c r="K55" i="5"/>
  <c r="L55" i="5"/>
  <c r="J55" i="5"/>
  <c r="AJ58" i="5"/>
  <c r="AK58" i="5"/>
  <c r="AL59" i="5"/>
  <c r="AF57" i="5"/>
  <c r="AI57" i="5"/>
  <c r="V57" i="5"/>
  <c r="T57" i="5"/>
  <c r="S57" i="5"/>
  <c r="U57" i="5"/>
  <c r="V52" i="4"/>
  <c r="Q52" i="4"/>
  <c r="J51" i="4"/>
  <c r="T51" i="4"/>
  <c r="M56" i="5"/>
  <c r="Y52" i="4"/>
  <c r="W52" i="4"/>
  <c r="P52" i="4"/>
  <c r="AC54" i="4"/>
  <c r="AA53" i="4"/>
  <c r="AB53" i="4"/>
  <c r="AC57" i="5"/>
  <c r="AA57" i="5"/>
  <c r="A52" i="5"/>
  <c r="C51" i="5"/>
  <c r="B51" i="5"/>
  <c r="Y28" i="2"/>
  <c r="R56" i="5"/>
  <c r="P56" i="5"/>
  <c r="D53" i="5"/>
  <c r="G50" i="4"/>
  <c r="E50" i="4"/>
  <c r="R51" i="4"/>
  <c r="Q56" i="5"/>
  <c r="AG57" i="5"/>
  <c r="X52" i="4"/>
  <c r="AH57" i="5"/>
  <c r="U52" i="4"/>
  <c r="K52" i="4"/>
  <c r="J52" i="4"/>
  <c r="AB57" i="5"/>
  <c r="AD57" i="5"/>
  <c r="Z57" i="5"/>
  <c r="Y57" i="5"/>
  <c r="X57" i="5"/>
  <c r="W57" i="5"/>
  <c r="AE57" i="5"/>
  <c r="O57" i="5"/>
  <c r="I55" i="5"/>
  <c r="H55" i="5"/>
  <c r="G54" i="5"/>
  <c r="E54" i="5"/>
  <c r="F54" i="5"/>
  <c r="G51" i="4"/>
  <c r="F51" i="4"/>
  <c r="AF58" i="5"/>
  <c r="X58" i="5"/>
  <c r="W58" i="5"/>
  <c r="AI58" i="5"/>
  <c r="U58" i="5"/>
  <c r="V58" i="5"/>
  <c r="T58" i="5"/>
  <c r="S58" i="5"/>
  <c r="K56" i="5"/>
  <c r="L56" i="5"/>
  <c r="J56" i="5"/>
  <c r="AK59" i="5"/>
  <c r="AJ59" i="5"/>
  <c r="AL60" i="5"/>
  <c r="R52" i="4"/>
  <c r="V53" i="4"/>
  <c r="Q53" i="4"/>
  <c r="M57" i="5"/>
  <c r="L52" i="4"/>
  <c r="Y53" i="4"/>
  <c r="W53" i="4"/>
  <c r="P53" i="4"/>
  <c r="AC55" i="4"/>
  <c r="AA54" i="4"/>
  <c r="AB54" i="4"/>
  <c r="K28" i="2"/>
  <c r="R57" i="5"/>
  <c r="P57" i="5"/>
  <c r="A53" i="5"/>
  <c r="I56" i="5"/>
  <c r="H56" i="5"/>
  <c r="G56" i="5"/>
  <c r="C52" i="5"/>
  <c r="B52" i="5"/>
  <c r="AG58" i="5"/>
  <c r="T52" i="4"/>
  <c r="AE58" i="5"/>
  <c r="E51" i="4"/>
  <c r="D54" i="5"/>
  <c r="X53" i="4"/>
  <c r="U53" i="4"/>
  <c r="F52" i="4"/>
  <c r="G52" i="4"/>
  <c r="AD58" i="5"/>
  <c r="Z58" i="5"/>
  <c r="Y58" i="5"/>
  <c r="AH58" i="5"/>
  <c r="AB58" i="5"/>
  <c r="O58" i="5"/>
  <c r="Q57" i="5"/>
  <c r="AC58" i="5"/>
  <c r="AA58" i="5"/>
  <c r="F55" i="5"/>
  <c r="E55" i="5"/>
  <c r="G55" i="5"/>
  <c r="AJ60" i="5"/>
  <c r="AK60" i="5"/>
  <c r="AL61" i="5"/>
  <c r="K57" i="5"/>
  <c r="L57" i="5"/>
  <c r="J57" i="5"/>
  <c r="AF59" i="5"/>
  <c r="AD59" i="5"/>
  <c r="Z59" i="5"/>
  <c r="Y59" i="5"/>
  <c r="AI59" i="5"/>
  <c r="V59" i="5"/>
  <c r="T59" i="5"/>
  <c r="S59" i="5"/>
  <c r="U59" i="5"/>
  <c r="R53" i="4"/>
  <c r="V54" i="4"/>
  <c r="Q54" i="4"/>
  <c r="M58" i="5"/>
  <c r="L53" i="4"/>
  <c r="Y54" i="4"/>
  <c r="W54" i="4"/>
  <c r="P54" i="4"/>
  <c r="AC56" i="4"/>
  <c r="AA55" i="4"/>
  <c r="AB55" i="4"/>
  <c r="A54" i="5"/>
  <c r="E56" i="5"/>
  <c r="F56" i="5"/>
  <c r="C53" i="5"/>
  <c r="B53" i="5"/>
  <c r="Y29" i="2"/>
  <c r="AG59" i="5"/>
  <c r="I57" i="5"/>
  <c r="H57" i="5"/>
  <c r="E57" i="5"/>
  <c r="Q58" i="5"/>
  <c r="X54" i="4"/>
  <c r="E52" i="4"/>
  <c r="D55" i="5"/>
  <c r="U54" i="4"/>
  <c r="F53" i="4"/>
  <c r="G53" i="4"/>
  <c r="AC59" i="5"/>
  <c r="AA59" i="5"/>
  <c r="AH59" i="5"/>
  <c r="O59" i="5"/>
  <c r="X59" i="5"/>
  <c r="W59" i="5"/>
  <c r="AE59" i="5"/>
  <c r="AB59" i="5"/>
  <c r="K53" i="4"/>
  <c r="J53" i="4"/>
  <c r="T53" i="4"/>
  <c r="R58" i="5"/>
  <c r="P58" i="5"/>
  <c r="AF60" i="5"/>
  <c r="AD60" i="5"/>
  <c r="Z60" i="5"/>
  <c r="Y60" i="5"/>
  <c r="AI60" i="5"/>
  <c r="U60" i="5"/>
  <c r="V60" i="5"/>
  <c r="T60" i="5"/>
  <c r="S60" i="5"/>
  <c r="AK61" i="5"/>
  <c r="AJ61" i="5"/>
  <c r="AL62" i="5"/>
  <c r="L58" i="5"/>
  <c r="J58" i="5"/>
  <c r="K58" i="5"/>
  <c r="R54" i="4"/>
  <c r="V55" i="4"/>
  <c r="Q55" i="4"/>
  <c r="M59" i="5"/>
  <c r="L54" i="4"/>
  <c r="Y55" i="4"/>
  <c r="W55" i="4"/>
  <c r="P55" i="4"/>
  <c r="AC57" i="4"/>
  <c r="AA56" i="4"/>
  <c r="AB56" i="4"/>
  <c r="K29" i="2"/>
  <c r="AC60" i="5"/>
  <c r="AA60" i="5"/>
  <c r="D56" i="5"/>
  <c r="A55" i="5"/>
  <c r="C54" i="5"/>
  <c r="B54" i="5"/>
  <c r="AG60" i="5"/>
  <c r="G57" i="5"/>
  <c r="F57" i="5"/>
  <c r="X55" i="4"/>
  <c r="U55" i="4"/>
  <c r="K55" i="4"/>
  <c r="J55" i="4"/>
  <c r="R59" i="5"/>
  <c r="P59" i="5"/>
  <c r="E53" i="4"/>
  <c r="AH60" i="5"/>
  <c r="O60" i="5"/>
  <c r="I58" i="5"/>
  <c r="H58" i="5"/>
  <c r="X60" i="5"/>
  <c r="W60" i="5"/>
  <c r="AE60" i="5"/>
  <c r="AB60" i="5"/>
  <c r="G54" i="4"/>
  <c r="F54" i="4"/>
  <c r="Q59" i="5"/>
  <c r="K54" i="4"/>
  <c r="J54" i="4"/>
  <c r="T54" i="4"/>
  <c r="K59" i="5"/>
  <c r="L59" i="5"/>
  <c r="J59" i="5"/>
  <c r="AI61" i="5"/>
  <c r="AF61" i="5"/>
  <c r="X61" i="5"/>
  <c r="W61" i="5"/>
  <c r="V61" i="5"/>
  <c r="T61" i="5"/>
  <c r="S61" i="5"/>
  <c r="U61" i="5"/>
  <c r="AK62" i="5"/>
  <c r="AJ62" i="5"/>
  <c r="AL63" i="5"/>
  <c r="R55" i="4"/>
  <c r="V56" i="4"/>
  <c r="Q56" i="4"/>
  <c r="M60" i="5"/>
  <c r="L55" i="4"/>
  <c r="Y56" i="4"/>
  <c r="W56" i="4"/>
  <c r="P56" i="4"/>
  <c r="AC58" i="4"/>
  <c r="AA57" i="4"/>
  <c r="AB57" i="4"/>
  <c r="R60" i="5"/>
  <c r="P60" i="5"/>
  <c r="A56" i="5"/>
  <c r="C55" i="5"/>
  <c r="B55" i="5"/>
  <c r="Y30" i="2"/>
  <c r="D57" i="5"/>
  <c r="T55" i="4"/>
  <c r="I59" i="5"/>
  <c r="H59" i="5"/>
  <c r="E59" i="5"/>
  <c r="X56" i="4"/>
  <c r="E54" i="4"/>
  <c r="U56" i="4"/>
  <c r="F55" i="4"/>
  <c r="G55" i="4"/>
  <c r="AD61" i="5"/>
  <c r="Z61" i="5"/>
  <c r="Y61" i="5"/>
  <c r="AB61" i="5"/>
  <c r="AH61" i="5"/>
  <c r="AG61" i="5"/>
  <c r="AC61" i="5"/>
  <c r="AA61" i="5"/>
  <c r="O61" i="5"/>
  <c r="E58" i="5"/>
  <c r="G58" i="5"/>
  <c r="F58" i="5"/>
  <c r="AE61" i="5"/>
  <c r="Q60" i="5"/>
  <c r="AJ63" i="5"/>
  <c r="AK63" i="5"/>
  <c r="AL64" i="5"/>
  <c r="K60" i="5"/>
  <c r="L60" i="5"/>
  <c r="J60" i="5"/>
  <c r="AI62" i="5"/>
  <c r="AH62" i="5"/>
  <c r="AF62" i="5"/>
  <c r="AD62" i="5"/>
  <c r="Z62" i="5"/>
  <c r="Y62" i="5"/>
  <c r="V62" i="5"/>
  <c r="T62" i="5"/>
  <c r="S62" i="5"/>
  <c r="U62" i="5"/>
  <c r="R56" i="4"/>
  <c r="V57" i="4"/>
  <c r="Q57" i="4"/>
  <c r="M61" i="5"/>
  <c r="L56" i="4"/>
  <c r="Y57" i="4"/>
  <c r="W57" i="4"/>
  <c r="P57" i="4"/>
  <c r="AC59" i="4"/>
  <c r="AA58" i="4"/>
  <c r="AB58" i="4"/>
  <c r="K30" i="2"/>
  <c r="A57" i="5"/>
  <c r="C56" i="5"/>
  <c r="B56" i="5"/>
  <c r="G59" i="5"/>
  <c r="Q61" i="5"/>
  <c r="F59" i="5"/>
  <c r="I60" i="5"/>
  <c r="H60" i="5"/>
  <c r="F60" i="5"/>
  <c r="X57" i="4"/>
  <c r="AB62" i="5"/>
  <c r="AE62" i="5"/>
  <c r="O62" i="5"/>
  <c r="AG62" i="5"/>
  <c r="AC62" i="5"/>
  <c r="AA62" i="5"/>
  <c r="E55" i="4"/>
  <c r="U57" i="4"/>
  <c r="K57" i="4"/>
  <c r="J57" i="4"/>
  <c r="X62" i="5"/>
  <c r="W62" i="5"/>
  <c r="D58" i="5"/>
  <c r="G56" i="4"/>
  <c r="F56" i="4"/>
  <c r="R61" i="5"/>
  <c r="P61" i="5"/>
  <c r="K56" i="4"/>
  <c r="J56" i="4"/>
  <c r="T56" i="4"/>
  <c r="AJ64" i="5"/>
  <c r="AK64" i="5"/>
  <c r="AL65" i="5"/>
  <c r="L61" i="5"/>
  <c r="J61" i="5"/>
  <c r="K61" i="5"/>
  <c r="AD63" i="5"/>
  <c r="Z63" i="5"/>
  <c r="Y63" i="5"/>
  <c r="X63" i="5"/>
  <c r="W63" i="5"/>
  <c r="AF63" i="5"/>
  <c r="AB63" i="5"/>
  <c r="AI63" i="5"/>
  <c r="O63" i="5"/>
  <c r="AC63" i="5"/>
  <c r="AA63" i="5"/>
  <c r="V63" i="5"/>
  <c r="T63" i="5"/>
  <c r="S63" i="5"/>
  <c r="U63" i="5"/>
  <c r="R57" i="4"/>
  <c r="V58" i="4"/>
  <c r="Q58" i="4"/>
  <c r="M62" i="5"/>
  <c r="L57" i="4"/>
  <c r="Y58" i="4"/>
  <c r="W58" i="4"/>
  <c r="P58" i="4"/>
  <c r="AC60" i="4"/>
  <c r="AA59" i="4"/>
  <c r="AB59" i="4"/>
  <c r="A58" i="5"/>
  <c r="C57" i="5"/>
  <c r="B57" i="5"/>
  <c r="Y31" i="2"/>
  <c r="D59" i="5"/>
  <c r="X58" i="4"/>
  <c r="Q62" i="5"/>
  <c r="R62" i="5"/>
  <c r="P62" i="5"/>
  <c r="E60" i="5"/>
  <c r="G60" i="5"/>
  <c r="T57" i="4"/>
  <c r="U58" i="4"/>
  <c r="K58" i="4"/>
  <c r="J58" i="4"/>
  <c r="AG63" i="5"/>
  <c r="R63" i="5"/>
  <c r="P63" i="5"/>
  <c r="AH63" i="5"/>
  <c r="E56" i="4"/>
  <c r="G57" i="4"/>
  <c r="F57" i="4"/>
  <c r="Q63" i="5"/>
  <c r="AE63" i="5"/>
  <c r="I61" i="5"/>
  <c r="H61" i="5"/>
  <c r="AD64" i="5"/>
  <c r="Z64" i="5"/>
  <c r="Y64" i="5"/>
  <c r="AF64" i="5"/>
  <c r="AB64" i="5"/>
  <c r="AI64" i="5"/>
  <c r="X64" i="5"/>
  <c r="W64" i="5"/>
  <c r="AC64" i="5"/>
  <c r="V64" i="5"/>
  <c r="T64" i="5"/>
  <c r="S64" i="5"/>
  <c r="AA64" i="5"/>
  <c r="U64" i="5"/>
  <c r="L62" i="5"/>
  <c r="J62" i="5"/>
  <c r="K62" i="5"/>
  <c r="AK65" i="5"/>
  <c r="AJ65" i="5"/>
  <c r="AL66" i="5"/>
  <c r="R58" i="4"/>
  <c r="V59" i="4"/>
  <c r="Q59" i="4"/>
  <c r="M63" i="5"/>
  <c r="L58" i="4"/>
  <c r="Y59" i="4"/>
  <c r="W59" i="4"/>
  <c r="P59" i="4"/>
  <c r="AC61" i="4"/>
  <c r="AA60" i="4"/>
  <c r="AB60" i="4"/>
  <c r="K31" i="2"/>
  <c r="C58" i="5"/>
  <c r="B58" i="5"/>
  <c r="A59" i="5"/>
  <c r="I62" i="5"/>
  <c r="H62" i="5"/>
  <c r="F62" i="5"/>
  <c r="T58" i="4"/>
  <c r="D60" i="5"/>
  <c r="X59" i="4"/>
  <c r="U59" i="4"/>
  <c r="K59" i="4"/>
  <c r="J59" i="4"/>
  <c r="Q64" i="5"/>
  <c r="AE64" i="5"/>
  <c r="R64" i="5"/>
  <c r="P64" i="5"/>
  <c r="G58" i="4"/>
  <c r="F58" i="4"/>
  <c r="AG64" i="5"/>
  <c r="E61" i="5"/>
  <c r="G61" i="5"/>
  <c r="F61" i="5"/>
  <c r="AH64" i="5"/>
  <c r="O64" i="5"/>
  <c r="E57" i="4"/>
  <c r="K63" i="5"/>
  <c r="L63" i="5"/>
  <c r="J63" i="5"/>
  <c r="I63" i="5"/>
  <c r="H63" i="5"/>
  <c r="AC65" i="5"/>
  <c r="AD65" i="5"/>
  <c r="Z65" i="5"/>
  <c r="Y65" i="5"/>
  <c r="AF65" i="5"/>
  <c r="AB65" i="5"/>
  <c r="X65" i="5"/>
  <c r="W65" i="5"/>
  <c r="AI65" i="5"/>
  <c r="AH65" i="5"/>
  <c r="V65" i="5"/>
  <c r="U65" i="5"/>
  <c r="AA65" i="5"/>
  <c r="AJ66" i="5"/>
  <c r="AK66" i="5"/>
  <c r="AL67" i="5"/>
  <c r="R59" i="4"/>
  <c r="V60" i="4"/>
  <c r="Q60" i="4"/>
  <c r="M64" i="5"/>
  <c r="L59" i="4"/>
  <c r="Y60" i="4"/>
  <c r="W60" i="4"/>
  <c r="P60" i="4"/>
  <c r="AC62" i="4"/>
  <c r="AA61" i="4"/>
  <c r="AB61" i="4"/>
  <c r="C59" i="5"/>
  <c r="B59" i="5"/>
  <c r="A60" i="5"/>
  <c r="Y32" i="2"/>
  <c r="G62" i="5"/>
  <c r="E62" i="5"/>
  <c r="T59" i="4"/>
  <c r="X60" i="4"/>
  <c r="AG65" i="5"/>
  <c r="AE65" i="5"/>
  <c r="D61" i="5"/>
  <c r="E58" i="4"/>
  <c r="U60" i="4"/>
  <c r="K60" i="4"/>
  <c r="J60" i="4"/>
  <c r="O65" i="5"/>
  <c r="F59" i="4"/>
  <c r="G59" i="4"/>
  <c r="T65" i="5"/>
  <c r="S65" i="5"/>
  <c r="F63" i="5"/>
  <c r="E63" i="5"/>
  <c r="G63" i="5"/>
  <c r="K64" i="5"/>
  <c r="L64" i="5"/>
  <c r="J64" i="5"/>
  <c r="I64" i="5"/>
  <c r="H64" i="5"/>
  <c r="X66" i="5"/>
  <c r="W66" i="5"/>
  <c r="AC66" i="5"/>
  <c r="AI66" i="5"/>
  <c r="O66" i="5"/>
  <c r="AD66" i="5"/>
  <c r="Z66" i="5"/>
  <c r="Y66" i="5"/>
  <c r="AF66" i="5"/>
  <c r="AB66" i="5"/>
  <c r="AA66" i="5"/>
  <c r="U66" i="5"/>
  <c r="V66" i="5"/>
  <c r="T66" i="5"/>
  <c r="S66" i="5"/>
  <c r="AK67" i="5"/>
  <c r="AJ67" i="5"/>
  <c r="AL68" i="5"/>
  <c r="R60" i="4"/>
  <c r="V61" i="4"/>
  <c r="Q61" i="4"/>
  <c r="M65" i="5"/>
  <c r="L60" i="4"/>
  <c r="Y61" i="4"/>
  <c r="W61" i="4"/>
  <c r="P61" i="4"/>
  <c r="AB62" i="4"/>
  <c r="AA62" i="4"/>
  <c r="AC63" i="4"/>
  <c r="K32" i="2"/>
  <c r="C60" i="5"/>
  <c r="B60" i="5"/>
  <c r="A61" i="5"/>
  <c r="D62" i="5"/>
  <c r="T60" i="4"/>
  <c r="AH66" i="5"/>
  <c r="AE66" i="5"/>
  <c r="AG66" i="5"/>
  <c r="Q66" i="5"/>
  <c r="D63" i="5"/>
  <c r="E59" i="4"/>
  <c r="R66" i="5"/>
  <c r="P66" i="5"/>
  <c r="X61" i="4"/>
  <c r="G60" i="4"/>
  <c r="F60" i="4"/>
  <c r="F64" i="5"/>
  <c r="E64" i="5"/>
  <c r="G64" i="5"/>
  <c r="Q65" i="5"/>
  <c r="U61" i="4"/>
  <c r="R65" i="5"/>
  <c r="P65" i="5"/>
  <c r="L65" i="5"/>
  <c r="J65" i="5"/>
  <c r="K65" i="5"/>
  <c r="AJ68" i="5"/>
  <c r="AK68" i="5"/>
  <c r="AL69" i="5"/>
  <c r="AD67" i="5"/>
  <c r="Z67" i="5"/>
  <c r="Y67" i="5"/>
  <c r="X67" i="5"/>
  <c r="W67" i="5"/>
  <c r="AC67" i="5"/>
  <c r="AF67" i="5"/>
  <c r="AB67" i="5"/>
  <c r="AI67" i="5"/>
  <c r="V67" i="5"/>
  <c r="T67" i="5"/>
  <c r="S67" i="5"/>
  <c r="AA67" i="5"/>
  <c r="U67" i="5"/>
  <c r="R61" i="4"/>
  <c r="V62" i="4"/>
  <c r="Q62" i="4"/>
  <c r="M66" i="5"/>
  <c r="L61" i="4"/>
  <c r="AB63" i="4"/>
  <c r="AC64" i="4"/>
  <c r="AA63" i="4"/>
  <c r="Y62" i="4"/>
  <c r="W62" i="4"/>
  <c r="P62" i="4"/>
  <c r="AG67" i="5"/>
  <c r="C61" i="5"/>
  <c r="B61" i="5"/>
  <c r="A62" i="5"/>
  <c r="A63" i="5"/>
  <c r="Y33" i="2"/>
  <c r="U62" i="4"/>
  <c r="K62" i="4"/>
  <c r="J62" i="4"/>
  <c r="X62" i="4"/>
  <c r="AH67" i="5"/>
  <c r="D64" i="5"/>
  <c r="E60" i="4"/>
  <c r="O67" i="5"/>
  <c r="AE67" i="5"/>
  <c r="Q67" i="5"/>
  <c r="R67" i="5"/>
  <c r="P67" i="5"/>
  <c r="G61" i="4"/>
  <c r="F61" i="4"/>
  <c r="I65" i="5"/>
  <c r="H65" i="5"/>
  <c r="K61" i="4"/>
  <c r="J61" i="4"/>
  <c r="T61" i="4"/>
  <c r="AJ69" i="5"/>
  <c r="AK69" i="5"/>
  <c r="AL70" i="5"/>
  <c r="AD68" i="5"/>
  <c r="Z68" i="5"/>
  <c r="Y68" i="5"/>
  <c r="AF68" i="5"/>
  <c r="AB68" i="5"/>
  <c r="AI68" i="5"/>
  <c r="AG68" i="5"/>
  <c r="AC68" i="5"/>
  <c r="X68" i="5"/>
  <c r="W68" i="5"/>
  <c r="U68" i="5"/>
  <c r="V68" i="5"/>
  <c r="AA68" i="5"/>
  <c r="L66" i="5"/>
  <c r="J66" i="5"/>
  <c r="I66" i="5"/>
  <c r="H66" i="5"/>
  <c r="K66" i="5"/>
  <c r="R62" i="4"/>
  <c r="Q63" i="4"/>
  <c r="V63" i="4"/>
  <c r="W63" i="4"/>
  <c r="P63" i="4"/>
  <c r="L62" i="4"/>
  <c r="M67" i="5"/>
  <c r="AB64" i="4"/>
  <c r="AC65" i="4"/>
  <c r="AA64" i="4"/>
  <c r="Y63" i="4"/>
  <c r="X63" i="4"/>
  <c r="K33" i="2"/>
  <c r="C62" i="5"/>
  <c r="C63" i="5"/>
  <c r="T62" i="4"/>
  <c r="A64" i="5"/>
  <c r="AE68" i="5"/>
  <c r="E61" i="4"/>
  <c r="B62" i="5"/>
  <c r="U63" i="4"/>
  <c r="G62" i="4"/>
  <c r="F62" i="4"/>
  <c r="F66" i="5"/>
  <c r="E66" i="5"/>
  <c r="G66" i="5"/>
  <c r="AH68" i="5"/>
  <c r="O68" i="5"/>
  <c r="E65" i="5"/>
  <c r="G65" i="5"/>
  <c r="F65" i="5"/>
  <c r="T68" i="5"/>
  <c r="S68" i="5"/>
  <c r="K67" i="5"/>
  <c r="L67" i="5"/>
  <c r="J67" i="5"/>
  <c r="I67" i="5"/>
  <c r="H67" i="5"/>
  <c r="AC69" i="5"/>
  <c r="X69" i="5"/>
  <c r="W69" i="5"/>
  <c r="AF69" i="5"/>
  <c r="AE69" i="5"/>
  <c r="AD69" i="5"/>
  <c r="Z69" i="5"/>
  <c r="Y69" i="5"/>
  <c r="AI69" i="5"/>
  <c r="U69" i="5"/>
  <c r="AA69" i="5"/>
  <c r="V69" i="5"/>
  <c r="T69" i="5"/>
  <c r="S69" i="5"/>
  <c r="AJ70" i="5"/>
  <c r="AK70" i="5"/>
  <c r="AL71" i="5"/>
  <c r="Q64" i="4"/>
  <c r="R63" i="4"/>
  <c r="V64" i="4"/>
  <c r="W64" i="4"/>
  <c r="P64" i="4"/>
  <c r="M68" i="5"/>
  <c r="L63" i="4"/>
  <c r="AB65" i="4"/>
  <c r="AC66" i="4"/>
  <c r="AA65" i="4"/>
  <c r="Y64" i="4"/>
  <c r="X64" i="4"/>
  <c r="Y34" i="2"/>
  <c r="AB69" i="5"/>
  <c r="R69" i="5"/>
  <c r="P69" i="5"/>
  <c r="D66" i="5"/>
  <c r="E62" i="4"/>
  <c r="B63" i="5"/>
  <c r="C64" i="5"/>
  <c r="B64" i="5"/>
  <c r="D65" i="5"/>
  <c r="A65" i="5"/>
  <c r="Q69" i="5"/>
  <c r="E67" i="5"/>
  <c r="F67" i="5"/>
  <c r="G67" i="5"/>
  <c r="K63" i="4"/>
  <c r="J63" i="4"/>
  <c r="T63" i="4"/>
  <c r="U64" i="4"/>
  <c r="F63" i="4"/>
  <c r="G63" i="4"/>
  <c r="AG69" i="5"/>
  <c r="AH69" i="5"/>
  <c r="O69" i="5"/>
  <c r="Q68" i="5"/>
  <c r="R68" i="5"/>
  <c r="P68" i="5"/>
  <c r="AJ71" i="5"/>
  <c r="AK71" i="5"/>
  <c r="X70" i="5"/>
  <c r="W70" i="5"/>
  <c r="AC70" i="5"/>
  <c r="AD70" i="5"/>
  <c r="Z70" i="5"/>
  <c r="Y70" i="5"/>
  <c r="AI70" i="5"/>
  <c r="O70" i="5"/>
  <c r="AF70" i="5"/>
  <c r="AE70" i="5"/>
  <c r="U70" i="5"/>
  <c r="V70" i="5"/>
  <c r="T70" i="5"/>
  <c r="S70" i="5"/>
  <c r="AA70" i="5"/>
  <c r="K68" i="5"/>
  <c r="L68" i="5"/>
  <c r="J68" i="5"/>
  <c r="R64" i="4"/>
  <c r="Q65" i="4"/>
  <c r="V65" i="4"/>
  <c r="W65" i="4"/>
  <c r="P65" i="4"/>
  <c r="M69" i="5"/>
  <c r="L64" i="4"/>
  <c r="AB66" i="4"/>
  <c r="AA66" i="4"/>
  <c r="AC67" i="4"/>
  <c r="Y65" i="4"/>
  <c r="X65" i="4"/>
  <c r="K34" i="2"/>
  <c r="A66" i="5"/>
  <c r="C65" i="5"/>
  <c r="B65" i="5"/>
  <c r="D67" i="5"/>
  <c r="U65" i="4"/>
  <c r="K65" i="4"/>
  <c r="J65" i="4"/>
  <c r="Q70" i="5"/>
  <c r="AB70" i="5"/>
  <c r="R70" i="5"/>
  <c r="P70" i="5"/>
  <c r="E63" i="4"/>
  <c r="K64" i="4"/>
  <c r="J64" i="4"/>
  <c r="T64" i="4"/>
  <c r="G64" i="4"/>
  <c r="F64" i="4"/>
  <c r="I68" i="5"/>
  <c r="H68" i="5"/>
  <c r="AH70" i="5"/>
  <c r="AG70" i="5"/>
  <c r="AD71" i="5"/>
  <c r="Z71" i="5"/>
  <c r="Y71" i="5"/>
  <c r="X71" i="5"/>
  <c r="W71" i="5"/>
  <c r="AI71" i="5"/>
  <c r="O71" i="5"/>
  <c r="AC71" i="5"/>
  <c r="AF71" i="5"/>
  <c r="AB71" i="5"/>
  <c r="AA71" i="5"/>
  <c r="V71" i="5"/>
  <c r="T71" i="5"/>
  <c r="S71" i="5"/>
  <c r="U71" i="5"/>
  <c r="K69" i="5"/>
  <c r="L69" i="5"/>
  <c r="J69" i="5"/>
  <c r="I69" i="5"/>
  <c r="H69" i="5"/>
  <c r="R65" i="4"/>
  <c r="Q66" i="4"/>
  <c r="V66" i="4"/>
  <c r="W66" i="4"/>
  <c r="P66" i="4"/>
  <c r="M70" i="5"/>
  <c r="L65" i="4"/>
  <c r="Y66" i="4"/>
  <c r="X66" i="4"/>
  <c r="AB67" i="4"/>
  <c r="AC68" i="4"/>
  <c r="AA67" i="4"/>
  <c r="A67" i="5"/>
  <c r="Y35" i="2"/>
  <c r="C66" i="5"/>
  <c r="B66" i="5"/>
  <c r="T65" i="4"/>
  <c r="R71" i="5"/>
  <c r="P71" i="5"/>
  <c r="G65" i="4"/>
  <c r="F65" i="4"/>
  <c r="U66" i="4"/>
  <c r="Q71" i="5"/>
  <c r="AE71" i="5"/>
  <c r="E68" i="5"/>
  <c r="G68" i="5"/>
  <c r="F68" i="5"/>
  <c r="E64" i="4"/>
  <c r="F69" i="5"/>
  <c r="E69" i="5"/>
  <c r="G69" i="5"/>
  <c r="AH71" i="5"/>
  <c r="AG71" i="5"/>
  <c r="L70" i="5"/>
  <c r="J70" i="5"/>
  <c r="I70" i="5"/>
  <c r="H70" i="5"/>
  <c r="K70" i="5"/>
  <c r="R66" i="4"/>
  <c r="Q67" i="4"/>
  <c r="V67" i="4"/>
  <c r="W67" i="4"/>
  <c r="P67" i="4"/>
  <c r="M71" i="5"/>
  <c r="L66" i="4"/>
  <c r="AB68" i="4"/>
  <c r="AC69" i="4"/>
  <c r="AA68" i="4"/>
  <c r="Y67" i="4"/>
  <c r="X67" i="4"/>
  <c r="K35" i="2"/>
  <c r="AE34" i="2"/>
  <c r="C67" i="5"/>
  <c r="B67" i="5"/>
  <c r="D68" i="5"/>
  <c r="E65" i="4"/>
  <c r="D69" i="5"/>
  <c r="G66" i="4"/>
  <c r="F66" i="4"/>
  <c r="E70" i="5"/>
  <c r="G70" i="5"/>
  <c r="F70" i="5"/>
  <c r="U67" i="4"/>
  <c r="K66" i="4"/>
  <c r="J66" i="4"/>
  <c r="T66" i="4"/>
  <c r="K71" i="5"/>
  <c r="L71" i="5"/>
  <c r="J71" i="5"/>
  <c r="I71" i="5"/>
  <c r="H71" i="5"/>
  <c r="R67" i="4"/>
  <c r="Q68" i="4"/>
  <c r="V68" i="4"/>
  <c r="W68" i="4"/>
  <c r="P68" i="4"/>
  <c r="L67" i="4"/>
  <c r="AB69" i="4"/>
  <c r="AC70" i="4"/>
  <c r="AA69" i="4"/>
  <c r="Y68" i="4"/>
  <c r="X68" i="4"/>
  <c r="AE35" i="2"/>
  <c r="Y36" i="2"/>
  <c r="C68" i="5"/>
  <c r="B68" i="5"/>
  <c r="A68" i="5"/>
  <c r="A69" i="5"/>
  <c r="D70" i="5"/>
  <c r="U68" i="4"/>
  <c r="F67" i="4"/>
  <c r="G67" i="4"/>
  <c r="E71" i="5"/>
  <c r="G71" i="5"/>
  <c r="F71" i="5"/>
  <c r="E66" i="4"/>
  <c r="K67" i="4"/>
  <c r="J67" i="4"/>
  <c r="T67" i="4"/>
  <c r="R68" i="4"/>
  <c r="Q69" i="4"/>
  <c r="V69" i="4"/>
  <c r="W69" i="4"/>
  <c r="P69" i="4"/>
  <c r="AB70" i="4"/>
  <c r="AC71" i="4"/>
  <c r="AA70" i="4"/>
  <c r="Y69" i="4"/>
  <c r="X69" i="4"/>
  <c r="L68" i="4"/>
  <c r="K36" i="2"/>
  <c r="C69" i="5"/>
  <c r="B69" i="5"/>
  <c r="U69" i="4"/>
  <c r="K69" i="4"/>
  <c r="J69" i="4"/>
  <c r="A70" i="5"/>
  <c r="D71" i="5"/>
  <c r="E67" i="4"/>
  <c r="G68" i="4"/>
  <c r="F68" i="4"/>
  <c r="K68" i="4"/>
  <c r="J68" i="4"/>
  <c r="T68" i="4"/>
  <c r="R69" i="4"/>
  <c r="Q70" i="4"/>
  <c r="V70" i="4"/>
  <c r="W70" i="4"/>
  <c r="P70" i="4"/>
  <c r="L69" i="4"/>
  <c r="AB71" i="4"/>
  <c r="AA71" i="4"/>
  <c r="Y70" i="4"/>
  <c r="X70" i="4"/>
  <c r="C70" i="5"/>
  <c r="B70" i="5"/>
  <c r="Y37" i="2"/>
  <c r="T69" i="4"/>
  <c r="A71" i="5"/>
  <c r="E68" i="4"/>
  <c r="G69" i="4"/>
  <c r="F69" i="4"/>
  <c r="U70" i="4"/>
  <c r="R70" i="4"/>
  <c r="Q71" i="4"/>
  <c r="V71" i="4"/>
  <c r="W71" i="4"/>
  <c r="P71" i="4"/>
  <c r="L70" i="4"/>
  <c r="Y71" i="4"/>
  <c r="X71" i="4"/>
  <c r="K37" i="2"/>
  <c r="D34" i="2"/>
  <c r="AE36" i="2"/>
  <c r="C71" i="5"/>
  <c r="B71" i="5"/>
  <c r="E69" i="4"/>
  <c r="G70" i="4"/>
  <c r="F70" i="4"/>
  <c r="U71" i="4"/>
  <c r="K70" i="4"/>
  <c r="J70" i="4"/>
  <c r="T70" i="4"/>
  <c r="R71" i="4"/>
  <c r="L71" i="4"/>
  <c r="Y38" i="2"/>
  <c r="E70" i="4"/>
  <c r="G71" i="4"/>
  <c r="F71" i="4"/>
  <c r="K71" i="4"/>
  <c r="J71" i="4"/>
  <c r="T71" i="4"/>
  <c r="K38" i="2"/>
  <c r="AE37" i="2"/>
  <c r="E71" i="4"/>
  <c r="F2" i="4"/>
  <c r="G2" i="4"/>
  <c r="D36" i="2"/>
  <c r="AE38" i="2"/>
  <c r="Y39" i="2"/>
  <c r="E2" i="4"/>
  <c r="D2" i="4"/>
  <c r="K39" i="2"/>
  <c r="B2" i="4"/>
  <c r="B3" i="4"/>
  <c r="B4" i="4"/>
  <c r="B5" i="4"/>
  <c r="D3" i="4"/>
  <c r="C2" i="4"/>
  <c r="AE39" i="2"/>
  <c r="Y40" i="2"/>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C3" i="4"/>
  <c r="B6" i="4"/>
  <c r="K40" i="2"/>
  <c r="D38" i="2"/>
  <c r="C4" i="4"/>
  <c r="C5" i="4"/>
  <c r="C52" i="4"/>
  <c r="D53" i="4"/>
  <c r="B7" i="4"/>
  <c r="C6" i="4"/>
  <c r="D39" i="2"/>
  <c r="Y41" i="2"/>
  <c r="D54" i="4"/>
  <c r="C53" i="4"/>
  <c r="B8" i="4"/>
  <c r="C7" i="4"/>
  <c r="K41" i="2"/>
  <c r="AE40" i="2"/>
  <c r="D55" i="4"/>
  <c r="C54" i="4"/>
  <c r="B9" i="4"/>
  <c r="C8" i="4"/>
  <c r="Y42" i="2"/>
  <c r="C55" i="4"/>
  <c r="D56" i="4"/>
  <c r="B10" i="4"/>
  <c r="C9" i="4"/>
  <c r="K42" i="2"/>
  <c r="AE41" i="2"/>
  <c r="C56" i="4"/>
  <c r="D57" i="4"/>
  <c r="B11" i="4"/>
  <c r="Y43" i="2"/>
  <c r="C57" i="4"/>
  <c r="D58" i="4"/>
  <c r="B12" i="4"/>
  <c r="C10" i="4"/>
  <c r="K43" i="2"/>
  <c r="AE42" i="2"/>
  <c r="C58" i="4"/>
  <c r="D59" i="4"/>
  <c r="B13" i="4"/>
  <c r="C11" i="4"/>
  <c r="Y44" i="2"/>
  <c r="C59" i="4"/>
  <c r="D60" i="4"/>
  <c r="B14" i="4"/>
  <c r="C12" i="4"/>
  <c r="K44" i="2"/>
  <c r="AE43" i="2"/>
  <c r="C60" i="4"/>
  <c r="D61" i="4"/>
  <c r="B15" i="4"/>
  <c r="C13" i="4"/>
  <c r="D43" i="2"/>
  <c r="Y45" i="2"/>
  <c r="C61" i="4"/>
  <c r="D62" i="4"/>
  <c r="B16" i="4"/>
  <c r="C14" i="4"/>
  <c r="K45" i="2"/>
  <c r="C62" i="4"/>
  <c r="D63" i="4"/>
  <c r="B17" i="4"/>
  <c r="C15" i="4"/>
  <c r="AE44" i="2"/>
  <c r="Y46" i="2"/>
  <c r="C63" i="4"/>
  <c r="D64" i="4"/>
  <c r="B18" i="4"/>
  <c r="C16" i="4"/>
  <c r="K46" i="2"/>
  <c r="AE45" i="2"/>
  <c r="C64" i="4"/>
  <c r="D65" i="4"/>
  <c r="B19" i="4"/>
  <c r="C17" i="4"/>
  <c r="D44" i="2"/>
  <c r="Y47" i="2"/>
  <c r="C65" i="4"/>
  <c r="D66" i="4"/>
  <c r="B20" i="4"/>
  <c r="C18" i="4"/>
  <c r="K47" i="2"/>
  <c r="C66" i="4"/>
  <c r="D67" i="4"/>
  <c r="B21" i="4"/>
  <c r="C19" i="4"/>
  <c r="AE46" i="2"/>
  <c r="Y48" i="2"/>
  <c r="C67" i="4"/>
  <c r="D68"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C21" i="4"/>
  <c r="C20" i="4"/>
  <c r="K48" i="2"/>
  <c r="C68" i="4"/>
  <c r="D69" i="4"/>
  <c r="C22" i="4"/>
  <c r="AE47" i="2"/>
  <c r="Y49" i="2"/>
  <c r="C69" i="4"/>
  <c r="D70" i="4"/>
  <c r="C23" i="4"/>
  <c r="K49" i="2"/>
  <c r="AE48" i="2"/>
  <c r="D46" i="2"/>
  <c r="C70" i="4"/>
  <c r="D71" i="4"/>
  <c r="C71" i="4"/>
  <c r="C24" i="4"/>
  <c r="Y50" i="2"/>
  <c r="C25" i="4"/>
  <c r="C46" i="4"/>
  <c r="K50" i="2"/>
  <c r="AE49" i="2"/>
  <c r="C26" i="4"/>
  <c r="C47" i="4"/>
  <c r="AE50" i="2"/>
  <c r="D48" i="2"/>
  <c r="Y51" i="2"/>
  <c r="C27" i="4"/>
  <c r="C48" i="4"/>
  <c r="K51" i="2"/>
  <c r="C28" i="4"/>
  <c r="C49" i="4"/>
  <c r="D50" i="2"/>
  <c r="Y52" i="2"/>
  <c r="C29" i="4"/>
  <c r="C50" i="4"/>
  <c r="K52" i="2"/>
  <c r="AE51" i="2"/>
  <c r="C30" i="4"/>
  <c r="C51" i="4"/>
  <c r="AE52" i="2"/>
  <c r="Y53" i="2"/>
  <c r="C31" i="4"/>
  <c r="K53" i="2"/>
  <c r="C32" i="4"/>
  <c r="AE53" i="2"/>
  <c r="Y54" i="2"/>
  <c r="C33" i="4"/>
  <c r="K54" i="2"/>
  <c r="C34" i="4"/>
  <c r="Y55" i="2"/>
  <c r="C35" i="4"/>
  <c r="K55" i="2"/>
  <c r="AE54" i="2"/>
  <c r="C36" i="4"/>
  <c r="AE55" i="2"/>
  <c r="Y56" i="2"/>
  <c r="C37" i="4"/>
  <c r="K56" i="2"/>
  <c r="C38" i="4"/>
  <c r="D54" i="2"/>
  <c r="Y57" i="2"/>
  <c r="C39" i="4"/>
  <c r="K57" i="2"/>
  <c r="AE56" i="2"/>
  <c r="C40" i="4"/>
  <c r="AE57" i="2"/>
  <c r="Y58" i="2"/>
  <c r="C41" i="4"/>
  <c r="K58" i="2"/>
  <c r="C42" i="4"/>
  <c r="AE58" i="2"/>
  <c r="Y59" i="2"/>
  <c r="C43" i="4"/>
  <c r="K59" i="2"/>
  <c r="D57" i="2"/>
  <c r="C44" i="4"/>
  <c r="Y60" i="2"/>
  <c r="C45" i="4"/>
  <c r="K60" i="2"/>
  <c r="AE59" i="2"/>
  <c r="AE60" i="2"/>
  <c r="Y61" i="2"/>
  <c r="K61" i="2"/>
  <c r="AE61" i="2"/>
  <c r="D60" i="2"/>
  <c r="Y62" i="2"/>
  <c r="K62" i="2"/>
  <c r="Y63" i="2"/>
  <c r="D61" i="2"/>
  <c r="J62" i="2"/>
  <c r="K63" i="2"/>
  <c r="H62" i="2"/>
  <c r="AE62" i="2"/>
  <c r="Y64" i="2"/>
  <c r="K64" i="2"/>
  <c r="D62" i="2"/>
  <c r="AE63" i="2"/>
  <c r="Y65" i="2"/>
  <c r="K65" i="2"/>
  <c r="G64" i="2"/>
  <c r="H64" i="2"/>
  <c r="AE64" i="2"/>
  <c r="AE65" i="2"/>
  <c r="Y66" i="2"/>
  <c r="K66" i="2"/>
  <c r="Y67" i="2"/>
  <c r="AE66" i="2"/>
  <c r="K67" i="2"/>
  <c r="D65" i="2"/>
  <c r="D66" i="2"/>
  <c r="Y68" i="2"/>
  <c r="K68" i="2"/>
  <c r="G68" i="2"/>
  <c r="AE67" i="2"/>
  <c r="Y69" i="2"/>
  <c r="K69" i="2"/>
  <c r="AE68" i="2"/>
  <c r="AE69" i="2"/>
  <c r="D67" i="2"/>
  <c r="Y70" i="2"/>
  <c r="K70" i="2"/>
  <c r="D68" i="2"/>
  <c r="D69" i="2"/>
  <c r="Y71" i="2"/>
  <c r="K71" i="2"/>
  <c r="AE70" i="2"/>
  <c r="Y72" i="2"/>
  <c r="K72" i="2"/>
  <c r="AE71" i="2"/>
  <c r="AE72" i="2"/>
  <c r="Y73" i="2"/>
  <c r="K73" i="2"/>
  <c r="D71" i="2"/>
  <c r="AE73" i="2"/>
  <c r="Y74" i="2"/>
  <c r="K74" i="2"/>
  <c r="AE74" i="2"/>
  <c r="Y75" i="2"/>
  <c r="K75" i="2"/>
  <c r="AE75" i="2"/>
  <c r="Y76" i="2"/>
  <c r="K76" i="2"/>
  <c r="Y77" i="2"/>
  <c r="K77" i="2"/>
  <c r="AE76" i="2"/>
  <c r="D75" i="2"/>
  <c r="Y78" i="2"/>
  <c r="K78" i="2"/>
  <c r="D76" i="2"/>
  <c r="AE77" i="2"/>
  <c r="AE78" i="2"/>
  <c r="Y79" i="2"/>
  <c r="K79" i="2"/>
  <c r="D77" i="2"/>
  <c r="AE79" i="2"/>
  <c r="Y80" i="2"/>
  <c r="K80" i="2"/>
  <c r="AE80" i="2"/>
  <c r="Y81" i="2"/>
  <c r="D79" i="2"/>
  <c r="K81" i="2"/>
  <c r="D80" i="2"/>
  <c r="AE81" i="2"/>
  <c r="Y82" i="2"/>
  <c r="K82" i="2"/>
  <c r="AE82" i="2"/>
  <c r="D81" i="2"/>
  <c r="Y83" i="2"/>
  <c r="K83" i="2"/>
  <c r="AE83" i="2"/>
  <c r="Y84" i="2"/>
  <c r="K84" i="2"/>
  <c r="D85" i="2"/>
  <c r="D82" i="2"/>
  <c r="AE85" i="2"/>
  <c r="Y85" i="2"/>
  <c r="K85" i="2"/>
  <c r="D83" i="2"/>
  <c r="AE84" i="2"/>
  <c r="AE86" i="2"/>
  <c r="Y86" i="2"/>
  <c r="K86" i="2"/>
  <c r="D84" i="2"/>
  <c r="AE87" i="2"/>
  <c r="Y87" i="2"/>
  <c r="K87" i="2"/>
  <c r="AE88" i="2"/>
  <c r="Y88" i="2"/>
  <c r="K88" i="2"/>
  <c r="Y89" i="2"/>
  <c r="AE89" i="2"/>
  <c r="K89" i="2"/>
  <c r="D90" i="2"/>
  <c r="AE90" i="2"/>
  <c r="Y90" i="2"/>
  <c r="K90" i="2"/>
  <c r="D91" i="2"/>
  <c r="Y91" i="2"/>
  <c r="AE91" i="2"/>
  <c r="K91" i="2"/>
  <c r="D92" i="2"/>
  <c r="Y92" i="2"/>
  <c r="AE92" i="2"/>
  <c r="K92" i="2"/>
  <c r="D93" i="2"/>
  <c r="AE93" i="2"/>
  <c r="Y93" i="2"/>
  <c r="K93" i="2"/>
  <c r="D94" i="2"/>
  <c r="AE94" i="2"/>
  <c r="Y94" i="2"/>
  <c r="K94" i="2"/>
  <c r="AE95" i="2"/>
  <c r="Y95" i="2"/>
  <c r="K95" i="2"/>
  <c r="AE96" i="2"/>
  <c r="Y96" i="2"/>
  <c r="K96" i="2"/>
  <c r="Y97" i="2"/>
  <c r="AE97" i="2"/>
  <c r="K97" i="2"/>
  <c r="D98" i="2"/>
  <c r="Y98" i="2"/>
  <c r="AE98" i="2"/>
  <c r="K98" i="2"/>
  <c r="Y99" i="2"/>
  <c r="AE99" i="2"/>
  <c r="K99" i="2"/>
  <c r="D100" i="2"/>
  <c r="Y100" i="2"/>
  <c r="AE100" i="2"/>
  <c r="K100" i="2"/>
  <c r="Y101" i="2"/>
  <c r="AE101" i="2"/>
  <c r="K101" i="2"/>
  <c r="Y102" i="2"/>
  <c r="AE102" i="2"/>
  <c r="K102" i="2"/>
  <c r="D103" i="2"/>
  <c r="Y103" i="2"/>
  <c r="AE103" i="2"/>
  <c r="K103" i="2"/>
  <c r="D104" i="2"/>
  <c r="Y104" i="2"/>
  <c r="AE104" i="2"/>
  <c r="K104" i="2"/>
  <c r="Y105" i="2"/>
  <c r="AE105" i="2"/>
  <c r="K105" i="2"/>
  <c r="D106" i="2"/>
  <c r="AE106" i="2"/>
  <c r="Y106" i="2"/>
  <c r="K106" i="2"/>
  <c r="D107" i="2"/>
  <c r="Y107" i="2"/>
  <c r="AE107" i="2"/>
  <c r="K107" i="2"/>
  <c r="D108" i="2"/>
  <c r="AE108" i="2"/>
  <c r="Y108" i="2"/>
  <c r="K108" i="2"/>
  <c r="X108" i="2"/>
  <c r="Q108" i="2" s="1"/>
  <c r="J108" i="2" s="1"/>
  <c r="X100" i="2"/>
  <c r="X99" i="2"/>
  <c r="R99" i="2" s="1"/>
  <c r="X97" i="2"/>
  <c r="R97" i="2" s="1"/>
  <c r="L97" i="2" s="1"/>
  <c r="X90" i="2"/>
  <c r="X82" i="2"/>
  <c r="R82" i="2" s="1"/>
  <c r="L82" i="2" s="1"/>
  <c r="X77" i="2"/>
  <c r="R77" i="2" s="1"/>
  <c r="L77" i="2" s="1"/>
  <c r="X74" i="2"/>
  <c r="Q74" i="2" s="1"/>
  <c r="J74" i="2" s="1"/>
  <c r="X71" i="2"/>
  <c r="Q71" i="2" s="1"/>
  <c r="J71" i="2" s="1"/>
  <c r="X70" i="2"/>
  <c r="X67" i="2"/>
  <c r="Q67" i="2" s="1"/>
  <c r="J67" i="2" s="1"/>
  <c r="X61" i="2"/>
  <c r="R61" i="2" s="1"/>
  <c r="X54" i="2"/>
  <c r="Q54" i="2" s="1"/>
  <c r="X51" i="2"/>
  <c r="R51" i="2" s="1"/>
  <c r="L51" i="2" s="1"/>
  <c r="X50" i="2"/>
  <c r="Q50" i="2" s="1"/>
  <c r="X42" i="2"/>
  <c r="R42" i="2" s="1"/>
  <c r="L42" i="2" s="1"/>
  <c r="X39" i="2"/>
  <c r="X34" i="2"/>
  <c r="R34" i="2" s="1"/>
  <c r="L34" i="2" s="1"/>
  <c r="X32" i="2"/>
  <c r="Q32" i="2" s="1"/>
  <c r="J32" i="2" s="1"/>
  <c r="X27" i="2"/>
  <c r="R27" i="2" s="1"/>
  <c r="L27" i="2" s="1"/>
  <c r="G27" i="2" s="1"/>
  <c r="X26" i="2"/>
  <c r="Q26" i="2" s="1"/>
  <c r="J26" i="2" s="1"/>
  <c r="X21" i="2"/>
  <c r="Q21" i="2" s="1"/>
  <c r="J21" i="2" s="1"/>
  <c r="X18" i="2"/>
  <c r="R21" i="2"/>
  <c r="L21" i="2" s="1"/>
  <c r="R26" i="2"/>
  <c r="L26" i="2"/>
  <c r="I26" i="2"/>
  <c r="AF27" i="2"/>
  <c r="AF32" i="2"/>
  <c r="AF34" i="2"/>
  <c r="R35" i="2"/>
  <c r="L35" i="2"/>
  <c r="G35" i="2" s="1"/>
  <c r="AF35" i="2"/>
  <c r="Q35" i="2"/>
  <c r="J35" i="2" s="1"/>
  <c r="I35" i="2" s="1"/>
  <c r="AF38" i="2"/>
  <c r="AF39" i="2"/>
  <c r="AF42" i="2"/>
  <c r="R45" i="2"/>
  <c r="L45" i="2" s="1"/>
  <c r="G45" i="2" s="1"/>
  <c r="AF45" i="2"/>
  <c r="AF49" i="2"/>
  <c r="Q49" i="2"/>
  <c r="J49" i="2" s="1"/>
  <c r="I49" i="2" s="1"/>
  <c r="R50" i="2"/>
  <c r="L50" i="2"/>
  <c r="G50" i="2" s="1"/>
  <c r="AF50" i="2"/>
  <c r="J50" i="2"/>
  <c r="I50" i="2" s="1"/>
  <c r="AF51" i="2"/>
  <c r="Q51" i="2"/>
  <c r="J51" i="2" s="1"/>
  <c r="I51" i="2" s="1"/>
  <c r="AF54" i="2"/>
  <c r="J54" i="2"/>
  <c r="AF55" i="2"/>
  <c r="AF56" i="2"/>
  <c r="J56" i="2"/>
  <c r="AF58" i="2"/>
  <c r="L61" i="2"/>
  <c r="AF61" i="2"/>
  <c r="Q61" i="2"/>
  <c r="J61" i="2" s="1"/>
  <c r="AF65" i="2"/>
  <c r="AF67" i="2"/>
  <c r="AF69" i="2"/>
  <c r="R70" i="2"/>
  <c r="L70" i="2" s="1"/>
  <c r="AF70" i="2"/>
  <c r="Q70" i="2"/>
  <c r="J70" i="2" s="1"/>
  <c r="I70" i="2" s="1"/>
  <c r="AF71" i="2"/>
  <c r="R74" i="2"/>
  <c r="L74" i="2" s="1"/>
  <c r="AF74" i="2"/>
  <c r="AF77" i="2"/>
  <c r="Q77" i="2"/>
  <c r="J77" i="2" s="1"/>
  <c r="I77" i="2" s="1"/>
  <c r="AF78" i="2"/>
  <c r="J78" i="2"/>
  <c r="AF80" i="2"/>
  <c r="Q80" i="2"/>
  <c r="J80" i="2" s="1"/>
  <c r="I80" i="2" s="1"/>
  <c r="AF81" i="2"/>
  <c r="AF82" i="2"/>
  <c r="AF83" i="2"/>
  <c r="R90" i="2"/>
  <c r="L90" i="2" s="1"/>
  <c r="G90" i="2" s="1"/>
  <c r="AF90" i="2"/>
  <c r="Q90" i="2"/>
  <c r="J90" i="2" s="1"/>
  <c r="AF91" i="2"/>
  <c r="AF95" i="2"/>
  <c r="Q95" i="2"/>
  <c r="J95" i="2" s="1"/>
  <c r="I95" i="2" s="1"/>
  <c r="AF97" i="2"/>
  <c r="L99" i="2"/>
  <c r="AF99" i="2"/>
  <c r="AF100" i="2"/>
  <c r="AF106" i="2"/>
  <c r="AF107" i="2"/>
  <c r="AF108" i="2"/>
  <c r="G99" i="2"/>
  <c r="G49" i="2"/>
  <c r="H49" i="2"/>
  <c r="H27" i="2"/>
  <c r="AF16" i="2"/>
  <c r="AF30" i="2"/>
  <c r="A30" i="2"/>
  <c r="AF26" i="2"/>
  <c r="A26" i="2"/>
  <c r="AF24" i="2"/>
  <c r="A24" i="2"/>
  <c r="A33" i="2"/>
  <c r="A32" i="2"/>
  <c r="A31" i="2"/>
  <c r="A27" i="2"/>
  <c r="A25" i="2"/>
  <c r="A5" i="2"/>
  <c r="AF5" i="2"/>
  <c r="AF6" i="2"/>
  <c r="A6" i="2"/>
  <c r="AF7" i="2"/>
  <c r="A7" i="2"/>
  <c r="A8" i="2"/>
  <c r="AF8" i="2"/>
  <c r="A9" i="2"/>
  <c r="AF9" i="2"/>
  <c r="AF10" i="2"/>
  <c r="A10" i="2"/>
  <c r="A11" i="2"/>
  <c r="AF11" i="2"/>
  <c r="A12" i="2"/>
  <c r="AF12" i="2"/>
  <c r="A13" i="2"/>
  <c r="AF13" i="2"/>
  <c r="A18" i="2"/>
  <c r="AF18" i="2"/>
  <c r="A21" i="2"/>
  <c r="AF21" i="2"/>
  <c r="A22" i="2"/>
  <c r="AF22" i="2"/>
  <c r="A4" i="2"/>
  <c r="AF4" i="2"/>
  <c r="AE4" i="2"/>
  <c r="A20" i="2"/>
  <c r="A17" i="2"/>
  <c r="A16" i="2"/>
  <c r="AE5" i="2"/>
  <c r="AE14" i="2"/>
  <c r="AE15" i="2"/>
  <c r="AE16" i="2"/>
  <c r="AE17" i="2"/>
  <c r="AE18" i="2"/>
  <c r="AE19" i="2"/>
  <c r="AE20" i="2"/>
  <c r="AE21" i="2"/>
  <c r="AE22" i="2"/>
  <c r="AE23" i="2"/>
  <c r="AE24" i="2"/>
  <c r="AE25" i="2"/>
  <c r="AE26" i="2"/>
  <c r="AE27" i="2"/>
  <c r="AE28" i="2"/>
  <c r="AE29" i="2"/>
  <c r="AE30" i="2"/>
  <c r="AE31" i="2"/>
  <c r="AE32" i="2"/>
  <c r="AE33" i="2"/>
  <c r="C14" i="2"/>
  <c r="C15" i="2"/>
  <c r="C16" i="2"/>
  <c r="C17" i="2"/>
  <c r="C18" i="2"/>
  <c r="C19" i="2"/>
  <c r="C20" i="2"/>
  <c r="C21" i="2"/>
  <c r="C22" i="2"/>
  <c r="C23" i="2"/>
  <c r="C24" i="2"/>
  <c r="C25" i="2"/>
  <c r="C26" i="2"/>
  <c r="C27" i="2"/>
  <c r="C28" i="2"/>
  <c r="C29" i="2"/>
  <c r="C30" i="2"/>
  <c r="C31" i="2"/>
  <c r="C32" i="2"/>
  <c r="C33" i="2"/>
  <c r="E14" i="2"/>
  <c r="D14" i="2" s="1"/>
  <c r="E15" i="2"/>
  <c r="D15" i="2"/>
  <c r="E16" i="2"/>
  <c r="D16" i="2" s="1"/>
  <c r="E17" i="2"/>
  <c r="E18" i="2"/>
  <c r="D18" i="2" s="1"/>
  <c r="D17" i="2"/>
  <c r="E19" i="2"/>
  <c r="D19" i="2" s="1"/>
  <c r="E20" i="2"/>
  <c r="D20" i="2" s="1"/>
  <c r="E21" i="2"/>
  <c r="E22" i="2"/>
  <c r="D22" i="2" s="1"/>
  <c r="D21" i="2"/>
  <c r="E23" i="2"/>
  <c r="D23" i="2"/>
  <c r="E24" i="2"/>
  <c r="D24" i="2" s="1"/>
  <c r="E25" i="2"/>
  <c r="D25" i="2" s="1"/>
  <c r="E26" i="2"/>
  <c r="D26" i="2" s="1"/>
  <c r="E27" i="2"/>
  <c r="D27" i="2" s="1"/>
  <c r="E28" i="2"/>
  <c r="D28" i="2" s="1"/>
  <c r="E29" i="2"/>
  <c r="E30" i="2"/>
  <c r="D30" i="2" s="1"/>
  <c r="D29" i="2"/>
  <c r="E31" i="2"/>
  <c r="E32" i="2"/>
  <c r="D31" i="2"/>
  <c r="E33" i="2"/>
  <c r="D33" i="2" s="1"/>
  <c r="D32" i="2"/>
  <c r="I2" i="4"/>
  <c r="S2" i="4"/>
  <c r="Q107" i="2" l="1"/>
  <c r="J107" i="2" s="1"/>
  <c r="R107" i="2"/>
  <c r="L107" i="2" s="1"/>
  <c r="G107" i="2" s="1"/>
  <c r="R55" i="2"/>
  <c r="L55" i="2" s="1"/>
  <c r="Q55" i="2"/>
  <c r="J55" i="2" s="1"/>
  <c r="I108" i="2"/>
  <c r="Q91" i="2"/>
  <c r="J91" i="2" s="1"/>
  <c r="R91" i="2"/>
  <c r="L91" i="2" s="1"/>
  <c r="R58" i="2"/>
  <c r="L58" i="2" s="1"/>
  <c r="Q58" i="2"/>
  <c r="J58" i="2" s="1"/>
  <c r="I58" i="2" s="1"/>
  <c r="R38" i="2"/>
  <c r="L38" i="2" s="1"/>
  <c r="I38" i="2" s="1"/>
  <c r="Q38" i="2"/>
  <c r="J38" i="2" s="1"/>
  <c r="I78" i="2"/>
  <c r="Q39" i="2"/>
  <c r="J39" i="2" s="1"/>
  <c r="R39" i="2"/>
  <c r="L39" i="2" s="1"/>
  <c r="H39" i="2" s="1"/>
  <c r="G101" i="2"/>
  <c r="H101" i="2"/>
  <c r="R96" i="2"/>
  <c r="L96" i="2" s="1"/>
  <c r="H96" i="2" s="1"/>
  <c r="Q96" i="2"/>
  <c r="J96" i="2" s="1"/>
  <c r="W5" i="2"/>
  <c r="AA6" i="2"/>
  <c r="Q106" i="2"/>
  <c r="J106" i="2" s="1"/>
  <c r="I106" i="2" s="1"/>
  <c r="I90" i="2"/>
  <c r="R54" i="2"/>
  <c r="L54" i="2" s="1"/>
  <c r="I21" i="2"/>
  <c r="G105" i="2"/>
  <c r="F14" i="2"/>
  <c r="N10" i="2"/>
  <c r="H40" i="2"/>
  <c r="G40" i="2"/>
  <c r="G61" i="2"/>
  <c r="H61" i="2"/>
  <c r="R88" i="2"/>
  <c r="L88" i="2" s="1"/>
  <c r="G88" i="2" s="1"/>
  <c r="Q88" i="2"/>
  <c r="J88" i="2" s="1"/>
  <c r="I88" i="2" s="1"/>
  <c r="H90" i="2"/>
  <c r="R108" i="2"/>
  <c r="L108" i="2" s="1"/>
  <c r="I61" i="2"/>
  <c r="F61" i="2" s="1"/>
  <c r="Q100" i="2"/>
  <c r="J100" i="2" s="1"/>
  <c r="I100" i="2" s="1"/>
  <c r="R100" i="2"/>
  <c r="L100" i="2" s="1"/>
  <c r="G100" i="2" s="1"/>
  <c r="H28" i="2"/>
  <c r="Q83" i="2"/>
  <c r="J83" i="2" s="1"/>
  <c r="I83" i="2" s="1"/>
  <c r="R83" i="2"/>
  <c r="L83" i="2" s="1"/>
  <c r="H99" i="2"/>
  <c r="Q99" i="2"/>
  <c r="J99" i="2" s="1"/>
  <c r="I99" i="2" s="1"/>
  <c r="Q97" i="2"/>
  <c r="J97" i="2" s="1"/>
  <c r="R78" i="2"/>
  <c r="L78" i="2" s="1"/>
  <c r="R71" i="2"/>
  <c r="L71" i="2" s="1"/>
  <c r="R56" i="2"/>
  <c r="L56" i="2" s="1"/>
  <c r="H56" i="2" s="1"/>
  <c r="Q27" i="2"/>
  <c r="J27" i="2" s="1"/>
  <c r="I27" i="2" s="1"/>
  <c r="I74" i="2"/>
  <c r="H104" i="2"/>
  <c r="G102" i="2"/>
  <c r="F102" i="2" s="1"/>
  <c r="Q105" i="2"/>
  <c r="J105" i="2" s="1"/>
  <c r="I105" i="2" s="1"/>
  <c r="F105" i="2" s="1"/>
  <c r="Q81" i="2"/>
  <c r="J81" i="2" s="1"/>
  <c r="R81" i="2"/>
  <c r="L81" i="2" s="1"/>
  <c r="I81" i="2" s="1"/>
  <c r="G76" i="2"/>
  <c r="H76" i="2"/>
  <c r="F76" i="2" s="1"/>
  <c r="Q64" i="2"/>
  <c r="J64" i="2" s="1"/>
  <c r="Q36" i="2"/>
  <c r="J36" i="2" s="1"/>
  <c r="R36" i="2"/>
  <c r="L36" i="2" s="1"/>
  <c r="Q28" i="2"/>
  <c r="J28" i="2" s="1"/>
  <c r="I28" i="2" s="1"/>
  <c r="F28" i="2" s="1"/>
  <c r="R24" i="2"/>
  <c r="L24" i="2" s="1"/>
  <c r="Q24" i="2"/>
  <c r="J24" i="2" s="1"/>
  <c r="I24" i="2" s="1"/>
  <c r="H107" i="2"/>
  <c r="G54" i="2"/>
  <c r="H54" i="2"/>
  <c r="I39" i="2"/>
  <c r="R69" i="2"/>
  <c r="L69" i="2" s="1"/>
  <c r="Q69" i="2"/>
  <c r="J69" i="2" s="1"/>
  <c r="I64" i="2"/>
  <c r="F64" i="2" s="1"/>
  <c r="I45" i="2"/>
  <c r="F45" i="2" s="1"/>
  <c r="G97" i="2"/>
  <c r="H97" i="2"/>
  <c r="H83" i="2"/>
  <c r="H81" i="2"/>
  <c r="I97" i="2"/>
  <c r="F97" i="2" s="1"/>
  <c r="H91" i="2"/>
  <c r="G91" i="2"/>
  <c r="G30" i="2"/>
  <c r="H30" i="2"/>
  <c r="R16" i="2"/>
  <c r="Q16" i="2"/>
  <c r="J16" i="2" s="1"/>
  <c r="I91" i="2"/>
  <c r="F91" i="2" s="1"/>
  <c r="G70" i="2"/>
  <c r="H70" i="2"/>
  <c r="F70" i="2" s="1"/>
  <c r="I54" i="2"/>
  <c r="F54" i="2" s="1"/>
  <c r="G74" i="2"/>
  <c r="H88" i="2"/>
  <c r="R86" i="2"/>
  <c r="L86" i="2" s="1"/>
  <c r="Q86" i="2"/>
  <c r="J86" i="2" s="1"/>
  <c r="H100" i="2"/>
  <c r="G26" i="2"/>
  <c r="F26" i="2" s="1"/>
  <c r="H26" i="2"/>
  <c r="G34" i="2"/>
  <c r="H34" i="2"/>
  <c r="Q98" i="2"/>
  <c r="J98" i="2" s="1"/>
  <c r="I98" i="2" s="1"/>
  <c r="R98" i="2"/>
  <c r="L98" i="2" s="1"/>
  <c r="G73" i="2"/>
  <c r="Q46" i="2"/>
  <c r="J46" i="2" s="1"/>
  <c r="R46" i="2"/>
  <c r="L46" i="2" s="1"/>
  <c r="G21" i="2"/>
  <c r="H21" i="2"/>
  <c r="H82" i="2"/>
  <c r="G82" i="2"/>
  <c r="AE6" i="2"/>
  <c r="AE7" i="2" s="1"/>
  <c r="AE8" i="2" s="1"/>
  <c r="AE9" i="2" s="1"/>
  <c r="H45" i="2"/>
  <c r="Q82" i="2"/>
  <c r="J82" i="2" s="1"/>
  <c r="I82" i="2" s="1"/>
  <c r="H50" i="2"/>
  <c r="F50" i="2"/>
  <c r="R32" i="2"/>
  <c r="L32" i="2" s="1"/>
  <c r="I32" i="2" s="1"/>
  <c r="G42" i="2"/>
  <c r="H42" i="2"/>
  <c r="F42" i="2" s="1"/>
  <c r="AE11" i="2"/>
  <c r="AE12" i="2" s="1"/>
  <c r="AE13" i="2" s="1"/>
  <c r="F21" i="2"/>
  <c r="H65" i="2"/>
  <c r="H74" i="2"/>
  <c r="F90" i="2"/>
  <c r="I71" i="2"/>
  <c r="R67" i="2"/>
  <c r="L67" i="2" s="1"/>
  <c r="I67" i="2" s="1"/>
  <c r="I55" i="2"/>
  <c r="Q42" i="2"/>
  <c r="J42" i="2" s="1"/>
  <c r="I42" i="2" s="1"/>
  <c r="Q30" i="2"/>
  <c r="J30" i="2" s="1"/>
  <c r="I30" i="2" s="1"/>
  <c r="G77" i="2"/>
  <c r="H77" i="2"/>
  <c r="F77" i="2" s="1"/>
  <c r="H73" i="2"/>
  <c r="N11" i="2"/>
  <c r="G89" i="2"/>
  <c r="H89" i="2"/>
  <c r="I73" i="2"/>
  <c r="Q60" i="2"/>
  <c r="J60" i="2" s="1"/>
  <c r="R60" i="2"/>
  <c r="L60" i="2" s="1"/>
  <c r="R53" i="2"/>
  <c r="L53" i="2" s="1"/>
  <c r="Q53" i="2"/>
  <c r="J53" i="2" s="1"/>
  <c r="F49" i="2"/>
  <c r="H48" i="2"/>
  <c r="G48" i="2"/>
  <c r="R47" i="2"/>
  <c r="L47" i="2" s="1"/>
  <c r="Q47" i="2"/>
  <c r="J47" i="2" s="1"/>
  <c r="I47" i="2" s="1"/>
  <c r="R87" i="2"/>
  <c r="L87" i="2" s="1"/>
  <c r="Q87" i="2"/>
  <c r="J87" i="2" s="1"/>
  <c r="R33" i="2"/>
  <c r="L33" i="2" s="1"/>
  <c r="Q33" i="2"/>
  <c r="J33" i="2" s="1"/>
  <c r="R29" i="2"/>
  <c r="L29" i="2" s="1"/>
  <c r="Q29" i="2"/>
  <c r="J29" i="2" s="1"/>
  <c r="X22" i="2"/>
  <c r="X20" i="2"/>
  <c r="W6" i="2"/>
  <c r="AA7" i="2"/>
  <c r="AE10" i="2"/>
  <c r="M21" i="2"/>
  <c r="H35" i="2"/>
  <c r="F35" i="2" s="1"/>
  <c r="G65" i="2"/>
  <c r="G80" i="2"/>
  <c r="F80" i="2" s="1"/>
  <c r="F95" i="2"/>
  <c r="Q65" i="2"/>
  <c r="J65" i="2" s="1"/>
  <c r="I65" i="2" s="1"/>
  <c r="Q34" i="2"/>
  <c r="J34" i="2" s="1"/>
  <c r="R18" i="2"/>
  <c r="Q18" i="2"/>
  <c r="J18" i="2" s="1"/>
  <c r="G51" i="2"/>
  <c r="H51" i="2"/>
  <c r="F51" i="2" s="1"/>
  <c r="G58" i="2"/>
  <c r="H58" i="2"/>
  <c r="G95" i="2"/>
  <c r="H95" i="2"/>
  <c r="H106" i="2"/>
  <c r="G106" i="2"/>
  <c r="I62" i="2"/>
  <c r="F62" i="2" s="1"/>
  <c r="I101" i="2"/>
  <c r="R93" i="2"/>
  <c r="L93" i="2" s="1"/>
  <c r="Q93" i="2"/>
  <c r="J93" i="2" s="1"/>
  <c r="R92" i="2"/>
  <c r="L92" i="2" s="1"/>
  <c r="Q92" i="2"/>
  <c r="J92" i="2" s="1"/>
  <c r="I92" i="2" s="1"/>
  <c r="Q89" i="2"/>
  <c r="J89" i="2" s="1"/>
  <c r="Q94" i="2"/>
  <c r="J94" i="2" s="1"/>
  <c r="R94" i="2"/>
  <c r="L94" i="2" s="1"/>
  <c r="Q52" i="2"/>
  <c r="J52" i="2" s="1"/>
  <c r="I52" i="2" s="1"/>
  <c r="R52" i="2"/>
  <c r="L52" i="2" s="1"/>
  <c r="Q104" i="2"/>
  <c r="J104" i="2" s="1"/>
  <c r="R57" i="2"/>
  <c r="L57" i="2" s="1"/>
  <c r="Q57" i="2"/>
  <c r="J57" i="2" s="1"/>
  <c r="Q41" i="2"/>
  <c r="J41" i="2" s="1"/>
  <c r="R41" i="2"/>
  <c r="L41" i="2" s="1"/>
  <c r="Q40" i="2"/>
  <c r="J40" i="2" s="1"/>
  <c r="R85" i="2"/>
  <c r="L85" i="2" s="1"/>
  <c r="Q85" i="2"/>
  <c r="J85" i="2" s="1"/>
  <c r="I48" i="2"/>
  <c r="G14" i="2"/>
  <c r="H14" i="2"/>
  <c r="I76" i="2"/>
  <c r="F68" i="2"/>
  <c r="X5" i="2"/>
  <c r="R103" i="2"/>
  <c r="L103" i="2" s="1"/>
  <c r="Q103" i="2"/>
  <c r="J103" i="2" s="1"/>
  <c r="Q66" i="2"/>
  <c r="J66" i="2" s="1"/>
  <c r="R66" i="2"/>
  <c r="L66" i="2" s="1"/>
  <c r="Q43" i="2"/>
  <c r="J43" i="2" s="1"/>
  <c r="I43" i="2" s="1"/>
  <c r="R43" i="2"/>
  <c r="L43" i="2" s="1"/>
  <c r="G36" i="2"/>
  <c r="H36" i="2"/>
  <c r="G31" i="2"/>
  <c r="H31" i="2"/>
  <c r="R19" i="2"/>
  <c r="Q19" i="2"/>
  <c r="J19" i="2" s="1"/>
  <c r="Q84" i="2"/>
  <c r="J84" i="2" s="1"/>
  <c r="I84" i="2" s="1"/>
  <c r="R84" i="2"/>
  <c r="L84" i="2" s="1"/>
  <c r="R79" i="2"/>
  <c r="L79" i="2" s="1"/>
  <c r="Q79" i="2"/>
  <c r="J79" i="2" s="1"/>
  <c r="R75" i="2"/>
  <c r="L75" i="2" s="1"/>
  <c r="Q75" i="2"/>
  <c r="J75" i="2" s="1"/>
  <c r="R63" i="2"/>
  <c r="L63" i="2" s="1"/>
  <c r="Q63" i="2"/>
  <c r="J63" i="2" s="1"/>
  <c r="R23" i="2"/>
  <c r="Q23" i="2"/>
  <c r="J23" i="2" s="1"/>
  <c r="R15" i="2"/>
  <c r="Q15" i="2"/>
  <c r="J15" i="2" s="1"/>
  <c r="R72" i="2"/>
  <c r="L72" i="2" s="1"/>
  <c r="Q72" i="2"/>
  <c r="J72" i="2" s="1"/>
  <c r="R59" i="2"/>
  <c r="L59" i="2" s="1"/>
  <c r="Q59" i="2"/>
  <c r="J59" i="2" s="1"/>
  <c r="R44" i="2"/>
  <c r="L44" i="2" s="1"/>
  <c r="Q44" i="2"/>
  <c r="J44" i="2" s="1"/>
  <c r="R37" i="2"/>
  <c r="L37" i="2" s="1"/>
  <c r="Q37" i="2"/>
  <c r="J37" i="2" s="1"/>
  <c r="R25" i="2"/>
  <c r="L25" i="2" s="1"/>
  <c r="Q25" i="2"/>
  <c r="J25" i="2" s="1"/>
  <c r="R17" i="2"/>
  <c r="Q17" i="2"/>
  <c r="J17" i="2" s="1"/>
  <c r="W4" i="2"/>
  <c r="X4" i="2" s="1"/>
  <c r="F88" i="2" l="1"/>
  <c r="F82" i="2"/>
  <c r="I66" i="2"/>
  <c r="I25" i="2"/>
  <c r="I44" i="2"/>
  <c r="I94" i="2"/>
  <c r="F101" i="2"/>
  <c r="F73" i="2"/>
  <c r="G56" i="2"/>
  <c r="I56" i="2"/>
  <c r="F56" i="2" s="1"/>
  <c r="I86" i="2"/>
  <c r="G81" i="2"/>
  <c r="F81" i="2" s="1"/>
  <c r="G78" i="2"/>
  <c r="H78" i="2"/>
  <c r="F27" i="2"/>
  <c r="I96" i="2"/>
  <c r="F99" i="2"/>
  <c r="H55" i="2"/>
  <c r="F55" i="2" s="1"/>
  <c r="G55" i="2"/>
  <c r="F106" i="2"/>
  <c r="F74" i="2"/>
  <c r="G39" i="2"/>
  <c r="F39" i="2" s="1"/>
  <c r="G83" i="2"/>
  <c r="F83" i="2" s="1"/>
  <c r="I107" i="2"/>
  <c r="F107" i="2" s="1"/>
  <c r="H38" i="2"/>
  <c r="F38" i="2" s="1"/>
  <c r="G38" i="2"/>
  <c r="F96" i="2"/>
  <c r="I46" i="2"/>
  <c r="F48" i="2"/>
  <c r="G96" i="2"/>
  <c r="F100" i="2"/>
  <c r="I36" i="2"/>
  <c r="H71" i="2"/>
  <c r="F71" i="2" s="1"/>
  <c r="G71" i="2"/>
  <c r="G108" i="2"/>
  <c r="H108" i="2"/>
  <c r="F108" i="2" s="1"/>
  <c r="F78" i="2"/>
  <c r="H59" i="2"/>
  <c r="G59" i="2"/>
  <c r="H41" i="2"/>
  <c r="G41" i="2"/>
  <c r="M16" i="2"/>
  <c r="L16" i="2"/>
  <c r="I72" i="2"/>
  <c r="I75" i="2"/>
  <c r="G84" i="2"/>
  <c r="H84" i="2"/>
  <c r="F31" i="2"/>
  <c r="H43" i="2"/>
  <c r="F43" i="2" s="1"/>
  <c r="G43" i="2"/>
  <c r="I103" i="2"/>
  <c r="I85" i="2"/>
  <c r="F85" i="2" s="1"/>
  <c r="I41" i="2"/>
  <c r="H94" i="2"/>
  <c r="G94" i="2"/>
  <c r="F94" i="2" s="1"/>
  <c r="H92" i="2"/>
  <c r="G92" i="2"/>
  <c r="I34" i="2"/>
  <c r="F34" i="2" s="1"/>
  <c r="I29" i="2"/>
  <c r="G47" i="2"/>
  <c r="F47" i="2" s="1"/>
  <c r="H47" i="2"/>
  <c r="I60" i="2"/>
  <c r="H86" i="2"/>
  <c r="G86" i="2"/>
  <c r="F30" i="2"/>
  <c r="L17" i="2"/>
  <c r="F17" i="2"/>
  <c r="M17" i="2"/>
  <c r="F15" i="2"/>
  <c r="M15" i="2"/>
  <c r="L15" i="2"/>
  <c r="G79" i="2"/>
  <c r="H79" i="2"/>
  <c r="L19" i="2"/>
  <c r="I19" i="2" s="1"/>
  <c r="M19" i="2"/>
  <c r="F19" i="2"/>
  <c r="I104" i="2"/>
  <c r="F104" i="2"/>
  <c r="L18" i="2"/>
  <c r="M18" i="2"/>
  <c r="F18" i="2"/>
  <c r="X6" i="2"/>
  <c r="Q22" i="2"/>
  <c r="J22" i="2" s="1"/>
  <c r="R22" i="2"/>
  <c r="G33" i="2"/>
  <c r="H33" i="2"/>
  <c r="H60" i="2"/>
  <c r="F60" i="2" s="1"/>
  <c r="G60" i="2"/>
  <c r="G69" i="2"/>
  <c r="H69" i="2"/>
  <c r="O4" i="2"/>
  <c r="N4" i="2" s="1"/>
  <c r="Q4" i="2"/>
  <c r="R4" i="2"/>
  <c r="G25" i="2"/>
  <c r="F25" i="2" s="1"/>
  <c r="H25" i="2"/>
  <c r="G44" i="2"/>
  <c r="F44" i="2"/>
  <c r="H44" i="2"/>
  <c r="G72" i="2"/>
  <c r="H72" i="2"/>
  <c r="F72" i="2"/>
  <c r="L23" i="2"/>
  <c r="I23" i="2" s="1"/>
  <c r="F23" i="2"/>
  <c r="M23" i="2"/>
  <c r="H75" i="2"/>
  <c r="F75" i="2" s="1"/>
  <c r="G75" i="2"/>
  <c r="G103" i="2"/>
  <c r="H103" i="2"/>
  <c r="F103" i="2" s="1"/>
  <c r="G85" i="2"/>
  <c r="H85" i="2"/>
  <c r="I57" i="2"/>
  <c r="G52" i="2"/>
  <c r="H52" i="2"/>
  <c r="I93" i="2"/>
  <c r="R20" i="2"/>
  <c r="Q20" i="2"/>
  <c r="J20" i="2" s="1"/>
  <c r="G29" i="2"/>
  <c r="F29" i="2" s="1"/>
  <c r="H29" i="2"/>
  <c r="I87" i="2"/>
  <c r="I53" i="2"/>
  <c r="F53" i="2" s="1"/>
  <c r="N12" i="2"/>
  <c r="H67" i="2"/>
  <c r="G67" i="2"/>
  <c r="F67" i="2" s="1"/>
  <c r="G37" i="2"/>
  <c r="H37" i="2"/>
  <c r="G63" i="2"/>
  <c r="H63" i="2"/>
  <c r="I17" i="2"/>
  <c r="I37" i="2"/>
  <c r="F37" i="2" s="1"/>
  <c r="I59" i="2"/>
  <c r="F59" i="2" s="1"/>
  <c r="I63" i="2"/>
  <c r="I79" i="2"/>
  <c r="F79" i="2" s="1"/>
  <c r="F36" i="2"/>
  <c r="G66" i="2"/>
  <c r="F66" i="2" s="1"/>
  <c r="H66" i="2"/>
  <c r="Q5" i="2"/>
  <c r="R5" i="2"/>
  <c r="I40" i="2"/>
  <c r="F40" i="2" s="1"/>
  <c r="G57" i="2"/>
  <c r="H57" i="2"/>
  <c r="F57" i="2" s="1"/>
  <c r="I89" i="2"/>
  <c r="F89" i="2" s="1"/>
  <c r="G93" i="2"/>
  <c r="F93" i="2" s="1"/>
  <c r="H93" i="2"/>
  <c r="F58" i="2"/>
  <c r="I18" i="2"/>
  <c r="AA8" i="2"/>
  <c r="W7" i="2"/>
  <c r="I33" i="2"/>
  <c r="F33" i="2" s="1"/>
  <c r="G87" i="2"/>
  <c r="H87" i="2"/>
  <c r="H53" i="2"/>
  <c r="G53" i="2"/>
  <c r="F16" i="2"/>
  <c r="H32" i="2"/>
  <c r="G32" i="2"/>
  <c r="F32" i="2" s="1"/>
  <c r="H46" i="2"/>
  <c r="G46" i="2"/>
  <c r="H98" i="2"/>
  <c r="F98" i="2"/>
  <c r="G98" i="2"/>
  <c r="F65" i="2"/>
  <c r="I16" i="2"/>
  <c r="I69" i="2"/>
  <c r="F69" i="2" s="1"/>
  <c r="H24" i="2"/>
  <c r="F24" i="2" s="1"/>
  <c r="G24" i="2"/>
  <c r="F46" i="2" l="1"/>
  <c r="F84" i="2"/>
  <c r="F87" i="2"/>
  <c r="F63" i="2"/>
  <c r="F52" i="2"/>
  <c r="F86" i="2"/>
  <c r="F92" i="2"/>
  <c r="F41" i="2"/>
  <c r="H15" i="2"/>
  <c r="G15" i="2"/>
  <c r="H16" i="2"/>
  <c r="G16" i="2"/>
  <c r="I15" i="2"/>
  <c r="L4" i="2"/>
  <c r="L22" i="2"/>
  <c r="M22" i="2"/>
  <c r="F22" i="2"/>
  <c r="G17" i="2"/>
  <c r="H17" i="2"/>
  <c r="X7" i="2"/>
  <c r="L20" i="2"/>
  <c r="M20" i="2"/>
  <c r="F20" i="2"/>
  <c r="I22" i="2"/>
  <c r="M5" i="2"/>
  <c r="L5" i="2"/>
  <c r="F5" i="2"/>
  <c r="G19" i="2"/>
  <c r="H19" i="2"/>
  <c r="AA9" i="2"/>
  <c r="W8" i="2"/>
  <c r="N13" i="2"/>
  <c r="G23" i="2"/>
  <c r="H23" i="2"/>
  <c r="N5" i="2"/>
  <c r="J4" i="2"/>
  <c r="I4" i="2" s="1"/>
  <c r="Q6" i="2"/>
  <c r="R6" i="2"/>
  <c r="G18" i="2"/>
  <c r="H18" i="2"/>
  <c r="H4" i="2" l="1"/>
  <c r="G4" i="2"/>
  <c r="G20" i="2"/>
  <c r="H20" i="2"/>
  <c r="N6" i="2"/>
  <c r="J5" i="2"/>
  <c r="I5" i="2" s="1"/>
  <c r="X8" i="2"/>
  <c r="Q7" i="2"/>
  <c r="R7" i="2"/>
  <c r="I20" i="2"/>
  <c r="L6" i="2"/>
  <c r="M6" i="2"/>
  <c r="F6" i="2"/>
  <c r="W9" i="2"/>
  <c r="AA10" i="2"/>
  <c r="H5" i="2"/>
  <c r="G5" i="2"/>
  <c r="G22" i="2"/>
  <c r="H22" i="2"/>
  <c r="H6" i="2" l="1"/>
  <c r="G6" i="2"/>
  <c r="N7" i="2"/>
  <c r="J6" i="2"/>
  <c r="I6" i="2" s="1"/>
  <c r="Q8" i="2"/>
  <c r="R8" i="2"/>
  <c r="M7" i="2"/>
  <c r="L7" i="2"/>
  <c r="F7" i="2"/>
  <c r="AA11" i="2"/>
  <c r="W10" i="2"/>
  <c r="X9" i="2"/>
  <c r="AA12" i="2" l="1"/>
  <c r="W11" i="2"/>
  <c r="L8" i="2"/>
  <c r="M8" i="2"/>
  <c r="F8" i="2"/>
  <c r="J7" i="2"/>
  <c r="I7" i="2" s="1"/>
  <c r="N8" i="2"/>
  <c r="J8" i="2" s="1"/>
  <c r="I8" i="2" s="1"/>
  <c r="Q9" i="2"/>
  <c r="J9" i="2" s="1"/>
  <c r="R9" i="2"/>
  <c r="H7" i="2"/>
  <c r="G7" i="2"/>
  <c r="X10" i="2"/>
  <c r="F4" i="2"/>
  <c r="C4" i="2" l="1"/>
  <c r="C5" i="2" s="1"/>
  <c r="C6" i="2" s="1"/>
  <c r="C7" i="2" s="1"/>
  <c r="C8" i="2" s="1"/>
  <c r="C9" i="2" s="1"/>
  <c r="E4" i="2"/>
  <c r="H8" i="2"/>
  <c r="G8" i="2"/>
  <c r="X11" i="2"/>
  <c r="R10" i="2"/>
  <c r="Q10" i="2"/>
  <c r="J10" i="2" s="1"/>
  <c r="M9" i="2"/>
  <c r="L9" i="2"/>
  <c r="F9" i="2"/>
  <c r="W12" i="2"/>
  <c r="AA13" i="2"/>
  <c r="W13" i="2" s="1"/>
  <c r="H9" i="2" l="1"/>
  <c r="G9" i="2"/>
  <c r="Q11" i="2"/>
  <c r="J11" i="2" s="1"/>
  <c r="R11" i="2"/>
  <c r="L10" i="2"/>
  <c r="M10" i="2"/>
  <c r="F10" i="2"/>
  <c r="C10" i="2" s="1"/>
  <c r="E5" i="2"/>
  <c r="D4" i="2"/>
  <c r="X13" i="2"/>
  <c r="X12" i="2"/>
  <c r="I10" i="2"/>
  <c r="I9" i="2"/>
  <c r="R13" i="2" l="1"/>
  <c r="Q13" i="2"/>
  <c r="J13" i="2" s="1"/>
  <c r="M11" i="2"/>
  <c r="L11" i="2"/>
  <c r="F11" i="2"/>
  <c r="C11" i="2" s="1"/>
  <c r="I11" i="2"/>
  <c r="Q12" i="2"/>
  <c r="J12" i="2" s="1"/>
  <c r="R12" i="2"/>
  <c r="H10" i="2"/>
  <c r="G10" i="2"/>
  <c r="D5" i="2"/>
  <c r="E6" i="2"/>
  <c r="M4" i="2"/>
  <c r="I13" i="2" l="1"/>
  <c r="M13" i="2"/>
  <c r="L13" i="2"/>
  <c r="F13" i="2"/>
  <c r="E7" i="2"/>
  <c r="D6" i="2"/>
  <c r="L12" i="2"/>
  <c r="M12" i="2"/>
  <c r="AG2" i="2" s="1"/>
  <c r="F12" i="2"/>
  <c r="C12" i="2" s="1"/>
  <c r="C13" i="2" s="1"/>
  <c r="G11" i="2"/>
  <c r="H11" i="2"/>
  <c r="D7" i="2" l="1"/>
  <c r="E8" i="2"/>
  <c r="G12" i="2"/>
  <c r="H12" i="2"/>
  <c r="I12" i="2"/>
  <c r="G13" i="2"/>
  <c r="H13" i="2"/>
  <c r="E9" i="2" l="1"/>
  <c r="D8" i="2"/>
  <c r="E10" i="2" l="1"/>
  <c r="D9" i="2"/>
  <c r="E11" i="2" l="1"/>
  <c r="D10" i="2"/>
  <c r="D11" i="2" l="1"/>
  <c r="E12" i="2"/>
  <c r="E13" i="2" l="1"/>
  <c r="D13" i="2" s="1"/>
  <c r="D1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8" authorId="0" shapeId="0" xr:uid="{1C55F6FA-BDD0-8B4F-968A-B9F11F180F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حق بیمه</t>
        </r>
      </text>
    </comment>
  </commentList>
</comments>
</file>

<file path=xl/sharedStrings.xml><?xml version="1.0" encoding="utf-8"?>
<sst xmlns="http://schemas.openxmlformats.org/spreadsheetml/2006/main" count="366" uniqueCount="230">
  <si>
    <t xml:space="preserve">بیمه سامان
جدول آفلاین طرح سامانیار بیمه عمر و تشکیل سرمایه </t>
  </si>
  <si>
    <t>ضریب طرح سامانیار</t>
  </si>
  <si>
    <t>مدت</t>
  </si>
  <si>
    <t>سن بیمه گذار</t>
  </si>
  <si>
    <t xml:space="preserve">سن بیمه شده </t>
  </si>
  <si>
    <t>مدت بیمه نامه</t>
  </si>
  <si>
    <t>پرريسک</t>
  </si>
  <si>
    <t>رشد1</t>
  </si>
  <si>
    <t>رشد</t>
  </si>
  <si>
    <t>کم_ريسک</t>
  </si>
  <si>
    <t>متوسط_ريسک</t>
  </si>
  <si>
    <t>معمولی</t>
  </si>
  <si>
    <t>سرمایه فوت طرح  سامانیار</t>
  </si>
  <si>
    <t>حق بیمه</t>
  </si>
  <si>
    <t>پایه</t>
  </si>
  <si>
    <t xml:space="preserve">آسایش </t>
  </si>
  <si>
    <t>ممتاز</t>
  </si>
  <si>
    <t>سالانه</t>
  </si>
  <si>
    <t>روش پرداخت حق‌بیمه</t>
  </si>
  <si>
    <t>درصد ضریب تغییر حق بيمه</t>
  </si>
  <si>
    <t>حق بیمه اولیه</t>
  </si>
  <si>
    <t>طرح</t>
  </si>
  <si>
    <t>درصد ضریب تغییر سرمايه</t>
  </si>
  <si>
    <t>سرمایه اولیه</t>
  </si>
  <si>
    <t>ضریب هزینه پزشکی ناشی از حادثه</t>
  </si>
  <si>
    <t>ضریب از کار افتادگی ناشی از حادثه</t>
  </si>
  <si>
    <t>ضریب فوت حادثه</t>
  </si>
  <si>
    <t>ضریب درآمد ازکارافتادگی</t>
  </si>
  <si>
    <t>دارای درامد از کارافتادگی</t>
  </si>
  <si>
    <t>خیر</t>
  </si>
  <si>
    <t>دارای پوشش معافیت</t>
  </si>
  <si>
    <t>ضریب فوت حادثه اعمال شده</t>
  </si>
  <si>
    <t>بله</t>
  </si>
  <si>
    <t xml:space="preserve">منظور کردن پوشش ها در حق بیمه اولیه </t>
  </si>
  <si>
    <t>طرح امراض</t>
  </si>
  <si>
    <t>سرمایه امراض</t>
  </si>
  <si>
    <t>ضریب از کار افتادگی ناشی از حادثه اعمال شده</t>
  </si>
  <si>
    <t>درصد اضافه نرخ پزشکی</t>
  </si>
  <si>
    <t>طبقه یک</t>
  </si>
  <si>
    <t>طبقه شغلی بیمه‌گذار</t>
  </si>
  <si>
    <t>طبقه شغلی بیمه‌شده</t>
  </si>
  <si>
    <t>مبلغ پرداخت اضافه</t>
  </si>
  <si>
    <t>شماره آخرین سال در پرداخت اضافه</t>
  </si>
  <si>
    <t>شماره اولین سال در پرداخت اضافه</t>
  </si>
  <si>
    <t>درصد اضافه نرخ پزشکی اعمال شده</t>
  </si>
  <si>
    <t xml:space="preserve">میانگین نرخ سود قطعی </t>
  </si>
  <si>
    <t>درصد تخفیف کارمزد</t>
  </si>
  <si>
    <t>درصد تخفیف هزینه‌های بیمه گری</t>
  </si>
  <si>
    <t>درصد تخفیف هزینه‌های اداری</t>
  </si>
  <si>
    <t>اضافه نرخ ناشی از حذف آزمایش</t>
  </si>
  <si>
    <t>درصد تخفیف پوشش هزینه های پزشکی بر اثر حادثه</t>
  </si>
  <si>
    <t>درصد تخفیف پوشش نقص عضو دائم ناشی از حادثه</t>
  </si>
  <si>
    <t>درصد تخفیف پوشش فوت بر اثر حادثه</t>
  </si>
  <si>
    <t>درصد تخفیف پوشش معافیت از پرداخت حق بیمه و درآمد از کارافتادگی بر اثر از کارافتادگی کامل</t>
  </si>
  <si>
    <t>درصد تخفیف پوشش امراض صعب العلاج</t>
  </si>
  <si>
    <t>مبلغ سرمایه فوت می بایست حداکثر 25 برابر حق بیمه کل طرح سامانیار تقسیم بر مدت بیمه نامه، می باشد.</t>
  </si>
  <si>
    <t>1. در صورت انتخاب نوع مستمری مادام العمر، نیازی به تعیین مدت پرداخت مستمری نیست.                                 2. تعیین مدت تضمین برای مستمری مادام العمر و به مدت 5 سال امکان پذیر است.       3. در صورتیکه سرمایه اولیه برای پوشش فوت با حق بیمه اولیه تعیین شده همخوانی نداشته باشد، فیلد سال منفی شدن مستمری به رنگ قرمز تغییر می‌کند و شماره سال منفی شدن مستمری را نمایش می‌دهد.</t>
  </si>
  <si>
    <t>ضریب از فوت ناشی از حادثه اعمال شده</t>
  </si>
  <si>
    <t>کنترلگر منفی شدن مستمری به دلیل سرمایه فوت</t>
  </si>
  <si>
    <r>
      <rPr>
        <b/>
        <sz val="12"/>
        <color theme="1"/>
        <rFont val="B Nazanin"/>
        <charset val="178"/>
      </rPr>
      <t>پیش از اولین استفاده از جدول، مراحل تشریح شده در sheet راهنما را انجام دهید.</t>
    </r>
    <r>
      <rPr>
        <sz val="12"/>
        <color theme="1"/>
        <rFont val="B Nazanin"/>
        <charset val="178"/>
      </rPr>
      <t xml:space="preserve">
</t>
    </r>
    <r>
      <rPr>
        <b/>
        <sz val="12"/>
        <color theme="1"/>
        <rFont val="B Nazanin"/>
        <charset val="178"/>
      </rPr>
      <t>توجه:</t>
    </r>
    <r>
      <rPr>
        <sz val="12"/>
        <color theme="1"/>
        <rFont val="B Nazanin"/>
        <charset val="178"/>
      </rPr>
      <t xml:space="preserve"> با توجه به فرموله بودن محاسبات جدول آفلاین بیمه نامه عمر و تشکیل سرمایه، از پاک نمودن اعداد ثبت شده در قسمت "ورود اطلاعات" خودداری نموده و تغییرات موردنظر را بدون پاک کردن داده ی قبلی درج شده در سلول (از کلید Delete یا Backspace استفاده نفرمائید)، اعمال فرمائید. 
به عنوان نمونه در صورت نیاز به تغییر حق بیمه از 20000000 (عدد درج شده در جدول) به عدد 30000000 (عدد مورد نظر بیمه گذار) بدون حذف کردن عدد 20000000، سلول مربوطه را انتخاب نموده و عدد جدید را ثبت نمائید. </t>
    </r>
  </si>
  <si>
    <r>
      <t xml:space="preserve">کد مدرک: </t>
    </r>
    <r>
      <rPr>
        <b/>
        <sz val="11"/>
        <color theme="1"/>
        <rFont val="Times New Roman"/>
        <family val="1"/>
      </rPr>
      <t>LIF153</t>
    </r>
  </si>
  <si>
    <t>بیمه سامان</t>
  </si>
  <si>
    <r>
      <t xml:space="preserve">شماره تجدیدنظر: </t>
    </r>
    <r>
      <rPr>
        <b/>
        <sz val="11"/>
        <color theme="1"/>
        <rFont val="Times New Roman"/>
        <family val="1"/>
      </rPr>
      <t>06</t>
    </r>
  </si>
  <si>
    <t>جدول آفلاین بیمه عمر و تشکیل سرمایه (قرارداد گروهی) (روش پرداخت غیریکجا)</t>
  </si>
  <si>
    <t>پیش از اولین استفاده از این فایل ابتدا می بایست مراحل ذیل را انجام دهید:</t>
  </si>
  <si>
    <t>1. ابتدا از منوی File بر روی تب Option کلیک نمایید:</t>
  </si>
  <si>
    <t>2. سپس بر روی Formulas کلیک کنید:</t>
  </si>
  <si>
    <t>3. مانند شکل زیر تیک آیتم Enable iterative calculation  را بزنید:</t>
  </si>
  <si>
    <t>4. در نهایت بر روی کلید OK کلیک نمایید:</t>
  </si>
  <si>
    <t xml:space="preserve">مبلغ کل حق بیمه </t>
  </si>
  <si>
    <t>جمع کارمزد پرداختی در سال اول</t>
  </si>
  <si>
    <t>دارای پوشش درآمد ازکارافتادگی</t>
  </si>
  <si>
    <t>دارای پوشش معافیت از پرداخت حق بیمه</t>
  </si>
  <si>
    <t>مبلغ هر قسط</t>
  </si>
  <si>
    <t>تعداد اقساط در سال</t>
  </si>
  <si>
    <t>ارزش بازخریدی با نرخ تضمینی</t>
  </si>
  <si>
    <t>اندوخته تضمین شده</t>
  </si>
  <si>
    <t>خالص حیات</t>
  </si>
  <si>
    <t>عوارض شهرداری</t>
  </si>
  <si>
    <t>مالیات</t>
  </si>
  <si>
    <t>هزینه تقسیط</t>
  </si>
  <si>
    <t>اداری + بیمه‌گری + کارمزد</t>
  </si>
  <si>
    <t>اضافه نرخ پزشکی عمر</t>
  </si>
  <si>
    <t>پوشش‌های اضافی</t>
  </si>
  <si>
    <t>کارمزد پرداختی هر سال</t>
  </si>
  <si>
    <t>کارمزد</t>
  </si>
  <si>
    <t>هزینه فروش</t>
  </si>
  <si>
    <t>هزینه اداری</t>
  </si>
  <si>
    <t>هزینه بیمه‌گری</t>
  </si>
  <si>
    <t>حق‌بیمه معافیت</t>
  </si>
  <si>
    <t>ضریب حق‌بیمه معافیت</t>
  </si>
  <si>
    <t>حق‌بیمه نقص عضو ناشی حادثه</t>
  </si>
  <si>
    <t>حق‌بیمه فوت ناشی از حادثه</t>
  </si>
  <si>
    <t>حق‌بیمه هزینه پزشکی ناشی از حادثه</t>
  </si>
  <si>
    <t>حق‌بیمه اصلی</t>
  </si>
  <si>
    <t>حق‌بیمه خطر فوت</t>
  </si>
  <si>
    <t>سرمایه هزینه پزشکی ناشی از حادثه</t>
  </si>
  <si>
    <t>سرمایه ازکارافتادگی ناشی از حادثه</t>
  </si>
  <si>
    <t>سرمایه فوت ناشی از حادثه</t>
  </si>
  <si>
    <t>جمع حق‌بیمه پرداختی</t>
  </si>
  <si>
    <t>سن بیمه‌گذار</t>
  </si>
  <si>
    <t>سن بیمه‌شده</t>
  </si>
  <si>
    <t>نرخ سال پنجم به بعد</t>
  </si>
  <si>
    <t>نرخ دو سال دوم</t>
  </si>
  <si>
    <t>نرخ دو سال اول</t>
  </si>
  <si>
    <t>متوسط قطعی 5 سال آخر</t>
  </si>
  <si>
    <t>درصد فوت حادثه</t>
  </si>
  <si>
    <t>طبقه شغلی</t>
  </si>
  <si>
    <t>کد داخلی</t>
  </si>
  <si>
    <t>Lx</t>
  </si>
  <si>
    <t>q_x</t>
  </si>
  <si>
    <t>سن</t>
  </si>
  <si>
    <t>مقدار</t>
  </si>
  <si>
    <t>عنوان</t>
  </si>
  <si>
    <t>صندوق مستمری</t>
  </si>
  <si>
    <t>طبقه پنج</t>
  </si>
  <si>
    <t>طبقه چهار</t>
  </si>
  <si>
    <t>حداکثر سن برای فوت حادثی</t>
  </si>
  <si>
    <t>طبقه دو از کار افتادگی</t>
  </si>
  <si>
    <t>طبقه دو کلی</t>
  </si>
  <si>
    <t>نرخ سود فنی برای 10 سال اول</t>
  </si>
  <si>
    <t>طبقه سه از کار افتادگی</t>
  </si>
  <si>
    <t>نرخ سود فنی برای بعد از 10 سال</t>
  </si>
  <si>
    <t>طبقه سه کلی</t>
  </si>
  <si>
    <t>طبقه شش</t>
  </si>
  <si>
    <t>ارزش فعلی حق‌بیمه برای 10 سال</t>
  </si>
  <si>
    <t>حداکثر سن برای هزینه پزشکی</t>
  </si>
  <si>
    <t>حداکثر سن بیمه‌شده برای فوت عادی</t>
  </si>
  <si>
    <t>سود قطعی بر حسب سال</t>
  </si>
  <si>
    <t>روش پرداخت مستمری</t>
  </si>
  <si>
    <t>تعداد پرداخت هر سال</t>
  </si>
  <si>
    <t>صندوق انتخابی</t>
  </si>
  <si>
    <t>ماهانه</t>
  </si>
  <si>
    <t>دو ماهه</t>
  </si>
  <si>
    <t>سه ماهه</t>
  </si>
  <si>
    <t>نام هزینه</t>
  </si>
  <si>
    <t>ضریب بر اساس سرمایه</t>
  </si>
  <si>
    <t>ضریب بر اساس حق بیمه</t>
  </si>
  <si>
    <t>نحوه محاسبه هزینه</t>
  </si>
  <si>
    <t>چهارماهه</t>
  </si>
  <si>
    <t>محاسبه بر اساس حق‌بیمه سال اول</t>
  </si>
  <si>
    <t>شش ماهه</t>
  </si>
  <si>
    <t xml:space="preserve">اداری </t>
  </si>
  <si>
    <t>بیمه گری</t>
  </si>
  <si>
    <t>پیگیری وصول</t>
  </si>
  <si>
    <t>کارمزد پوششهای الحاقی</t>
  </si>
  <si>
    <t>محاسبه بر اساس حق‌بیمه هر سال</t>
  </si>
  <si>
    <t>اداری پوششهای الحاقی</t>
  </si>
  <si>
    <t>بیمه گری پوششهای الحاقی</t>
  </si>
  <si>
    <t>محاسبه بر اساس سرمایه هر سال</t>
  </si>
  <si>
    <t>پیگیری وصول پوششهای الحاقی</t>
  </si>
  <si>
    <t>مجموع ضرایب بر اساس سرمایه هزینه های پوششهای الحاقی</t>
  </si>
  <si>
    <t>مجموع ضرایب بر اساس حق بیمه هزینه های پوششهای الحاقی</t>
  </si>
  <si>
    <t>کارمزد مستمری</t>
  </si>
  <si>
    <t>بیمه گری مستمری</t>
  </si>
  <si>
    <t>اداری مستمری</t>
  </si>
  <si>
    <t>حق بیمه هر قسط پوشش الحاقی</t>
  </si>
  <si>
    <t>حق بیمه سالانه با تقسیط پوشش الحاقی</t>
  </si>
  <si>
    <t>حق بیمه سالانه پوشش الحاقی</t>
  </si>
  <si>
    <t>ضریب تقسیط</t>
  </si>
  <si>
    <t>نرخ بهره اقساطی</t>
  </si>
  <si>
    <t>نرخ بهره</t>
  </si>
  <si>
    <t>حق‌بیمه حادثه</t>
  </si>
  <si>
    <t>حق بیمه تجاری</t>
  </si>
  <si>
    <t>حق‌بیمه خطر فوت با اضافه نرخ پزشکی</t>
  </si>
  <si>
    <t>حق‌بیمه اصلی مستمری</t>
  </si>
  <si>
    <t>حق‌بیمه خطر فوت بدون اضافه نرخ پزشکی</t>
  </si>
  <si>
    <t>مدت بیمه نامه الحاقی</t>
  </si>
  <si>
    <t>اندوخته تضمین شده + قطعی</t>
  </si>
  <si>
    <t>ارزش بازخریدی</t>
  </si>
  <si>
    <t>اضافه نرخ پزشکی عمر سالانه تنزیل یافته</t>
  </si>
  <si>
    <t>اضافه نرخ پزشکی عمر سالانه</t>
  </si>
  <si>
    <t>پوشش‌ها اضافی</t>
  </si>
  <si>
    <t xml:space="preserve">کارمزد  </t>
  </si>
  <si>
    <t>حق‌بیمه امراض</t>
  </si>
  <si>
    <t>حق‌بیمه اصلی یکجا</t>
  </si>
  <si>
    <t>حق‌بیمه خطر فوت یکجا</t>
  </si>
  <si>
    <t>خطر فوت سالانه تنزیل یافته</t>
  </si>
  <si>
    <t>خطر فوت سالانه</t>
  </si>
  <si>
    <t>سرمایه بیماری‌های خاص</t>
  </si>
  <si>
    <t>سرمایه فوت</t>
  </si>
  <si>
    <t>حق‌بیمه یکجا (کل حق‌بیمه)</t>
  </si>
  <si>
    <t>سال بیمه‌ای</t>
  </si>
  <si>
    <t>مالیات سلامت</t>
  </si>
  <si>
    <t>مالیات بر ارزش افزوده</t>
  </si>
  <si>
    <t>مجموع هزینه‌ها</t>
  </si>
  <si>
    <t xml:space="preserve">هزینه فروش (کارمزد_ع ت س)  </t>
  </si>
  <si>
    <t>مجموع اضافه نرخ‌ها</t>
  </si>
  <si>
    <t>مجموع پوشش‌ها</t>
  </si>
  <si>
    <t>اضافه نرخ پزشکی</t>
  </si>
  <si>
    <t>اضافه نرخ شغلی درآمد ازکارافتادگی</t>
  </si>
  <si>
    <t>درآمد ازکارافتادگی</t>
  </si>
  <si>
    <t>اضافه نرخ شغلی معافیت</t>
  </si>
  <si>
    <t>اضافه نرخ ازکارافتادگی حادثه</t>
  </si>
  <si>
    <t>ازکارافتادگی حادثه</t>
  </si>
  <si>
    <t>اضافه نرخ حادثه</t>
  </si>
  <si>
    <t>ارزش فعلی حق‌بیمه هر سال در 10 سال</t>
  </si>
  <si>
    <t>حق‌بیمه هر سال (کل حق‌بیمه)</t>
  </si>
  <si>
    <t>مضرب اقساط</t>
  </si>
  <si>
    <t>روش پرداخت</t>
  </si>
  <si>
    <t>کد روش پرداخت</t>
  </si>
  <si>
    <t>درصد معافیت</t>
  </si>
  <si>
    <t>درصد از کار افتادگی</t>
  </si>
  <si>
    <t>طرح امراض خاص</t>
  </si>
  <si>
    <t>نرخ حق بیمه بر اساس درصدی از حق بیمه سالانه</t>
  </si>
  <si>
    <t>نرخ امراض پایه برای هر 1000000 ریال سرمایه</t>
  </si>
  <si>
    <t>نرخ امراض آسایش برای هر 1000000 ریال سرمایه</t>
  </si>
  <si>
    <t>نرخ امراض ممتاز برای هر 1000000 ریال سرمایه</t>
  </si>
  <si>
    <t>نرخ امراض معمولی برای هر 1000000 ریال سرمایه</t>
  </si>
  <si>
    <t>درصد عوارض شهرداری</t>
  </si>
  <si>
    <t>درصد مالیات بر ارزش افزوده</t>
  </si>
  <si>
    <t>سال</t>
  </si>
  <si>
    <t>نرخ بازخریدی</t>
  </si>
  <si>
    <t>چهار ماهه</t>
  </si>
  <si>
    <t>حداکثر سن برای بیماری‌های خاص</t>
  </si>
  <si>
    <t>آسایش</t>
  </si>
  <si>
    <t>حداکثر سن برای ازکار افتادگی</t>
  </si>
  <si>
    <t>نرخ درآمد ازکار افتادگی</t>
  </si>
  <si>
    <t>یکجا</t>
  </si>
  <si>
    <t>حداکثر سن بیمه‌گذار برای حق‌بیمه معافیت</t>
  </si>
  <si>
    <t>1400-01-10</t>
  </si>
  <si>
    <t>1400-10-12</t>
  </si>
  <si>
    <t>1401-01-01</t>
  </si>
  <si>
    <t>1401-10-20</t>
  </si>
  <si>
    <t>هزینه اداری مستمری براساس حق بیمه</t>
  </si>
  <si>
    <t>-</t>
  </si>
  <si>
    <t>صندوق</t>
  </si>
  <si>
    <t>تضمین</t>
  </si>
  <si>
    <t>عملکرد سرمایه گذاری</t>
  </si>
  <si>
    <t>یونیت لینک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</si>
</sst>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_-* #,##0_-;_-* #,##0\-;_-* &quot;-&quot;??_-;_-@_-"/>
    <numFmt numFmtId="165" formatCode="0.000000"/>
    <numFmt numFmtId="166" formatCode="#,##0.0"/>
    <numFmt numFmtId="167" formatCode="#,##0.000"/>
    <numFmt numFmtId="168" formatCode="0.0000"/>
    <numFmt numFmtId="169" formatCode="0.0%"/>
    <numFmt numFmtId="170" formatCode="0.000000000000000%"/>
    <numFmt numFmtId="171" formatCode="0.00000%"/>
    <numFmt numFmtId="172" formatCode="_(* #,##0_);_(* \(#,##0\);_(* &quot;-&quot;??_);_(@_)"/>
    <numFmt numFmtId="173" formatCode="#,##0.000000"/>
  </numFmts>
  <fonts count="27" x14ac:knownFonts="1">
    <font>
      <sz val="11"/>
      <color theme="1"/>
      <name val="Calibri"/>
      <family val="2"/>
      <scheme val="minor"/>
    </font>
    <font>
      <sz val="11"/>
      <color theme="1"/>
      <name val="B Mitra"/>
      <charset val="178"/>
    </font>
    <font>
      <sz val="11"/>
      <color theme="1"/>
      <name val="Times New Roman"/>
      <family val="1"/>
    </font>
    <font>
      <b/>
      <sz val="11"/>
      <color theme="1"/>
      <name val="B Mitra"/>
      <charset val="178"/>
    </font>
    <font>
      <sz val="11"/>
      <color indexed="16"/>
      <name val="B Mitra"/>
      <charset val="178"/>
    </font>
    <font>
      <sz val="11"/>
      <color indexed="56"/>
      <name val="B Mitra"/>
      <charset val="178"/>
    </font>
    <font>
      <sz val="11"/>
      <color indexed="8"/>
      <name val="B Mitra"/>
      <charset val="178"/>
    </font>
    <font>
      <sz val="11"/>
      <color indexed="16"/>
      <name val="B Nazanin"/>
      <charset val="178"/>
    </font>
    <font>
      <sz val="11"/>
      <color indexed="56"/>
      <name val="B Nazanin"/>
      <charset val="178"/>
    </font>
    <font>
      <sz val="11"/>
      <color theme="1"/>
      <name val="Calibri"/>
      <family val="2"/>
      <charset val="178"/>
    </font>
    <font>
      <b/>
      <sz val="11"/>
      <color theme="1"/>
      <name val="B Nazanin"/>
      <charset val="178"/>
    </font>
    <font>
      <b/>
      <sz val="11"/>
      <color theme="1"/>
      <name val="Times New Roman"/>
      <family val="1"/>
    </font>
    <font>
      <b/>
      <sz val="12"/>
      <color theme="1"/>
      <name val="B Nazanin"/>
      <charset val="178"/>
    </font>
    <font>
      <sz val="12"/>
      <color theme="1"/>
      <name val="B Titr"/>
      <charset val="178"/>
    </font>
    <font>
      <b/>
      <sz val="14"/>
      <color theme="1"/>
      <name val="B Nazanin"/>
      <charset val="178"/>
    </font>
    <font>
      <sz val="11"/>
      <color theme="1"/>
      <name val="B Nazanin"/>
      <charset val="178"/>
    </font>
    <font>
      <sz val="12"/>
      <color theme="1"/>
      <name val="B Nazanin"/>
      <charset val="178"/>
    </font>
    <font>
      <sz val="10"/>
      <color theme="1"/>
      <name val="B Mitra"/>
      <charset val="178"/>
    </font>
    <font>
      <sz val="9"/>
      <color theme="1"/>
      <name val="B Mitra"/>
      <charset val="178"/>
    </font>
    <font>
      <sz val="12"/>
      <color theme="1"/>
      <name val="B Mitra"/>
      <charset val="178"/>
    </font>
    <font>
      <sz val="11"/>
      <color theme="1"/>
      <name val="Calibri"/>
      <family val="2"/>
      <scheme val="minor"/>
    </font>
    <font>
      <sz val="11"/>
      <color rgb="FF00B0F0"/>
      <name val="Times New Roman"/>
      <family val="1"/>
    </font>
    <font>
      <b/>
      <sz val="8"/>
      <color theme="1"/>
      <name val="Calibri"/>
      <family val="2"/>
      <scheme val="minor"/>
    </font>
    <font>
      <b/>
      <sz val="11"/>
      <color theme="1"/>
      <name val="Calibri"/>
      <family val="2"/>
      <scheme val="minor"/>
    </font>
    <font>
      <b/>
      <sz val="12"/>
      <color theme="1"/>
      <name val="Calibri"/>
      <family val="2"/>
      <scheme val="minor"/>
    </font>
    <font>
      <sz val="16"/>
      <color theme="1"/>
      <name val="Calibri"/>
      <family val="2"/>
      <scheme val="minor"/>
    </font>
    <font>
      <sz val="11"/>
      <color theme="4" tint="0.79998168889431442"/>
      <name val="B Mitra"/>
      <charset val="178"/>
    </font>
  </fonts>
  <fills count="28">
    <fill>
      <patternFill patternType="none"/>
    </fill>
    <fill>
      <patternFill patternType="gray125"/>
    </fill>
    <fill>
      <patternFill patternType="solid">
        <fgColor theme="6" tint="0.39997558519241921"/>
        <bgColor indexed="64"/>
      </patternFill>
    </fill>
    <fill>
      <patternFill patternType="solid">
        <fgColor theme="6"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darkGray">
        <bgColor theme="6" tint="-0.249977111117893"/>
      </patternFill>
    </fill>
    <fill>
      <patternFill patternType="darkGray"/>
    </fill>
    <fill>
      <patternFill patternType="solid">
        <fgColor rgb="FF92D050"/>
        <bgColor indexed="64"/>
      </patternFill>
    </fill>
    <fill>
      <patternFill patternType="solid">
        <fgColor theme="8" tint="0.59999389629810485"/>
        <bgColor indexed="64"/>
      </patternFill>
    </fill>
    <fill>
      <patternFill patternType="solid">
        <fgColor theme="9" tint="0.79998168889431442"/>
        <bgColor indexed="64"/>
      </patternFill>
    </fill>
  </fills>
  <borders count="6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theme="3" tint="-0.24994659260841701"/>
      </left>
      <right/>
      <top/>
      <bottom/>
      <diagonal/>
    </border>
    <border>
      <left style="medium">
        <color theme="4" tint="-0.24994659260841701"/>
      </left>
      <right style="medium">
        <color theme="4" tint="-0.24994659260841701"/>
      </right>
      <top style="medium">
        <color theme="4" tint="-0.24994659260841701"/>
      </top>
      <bottom style="medium">
        <color theme="4" tint="-0.24994659260841701"/>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theme="3"/>
      </left>
      <right/>
      <top/>
      <bottom/>
      <diagonal/>
    </border>
    <border>
      <left/>
      <right style="medium">
        <color theme="4" tint="-0.24994659260841701"/>
      </right>
      <top style="medium">
        <color theme="4" tint="-0.24994659260841701"/>
      </top>
      <bottom style="medium">
        <color theme="4" tint="-0.24994659260841701"/>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medium">
        <color theme="3"/>
      </left>
      <right/>
      <top style="medium">
        <color theme="3"/>
      </top>
      <bottom/>
      <diagonal/>
    </border>
    <border>
      <left/>
      <right/>
      <top style="medium">
        <color theme="3"/>
      </top>
      <bottom/>
      <diagonal/>
    </border>
    <border>
      <left/>
      <right style="medium">
        <color theme="3"/>
      </right>
      <top style="medium">
        <color theme="3"/>
      </top>
      <bottom/>
      <diagonal/>
    </border>
    <border>
      <left/>
      <right style="medium">
        <color theme="3"/>
      </right>
      <top/>
      <bottom/>
      <diagonal/>
    </border>
    <border>
      <left style="medium">
        <color theme="3"/>
      </left>
      <right/>
      <top/>
      <bottom/>
      <diagonal/>
    </border>
    <border>
      <left style="medium">
        <color theme="3"/>
      </left>
      <right/>
      <top/>
      <bottom style="medium">
        <color theme="3"/>
      </bottom>
      <diagonal/>
    </border>
    <border>
      <left/>
      <right/>
      <top/>
      <bottom style="medium">
        <color theme="3"/>
      </bottom>
      <diagonal/>
    </border>
    <border>
      <left/>
      <right style="medium">
        <color theme="3"/>
      </right>
      <top/>
      <bottom style="medium">
        <color theme="3"/>
      </bottom>
      <diagonal/>
    </border>
    <border>
      <left/>
      <right/>
      <top style="medium">
        <color theme="4" tint="-0.24994659260841701"/>
      </top>
      <bottom style="medium">
        <color theme="4" tint="-0.24994659260841701"/>
      </bottom>
      <diagonal/>
    </border>
    <border>
      <left/>
      <right/>
      <top style="medium">
        <color theme="3"/>
      </top>
      <bottom style="medium">
        <color theme="4" tint="-0.24994659260841701"/>
      </bottom>
      <diagonal/>
    </border>
    <border>
      <left style="medium">
        <color theme="4" tint="-0.499984740745262"/>
      </left>
      <right style="medium">
        <color theme="4" tint="-0.499984740745262"/>
      </right>
      <top style="medium">
        <color theme="4" tint="-0.499984740745262"/>
      </top>
      <bottom/>
      <diagonal/>
    </border>
    <border>
      <left style="medium">
        <color theme="4" tint="-0.499984740745262"/>
      </left>
      <right/>
      <top style="medium">
        <color theme="4" tint="-0.499984740745262"/>
      </top>
      <bottom/>
      <diagonal/>
    </border>
    <border>
      <left/>
      <right/>
      <top style="medium">
        <color theme="4" tint="-0.499984740745262"/>
      </top>
      <bottom/>
      <diagonal/>
    </border>
    <border>
      <left/>
      <right style="medium">
        <color theme="4" tint="-0.499984740745262"/>
      </right>
      <top style="medium">
        <color theme="4" tint="-0.499984740745262"/>
      </top>
      <bottom/>
      <diagonal/>
    </border>
    <border>
      <left style="medium">
        <color theme="4" tint="-0.499984740745262"/>
      </left>
      <right style="medium">
        <color theme="4" tint="-0.499984740745262"/>
      </right>
      <top/>
      <bottom style="medium">
        <color theme="4" tint="-0.499984740745262"/>
      </bottom>
      <diagonal/>
    </border>
    <border>
      <left style="medium">
        <color theme="4" tint="-0.499984740745262"/>
      </left>
      <right/>
      <top/>
      <bottom style="medium">
        <color theme="4" tint="-0.499984740745262"/>
      </bottom>
      <diagonal/>
    </border>
    <border>
      <left/>
      <right/>
      <top/>
      <bottom style="medium">
        <color theme="4" tint="-0.499984740745262"/>
      </bottom>
      <diagonal/>
    </border>
    <border>
      <left/>
      <right style="medium">
        <color theme="4" tint="-0.499984740745262"/>
      </right>
      <top/>
      <bottom style="medium">
        <color theme="4" tint="-0.499984740745262"/>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theme="4" tint="-0.499984740745262"/>
      </left>
      <right/>
      <top/>
      <bottom/>
      <diagonal/>
    </border>
    <border>
      <left/>
      <right style="medium">
        <color theme="4" tint="-0.499984740745262"/>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theme="4" tint="-0.499984740745262"/>
      </top>
      <bottom/>
      <diagonal/>
    </border>
    <border>
      <left style="medium">
        <color indexed="64"/>
      </left>
      <right/>
      <top/>
      <bottom style="medium">
        <color theme="4" tint="-0.499984740745262"/>
      </bottom>
      <diagonal/>
    </border>
    <border>
      <left/>
      <right style="thin">
        <color indexed="64"/>
      </right>
      <top style="medium">
        <color indexed="64"/>
      </top>
      <bottom style="thin">
        <color indexed="64"/>
      </bottom>
      <diagonal/>
    </border>
    <border>
      <left/>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theme="4" tint="-0.249977111117893"/>
      </right>
      <top/>
      <bottom/>
      <diagonal/>
    </border>
    <border>
      <left style="thin">
        <color indexed="64"/>
      </left>
      <right style="thin">
        <color indexed="64"/>
      </right>
      <top/>
      <bottom/>
      <diagonal/>
    </border>
    <border>
      <left style="thin">
        <color theme="3"/>
      </left>
      <right/>
      <top style="thin">
        <color theme="3"/>
      </top>
      <bottom style="thin">
        <color theme="3"/>
      </bottom>
      <diagonal/>
    </border>
    <border>
      <left style="thin">
        <color theme="3"/>
      </left>
      <right/>
      <top style="thin">
        <color theme="3"/>
      </top>
      <bottom/>
      <diagonal/>
    </border>
    <border>
      <left style="thin">
        <color indexed="64"/>
      </left>
      <right/>
      <top style="thin">
        <color indexed="64"/>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s>
  <cellStyleXfs count="4">
    <xf numFmtId="0" fontId="0" fillId="0" borderId="0"/>
    <xf numFmtId="0" fontId="9" fillId="0" borderId="0"/>
    <xf numFmtId="9" fontId="20" fillId="0" borderId="0" applyFont="0" applyFill="0" applyBorder="0" applyAlignment="0" applyProtection="0"/>
    <xf numFmtId="43" fontId="20" fillId="0" borderId="0" applyFont="0" applyFill="0" applyBorder="0" applyAlignment="0" applyProtection="0"/>
  </cellStyleXfs>
  <cellXfs count="291">
    <xf numFmtId="0" fontId="0" fillId="0" borderId="0" xfId="0"/>
    <xf numFmtId="0" fontId="5" fillId="6" borderId="4" xfId="0" applyFont="1" applyFill="1" applyBorder="1" applyAlignment="1">
      <alignment horizontal="right" vertical="center"/>
    </xf>
    <xf numFmtId="2" fontId="4" fillId="6" borderId="13" xfId="0" applyNumberFormat="1" applyFont="1" applyFill="1" applyBorder="1" applyAlignment="1">
      <alignment horizontal="center" vertical="center" wrapText="1"/>
    </xf>
    <xf numFmtId="2" fontId="4" fillId="6" borderId="13" xfId="0" applyNumberFormat="1" applyFont="1" applyFill="1" applyBorder="1" applyAlignment="1">
      <alignment horizontal="center" vertical="center"/>
    </xf>
    <xf numFmtId="0" fontId="5" fillId="6" borderId="0" xfId="0" applyFont="1" applyFill="1" applyAlignment="1">
      <alignment horizontal="right" vertical="center"/>
    </xf>
    <xf numFmtId="2" fontId="4" fillId="6" borderId="0" xfId="0" applyNumberFormat="1" applyFont="1" applyFill="1" applyAlignment="1">
      <alignment horizontal="center" vertical="center"/>
    </xf>
    <xf numFmtId="0" fontId="9" fillId="6" borderId="0" xfId="1" applyFill="1"/>
    <xf numFmtId="0" fontId="9" fillId="0" borderId="0" xfId="1"/>
    <xf numFmtId="0" fontId="10" fillId="6" borderId="29" xfId="1" applyFont="1" applyFill="1" applyBorder="1" applyAlignment="1">
      <alignment horizontal="center" vertical="center"/>
    </xf>
    <xf numFmtId="0" fontId="9" fillId="6" borderId="29" xfId="1" applyFill="1" applyBorder="1"/>
    <xf numFmtId="0" fontId="10" fillId="6" borderId="33" xfId="1" applyFont="1" applyFill="1" applyBorder="1" applyAlignment="1">
      <alignment horizontal="center" vertical="center"/>
    </xf>
    <xf numFmtId="0" fontId="9" fillId="6" borderId="33" xfId="1" applyFill="1" applyBorder="1"/>
    <xf numFmtId="0" fontId="12" fillId="0" borderId="0" xfId="1" applyFont="1" applyAlignment="1">
      <alignment horizontal="center" vertical="center" readingOrder="2"/>
    </xf>
    <xf numFmtId="0" fontId="15" fillId="0" borderId="0" xfId="0" applyFont="1" applyProtection="1">
      <protection hidden="1"/>
    </xf>
    <xf numFmtId="0" fontId="8" fillId="6" borderId="4" xfId="0" applyFont="1" applyFill="1" applyBorder="1" applyAlignment="1">
      <alignment horizontal="center" vertical="center"/>
    </xf>
    <xf numFmtId="0" fontId="10" fillId="0" borderId="42" xfId="0" applyFont="1" applyBorder="1" applyProtection="1">
      <protection hidden="1"/>
    </xf>
    <xf numFmtId="0" fontId="15" fillId="0" borderId="42" xfId="0" applyFont="1" applyBorder="1" applyProtection="1">
      <protection hidden="1"/>
    </xf>
    <xf numFmtId="0" fontId="10" fillId="20" borderId="41" xfId="0" applyFont="1" applyFill="1" applyBorder="1" applyAlignment="1" applyProtection="1">
      <alignment horizontal="center" vertical="center"/>
      <protection hidden="1"/>
    </xf>
    <xf numFmtId="0" fontId="10" fillId="0" borderId="42" xfId="0" applyFont="1" applyBorder="1" applyAlignment="1" applyProtection="1">
      <alignment horizontal="center" vertical="center"/>
      <protection hidden="1"/>
    </xf>
    <xf numFmtId="0" fontId="10" fillId="20" borderId="41" xfId="0" applyFont="1" applyFill="1" applyBorder="1" applyAlignment="1" applyProtection="1">
      <alignment horizontal="center" vertical="center" wrapText="1"/>
      <protection hidden="1"/>
    </xf>
    <xf numFmtId="3" fontId="10" fillId="20" borderId="41" xfId="0" applyNumberFormat="1" applyFont="1" applyFill="1" applyBorder="1" applyAlignment="1" applyProtection="1">
      <alignment horizontal="center" vertical="center" wrapText="1"/>
      <protection hidden="1"/>
    </xf>
    <xf numFmtId="3" fontId="16" fillId="6" borderId="44" xfId="0" applyNumberFormat="1" applyFont="1" applyFill="1" applyBorder="1" applyAlignment="1" applyProtection="1">
      <alignment horizontal="center" vertical="center"/>
      <protection hidden="1"/>
    </xf>
    <xf numFmtId="0" fontId="16" fillId="6" borderId="44" xfId="0" applyFont="1" applyFill="1" applyBorder="1" applyAlignment="1" applyProtection="1">
      <alignment horizontal="center" vertical="center"/>
      <protection hidden="1"/>
    </xf>
    <xf numFmtId="0" fontId="16" fillId="6" borderId="43" xfId="0" applyFont="1" applyFill="1" applyBorder="1" applyAlignment="1" applyProtection="1">
      <alignment horizontal="center" vertical="center"/>
      <protection hidden="1"/>
    </xf>
    <xf numFmtId="3" fontId="16" fillId="21" borderId="1" xfId="0" applyNumberFormat="1" applyFont="1" applyFill="1" applyBorder="1" applyAlignment="1" applyProtection="1">
      <alignment horizontal="center" vertical="center"/>
      <protection hidden="1"/>
    </xf>
    <xf numFmtId="3" fontId="16" fillId="6" borderId="1" xfId="0" applyNumberFormat="1" applyFont="1" applyFill="1" applyBorder="1" applyAlignment="1" applyProtection="1">
      <alignment horizontal="center" vertical="center"/>
      <protection hidden="1"/>
    </xf>
    <xf numFmtId="0" fontId="16" fillId="21" borderId="1" xfId="0" applyFont="1" applyFill="1" applyBorder="1" applyAlignment="1" applyProtection="1">
      <alignment horizontal="center" vertical="center"/>
      <protection hidden="1"/>
    </xf>
    <xf numFmtId="0" fontId="16" fillId="21" borderId="5" xfId="0" applyFont="1" applyFill="1" applyBorder="1" applyAlignment="1" applyProtection="1">
      <alignment horizontal="center" vertical="center"/>
      <protection hidden="1"/>
    </xf>
    <xf numFmtId="0" fontId="16" fillId="6" borderId="1" xfId="0" applyFont="1" applyFill="1" applyBorder="1" applyAlignment="1" applyProtection="1">
      <alignment horizontal="center" vertical="center"/>
      <protection hidden="1"/>
    </xf>
    <xf numFmtId="0" fontId="16" fillId="6" borderId="5" xfId="0" applyFont="1" applyFill="1" applyBorder="1" applyAlignment="1" applyProtection="1">
      <alignment horizontal="center" vertical="center"/>
      <protection hidden="1"/>
    </xf>
    <xf numFmtId="0" fontId="0" fillId="0" borderId="0" xfId="0" applyProtection="1">
      <protection hidden="1"/>
    </xf>
    <xf numFmtId="3" fontId="0" fillId="0" borderId="0" xfId="0" applyNumberFormat="1" applyProtection="1">
      <protection hidden="1"/>
    </xf>
    <xf numFmtId="0" fontId="17" fillId="5" borderId="19" xfId="0" applyFont="1" applyFill="1" applyBorder="1" applyAlignment="1">
      <alignment horizontal="center" vertical="center"/>
    </xf>
    <xf numFmtId="0" fontId="18" fillId="5" borderId="20" xfId="0" applyFont="1" applyFill="1" applyBorder="1" applyAlignment="1">
      <alignment horizontal="center" vertical="center"/>
    </xf>
    <xf numFmtId="0" fontId="19" fillId="5" borderId="20" xfId="0" applyFont="1" applyFill="1" applyBorder="1" applyAlignment="1">
      <alignment horizontal="center" vertical="center"/>
    </xf>
    <xf numFmtId="0" fontId="17" fillId="5" borderId="21" xfId="0" applyFont="1" applyFill="1" applyBorder="1" applyAlignment="1">
      <alignment horizontal="center" vertical="center"/>
    </xf>
    <xf numFmtId="164" fontId="17" fillId="5" borderId="23" xfId="0" applyNumberFormat="1" applyFont="1" applyFill="1" applyBorder="1"/>
    <xf numFmtId="0" fontId="15" fillId="6" borderId="4" xfId="0" applyFont="1" applyFill="1" applyBorder="1" applyAlignment="1" applyProtection="1">
      <alignment horizontal="center" vertical="center" wrapText="1"/>
      <protection locked="0"/>
    </xf>
    <xf numFmtId="0" fontId="15" fillId="6" borderId="4" xfId="0" applyFont="1" applyFill="1" applyBorder="1" applyAlignment="1">
      <alignment horizontal="center" vertical="center"/>
    </xf>
    <xf numFmtId="164" fontId="15" fillId="5" borderId="3" xfId="0" applyNumberFormat="1" applyFont="1" applyFill="1" applyBorder="1"/>
    <xf numFmtId="164" fontId="17" fillId="5" borderId="22" xfId="0" applyNumberFormat="1" applyFont="1" applyFill="1" applyBorder="1"/>
    <xf numFmtId="0" fontId="17" fillId="5" borderId="23" xfId="0" applyFont="1" applyFill="1" applyBorder="1" applyAlignment="1">
      <alignment horizontal="center" vertical="center"/>
    </xf>
    <xf numFmtId="0" fontId="17" fillId="5" borderId="22" xfId="0" applyFont="1" applyFill="1" applyBorder="1" applyAlignment="1">
      <alignment horizontal="center" vertical="center"/>
    </xf>
    <xf numFmtId="0" fontId="15" fillId="6" borderId="4" xfId="0" applyFont="1" applyFill="1" applyBorder="1" applyAlignment="1" applyProtection="1">
      <alignment horizontal="center" vertical="center"/>
      <protection locked="0"/>
    </xf>
    <xf numFmtId="2" fontId="15" fillId="6" borderId="4" xfId="0" applyNumberFormat="1" applyFont="1" applyFill="1" applyBorder="1" applyAlignment="1" applyProtection="1">
      <alignment horizontal="center" vertical="center"/>
      <protection locked="0" hidden="1"/>
    </xf>
    <xf numFmtId="0" fontId="15" fillId="6" borderId="4" xfId="0" applyFont="1" applyFill="1" applyBorder="1" applyAlignment="1" applyProtection="1">
      <alignment horizontal="center" vertical="center"/>
      <protection hidden="1"/>
    </xf>
    <xf numFmtId="3" fontId="15" fillId="6" borderId="4" xfId="0" applyNumberFormat="1" applyFont="1" applyFill="1" applyBorder="1" applyAlignment="1" applyProtection="1">
      <alignment horizontal="center" vertical="center" wrapText="1"/>
      <protection locked="0"/>
    </xf>
    <xf numFmtId="0" fontId="17" fillId="5" borderId="23" xfId="0" applyFont="1" applyFill="1" applyBorder="1"/>
    <xf numFmtId="0" fontId="17" fillId="5" borderId="22" xfId="0" applyFont="1" applyFill="1" applyBorder="1"/>
    <xf numFmtId="165" fontId="0" fillId="0" borderId="0" xfId="0" applyNumberFormat="1"/>
    <xf numFmtId="9" fontId="15" fillId="0" borderId="4" xfId="0" applyNumberFormat="1" applyFont="1" applyBorder="1" applyAlignment="1" applyProtection="1">
      <alignment horizontal="center" vertical="center" wrapText="1"/>
      <protection locked="0"/>
    </xf>
    <xf numFmtId="1" fontId="15" fillId="0" borderId="4" xfId="0" applyNumberFormat="1" applyFont="1" applyBorder="1" applyAlignment="1" applyProtection="1">
      <alignment horizontal="center" vertical="center" wrapText="1"/>
      <protection locked="0"/>
    </xf>
    <xf numFmtId="9" fontId="15" fillId="6" borderId="4" xfId="2" applyFont="1" applyFill="1" applyBorder="1" applyAlignment="1" applyProtection="1">
      <alignment horizontal="center" vertical="center" wrapText="1"/>
      <protection locked="0"/>
    </xf>
    <xf numFmtId="0" fontId="15" fillId="0" borderId="4" xfId="0" applyFont="1" applyBorder="1" applyAlignment="1" applyProtection="1">
      <alignment horizontal="center" vertical="center" wrapText="1"/>
      <protection locked="0"/>
    </xf>
    <xf numFmtId="2" fontId="15" fillId="0" borderId="4" xfId="0" applyNumberFormat="1" applyFont="1" applyBorder="1" applyAlignment="1" applyProtection="1">
      <alignment horizontal="center" vertical="center"/>
      <protection locked="0"/>
    </xf>
    <xf numFmtId="3" fontId="15" fillId="0" borderId="4" xfId="0" applyNumberFormat="1" applyFont="1" applyBorder="1" applyAlignment="1" applyProtection="1">
      <alignment horizontal="center" vertical="center"/>
      <protection locked="0"/>
    </xf>
    <xf numFmtId="0" fontId="15" fillId="0" borderId="4" xfId="0" applyFont="1" applyBorder="1" applyAlignment="1" applyProtection="1">
      <alignment horizontal="center" vertical="center"/>
      <protection locked="0"/>
    </xf>
    <xf numFmtId="3" fontId="15" fillId="0" borderId="4" xfId="0" applyNumberFormat="1" applyFont="1" applyBorder="1" applyAlignment="1" applyProtection="1">
      <alignment horizontal="center" vertical="center" wrapText="1"/>
      <protection locked="0"/>
    </xf>
    <xf numFmtId="10" fontId="15" fillId="0" borderId="4" xfId="0" applyNumberFormat="1" applyFont="1" applyBorder="1" applyAlignment="1" applyProtection="1">
      <alignment horizontal="center" vertical="center" wrapText="1"/>
      <protection hidden="1"/>
    </xf>
    <xf numFmtId="0" fontId="0" fillId="0" borderId="0" xfId="0" applyProtection="1">
      <protection locked="0"/>
    </xf>
    <xf numFmtId="0" fontId="1" fillId="5" borderId="0" xfId="0" applyFont="1" applyFill="1" applyAlignment="1" applyProtection="1">
      <alignment horizontal="center" vertical="center"/>
      <protection locked="0"/>
    </xf>
    <xf numFmtId="0" fontId="1" fillId="5" borderId="28" xfId="0" applyFont="1" applyFill="1" applyBorder="1" applyAlignment="1" applyProtection="1">
      <alignment horizontal="center" vertical="center"/>
      <protection locked="0"/>
    </xf>
    <xf numFmtId="0" fontId="1" fillId="5" borderId="20" xfId="0" applyFont="1" applyFill="1" applyBorder="1" applyAlignment="1" applyProtection="1">
      <alignment horizontal="center" vertical="center"/>
      <protection locked="0"/>
    </xf>
    <xf numFmtId="0" fontId="17" fillId="5" borderId="21" xfId="0" applyFont="1" applyFill="1" applyBorder="1" applyProtection="1">
      <protection locked="0"/>
    </xf>
    <xf numFmtId="0" fontId="17" fillId="5" borderId="23" xfId="0" applyFont="1" applyFill="1" applyBorder="1" applyProtection="1">
      <protection locked="0"/>
    </xf>
    <xf numFmtId="9" fontId="1" fillId="6" borderId="4" xfId="0" applyNumberFormat="1" applyFont="1" applyFill="1" applyBorder="1" applyAlignment="1" applyProtection="1">
      <alignment horizontal="center" vertical="center" wrapText="1"/>
      <protection locked="0"/>
    </xf>
    <xf numFmtId="9" fontId="1" fillId="0" borderId="4" xfId="0" applyNumberFormat="1" applyFont="1" applyBorder="1" applyAlignment="1" applyProtection="1">
      <alignment horizontal="center" vertical="center" wrapText="1"/>
      <protection locked="0"/>
    </xf>
    <xf numFmtId="0" fontId="17" fillId="5" borderId="22" xfId="0" applyFont="1" applyFill="1" applyBorder="1" applyProtection="1">
      <protection locked="0"/>
    </xf>
    <xf numFmtId="0" fontId="17" fillId="5" borderId="12" xfId="0" applyFont="1" applyFill="1" applyBorder="1" applyProtection="1">
      <protection locked="0"/>
    </xf>
    <xf numFmtId="0" fontId="1" fillId="5" borderId="27" xfId="0" applyFont="1" applyFill="1" applyBorder="1" applyAlignment="1" applyProtection="1">
      <alignment horizontal="center" vertical="center"/>
      <protection locked="0"/>
    </xf>
    <xf numFmtId="2" fontId="7" fillId="6" borderId="13" xfId="0" applyNumberFormat="1" applyFont="1" applyFill="1" applyBorder="1" applyAlignment="1" applyProtection="1">
      <alignment horizontal="center" vertical="center"/>
      <protection locked="0"/>
    </xf>
    <xf numFmtId="0" fontId="8" fillId="6" borderId="4" xfId="0" applyFont="1" applyFill="1" applyBorder="1" applyAlignment="1" applyProtection="1">
      <alignment horizontal="center" vertical="center"/>
      <protection locked="0"/>
    </xf>
    <xf numFmtId="0" fontId="17" fillId="5" borderId="24" xfId="0" applyFont="1" applyFill="1" applyBorder="1" applyProtection="1">
      <protection locked="0"/>
    </xf>
    <xf numFmtId="0" fontId="1" fillId="5" borderId="25" xfId="0" applyFont="1" applyFill="1" applyBorder="1" applyProtection="1">
      <protection locked="0"/>
    </xf>
    <xf numFmtId="0" fontId="17" fillId="5" borderId="26" xfId="0" applyFont="1" applyFill="1" applyBorder="1" applyProtection="1">
      <protection locked="0"/>
    </xf>
    <xf numFmtId="0" fontId="3" fillId="2" borderId="9" xfId="0" applyFont="1" applyFill="1" applyBorder="1" applyAlignment="1" applyProtection="1">
      <alignment horizontal="center" vertical="center"/>
      <protection hidden="1"/>
    </xf>
    <xf numFmtId="0" fontId="3" fillId="2" borderId="10" xfId="0" applyFont="1" applyFill="1" applyBorder="1" applyAlignment="1" applyProtection="1">
      <alignment horizontal="center" vertical="center"/>
      <protection hidden="1"/>
    </xf>
    <xf numFmtId="0" fontId="3" fillId="14" borderId="10" xfId="0" applyFont="1" applyFill="1" applyBorder="1" applyAlignment="1" applyProtection="1">
      <alignment horizontal="center" vertical="center"/>
      <protection hidden="1"/>
    </xf>
    <xf numFmtId="3" fontId="3" fillId="14" borderId="10" xfId="0" applyNumberFormat="1" applyFont="1" applyFill="1" applyBorder="1" applyAlignment="1" applyProtection="1">
      <alignment horizontal="center" vertical="center"/>
      <protection hidden="1"/>
    </xf>
    <xf numFmtId="0" fontId="3" fillId="12" borderId="10" xfId="0" applyFont="1" applyFill="1" applyBorder="1" applyAlignment="1" applyProtection="1">
      <alignment horizontal="center" vertical="center"/>
      <protection hidden="1"/>
    </xf>
    <xf numFmtId="0" fontId="3" fillId="13" borderId="10" xfId="0" applyFont="1" applyFill="1" applyBorder="1" applyAlignment="1" applyProtection="1">
      <alignment horizontal="center" vertical="center"/>
      <protection hidden="1"/>
    </xf>
    <xf numFmtId="0" fontId="3" fillId="8" borderId="10" xfId="0" applyFont="1" applyFill="1" applyBorder="1" applyAlignment="1" applyProtection="1">
      <alignment horizontal="center" vertical="center"/>
      <protection hidden="1"/>
    </xf>
    <xf numFmtId="0" fontId="3" fillId="15" borderId="10" xfId="0" applyFont="1" applyFill="1" applyBorder="1" applyAlignment="1" applyProtection="1">
      <alignment horizontal="center" vertical="center"/>
      <protection hidden="1"/>
    </xf>
    <xf numFmtId="3" fontId="1" fillId="11" borderId="7" xfId="0" applyNumberFormat="1" applyFont="1" applyFill="1" applyBorder="1" applyAlignment="1" applyProtection="1">
      <alignment horizontal="center" vertical="center"/>
      <protection hidden="1"/>
    </xf>
    <xf numFmtId="166" fontId="1" fillId="17" borderId="7" xfId="0" applyNumberFormat="1" applyFont="1" applyFill="1" applyBorder="1" applyAlignment="1" applyProtection="1">
      <alignment horizontal="center" vertical="center"/>
      <protection hidden="1"/>
    </xf>
    <xf numFmtId="3" fontId="1" fillId="17" borderId="7" xfId="0" applyNumberFormat="1" applyFont="1" applyFill="1" applyBorder="1" applyAlignment="1" applyProtection="1">
      <alignment horizontal="center" vertical="center"/>
      <protection hidden="1"/>
    </xf>
    <xf numFmtId="166" fontId="1" fillId="16" borderId="7" xfId="0" applyNumberFormat="1" applyFont="1" applyFill="1" applyBorder="1" applyAlignment="1" applyProtection="1">
      <alignment horizontal="center" vertical="center"/>
      <protection hidden="1"/>
    </xf>
    <xf numFmtId="166" fontId="1" fillId="7" borderId="7" xfId="0" applyNumberFormat="1" applyFont="1" applyFill="1" applyBorder="1" applyAlignment="1" applyProtection="1">
      <alignment horizontal="center" vertical="center"/>
      <protection hidden="1"/>
    </xf>
    <xf numFmtId="167" fontId="1" fillId="7" borderId="7" xfId="0" applyNumberFormat="1" applyFont="1" applyFill="1" applyBorder="1" applyAlignment="1" applyProtection="1">
      <alignment horizontal="center" vertical="center"/>
      <protection hidden="1"/>
    </xf>
    <xf numFmtId="166" fontId="1" fillId="9" borderId="7" xfId="0" applyNumberFormat="1" applyFont="1" applyFill="1" applyBorder="1" applyAlignment="1" applyProtection="1">
      <alignment horizontal="center" vertical="center"/>
      <protection hidden="1"/>
    </xf>
    <xf numFmtId="0" fontId="1" fillId="10" borderId="7" xfId="0" applyFont="1" applyFill="1" applyBorder="1" applyAlignment="1" applyProtection="1">
      <alignment horizontal="center" vertical="center"/>
      <protection hidden="1"/>
    </xf>
    <xf numFmtId="166" fontId="0" fillId="0" borderId="0" xfId="0" applyNumberFormat="1" applyProtection="1">
      <protection hidden="1"/>
    </xf>
    <xf numFmtId="3" fontId="1" fillId="11" borderId="1" xfId="0" applyNumberFormat="1" applyFont="1" applyFill="1" applyBorder="1" applyAlignment="1" applyProtection="1">
      <alignment horizontal="center" vertical="center"/>
      <protection hidden="1"/>
    </xf>
    <xf numFmtId="166" fontId="1" fillId="17" borderId="1" xfId="0" applyNumberFormat="1" applyFont="1" applyFill="1" applyBorder="1" applyAlignment="1" applyProtection="1">
      <alignment horizontal="center" vertical="center"/>
      <protection hidden="1"/>
    </xf>
    <xf numFmtId="3" fontId="1" fillId="17" borderId="1" xfId="0" applyNumberFormat="1" applyFont="1" applyFill="1" applyBorder="1" applyAlignment="1" applyProtection="1">
      <alignment horizontal="center" vertical="center"/>
      <protection hidden="1"/>
    </xf>
    <xf numFmtId="166" fontId="1" fillId="7" borderId="1" xfId="0" applyNumberFormat="1" applyFont="1" applyFill="1" applyBorder="1" applyAlignment="1" applyProtection="1">
      <alignment horizontal="center" vertical="center"/>
      <protection hidden="1"/>
    </xf>
    <xf numFmtId="166" fontId="1" fillId="16" borderId="1" xfId="0" applyNumberFormat="1" applyFont="1" applyFill="1" applyBorder="1" applyAlignment="1" applyProtection="1">
      <alignment horizontal="center" vertical="center"/>
      <protection hidden="1"/>
    </xf>
    <xf numFmtId="166" fontId="1" fillId="9" borderId="1" xfId="0" applyNumberFormat="1" applyFont="1" applyFill="1" applyBorder="1" applyAlignment="1" applyProtection="1">
      <alignment horizontal="center" vertical="center"/>
      <protection hidden="1"/>
    </xf>
    <xf numFmtId="0" fontId="1" fillId="10" borderId="1" xfId="0" applyFont="1" applyFill="1" applyBorder="1" applyAlignment="1" applyProtection="1">
      <alignment horizontal="center" vertical="center"/>
      <protection hidden="1"/>
    </xf>
    <xf numFmtId="166" fontId="1" fillId="17" borderId="6" xfId="0" applyNumberFormat="1" applyFont="1" applyFill="1" applyBorder="1" applyAlignment="1" applyProtection="1">
      <alignment horizontal="center" vertical="center"/>
      <protection hidden="1"/>
    </xf>
    <xf numFmtId="166" fontId="1" fillId="7" borderId="6" xfId="0" applyNumberFormat="1" applyFont="1" applyFill="1" applyBorder="1" applyAlignment="1" applyProtection="1">
      <alignment horizontal="center" vertical="center"/>
      <protection hidden="1"/>
    </xf>
    <xf numFmtId="166" fontId="1" fillId="16" borderId="6" xfId="0" applyNumberFormat="1" applyFont="1" applyFill="1" applyBorder="1" applyAlignment="1" applyProtection="1">
      <alignment horizontal="center" vertical="center"/>
      <protection hidden="1"/>
    </xf>
    <xf numFmtId="166" fontId="1" fillId="9" borderId="6" xfId="0" applyNumberFormat="1" applyFont="1" applyFill="1" applyBorder="1" applyAlignment="1" applyProtection="1">
      <alignment horizontal="center" vertical="center"/>
      <protection hidden="1"/>
    </xf>
    <xf numFmtId="0" fontId="1" fillId="10" borderId="6" xfId="0" applyFont="1" applyFill="1" applyBorder="1" applyAlignment="1" applyProtection="1">
      <alignment horizontal="center" vertical="center"/>
      <protection hidden="1"/>
    </xf>
    <xf numFmtId="0" fontId="3" fillId="15" borderId="17" xfId="0" applyFont="1" applyFill="1" applyBorder="1" applyAlignment="1" applyProtection="1">
      <alignment horizontal="center" vertical="center"/>
      <protection hidden="1"/>
    </xf>
    <xf numFmtId="0" fontId="3" fillId="15" borderId="11" xfId="0" applyFont="1" applyFill="1" applyBorder="1" applyAlignment="1" applyProtection="1">
      <alignment horizontal="center" vertical="center"/>
      <protection hidden="1"/>
    </xf>
    <xf numFmtId="3" fontId="1" fillId="9" borderId="7" xfId="0" applyNumberFormat="1" applyFont="1" applyFill="1" applyBorder="1" applyAlignment="1" applyProtection="1">
      <alignment horizontal="center" vertical="center"/>
      <protection hidden="1"/>
    </xf>
    <xf numFmtId="0" fontId="1" fillId="10" borderId="18" xfId="0" applyFont="1" applyFill="1" applyBorder="1" applyAlignment="1" applyProtection="1">
      <alignment horizontal="center" vertical="center"/>
      <protection hidden="1"/>
    </xf>
    <xf numFmtId="0" fontId="1" fillId="10" borderId="8" xfId="0" applyFont="1" applyFill="1" applyBorder="1" applyAlignment="1" applyProtection="1">
      <alignment horizontal="center" vertical="center"/>
      <protection hidden="1"/>
    </xf>
    <xf numFmtId="3" fontId="1" fillId="9" borderId="1" xfId="0" applyNumberFormat="1" applyFont="1" applyFill="1" applyBorder="1" applyAlignment="1" applyProtection="1">
      <alignment horizontal="center" vertical="center"/>
      <protection hidden="1"/>
    </xf>
    <xf numFmtId="0" fontId="1" fillId="10" borderId="5" xfId="0" applyFont="1" applyFill="1" applyBorder="1" applyAlignment="1" applyProtection="1">
      <alignment horizontal="center" vertical="center"/>
      <protection hidden="1"/>
    </xf>
    <xf numFmtId="168" fontId="0" fillId="0" borderId="0" xfId="0" applyNumberFormat="1" applyProtection="1">
      <protection hidden="1"/>
    </xf>
    <xf numFmtId="0" fontId="0" fillId="0" borderId="0" xfId="0" applyAlignment="1" applyProtection="1">
      <alignment horizontal="center" vertical="center"/>
      <protection hidden="1"/>
    </xf>
    <xf numFmtId="0" fontId="2" fillId="18" borderId="1" xfId="0" applyFont="1" applyFill="1" applyBorder="1" applyAlignment="1" applyProtection="1">
      <alignment horizontal="center" vertical="center"/>
      <protection hidden="1"/>
    </xf>
    <xf numFmtId="0" fontId="2" fillId="0" borderId="1" xfId="0" applyFont="1" applyBorder="1" applyAlignment="1" applyProtection="1">
      <alignment horizontal="center" vertical="center"/>
      <protection hidden="1"/>
    </xf>
    <xf numFmtId="0" fontId="1" fillId="2" borderId="1" xfId="0" applyFont="1" applyFill="1" applyBorder="1" applyAlignment="1" applyProtection="1">
      <alignment horizontal="center" vertical="center"/>
      <protection hidden="1"/>
    </xf>
    <xf numFmtId="0" fontId="0" fillId="2" borderId="2" xfId="0" applyFill="1" applyBorder="1" applyAlignment="1" applyProtection="1">
      <alignment horizontal="center" vertical="center"/>
      <protection hidden="1"/>
    </xf>
    <xf numFmtId="0" fontId="2" fillId="4" borderId="1" xfId="0" applyFont="1" applyFill="1" applyBorder="1" applyAlignment="1" applyProtection="1">
      <alignment horizontal="center" vertical="center"/>
      <protection hidden="1"/>
    </xf>
    <xf numFmtId="165" fontId="2" fillId="4" borderId="1" xfId="0" applyNumberFormat="1" applyFont="1" applyFill="1" applyBorder="1" applyAlignment="1" applyProtection="1">
      <alignment horizontal="center" vertical="center"/>
      <protection hidden="1"/>
    </xf>
    <xf numFmtId="0" fontId="2" fillId="0" borderId="14" xfId="0" applyFont="1" applyBorder="1" applyAlignment="1" applyProtection="1">
      <alignment horizontal="center" vertical="center"/>
      <protection hidden="1"/>
    </xf>
    <xf numFmtId="0" fontId="1" fillId="0" borderId="14" xfId="0" applyFont="1" applyBorder="1" applyAlignment="1" applyProtection="1">
      <alignment horizontal="center" vertical="center"/>
      <protection hidden="1"/>
    </xf>
    <xf numFmtId="0" fontId="2" fillId="0" borderId="15" xfId="0" applyFont="1" applyBorder="1" applyAlignment="1" applyProtection="1">
      <alignment horizontal="center" vertical="center"/>
      <protection hidden="1"/>
    </xf>
    <xf numFmtId="0" fontId="1" fillId="0" borderId="15" xfId="0" applyFont="1" applyBorder="1" applyAlignment="1" applyProtection="1">
      <alignment horizontal="center" vertical="center"/>
      <protection hidden="1"/>
    </xf>
    <xf numFmtId="0" fontId="2" fillId="0" borderId="16" xfId="0" applyFont="1" applyBorder="1" applyAlignment="1" applyProtection="1">
      <alignment horizontal="center" vertical="center"/>
      <protection hidden="1"/>
    </xf>
    <xf numFmtId="0" fontId="1" fillId="0" borderId="16" xfId="0" applyFont="1" applyBorder="1" applyAlignment="1" applyProtection="1">
      <alignment horizontal="center" vertical="center"/>
      <protection hidden="1"/>
    </xf>
    <xf numFmtId="40" fontId="2" fillId="0" borderId="1" xfId="0" applyNumberFormat="1" applyFont="1" applyBorder="1" applyAlignment="1" applyProtection="1">
      <alignment horizontal="center" vertical="center"/>
      <protection hidden="1"/>
    </xf>
    <xf numFmtId="0" fontId="1" fillId="0" borderId="1" xfId="0" applyFont="1" applyBorder="1" applyAlignment="1" applyProtection="1">
      <alignment horizontal="center" vertical="center"/>
      <protection hidden="1"/>
    </xf>
    <xf numFmtId="0" fontId="21" fillId="0" borderId="1" xfId="0" applyFont="1" applyBorder="1" applyAlignment="1" applyProtection="1">
      <alignment horizontal="center" vertical="center"/>
      <protection hidden="1"/>
    </xf>
    <xf numFmtId="0" fontId="2" fillId="0" borderId="0" xfId="0" applyFont="1" applyAlignment="1" applyProtection="1">
      <alignment horizontal="center" vertical="center"/>
      <protection hidden="1"/>
    </xf>
    <xf numFmtId="10" fontId="2" fillId="0" borderId="1" xfId="2" applyNumberFormat="1" applyFont="1" applyBorder="1" applyAlignment="1" applyProtection="1">
      <alignment horizontal="center" vertical="center"/>
      <protection hidden="1"/>
    </xf>
    <xf numFmtId="0" fontId="1" fillId="3" borderId="1"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0" fontId="1" fillId="18" borderId="1" xfId="0" applyFont="1" applyFill="1" applyBorder="1" applyAlignment="1" applyProtection="1">
      <alignment horizontal="center" vertical="center" wrapText="1"/>
      <protection hidden="1"/>
    </xf>
    <xf numFmtId="0" fontId="2" fillId="18" borderId="1" xfId="0" applyFont="1" applyFill="1" applyBorder="1" applyAlignment="1" applyProtection="1">
      <alignment horizontal="center" vertical="center" wrapText="1"/>
      <protection hidden="1"/>
    </xf>
    <xf numFmtId="0" fontId="6" fillId="19" borderId="14" xfId="0" applyFont="1" applyFill="1" applyBorder="1" applyAlignment="1" applyProtection="1">
      <alignment horizontal="center" vertical="center" wrapText="1"/>
      <protection hidden="1"/>
    </xf>
    <xf numFmtId="0" fontId="0" fillId="0" borderId="0" xfId="0" applyAlignment="1" applyProtection="1">
      <alignment wrapText="1"/>
      <protection hidden="1"/>
    </xf>
    <xf numFmtId="169" fontId="0" fillId="0" borderId="1" xfId="2" applyNumberFormat="1" applyFont="1" applyBorder="1" applyAlignment="1" applyProtection="1">
      <alignment horizontal="center" vertical="center"/>
      <protection hidden="1"/>
    </xf>
    <xf numFmtId="0" fontId="1" fillId="22" borderId="1" xfId="0" applyFont="1" applyFill="1" applyBorder="1" applyAlignment="1" applyProtection="1">
      <alignment horizontal="center" vertical="center" wrapText="1"/>
      <protection hidden="1"/>
    </xf>
    <xf numFmtId="0" fontId="6" fillId="22" borderId="14" xfId="0" applyFont="1" applyFill="1" applyBorder="1" applyAlignment="1" applyProtection="1">
      <alignment horizontal="center" vertical="center" wrapText="1"/>
      <protection hidden="1"/>
    </xf>
    <xf numFmtId="0" fontId="15" fillId="2" borderId="1" xfId="0" applyFont="1" applyFill="1" applyBorder="1" applyAlignment="1" applyProtection="1">
      <alignment horizontal="center" vertical="center"/>
      <protection hidden="1"/>
    </xf>
    <xf numFmtId="0" fontId="2" fillId="0" borderId="1" xfId="0" applyFont="1" applyBorder="1" applyAlignment="1" applyProtection="1">
      <alignment horizontal="center" vertical="center" wrapText="1"/>
      <protection hidden="1"/>
    </xf>
    <xf numFmtId="0" fontId="1" fillId="23" borderId="1" xfId="0" applyFont="1" applyFill="1" applyBorder="1" applyAlignment="1" applyProtection="1">
      <alignment horizontal="center" vertical="center" wrapText="1"/>
      <protection hidden="1"/>
    </xf>
    <xf numFmtId="0" fontId="2" fillId="24" borderId="1" xfId="0" applyFont="1" applyFill="1" applyBorder="1" applyAlignment="1" applyProtection="1">
      <alignment horizontal="center" vertical="center"/>
      <protection hidden="1"/>
    </xf>
    <xf numFmtId="0" fontId="1" fillId="12" borderId="1" xfId="0" applyFont="1" applyFill="1" applyBorder="1" applyAlignment="1" applyProtection="1">
      <alignment horizontal="center" vertical="center" wrapText="1"/>
      <protection hidden="1"/>
    </xf>
    <xf numFmtId="0" fontId="2" fillId="12" borderId="1" xfId="0" applyFont="1" applyFill="1" applyBorder="1" applyAlignment="1" applyProtection="1">
      <alignment horizontal="center" vertical="center"/>
      <protection hidden="1"/>
    </xf>
    <xf numFmtId="3" fontId="16" fillId="6" borderId="5" xfId="0" applyNumberFormat="1" applyFont="1" applyFill="1" applyBorder="1" applyAlignment="1" applyProtection="1">
      <alignment horizontal="center" vertical="center"/>
      <protection hidden="1"/>
    </xf>
    <xf numFmtId="3" fontId="16" fillId="21" borderId="5" xfId="0" applyNumberFormat="1" applyFont="1" applyFill="1" applyBorder="1" applyAlignment="1" applyProtection="1">
      <alignment horizontal="center" vertical="center"/>
      <protection hidden="1"/>
    </xf>
    <xf numFmtId="3" fontId="16" fillId="6" borderId="43" xfId="0" applyNumberFormat="1" applyFont="1" applyFill="1" applyBorder="1" applyAlignment="1" applyProtection="1">
      <alignment horizontal="center" vertical="center"/>
      <protection hidden="1"/>
    </xf>
    <xf numFmtId="0" fontId="16" fillId="6" borderId="51" xfId="0" applyFont="1" applyFill="1" applyBorder="1" applyAlignment="1" applyProtection="1">
      <alignment horizontal="center" vertical="center"/>
      <protection hidden="1"/>
    </xf>
    <xf numFmtId="0" fontId="16" fillId="21" borderId="38" xfId="0" applyFont="1" applyFill="1" applyBorder="1" applyAlignment="1" applyProtection="1">
      <alignment horizontal="center" vertical="center"/>
      <protection hidden="1"/>
    </xf>
    <xf numFmtId="0" fontId="16" fillId="6" borderId="38" xfId="0" applyFont="1" applyFill="1" applyBorder="1" applyAlignment="1" applyProtection="1">
      <alignment horizontal="center" vertical="center"/>
      <protection hidden="1"/>
    </xf>
    <xf numFmtId="3" fontId="16" fillId="6" borderId="7" xfId="0" applyNumberFormat="1" applyFont="1" applyFill="1" applyBorder="1" applyAlignment="1" applyProtection="1">
      <alignment horizontal="center" vertical="center"/>
      <protection hidden="1"/>
    </xf>
    <xf numFmtId="3" fontId="7" fillId="0" borderId="4" xfId="0" applyNumberFormat="1" applyFont="1" applyBorder="1" applyAlignment="1" applyProtection="1">
      <alignment horizontal="center" vertical="center" wrapText="1"/>
      <protection locked="0"/>
    </xf>
    <xf numFmtId="0" fontId="8" fillId="0" borderId="4" xfId="0" applyFont="1" applyBorder="1" applyAlignment="1" applyProtection="1">
      <alignment horizontal="center" vertical="center"/>
      <protection locked="0"/>
    </xf>
    <xf numFmtId="0" fontId="0" fillId="0" borderId="52" xfId="0" applyBorder="1" applyProtection="1">
      <protection hidden="1"/>
    </xf>
    <xf numFmtId="3" fontId="16" fillId="0" borderId="1" xfId="0" applyNumberFormat="1" applyFont="1" applyBorder="1" applyAlignment="1" applyProtection="1">
      <alignment horizontal="center" vertical="center"/>
      <protection hidden="1"/>
    </xf>
    <xf numFmtId="169" fontId="2" fillId="0" borderId="1" xfId="2" applyNumberFormat="1" applyFont="1" applyBorder="1" applyAlignment="1" applyProtection="1">
      <alignment horizontal="center" vertical="center"/>
      <protection hidden="1"/>
    </xf>
    <xf numFmtId="43" fontId="7" fillId="6" borderId="4" xfId="3" applyFont="1" applyFill="1" applyBorder="1" applyAlignment="1" applyProtection="1">
      <alignment horizontal="center" vertical="center" wrapText="1"/>
      <protection hidden="1"/>
    </xf>
    <xf numFmtId="170" fontId="0" fillId="0" borderId="0" xfId="0" applyNumberFormat="1" applyAlignment="1" applyProtection="1">
      <alignment horizontal="center" vertical="center"/>
      <protection hidden="1"/>
    </xf>
    <xf numFmtId="3" fontId="16" fillId="25" borderId="44" xfId="0" applyNumberFormat="1" applyFont="1" applyFill="1" applyBorder="1" applyAlignment="1" applyProtection="1">
      <alignment horizontal="center" vertical="center"/>
      <protection hidden="1"/>
    </xf>
    <xf numFmtId="171" fontId="2" fillId="0" borderId="1" xfId="2" applyNumberFormat="1" applyFont="1" applyBorder="1" applyAlignment="1" applyProtection="1">
      <alignment horizontal="center" vertical="center"/>
      <protection hidden="1"/>
    </xf>
    <xf numFmtId="0" fontId="0" fillId="22" borderId="0" xfId="0" applyFill="1" applyProtection="1">
      <protection hidden="1"/>
    </xf>
    <xf numFmtId="3" fontId="10" fillId="25" borderId="42" xfId="0" applyNumberFormat="1" applyFont="1" applyFill="1" applyBorder="1" applyProtection="1">
      <protection hidden="1"/>
    </xf>
    <xf numFmtId="172" fontId="10" fillId="26" borderId="42" xfId="3" applyNumberFormat="1" applyFont="1" applyFill="1" applyBorder="1" applyProtection="1">
      <protection hidden="1"/>
    </xf>
    <xf numFmtId="43" fontId="7" fillId="6" borderId="0" xfId="3" applyFont="1" applyFill="1" applyBorder="1" applyAlignment="1" applyProtection="1">
      <alignment horizontal="center" vertical="center" wrapText="1"/>
      <protection hidden="1"/>
    </xf>
    <xf numFmtId="0" fontId="8" fillId="6" borderId="0" xfId="0" applyFont="1" applyFill="1" applyAlignment="1">
      <alignment horizontal="center" vertical="center"/>
    </xf>
    <xf numFmtId="0" fontId="15" fillId="0" borderId="14" xfId="0" applyFont="1" applyBorder="1" applyAlignment="1" applyProtection="1">
      <alignment horizontal="center" vertical="center"/>
      <protection hidden="1"/>
    </xf>
    <xf numFmtId="1" fontId="15" fillId="0" borderId="14" xfId="0" applyNumberFormat="1" applyFont="1" applyBorder="1" applyAlignment="1" applyProtection="1">
      <alignment horizontal="center" vertical="center"/>
      <protection hidden="1"/>
    </xf>
    <xf numFmtId="0" fontId="22" fillId="20" borderId="0" xfId="0" applyFont="1" applyFill="1" applyAlignment="1" applyProtection="1">
      <alignment horizontal="center" vertical="center" wrapText="1"/>
      <protection hidden="1"/>
    </xf>
    <xf numFmtId="0" fontId="0" fillId="20" borderId="0" xfId="0" applyFill="1" applyAlignment="1" applyProtection="1">
      <alignment horizontal="center" vertical="center"/>
      <protection hidden="1"/>
    </xf>
    <xf numFmtId="0" fontId="15" fillId="5" borderId="0" xfId="0" applyFont="1" applyFill="1" applyAlignment="1">
      <alignment horizontal="center" vertical="center"/>
    </xf>
    <xf numFmtId="0" fontId="15" fillId="5" borderId="0" xfId="0" applyFont="1" applyFill="1" applyAlignment="1" applyProtection="1">
      <alignment horizontal="center" vertical="center"/>
      <protection locked="0"/>
    </xf>
    <xf numFmtId="164" fontId="17" fillId="5" borderId="24" xfId="0" applyNumberFormat="1" applyFont="1" applyFill="1" applyBorder="1"/>
    <xf numFmtId="0" fontId="15" fillId="5" borderId="25" xfId="0" applyFont="1" applyFill="1" applyBorder="1" applyAlignment="1">
      <alignment horizontal="center" vertical="center"/>
    </xf>
    <xf numFmtId="0" fontId="17" fillId="5" borderId="26" xfId="0" applyFont="1" applyFill="1" applyBorder="1"/>
    <xf numFmtId="10" fontId="7" fillId="6" borderId="4" xfId="0" applyNumberFormat="1" applyFont="1" applyFill="1" applyBorder="1" applyAlignment="1" applyProtection="1">
      <alignment horizontal="center" vertical="center" wrapText="1"/>
      <protection hidden="1"/>
    </xf>
    <xf numFmtId="0" fontId="0" fillId="0" borderId="56" xfId="0" applyBorder="1"/>
    <xf numFmtId="0" fontId="17" fillId="0" borderId="0" xfId="0" applyFont="1"/>
    <xf numFmtId="9" fontId="1" fillId="0" borderId="0" xfId="0" applyNumberFormat="1" applyFont="1" applyAlignment="1">
      <alignment horizontal="center" vertical="center" wrapText="1"/>
    </xf>
    <xf numFmtId="0" fontId="15" fillId="0" borderId="0" xfId="0" applyFont="1" applyAlignment="1">
      <alignment horizontal="center" vertical="center" wrapText="1"/>
    </xf>
    <xf numFmtId="0" fontId="1" fillId="0" borderId="0" xfId="0" applyFont="1" applyAlignment="1">
      <alignment horizontal="center" vertical="center"/>
    </xf>
    <xf numFmtId="2" fontId="7" fillId="6" borderId="13" xfId="0" applyNumberFormat="1" applyFont="1" applyFill="1" applyBorder="1" applyAlignment="1" applyProtection="1">
      <alignment horizontal="center" vertical="center"/>
      <protection locked="0" hidden="1"/>
    </xf>
    <xf numFmtId="0" fontId="8" fillId="6" borderId="4" xfId="0" applyFont="1" applyFill="1" applyBorder="1" applyAlignment="1" applyProtection="1">
      <alignment horizontal="center" vertical="center"/>
      <protection hidden="1"/>
    </xf>
    <xf numFmtId="0" fontId="1" fillId="0" borderId="0" xfId="0" applyFont="1"/>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0" fillId="0" borderId="0" xfId="0" applyAlignment="1">
      <alignment horizontal="center" vertical="center"/>
    </xf>
    <xf numFmtId="0" fontId="1" fillId="18" borderId="1" xfId="0" applyFont="1" applyFill="1" applyBorder="1" applyAlignment="1">
      <alignment horizontal="center" vertical="center"/>
    </xf>
    <xf numFmtId="0" fontId="2" fillId="18" borderId="1" xfId="0" applyFont="1" applyFill="1" applyBorder="1" applyAlignment="1">
      <alignment horizontal="center" vertical="center"/>
    </xf>
    <xf numFmtId="0" fontId="1" fillId="18" borderId="57" xfId="0" applyFont="1" applyFill="1" applyBorder="1" applyAlignment="1">
      <alignment horizontal="center" vertical="center"/>
    </xf>
    <xf numFmtId="0" fontId="6" fillId="19" borderId="14" xfId="0" applyFont="1" applyFill="1" applyBorder="1" applyAlignment="1">
      <alignment horizontal="center" vertical="center"/>
    </xf>
    <xf numFmtId="0" fontId="6" fillId="19" borderId="58" xfId="0" applyFont="1" applyFill="1" applyBorder="1" applyAlignment="1">
      <alignment horizontal="center" vertical="center"/>
    </xf>
    <xf numFmtId="0" fontId="6" fillId="0" borderId="0" xfId="0" applyFont="1" applyAlignment="1">
      <alignment horizontal="center" vertical="center"/>
    </xf>
    <xf numFmtId="0" fontId="6" fillId="0" borderId="0" xfId="0" applyFont="1" applyAlignment="1" applyProtection="1">
      <alignment horizontal="center" vertical="center" wrapText="1"/>
      <protection hidden="1"/>
    </xf>
    <xf numFmtId="0" fontId="2" fillId="0" borderId="1" xfId="0" applyFont="1" applyBorder="1" applyAlignment="1">
      <alignment horizontal="center" vertical="center"/>
    </xf>
    <xf numFmtId="0" fontId="1" fillId="2" borderId="1" xfId="0" applyFont="1" applyFill="1" applyBorder="1" applyAlignment="1">
      <alignment horizontal="center" vertical="center"/>
    </xf>
    <xf numFmtId="10" fontId="2" fillId="0" borderId="2" xfId="2" applyNumberFormat="1" applyFont="1" applyBorder="1" applyAlignment="1">
      <alignment horizontal="center" vertical="center"/>
    </xf>
    <xf numFmtId="0" fontId="0" fillId="2" borderId="2" xfId="0" applyFill="1" applyBorder="1" applyAlignment="1">
      <alignment horizontal="center" vertical="center"/>
    </xf>
    <xf numFmtId="0" fontId="2" fillId="4" borderId="1" xfId="0" applyFont="1" applyFill="1" applyBorder="1" applyAlignment="1">
      <alignment horizontal="center" vertical="center"/>
    </xf>
    <xf numFmtId="165" fontId="2" fillId="4" borderId="1" xfId="0" applyNumberFormat="1" applyFont="1" applyFill="1" applyBorder="1" applyAlignment="1">
      <alignment horizontal="center" vertical="center"/>
    </xf>
    <xf numFmtId="0" fontId="2" fillId="0" borderId="14" xfId="0" applyFont="1" applyBorder="1" applyAlignment="1">
      <alignment horizontal="center" vertical="center"/>
    </xf>
    <xf numFmtId="0" fontId="1" fillId="0" borderId="58" xfId="0" applyFont="1" applyBorder="1" applyAlignment="1">
      <alignment horizontal="center" vertical="center"/>
    </xf>
    <xf numFmtId="0" fontId="2" fillId="0" borderId="0" xfId="0" applyFont="1" applyAlignment="1">
      <alignment horizontal="center" vertical="center"/>
    </xf>
    <xf numFmtId="0" fontId="15" fillId="0" borderId="0" xfId="0" applyFont="1" applyAlignment="1" applyProtection="1">
      <alignment horizontal="center" vertical="center"/>
      <protection hidden="1"/>
    </xf>
    <xf numFmtId="10" fontId="2" fillId="0" borderId="0" xfId="2" applyNumberFormat="1" applyFont="1" applyBorder="1" applyAlignment="1">
      <alignment horizontal="center" vertical="center"/>
    </xf>
    <xf numFmtId="0" fontId="2" fillId="0" borderId="15" xfId="0" applyFont="1" applyBorder="1" applyAlignment="1">
      <alignment horizontal="center" vertical="center"/>
    </xf>
    <xf numFmtId="0" fontId="1" fillId="0" borderId="59" xfId="0" applyFont="1" applyBorder="1" applyAlignment="1">
      <alignment horizontal="center" vertical="center"/>
    </xf>
    <xf numFmtId="0" fontId="2" fillId="0" borderId="16" xfId="0" applyFont="1" applyBorder="1" applyAlignment="1">
      <alignment horizontal="center" vertical="center"/>
    </xf>
    <xf numFmtId="0" fontId="1" fillId="0" borderId="60" xfId="0" applyFont="1" applyBorder="1" applyAlignment="1">
      <alignment horizontal="center" vertical="center"/>
    </xf>
    <xf numFmtId="0" fontId="0" fillId="0" borderId="0" xfId="0" applyAlignment="1">
      <alignment horizontal="center"/>
    </xf>
    <xf numFmtId="40" fontId="2" fillId="0" borderId="1" xfId="0" applyNumberFormat="1" applyFont="1" applyBorder="1" applyAlignment="1">
      <alignment horizontal="center" vertical="center"/>
    </xf>
    <xf numFmtId="0" fontId="1" fillId="0" borderId="2" xfId="0" applyFont="1" applyBorder="1" applyAlignment="1">
      <alignment horizontal="center" vertical="center"/>
    </xf>
    <xf numFmtId="0" fontId="1" fillId="0" borderId="14" xfId="0" applyFont="1" applyBorder="1" applyAlignment="1">
      <alignment horizontal="center" vertical="center"/>
    </xf>
    <xf numFmtId="0" fontId="0" fillId="0" borderId="1" xfId="0" applyBorder="1" applyAlignment="1">
      <alignment horizontal="center" vertical="center"/>
    </xf>
    <xf numFmtId="0" fontId="23" fillId="0" borderId="0" xfId="0" applyFont="1" applyAlignment="1">
      <alignment horizontal="center"/>
    </xf>
    <xf numFmtId="0" fontId="10" fillId="20" borderId="53" xfId="0" applyFont="1" applyFill="1" applyBorder="1" applyAlignment="1" applyProtection="1">
      <alignment horizontal="center" vertical="center" wrapText="1"/>
      <protection hidden="1"/>
    </xf>
    <xf numFmtId="0" fontId="15" fillId="0" borderId="0" xfId="0" applyFont="1" applyAlignment="1" applyProtection="1">
      <alignment wrapText="1"/>
      <protection hidden="1"/>
    </xf>
    <xf numFmtId="3" fontId="16" fillId="6" borderId="62" xfId="0" applyNumberFormat="1" applyFont="1" applyFill="1" applyBorder="1" applyAlignment="1" applyProtection="1">
      <alignment horizontal="center" vertical="center"/>
      <protection hidden="1"/>
    </xf>
    <xf numFmtId="173" fontId="16" fillId="6" borderId="44" xfId="0" applyNumberFormat="1" applyFont="1" applyFill="1" applyBorder="1" applyAlignment="1" applyProtection="1">
      <alignment horizontal="center" vertical="center"/>
      <protection hidden="1"/>
    </xf>
    <xf numFmtId="166" fontId="16" fillId="6" borderId="44" xfId="0" applyNumberFormat="1" applyFont="1" applyFill="1" applyBorder="1" applyAlignment="1" applyProtection="1">
      <alignment horizontal="center" vertical="center"/>
      <protection hidden="1"/>
    </xf>
    <xf numFmtId="0" fontId="16" fillId="0" borderId="0" xfId="0" applyFont="1" applyProtection="1">
      <protection hidden="1"/>
    </xf>
    <xf numFmtId="3" fontId="16" fillId="21" borderId="63" xfId="0" applyNumberFormat="1" applyFont="1" applyFill="1" applyBorder="1" applyAlignment="1" applyProtection="1">
      <alignment horizontal="center" vertical="center"/>
      <protection hidden="1"/>
    </xf>
    <xf numFmtId="173" fontId="16" fillId="21" borderId="1" xfId="0" applyNumberFormat="1" applyFont="1" applyFill="1" applyBorder="1" applyAlignment="1" applyProtection="1">
      <alignment horizontal="center" vertical="center"/>
      <protection hidden="1"/>
    </xf>
    <xf numFmtId="166" fontId="16" fillId="21" borderId="1" xfId="0" applyNumberFormat="1" applyFont="1" applyFill="1" applyBorder="1" applyAlignment="1" applyProtection="1">
      <alignment horizontal="center" vertical="center"/>
      <protection hidden="1"/>
    </xf>
    <xf numFmtId="3" fontId="16" fillId="6" borderId="63" xfId="0" applyNumberFormat="1" applyFont="1" applyFill="1" applyBorder="1" applyAlignment="1" applyProtection="1">
      <alignment horizontal="center" vertical="center"/>
      <protection hidden="1"/>
    </xf>
    <xf numFmtId="173" fontId="16" fillId="6" borderId="1" xfId="0" applyNumberFormat="1" applyFont="1" applyFill="1" applyBorder="1" applyAlignment="1" applyProtection="1">
      <alignment horizontal="center" vertical="center"/>
      <protection hidden="1"/>
    </xf>
    <xf numFmtId="166" fontId="16" fillId="6" borderId="1" xfId="0" applyNumberFormat="1" applyFont="1" applyFill="1" applyBorder="1" applyAlignment="1" applyProtection="1">
      <alignment horizontal="center" vertical="center"/>
      <protection hidden="1"/>
    </xf>
    <xf numFmtId="3" fontId="16" fillId="21" borderId="64" xfId="0" applyNumberFormat="1" applyFont="1" applyFill="1" applyBorder="1" applyAlignment="1" applyProtection="1">
      <alignment horizontal="center" vertical="center"/>
      <protection hidden="1"/>
    </xf>
    <xf numFmtId="3" fontId="16" fillId="21" borderId="6" xfId="0" applyNumberFormat="1" applyFont="1" applyFill="1" applyBorder="1" applyAlignment="1" applyProtection="1">
      <alignment horizontal="center" vertical="center"/>
      <protection hidden="1"/>
    </xf>
    <xf numFmtId="173" fontId="16" fillId="21" borderId="6" xfId="0" applyNumberFormat="1" applyFont="1" applyFill="1" applyBorder="1" applyAlignment="1" applyProtection="1">
      <alignment horizontal="center" vertical="center"/>
      <protection hidden="1"/>
    </xf>
    <xf numFmtId="166" fontId="16" fillId="21" borderId="6" xfId="0" applyNumberFormat="1" applyFont="1" applyFill="1" applyBorder="1" applyAlignment="1" applyProtection="1">
      <alignment horizontal="center" vertical="center"/>
      <protection hidden="1"/>
    </xf>
    <xf numFmtId="3" fontId="16" fillId="21" borderId="61" xfId="0" applyNumberFormat="1" applyFont="1" applyFill="1" applyBorder="1" applyAlignment="1" applyProtection="1">
      <alignment horizontal="center" vertical="center"/>
      <protection hidden="1"/>
    </xf>
    <xf numFmtId="0" fontId="17" fillId="5" borderId="0" xfId="0" applyFont="1" applyFill="1" applyProtection="1">
      <protection locked="0"/>
    </xf>
    <xf numFmtId="0" fontId="1" fillId="5" borderId="0" xfId="0" applyFont="1" applyFill="1" applyProtection="1">
      <protection locked="0"/>
    </xf>
    <xf numFmtId="164" fontId="17" fillId="5" borderId="0" xfId="0" applyNumberFormat="1" applyFont="1" applyFill="1"/>
    <xf numFmtId="0" fontId="17" fillId="5" borderId="0" xfId="0" applyFont="1" applyFill="1"/>
    <xf numFmtId="0" fontId="15" fillId="0" borderId="4" xfId="0" applyFont="1" applyBorder="1" applyAlignment="1">
      <alignment horizontal="center" vertical="center"/>
    </xf>
    <xf numFmtId="0" fontId="4" fillId="6" borderId="13" xfId="0" applyFont="1" applyFill="1" applyBorder="1" applyAlignment="1">
      <alignment horizontal="center" vertical="center"/>
    </xf>
    <xf numFmtId="1" fontId="0" fillId="0" borderId="0" xfId="0" applyNumberFormat="1"/>
    <xf numFmtId="0" fontId="26" fillId="5" borderId="0" xfId="0" applyFont="1" applyFill="1" applyProtection="1">
      <protection locked="0"/>
    </xf>
    <xf numFmtId="0" fontId="0" fillId="0" borderId="0" xfId="0" applyProtection="1">
      <protection locked="0" hidden="1"/>
    </xf>
    <xf numFmtId="0" fontId="15" fillId="0" borderId="0" xfId="0" applyFont="1" applyProtection="1">
      <protection locked="0" hidden="1"/>
    </xf>
    <xf numFmtId="0" fontId="15" fillId="0" borderId="0" xfId="0" applyFont="1" applyAlignment="1" applyProtection="1">
      <alignment wrapText="1"/>
      <protection locked="0" hidden="1"/>
    </xf>
    <xf numFmtId="0" fontId="16" fillId="0" borderId="0" xfId="0" applyFont="1" applyProtection="1">
      <protection locked="0" hidden="1"/>
    </xf>
    <xf numFmtId="0" fontId="16" fillId="16" borderId="0" xfId="0" applyFont="1" applyFill="1" applyAlignment="1" applyProtection="1">
      <alignment horizontal="right" vertical="center" readingOrder="2"/>
      <protection hidden="1"/>
    </xf>
    <xf numFmtId="0" fontId="15" fillId="27" borderId="53" xfId="0" applyFont="1" applyFill="1" applyBorder="1" applyAlignment="1">
      <alignment horizontal="right" vertical="center" wrapText="1" readingOrder="2"/>
    </xf>
    <xf numFmtId="0" fontId="15" fillId="27" borderId="54" xfId="0" applyFont="1" applyFill="1" applyBorder="1" applyAlignment="1">
      <alignment horizontal="right" vertical="center" wrapText="1" readingOrder="2"/>
    </xf>
    <xf numFmtId="0" fontId="15" fillId="27" borderId="55" xfId="0" applyFont="1" applyFill="1" applyBorder="1" applyAlignment="1">
      <alignment horizontal="right" vertical="center" wrapText="1" readingOrder="2"/>
    </xf>
    <xf numFmtId="0" fontId="11" fillId="0" borderId="45" xfId="0" applyFont="1" applyBorder="1" applyAlignment="1">
      <alignment horizontal="center" vertical="center" wrapText="1" readingOrder="2"/>
    </xf>
    <xf numFmtId="0" fontId="11" fillId="0" borderId="46" xfId="0" applyFont="1" applyBorder="1" applyAlignment="1">
      <alignment horizontal="center" vertical="center" wrapText="1" readingOrder="2"/>
    </xf>
    <xf numFmtId="0" fontId="11" fillId="0" borderId="47" xfId="0" applyFont="1" applyBorder="1" applyAlignment="1">
      <alignment horizontal="center" vertical="center" wrapText="1" readingOrder="2"/>
    </xf>
    <xf numFmtId="0" fontId="11" fillId="0" borderId="48" xfId="0" applyFont="1" applyBorder="1" applyAlignment="1">
      <alignment horizontal="center" vertical="center" wrapText="1" readingOrder="2"/>
    </xf>
    <xf numFmtId="0" fontId="12" fillId="0" borderId="49" xfId="0" applyFont="1" applyBorder="1" applyAlignment="1">
      <alignment horizontal="center" vertical="center" wrapText="1"/>
    </xf>
    <xf numFmtId="0" fontId="12" fillId="0" borderId="31" xfId="0" applyFont="1" applyBorder="1" applyAlignment="1">
      <alignment horizontal="center" vertical="center"/>
    </xf>
    <xf numFmtId="0" fontId="12" fillId="0" borderId="32" xfId="0" applyFont="1" applyBorder="1" applyAlignment="1">
      <alignment horizontal="center" vertical="center"/>
    </xf>
    <xf numFmtId="0" fontId="12" fillId="0" borderId="50" xfId="0" applyFont="1" applyBorder="1" applyAlignment="1">
      <alignment horizontal="center" vertical="center"/>
    </xf>
    <xf numFmtId="0" fontId="12" fillId="0" borderId="35" xfId="0" applyFont="1" applyBorder="1" applyAlignment="1">
      <alignment horizontal="center" vertical="center"/>
    </xf>
    <xf numFmtId="0" fontId="12" fillId="0" borderId="36" xfId="0" applyFont="1" applyBorder="1" applyAlignment="1">
      <alignment horizontal="center" vertical="center"/>
    </xf>
    <xf numFmtId="0" fontId="15" fillId="0" borderId="30" xfId="0" applyFont="1" applyBorder="1" applyAlignment="1">
      <alignment horizontal="center" vertical="center"/>
    </xf>
    <xf numFmtId="0" fontId="15" fillId="0" borderId="32" xfId="0" applyFont="1" applyBorder="1" applyAlignment="1">
      <alignment horizontal="center" vertical="center"/>
    </xf>
    <xf numFmtId="0" fontId="15" fillId="0" borderId="34" xfId="0" applyFont="1" applyBorder="1" applyAlignment="1">
      <alignment horizontal="center" vertical="center"/>
    </xf>
    <xf numFmtId="0" fontId="15" fillId="0" borderId="36" xfId="0" applyFont="1" applyBorder="1" applyAlignment="1">
      <alignment horizontal="center" vertical="center"/>
    </xf>
    <xf numFmtId="0" fontId="16" fillId="16" borderId="30" xfId="0" applyFont="1" applyFill="1" applyBorder="1" applyAlignment="1" applyProtection="1">
      <alignment horizontal="right" vertical="center" wrapText="1" readingOrder="2"/>
      <protection hidden="1"/>
    </xf>
    <xf numFmtId="0" fontId="16" fillId="16" borderId="31" xfId="0" applyFont="1" applyFill="1" applyBorder="1" applyAlignment="1" applyProtection="1">
      <alignment horizontal="right" vertical="center" readingOrder="2"/>
      <protection hidden="1"/>
    </xf>
    <xf numFmtId="0" fontId="16" fillId="16" borderId="32" xfId="0" applyFont="1" applyFill="1" applyBorder="1" applyAlignment="1" applyProtection="1">
      <alignment horizontal="right" vertical="center" readingOrder="2"/>
      <protection hidden="1"/>
    </xf>
    <xf numFmtId="0" fontId="16" fillId="16" borderId="39" xfId="0" applyFont="1" applyFill="1" applyBorder="1" applyAlignment="1" applyProtection="1">
      <alignment horizontal="right" vertical="center" readingOrder="2"/>
      <protection hidden="1"/>
    </xf>
    <xf numFmtId="0" fontId="16" fillId="16" borderId="0" xfId="0" applyFont="1" applyFill="1" applyAlignment="1" applyProtection="1">
      <alignment horizontal="right" vertical="center" readingOrder="2"/>
      <protection hidden="1"/>
    </xf>
    <xf numFmtId="0" fontId="16" fillId="16" borderId="40" xfId="0" applyFont="1" applyFill="1" applyBorder="1" applyAlignment="1" applyProtection="1">
      <alignment horizontal="right" vertical="center" readingOrder="2"/>
      <protection hidden="1"/>
    </xf>
    <xf numFmtId="0" fontId="16" fillId="16" borderId="34" xfId="0" applyFont="1" applyFill="1" applyBorder="1" applyAlignment="1" applyProtection="1">
      <alignment horizontal="right" vertical="center" readingOrder="2"/>
      <protection hidden="1"/>
    </xf>
    <xf numFmtId="0" fontId="16" fillId="16" borderId="35" xfId="0" applyFont="1" applyFill="1" applyBorder="1" applyAlignment="1" applyProtection="1">
      <alignment horizontal="right" vertical="center" readingOrder="2"/>
      <protection hidden="1"/>
    </xf>
    <xf numFmtId="0" fontId="16" fillId="16" borderId="36" xfId="0" applyFont="1" applyFill="1" applyBorder="1" applyAlignment="1" applyProtection="1">
      <alignment horizontal="right" vertical="center" readingOrder="2"/>
      <protection hidden="1"/>
    </xf>
    <xf numFmtId="0" fontId="24" fillId="0" borderId="45" xfId="0" applyFont="1" applyBorder="1" applyAlignment="1">
      <alignment horizontal="center" wrapText="1"/>
    </xf>
    <xf numFmtId="0" fontId="24" fillId="0" borderId="46" xfId="0" applyFont="1" applyBorder="1" applyAlignment="1">
      <alignment horizontal="center" wrapText="1"/>
    </xf>
    <xf numFmtId="0" fontId="24" fillId="0" borderId="65" xfId="0" applyFont="1" applyBorder="1" applyAlignment="1">
      <alignment horizontal="center" wrapText="1"/>
    </xf>
    <xf numFmtId="0" fontId="24" fillId="0" borderId="66" xfId="0" applyFont="1" applyBorder="1" applyAlignment="1">
      <alignment horizontal="center" wrapText="1"/>
    </xf>
    <xf numFmtId="0" fontId="24" fillId="0" borderId="47" xfId="0" applyFont="1" applyBorder="1" applyAlignment="1">
      <alignment horizontal="center" wrapText="1"/>
    </xf>
    <xf numFmtId="0" fontId="24" fillId="0" borderId="48" xfId="0" applyFont="1" applyBorder="1" applyAlignment="1">
      <alignment horizontal="center" wrapText="1"/>
    </xf>
    <xf numFmtId="0" fontId="25" fillId="8" borderId="0" xfId="0" applyFont="1" applyFill="1" applyAlignment="1">
      <alignment horizontal="center" vertical="center"/>
    </xf>
    <xf numFmtId="0" fontId="12" fillId="0" borderId="0" xfId="1" applyFont="1" applyAlignment="1">
      <alignment horizontal="right" vertical="center" readingOrder="2"/>
    </xf>
    <xf numFmtId="0" fontId="12" fillId="6" borderId="30" xfId="1" applyFont="1" applyFill="1" applyBorder="1" applyAlignment="1">
      <alignment horizontal="center" vertical="center"/>
    </xf>
    <xf numFmtId="0" fontId="12" fillId="6" borderId="31" xfId="1" applyFont="1" applyFill="1" applyBorder="1" applyAlignment="1">
      <alignment horizontal="center" vertical="center"/>
    </xf>
    <xf numFmtId="0" fontId="12" fillId="6" borderId="32" xfId="1" applyFont="1" applyFill="1" applyBorder="1" applyAlignment="1">
      <alignment horizontal="center" vertical="center"/>
    </xf>
    <xf numFmtId="0" fontId="13" fillId="6" borderId="34" xfId="1" applyFont="1" applyFill="1" applyBorder="1" applyAlignment="1">
      <alignment horizontal="center" vertical="center"/>
    </xf>
    <xf numFmtId="0" fontId="9" fillId="6" borderId="35" xfId="1" applyFill="1" applyBorder="1" applyAlignment="1">
      <alignment horizontal="center" vertical="center"/>
    </xf>
    <xf numFmtId="0" fontId="9" fillId="6" borderId="36" xfId="1" applyFill="1" applyBorder="1" applyAlignment="1">
      <alignment horizontal="center" vertical="center"/>
    </xf>
    <xf numFmtId="0" fontId="14" fillId="22" borderId="2" xfId="1" applyFont="1" applyFill="1" applyBorder="1" applyAlignment="1">
      <alignment horizontal="center" vertical="center" readingOrder="2"/>
    </xf>
    <xf numFmtId="0" fontId="14" fillId="22" borderId="37" xfId="1" applyFont="1" applyFill="1" applyBorder="1" applyAlignment="1">
      <alignment horizontal="center" vertical="center" readingOrder="2"/>
    </xf>
    <xf numFmtId="0" fontId="14" fillId="22" borderId="38" xfId="1" applyFont="1" applyFill="1" applyBorder="1" applyAlignment="1">
      <alignment horizontal="center" vertical="center" readingOrder="2"/>
    </xf>
    <xf numFmtId="0" fontId="10" fillId="20" borderId="41" xfId="0" applyFont="1" applyFill="1" applyBorder="1" applyAlignment="1" applyProtection="1">
      <alignment horizontal="center"/>
      <protection hidden="1"/>
    </xf>
    <xf numFmtId="0" fontId="2" fillId="0" borderId="1" xfId="0" applyFont="1" applyBorder="1" applyAlignment="1" applyProtection="1">
      <alignment horizontal="center" vertical="center"/>
      <protection hidden="1"/>
    </xf>
    <xf numFmtId="169" fontId="2" fillId="0" borderId="1" xfId="2" applyNumberFormat="1" applyFont="1" applyBorder="1" applyAlignment="1" applyProtection="1">
      <alignment horizontal="center" vertical="center"/>
      <protection hidden="1"/>
    </xf>
  </cellXfs>
  <cellStyles count="4">
    <cellStyle name="Comma" xfId="3" builtinId="3"/>
    <cellStyle name="Normal" xfId="0" builtinId="0"/>
    <cellStyle name="Normal 2" xfId="1" xr:uid="{00000000-0005-0000-0000-000002000000}"/>
    <cellStyle name="Percent" xfId="2" builtinId="5"/>
  </cellStyles>
  <dxfs count="7">
    <dxf>
      <fill>
        <patternFill>
          <bgColor rgb="FFFF0000"/>
        </patternFill>
      </fill>
    </dxf>
    <dxf>
      <font>
        <b val="0"/>
        <i val="0"/>
        <strike val="0"/>
        <condense val="0"/>
        <extend val="0"/>
        <outline val="0"/>
        <shadow val="0"/>
        <u val="none"/>
        <vertAlign val="baseline"/>
        <sz val="12"/>
        <color rgb="FF000000"/>
        <name val="Times New Roman"/>
        <scheme val="none"/>
      </font>
      <alignment horizontal="center" vertical="bottom" textRotation="0" wrapText="0" indent="0" justifyLastLine="0" shrinkToFit="0" readingOrder="0"/>
    </dxf>
    <dxf>
      <alignment horizontal="center" textRotation="0" wrapText="0" indent="0" justifyLastLine="0" shrinkToFit="0"/>
    </dxf>
    <dxf>
      <alignment horizontal="center" textRotation="0" wrapText="0" indent="0" justifyLastLine="0" shrinkToFit="0"/>
    </dxf>
    <dxf>
      <alignment horizontal="center" textRotation="0" wrapText="0" indent="0" justifyLastLine="0" shrinkToFit="0"/>
    </dxf>
    <dxf>
      <alignment horizontal="center" textRotation="0" wrapText="0" indent="0" justifyLastLine="0" shrinkToFit="0"/>
    </dxf>
    <dxf>
      <font>
        <b/>
        <i val="0"/>
        <strike val="0"/>
        <condense val="0"/>
        <extend val="0"/>
        <outline val="0"/>
        <shadow val="0"/>
        <u val="none"/>
        <vertAlign val="baseline"/>
        <sz val="11"/>
        <color theme="1"/>
        <name val="Calibri"/>
        <scheme val="minor"/>
      </font>
      <alignment horizontal="center" textRotation="0" wrapText="0" indent="0" justifyLastLine="0" shrinkToFit="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tiff"/></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403560</xdr:colOff>
      <xdr:row>52</xdr:row>
      <xdr:rowOff>152400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80577240" y="0"/>
          <a:ext cx="7109160" cy="10058400"/>
        </a:xfrm>
        <a:prstGeom prst="rect">
          <a:avLst/>
        </a:prstGeom>
      </xdr:spPr>
    </xdr:pic>
    <xdr:clientData/>
  </xdr:twoCellAnchor>
  <xdr:twoCellAnchor editAs="oneCell">
    <xdr:from>
      <xdr:col>4</xdr:col>
      <xdr:colOff>247650</xdr:colOff>
      <xdr:row>50</xdr:row>
      <xdr:rowOff>79106</xdr:rowOff>
    </xdr:from>
    <xdr:to>
      <xdr:col>5</xdr:col>
      <xdr:colOff>295957</xdr:colOff>
      <xdr:row>52</xdr:row>
      <xdr:rowOff>28918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84342443" y="9604106"/>
          <a:ext cx="657907" cy="330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190499</xdr:colOff>
      <xdr:row>1</xdr:row>
      <xdr:rowOff>85723</xdr:rowOff>
    </xdr:from>
    <xdr:to>
      <xdr:col>7</xdr:col>
      <xdr:colOff>876300</xdr:colOff>
      <xdr:row>2</xdr:row>
      <xdr:rowOff>114300</xdr:rowOff>
    </xdr:to>
    <xdr:pic>
      <xdr:nvPicPr>
        <xdr:cNvPr id="2" name="Picture 1" descr="Description: LOGO2016">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91399" y="285748"/>
          <a:ext cx="685801" cy="295277"/>
        </a:xfrm>
        <a:prstGeom prst="rect">
          <a:avLst/>
        </a:prstGeom>
        <a:noFill/>
        <a:ln>
          <a:noFill/>
        </a:ln>
      </xdr:spPr>
    </xdr:pic>
    <xdr:clientData/>
  </xdr:twoCellAnchor>
  <xdr:twoCellAnchor editAs="oneCell">
    <xdr:from>
      <xdr:col>0</xdr:col>
      <xdr:colOff>-4482</xdr:colOff>
      <xdr:row>0</xdr:row>
      <xdr:rowOff>560</xdr:rowOff>
    </xdr:from>
    <xdr:to>
      <xdr:col>7</xdr:col>
      <xdr:colOff>482071</xdr:colOff>
      <xdr:row>19</xdr:row>
      <xdr:rowOff>169769</xdr:rowOff>
    </xdr:to>
    <xdr:pic>
      <xdr:nvPicPr>
        <xdr:cNvPr id="3" name="Picture 2">
          <a:extLst>
            <a:ext uri="{FF2B5EF4-FFF2-40B4-BE49-F238E27FC236}">
              <a16:creationId xmlns:a16="http://schemas.microsoft.com/office/drawing/2014/main" id="{00000000-0008-0000-0100-000003000000}"/>
            </a:ext>
            <a:ext uri="{147F2762-F138-4A5C-976F-8EAC2B608ADB}">
              <a16:predDERef xmlns:a16="http://schemas.microsoft.com/office/drawing/2014/main" pred="{00000000-0008-0000-01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82" y="560"/>
          <a:ext cx="7687453" cy="3960159"/>
        </a:xfrm>
        <a:prstGeom prst="rect">
          <a:avLst/>
        </a:prstGeom>
      </xdr:spPr>
    </xdr:pic>
    <xdr:clientData/>
  </xdr:twoCellAnchor>
  <xdr:twoCellAnchor editAs="oneCell">
    <xdr:from>
      <xdr:col>1</xdr:col>
      <xdr:colOff>23967</xdr:colOff>
      <xdr:row>30</xdr:row>
      <xdr:rowOff>44823</xdr:rowOff>
    </xdr:from>
    <xdr:to>
      <xdr:col>8</xdr:col>
      <xdr:colOff>27030</xdr:colOff>
      <xdr:row>58</xdr:row>
      <xdr:rowOff>92448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4517" y="6674223"/>
          <a:ext cx="7661163" cy="5381625"/>
        </a:xfrm>
        <a:prstGeom prst="rect">
          <a:avLst/>
        </a:prstGeom>
      </xdr:spPr>
    </xdr:pic>
    <xdr:clientData/>
  </xdr:twoCellAnchor>
  <xdr:twoCellAnchor editAs="oneCell">
    <xdr:from>
      <xdr:col>0</xdr:col>
      <xdr:colOff>369795</xdr:colOff>
      <xdr:row>61</xdr:row>
      <xdr:rowOff>11206</xdr:rowOff>
    </xdr:from>
    <xdr:to>
      <xdr:col>7</xdr:col>
      <xdr:colOff>1021556</xdr:colOff>
      <xdr:row>95</xdr:row>
      <xdr:rowOff>10397</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9795" y="12736606"/>
          <a:ext cx="7852661" cy="6476191"/>
        </a:xfrm>
        <a:prstGeom prst="rect">
          <a:avLst/>
        </a:prstGeom>
      </xdr:spPr>
    </xdr:pic>
    <xdr:clientData/>
  </xdr:twoCellAnchor>
  <xdr:twoCellAnchor editAs="oneCell">
    <xdr:from>
      <xdr:col>0</xdr:col>
      <xdr:colOff>291353</xdr:colOff>
      <xdr:row>97</xdr:row>
      <xdr:rowOff>22412</xdr:rowOff>
    </xdr:from>
    <xdr:to>
      <xdr:col>7</xdr:col>
      <xdr:colOff>1009780</xdr:colOff>
      <xdr:row>130</xdr:row>
      <xdr:rowOff>116865</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91353" y="19910612"/>
          <a:ext cx="7919327" cy="63809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705349</xdr:colOff>
      <xdr:row>1</xdr:row>
      <xdr:rowOff>0</xdr:rowOff>
    </xdr:from>
    <xdr:to>
      <xdr:col>9</xdr:col>
      <xdr:colOff>1504951</xdr:colOff>
      <xdr:row>2</xdr:row>
      <xdr:rowOff>186577</xdr:rowOff>
    </xdr:to>
    <xdr:pic>
      <xdr:nvPicPr>
        <xdr:cNvPr id="4" name="Picture 3" descr="Description: LOGO2016">
          <a:extLst>
            <a:ext uri="{FF2B5EF4-FFF2-40B4-BE49-F238E27FC236}">
              <a16:creationId xmlns:a16="http://schemas.microsoft.com/office/drawing/2014/main" id="{A633B40E-E279-4DD0-967A-2C842B594A7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30549" y="200025"/>
          <a:ext cx="799602" cy="377077"/>
        </a:xfrm>
        <a:prstGeom prst="rect">
          <a:avLst/>
        </a:prstGeom>
        <a:noFill/>
        <a:ln>
          <a:noFill/>
        </a:ln>
      </xdr:spPr>
    </xdr:pic>
    <xdr:clientData/>
  </xdr:twoCellAnchor>
</xdr:wsDr>
</file>

<file path=xl/persons/person.xml><?xml version="1.0" encoding="utf-8"?>
<personList xmlns="http://schemas.microsoft.com/office/spreadsheetml/2018/threadedcomments" xmlns:x="http://schemas.openxmlformats.org/spreadsheetml/2006/main">
  <person displayName="Marzieh Nouri" id="{2AA5FB47-8A11-3D4F-862A-F562C17BB08A}" userId="2edec8fd0cc4544c"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38C073-4655-4646-B0CF-8AB9CF277A62}" name="Table57" displayName="Table57" ref="A17:D25" totalsRowShown="0" headerRowDxfId="6" dataDxfId="5">
  <autoFilter ref="A17:D25" xr:uid="{00000000-0009-0000-0100-000004000000}"/>
  <tableColumns count="4">
    <tableColumn id="1" xr3:uid="{ECCE0041-A44F-4F9D-87BA-CFA610BDF514}" name="نام هزینه" dataDxfId="4"/>
    <tableColumn id="2" xr3:uid="{35682CD9-FB4D-4EFC-9644-1C3BE5056CED}" name="ضریب بر اساس سرمایه" dataDxfId="3"/>
    <tableColumn id="3" xr3:uid="{4CA41BD9-02BB-4447-A835-3E9DD53F4EF7}" name="ضریب بر اساس حق بیمه" dataDxfId="2"/>
    <tableColumn id="4" xr3:uid="{2C9A477B-E860-4C13-9352-EA9F24369D64}" name="نحوه محاسبه هزینه" dataDxfId="1"/>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8" dT="2024-01-25T14:51:45.03" personId="{2AA5FB47-8A11-3D4F-862A-F562C17BB08A}" id="{1C55F6FA-BDD0-8B4F-968A-B9F11F180F58}">
    <text>حق بیمه</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rightToLeft="1" workbookViewId="0"/>
  </sheetViews>
  <sheetFormatPr defaultRowHeight="15" x14ac:dyDescent="0.25"/>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32"/>
  <sheetViews>
    <sheetView showGridLines="0" zoomScaleNormal="100" workbookViewId="0"/>
  </sheetViews>
  <sheetFormatPr defaultColWidth="0" defaultRowHeight="15" customHeight="1" zeroHeight="1" x14ac:dyDescent="0.25"/>
  <cols>
    <col min="1" max="1" width="8.85546875" style="7" customWidth="1"/>
    <col min="2" max="2" width="17.140625" style="7" customWidth="1"/>
    <col min="3" max="3" width="15" style="7" customWidth="1"/>
    <col min="4" max="4" width="20" style="7" customWidth="1"/>
    <col min="5" max="5" width="9" style="7" customWidth="1"/>
    <col min="6" max="6" width="14.42578125" style="7" customWidth="1"/>
    <col min="7" max="7" width="23.5703125" style="7" bestFit="1" customWidth="1"/>
    <col min="8" max="8" width="15.7109375" style="7" customWidth="1"/>
    <col min="9" max="9" width="9.28515625" style="7" customWidth="1"/>
    <col min="10" max="16384" width="9.28515625" style="7" hidden="1"/>
  </cols>
  <sheetData>
    <row r="1" spans="1:8" ht="15.75" thickBot="1" x14ac:dyDescent="0.3">
      <c r="A1" s="6"/>
      <c r="B1" s="6"/>
      <c r="C1" s="6"/>
      <c r="D1" s="6"/>
      <c r="E1" s="6"/>
      <c r="F1" s="6"/>
      <c r="G1" s="6"/>
      <c r="H1" s="6"/>
    </row>
    <row r="2" spans="1:8" ht="21" x14ac:dyDescent="0.25">
      <c r="A2" s="6"/>
      <c r="B2" s="8" t="s">
        <v>60</v>
      </c>
      <c r="C2" s="279" t="s">
        <v>61</v>
      </c>
      <c r="D2" s="280"/>
      <c r="E2" s="280"/>
      <c r="F2" s="280"/>
      <c r="G2" s="281"/>
      <c r="H2" s="9"/>
    </row>
    <row r="3" spans="1:8" ht="26.25" thickBot="1" x14ac:dyDescent="0.3">
      <c r="A3" s="6"/>
      <c r="B3" s="10" t="s">
        <v>62</v>
      </c>
      <c r="C3" s="282" t="s">
        <v>63</v>
      </c>
      <c r="D3" s="283"/>
      <c r="E3" s="283"/>
      <c r="F3" s="283"/>
      <c r="G3" s="284"/>
      <c r="H3" s="11"/>
    </row>
    <row r="4" spans="1:8" x14ac:dyDescent="0.25"/>
    <row r="5" spans="1:8" ht="27" customHeight="1" x14ac:dyDescent="0.25">
      <c r="B5" s="285" t="s">
        <v>64</v>
      </c>
      <c r="C5" s="286"/>
      <c r="D5" s="286"/>
      <c r="E5" s="286"/>
      <c r="F5" s="286"/>
      <c r="G5" s="286"/>
      <c r="H5" s="287"/>
    </row>
    <row r="6" spans="1:8" ht="21" x14ac:dyDescent="0.25">
      <c r="B6" s="12"/>
      <c r="C6" s="12"/>
      <c r="D6" s="12"/>
      <c r="E6" s="12"/>
      <c r="F6" s="12"/>
      <c r="G6" s="12"/>
      <c r="H6" s="12"/>
    </row>
    <row r="7" spans="1:8" ht="21" x14ac:dyDescent="0.25">
      <c r="B7" s="278" t="s">
        <v>65</v>
      </c>
      <c r="C7" s="278"/>
      <c r="D7" s="278"/>
      <c r="E7" s="278"/>
      <c r="F7" s="278"/>
      <c r="G7" s="278"/>
      <c r="H7" s="278"/>
    </row>
    <row r="8" spans="1:8" x14ac:dyDescent="0.25"/>
    <row r="9" spans="1:8" x14ac:dyDescent="0.25"/>
    <row r="10" spans="1:8" x14ac:dyDescent="0.25"/>
    <row r="11" spans="1:8" x14ac:dyDescent="0.25"/>
    <row r="12" spans="1:8" x14ac:dyDescent="0.25"/>
    <row r="13" spans="1:8" x14ac:dyDescent="0.25"/>
    <row r="14" spans="1:8" x14ac:dyDescent="0.25"/>
    <row r="15" spans="1:8" x14ac:dyDescent="0.25"/>
    <row r="16" spans="1:8" x14ac:dyDescent="0.25"/>
    <row r="17" spans="2:8" x14ac:dyDescent="0.25"/>
    <row r="18" spans="2:8" x14ac:dyDescent="0.25"/>
    <row r="19" spans="2:8" x14ac:dyDescent="0.25"/>
    <row r="20" spans="2:8" x14ac:dyDescent="0.25"/>
    <row r="21" spans="2:8" x14ac:dyDescent="0.25"/>
    <row r="22" spans="2:8" x14ac:dyDescent="0.25"/>
    <row r="23" spans="2:8" x14ac:dyDescent="0.25"/>
    <row r="24" spans="2:8" x14ac:dyDescent="0.25"/>
    <row r="25" spans="2:8" x14ac:dyDescent="0.25"/>
    <row r="26" spans="2:8" x14ac:dyDescent="0.25"/>
    <row r="27" spans="2:8" x14ac:dyDescent="0.25"/>
    <row r="28" spans="2:8" x14ac:dyDescent="0.25"/>
    <row r="29" spans="2:8" ht="39" customHeight="1" x14ac:dyDescent="0.25"/>
    <row r="30" spans="2:8" ht="21" x14ac:dyDescent="0.25">
      <c r="B30" s="278" t="s">
        <v>66</v>
      </c>
      <c r="C30" s="278"/>
      <c r="D30" s="278"/>
      <c r="E30" s="278"/>
      <c r="F30" s="278"/>
      <c r="G30" s="278"/>
      <c r="H30" s="278"/>
    </row>
    <row r="31" spans="2:8" x14ac:dyDescent="0.25"/>
    <row r="32" spans="2:8"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spans="2:8" x14ac:dyDescent="0.25"/>
    <row r="50" spans="2:8" x14ac:dyDescent="0.25"/>
    <row r="51" spans="2:8" x14ac:dyDescent="0.25"/>
    <row r="52" spans="2:8" x14ac:dyDescent="0.25"/>
    <row r="53" spans="2:8" x14ac:dyDescent="0.25"/>
    <row r="54" spans="2:8" x14ac:dyDescent="0.25"/>
    <row r="55" spans="2:8" x14ac:dyDescent="0.25"/>
    <row r="56" spans="2:8" x14ac:dyDescent="0.25"/>
    <row r="57" spans="2:8" x14ac:dyDescent="0.25"/>
    <row r="58" spans="2:8" x14ac:dyDescent="0.25"/>
    <row r="59" spans="2:8" x14ac:dyDescent="0.25"/>
    <row r="60" spans="2:8" ht="24" customHeight="1" x14ac:dyDescent="0.25"/>
    <row r="61" spans="2:8" ht="21" x14ac:dyDescent="0.25">
      <c r="B61" s="278" t="s">
        <v>67</v>
      </c>
      <c r="C61" s="278"/>
      <c r="D61" s="278"/>
      <c r="E61" s="278"/>
      <c r="F61" s="278"/>
      <c r="G61" s="278"/>
      <c r="H61" s="278"/>
    </row>
    <row r="62" spans="2:8" x14ac:dyDescent="0.25"/>
    <row r="63" spans="2:8" x14ac:dyDescent="0.25"/>
    <row r="64" spans="2:8"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ht="33" customHeight="1" x14ac:dyDescent="0.25"/>
    <row r="97" spans="1:8" ht="21" x14ac:dyDescent="0.25">
      <c r="A97" s="278" t="s">
        <v>68</v>
      </c>
      <c r="B97" s="278"/>
      <c r="C97" s="278"/>
      <c r="D97" s="278"/>
      <c r="E97" s="278"/>
      <c r="F97" s="278"/>
      <c r="G97" s="278"/>
      <c r="H97" s="278"/>
    </row>
    <row r="98" spans="1:8" x14ac:dyDescent="0.25"/>
    <row r="99" spans="1:8" x14ac:dyDescent="0.25"/>
    <row r="100" spans="1:8" x14ac:dyDescent="0.25"/>
    <row r="101" spans="1:8" x14ac:dyDescent="0.25"/>
    <row r="102" spans="1:8" x14ac:dyDescent="0.25"/>
    <row r="103" spans="1:8" x14ac:dyDescent="0.25"/>
    <row r="104" spans="1:8" x14ac:dyDescent="0.25"/>
    <row r="105" spans="1:8" x14ac:dyDescent="0.25"/>
    <row r="106" spans="1:8" x14ac:dyDescent="0.25"/>
    <row r="107" spans="1:8" x14ac:dyDescent="0.25"/>
    <row r="108" spans="1:8" x14ac:dyDescent="0.25"/>
    <row r="109" spans="1:8" x14ac:dyDescent="0.25"/>
    <row r="110" spans="1:8" x14ac:dyDescent="0.25"/>
    <row r="111" spans="1:8" x14ac:dyDescent="0.25"/>
    <row r="112" spans="1:8"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sheetData>
  <mergeCells count="7">
    <mergeCell ref="A97:H97"/>
    <mergeCell ref="C2:G2"/>
    <mergeCell ref="C3:G3"/>
    <mergeCell ref="B5:H5"/>
    <mergeCell ref="B7:H7"/>
    <mergeCell ref="B30:H30"/>
    <mergeCell ref="B61:H6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BDEEE-5FAC-4A92-B2E0-B11E692F29B2}">
  <sheetPr>
    <pageSetUpPr fitToPage="1"/>
  </sheetPr>
  <dimension ref="A1:X88"/>
  <sheetViews>
    <sheetView tabSelected="1" topLeftCell="A4" zoomScale="80" zoomScaleNormal="80" workbookViewId="0">
      <selection activeCell="I38" sqref="I38"/>
    </sheetView>
  </sheetViews>
  <sheetFormatPr defaultRowHeight="15" x14ac:dyDescent="0.25"/>
  <cols>
    <col min="1" max="1" width="5" customWidth="1"/>
    <col min="3" max="3" width="22" customWidth="1"/>
    <col min="4" max="4" width="38.5703125" customWidth="1"/>
    <col min="6" max="6" width="18.5703125" customWidth="1"/>
    <col min="7" max="7" width="36.140625" customWidth="1"/>
    <col min="9" max="9" width="19" customWidth="1"/>
    <col min="10" max="10" width="28.7109375" customWidth="1"/>
    <col min="12" max="12" width="10.140625" hidden="1" customWidth="1"/>
    <col min="13" max="13" width="35" hidden="1" customWidth="1"/>
    <col min="14" max="15" width="9.28515625" hidden="1" customWidth="1"/>
    <col min="16" max="16" width="31" hidden="1" customWidth="1"/>
    <col min="17" max="21" width="9.28515625" hidden="1" customWidth="1"/>
    <col min="24" max="24" width="30.5703125" customWidth="1"/>
  </cols>
  <sheetData>
    <row r="1" spans="2:21" ht="15.75" thickBot="1" x14ac:dyDescent="0.3"/>
    <row r="2" spans="2:21" ht="15" customHeight="1" x14ac:dyDescent="0.25">
      <c r="B2" s="248"/>
      <c r="C2" s="249"/>
      <c r="D2" s="252" t="s">
        <v>0</v>
      </c>
      <c r="E2" s="253"/>
      <c r="F2" s="253"/>
      <c r="G2" s="253"/>
      <c r="H2" s="253"/>
      <c r="I2" s="254"/>
      <c r="J2" s="258"/>
      <c r="K2" s="259"/>
      <c r="S2" t="s">
        <v>1</v>
      </c>
      <c r="U2" t="s">
        <v>2</v>
      </c>
    </row>
    <row r="3" spans="2:21" ht="32.25" customHeight="1" thickBot="1" x14ac:dyDescent="0.3">
      <c r="B3" s="250"/>
      <c r="C3" s="251"/>
      <c r="D3" s="255"/>
      <c r="E3" s="256"/>
      <c r="F3" s="256"/>
      <c r="G3" s="256"/>
      <c r="H3" s="256"/>
      <c r="I3" s="257"/>
      <c r="J3" s="260"/>
      <c r="K3" s="261"/>
      <c r="S3">
        <v>1</v>
      </c>
      <c r="U3">
        <v>5</v>
      </c>
    </row>
    <row r="4" spans="2:21" ht="15.75" thickBot="1" x14ac:dyDescent="0.3">
      <c r="S4">
        <v>2</v>
      </c>
      <c r="U4">
        <v>10</v>
      </c>
    </row>
    <row r="5" spans="2:21" ht="18.75" thickBot="1" x14ac:dyDescent="0.3">
      <c r="B5" s="32"/>
      <c r="C5" s="33"/>
      <c r="D5" s="34"/>
      <c r="E5" s="34"/>
      <c r="F5" s="33"/>
      <c r="G5" s="33"/>
      <c r="H5" s="34"/>
      <c r="I5" s="33"/>
      <c r="J5" s="33"/>
      <c r="K5" s="35"/>
      <c r="S5">
        <v>3</v>
      </c>
      <c r="U5">
        <v>15</v>
      </c>
    </row>
    <row r="6" spans="2:21" ht="18" x14ac:dyDescent="0.45">
      <c r="B6" s="36"/>
      <c r="C6" s="53">
        <v>50</v>
      </c>
      <c r="D6" s="38" t="s">
        <v>3</v>
      </c>
      <c r="E6" s="39"/>
      <c r="F6" s="53">
        <v>2</v>
      </c>
      <c r="G6" s="38" t="s">
        <v>4</v>
      </c>
      <c r="H6" s="39"/>
      <c r="I6" s="53">
        <v>10</v>
      </c>
      <c r="J6" s="38" t="s">
        <v>5</v>
      </c>
      <c r="K6" s="40"/>
      <c r="L6" s="139" t="s">
        <v>6</v>
      </c>
      <c r="M6" s="139" t="s">
        <v>7</v>
      </c>
      <c r="N6" s="139" t="s">
        <v>8</v>
      </c>
      <c r="O6" s="139" t="s">
        <v>9</v>
      </c>
      <c r="P6" s="139" t="s">
        <v>10</v>
      </c>
      <c r="Q6" s="139"/>
      <c r="S6">
        <v>4</v>
      </c>
      <c r="U6">
        <v>20</v>
      </c>
    </row>
    <row r="7" spans="2:21" ht="18.75" thickBot="1" x14ac:dyDescent="0.3">
      <c r="B7" s="41"/>
      <c r="C7" s="170"/>
      <c r="D7" s="170"/>
      <c r="E7" s="170"/>
      <c r="F7" s="170"/>
      <c r="G7" s="170"/>
      <c r="H7" s="170"/>
      <c r="I7" s="170"/>
      <c r="J7" s="170"/>
      <c r="K7" s="42"/>
      <c r="L7" t="s">
        <v>11</v>
      </c>
      <c r="M7" t="s">
        <v>11</v>
      </c>
      <c r="N7" t="s">
        <v>11</v>
      </c>
      <c r="O7" t="s">
        <v>11</v>
      </c>
      <c r="P7" t="s">
        <v>11</v>
      </c>
      <c r="S7">
        <v>5</v>
      </c>
    </row>
    <row r="8" spans="2:21" ht="15" customHeight="1" thickBot="1" x14ac:dyDescent="0.45">
      <c r="B8" s="41"/>
      <c r="C8" s="239">
        <v>4</v>
      </c>
      <c r="D8" s="233"/>
      <c r="E8" s="170"/>
      <c r="F8" s="55">
        <v>7700000000</v>
      </c>
      <c r="G8" s="38" t="s">
        <v>12</v>
      </c>
      <c r="H8" s="170"/>
      <c r="I8" s="55">
        <v>3000000000</v>
      </c>
      <c r="J8" s="236" t="s">
        <v>13</v>
      </c>
      <c r="K8" s="42"/>
      <c r="M8" t="s">
        <v>14</v>
      </c>
    </row>
    <row r="9" spans="2:21" ht="15.75" customHeight="1" thickBot="1" x14ac:dyDescent="0.45">
      <c r="B9" s="72"/>
      <c r="C9" s="73"/>
      <c r="D9" s="73"/>
      <c r="E9" s="73"/>
      <c r="F9" s="73"/>
      <c r="G9" s="73"/>
      <c r="H9" s="73"/>
      <c r="I9" s="73"/>
      <c r="J9" s="73"/>
      <c r="K9" s="74"/>
      <c r="M9" t="s">
        <v>15</v>
      </c>
    </row>
    <row r="10" spans="2:21" ht="15" hidden="1" customHeight="1" x14ac:dyDescent="0.4">
      <c r="B10" s="232"/>
      <c r="C10" s="233"/>
      <c r="D10" s="233"/>
      <c r="E10" s="233"/>
      <c r="F10" s="233"/>
      <c r="G10" s="233"/>
      <c r="H10" s="233"/>
      <c r="I10" s="233"/>
      <c r="J10" s="233"/>
      <c r="K10" s="232"/>
      <c r="M10" t="s">
        <v>16</v>
      </c>
    </row>
    <row r="11" spans="2:21" ht="15" hidden="1" customHeight="1" x14ac:dyDescent="0.4">
      <c r="B11" s="232"/>
      <c r="C11" s="233"/>
      <c r="D11" s="233"/>
      <c r="E11" s="233"/>
      <c r="F11" s="233"/>
      <c r="G11" s="233"/>
      <c r="H11" s="233"/>
      <c r="I11" s="233"/>
      <c r="J11" s="233"/>
      <c r="K11" s="232"/>
    </row>
    <row r="12" spans="2:21" ht="17.25" hidden="1" x14ac:dyDescent="0.4">
      <c r="B12" s="232"/>
      <c r="C12" s="233"/>
      <c r="D12" s="233"/>
      <c r="E12" s="233"/>
      <c r="F12" s="233"/>
      <c r="G12" s="233"/>
      <c r="H12" s="233"/>
      <c r="I12" s="233"/>
      <c r="J12" s="233"/>
      <c r="K12" s="232"/>
    </row>
    <row r="13" spans="2:21" ht="17.25" hidden="1" x14ac:dyDescent="0.4">
      <c r="B13" s="232"/>
      <c r="C13" s="233"/>
      <c r="D13" s="233"/>
      <c r="E13" s="233"/>
      <c r="F13" s="233"/>
      <c r="G13" s="233"/>
      <c r="H13" s="233"/>
      <c r="I13" s="233"/>
      <c r="J13" s="233"/>
      <c r="K13" s="232"/>
    </row>
    <row r="14" spans="2:21" ht="17.25" hidden="1" x14ac:dyDescent="0.4">
      <c r="B14" s="232"/>
      <c r="C14" s="233"/>
      <c r="D14" s="233"/>
      <c r="E14" s="233"/>
      <c r="F14" s="233"/>
      <c r="G14" s="233"/>
      <c r="H14" s="233"/>
      <c r="I14" s="233"/>
      <c r="J14" s="233"/>
      <c r="K14" s="232"/>
    </row>
    <row r="15" spans="2:21" ht="17.25" hidden="1" x14ac:dyDescent="0.4">
      <c r="B15" s="232"/>
      <c r="C15" s="233"/>
      <c r="D15" s="233"/>
      <c r="E15" s="233"/>
      <c r="F15" s="233"/>
      <c r="G15" s="233"/>
      <c r="H15" s="233"/>
      <c r="I15" s="233"/>
      <c r="J15" s="233"/>
      <c r="K15" s="232"/>
    </row>
    <row r="16" spans="2:21" ht="17.25" hidden="1" x14ac:dyDescent="0.4">
      <c r="B16" s="232"/>
      <c r="C16" s="233"/>
      <c r="D16" s="233"/>
      <c r="E16" s="233"/>
      <c r="F16" s="233"/>
      <c r="G16" s="233"/>
      <c r="H16" s="233"/>
      <c r="I16" s="233"/>
      <c r="J16" s="233"/>
      <c r="K16" s="232"/>
    </row>
    <row r="17" spans="2:13" ht="17.25" hidden="1" x14ac:dyDescent="0.4">
      <c r="B17" s="232"/>
      <c r="C17" s="233"/>
      <c r="D17" s="233"/>
      <c r="E17" s="233"/>
      <c r="F17" s="233"/>
      <c r="G17" s="233"/>
      <c r="H17" s="233"/>
      <c r="I17" s="233"/>
      <c r="J17" s="233"/>
      <c r="K17" s="232"/>
    </row>
    <row r="18" spans="2:13" ht="17.25" hidden="1" x14ac:dyDescent="0.4">
      <c r="B18" s="232"/>
      <c r="C18" s="233"/>
      <c r="D18" s="233"/>
      <c r="E18" s="233"/>
      <c r="F18" s="233"/>
      <c r="G18" s="233"/>
      <c r="H18" s="233"/>
      <c r="I18" s="233"/>
      <c r="J18" s="233"/>
      <c r="K18" s="232"/>
    </row>
    <row r="19" spans="2:13" ht="17.25" hidden="1" x14ac:dyDescent="0.4">
      <c r="B19" s="232"/>
      <c r="C19" s="233"/>
      <c r="D19" s="233"/>
      <c r="E19" s="233"/>
      <c r="F19" s="233"/>
      <c r="G19" s="233"/>
      <c r="H19" s="233"/>
      <c r="I19" s="233"/>
      <c r="J19" s="233"/>
      <c r="K19" s="232"/>
    </row>
    <row r="20" spans="2:13" ht="17.25" hidden="1" x14ac:dyDescent="0.4">
      <c r="B20" s="232"/>
      <c r="C20" s="233"/>
      <c r="D20" s="233"/>
      <c r="E20" s="233"/>
      <c r="F20" s="233"/>
      <c r="G20" s="233"/>
      <c r="H20" s="233"/>
      <c r="I20" s="233"/>
      <c r="J20" s="233"/>
      <c r="K20" s="232"/>
    </row>
    <row r="21" spans="2:13" ht="17.25" hidden="1" x14ac:dyDescent="0.4">
      <c r="B21" s="232"/>
      <c r="C21" s="233"/>
      <c r="D21" s="233"/>
      <c r="E21" s="233"/>
      <c r="F21" s="233"/>
      <c r="G21" s="233"/>
      <c r="H21" s="233"/>
      <c r="I21" s="233"/>
      <c r="J21" s="233"/>
      <c r="K21" s="232"/>
    </row>
    <row r="22" spans="2:13" ht="17.25" hidden="1" x14ac:dyDescent="0.4">
      <c r="B22" s="232"/>
      <c r="C22" s="233"/>
      <c r="D22" s="233"/>
      <c r="E22" s="233"/>
      <c r="F22" s="233"/>
      <c r="G22" s="233"/>
      <c r="H22" s="233"/>
      <c r="I22" s="233"/>
      <c r="J22" s="233"/>
      <c r="K22" s="232"/>
    </row>
    <row r="23" spans="2:13" ht="18" hidden="1" thickBot="1" x14ac:dyDescent="0.45">
      <c r="B23" s="232"/>
      <c r="C23" s="233"/>
      <c r="D23" s="233"/>
      <c r="E23" s="233"/>
      <c r="F23" s="233"/>
      <c r="G23" s="233"/>
      <c r="H23" s="233"/>
      <c r="I23" s="233"/>
      <c r="J23" s="233"/>
      <c r="K23" s="232"/>
    </row>
    <row r="24" spans="2:13" ht="18.75" hidden="1" thickBot="1" x14ac:dyDescent="0.4">
      <c r="B24" s="36"/>
      <c r="C24" s="43" t="s">
        <v>17</v>
      </c>
      <c r="D24" s="38" t="s">
        <v>18</v>
      </c>
      <c r="E24" s="170"/>
      <c r="F24" s="50">
        <v>0</v>
      </c>
      <c r="G24" s="38" t="s">
        <v>19</v>
      </c>
      <c r="H24" s="170"/>
      <c r="I24" s="55">
        <f>(I8)/I6</f>
        <v>300000000</v>
      </c>
      <c r="J24" s="38" t="s">
        <v>20</v>
      </c>
      <c r="K24" s="40"/>
    </row>
    <row r="25" spans="2:13" ht="18.75" hidden="1" thickBot="1" x14ac:dyDescent="0.3">
      <c r="B25" s="41"/>
      <c r="C25" s="170"/>
      <c r="D25" s="170"/>
      <c r="E25" s="170"/>
      <c r="F25" s="170"/>
      <c r="G25" s="170"/>
      <c r="H25" s="170"/>
      <c r="I25" s="170"/>
      <c r="J25" s="170"/>
      <c r="K25" s="42"/>
    </row>
    <row r="26" spans="2:13" ht="18.75" hidden="1" thickBot="1" x14ac:dyDescent="0.4">
      <c r="B26" s="36"/>
      <c r="C26" s="53" t="s">
        <v>7</v>
      </c>
      <c r="D26" s="38" t="s">
        <v>21</v>
      </c>
      <c r="E26" s="170"/>
      <c r="F26" s="50">
        <v>0</v>
      </c>
      <c r="G26" s="38" t="s">
        <v>22</v>
      </c>
      <c r="H26" s="170"/>
      <c r="I26" s="55">
        <f>F8</f>
        <v>7700000000</v>
      </c>
      <c r="J26" s="38" t="s">
        <v>23</v>
      </c>
      <c r="K26" s="40"/>
    </row>
    <row r="27" spans="2:13" ht="18.75" thickBot="1" x14ac:dyDescent="0.4">
      <c r="B27" s="36"/>
      <c r="C27" s="170"/>
      <c r="D27" s="170"/>
      <c r="E27" s="170"/>
      <c r="F27" s="170"/>
      <c r="G27" s="170"/>
      <c r="H27" s="170"/>
      <c r="I27" s="170"/>
      <c r="J27" s="170"/>
      <c r="K27" s="40"/>
    </row>
    <row r="28" spans="2:13" ht="18.75" thickBot="1" x14ac:dyDescent="0.4">
      <c r="B28" s="36"/>
      <c r="C28" s="44">
        <v>1</v>
      </c>
      <c r="D28" s="45" t="s">
        <v>24</v>
      </c>
      <c r="E28" s="170"/>
      <c r="F28" s="54">
        <v>1</v>
      </c>
      <c r="G28" s="38" t="s">
        <v>25</v>
      </c>
      <c r="H28" s="170"/>
      <c r="I28" s="51">
        <v>1</v>
      </c>
      <c r="J28" s="38" t="s">
        <v>26</v>
      </c>
      <c r="K28" s="40"/>
    </row>
    <row r="29" spans="2:13" ht="18.75" thickBot="1" x14ac:dyDescent="0.4">
      <c r="B29" s="36"/>
      <c r="C29" s="170"/>
      <c r="D29" s="170"/>
      <c r="E29" s="170"/>
      <c r="F29" s="170"/>
      <c r="G29" s="170"/>
      <c r="H29" s="170"/>
      <c r="I29" s="170"/>
      <c r="J29" s="170"/>
      <c r="K29" s="40"/>
    </row>
    <row r="30" spans="2:13" ht="18" x14ac:dyDescent="0.35">
      <c r="B30" s="36"/>
      <c r="C30" s="53"/>
      <c r="D30" s="38" t="s">
        <v>27</v>
      </c>
      <c r="E30" s="170"/>
      <c r="F30" s="53" t="s">
        <v>29</v>
      </c>
      <c r="G30" s="38" t="s">
        <v>28</v>
      </c>
      <c r="H30" s="170"/>
      <c r="I30" s="56" t="s">
        <v>29</v>
      </c>
      <c r="J30" s="38" t="s">
        <v>30</v>
      </c>
      <c r="K30" s="40"/>
      <c r="L30" s="2">
        <f>IF(I28&gt;4,4,I28)</f>
        <v>1</v>
      </c>
      <c r="M30" s="1" t="s">
        <v>31</v>
      </c>
    </row>
    <row r="31" spans="2:13" ht="18.75" thickBot="1" x14ac:dyDescent="0.4">
      <c r="B31" s="36"/>
      <c r="C31" s="170"/>
      <c r="D31" s="170"/>
      <c r="E31" s="170"/>
      <c r="F31" s="170"/>
      <c r="G31" s="170"/>
      <c r="H31" s="170"/>
      <c r="I31" s="170"/>
      <c r="J31" s="170"/>
      <c r="K31" s="40"/>
    </row>
    <row r="32" spans="2:13" ht="18" x14ac:dyDescent="0.35">
      <c r="B32" s="36"/>
      <c r="C32" s="43" t="s">
        <v>32</v>
      </c>
      <c r="D32" s="38" t="s">
        <v>33</v>
      </c>
      <c r="E32" s="170"/>
      <c r="F32" s="152"/>
      <c r="G32" s="153" t="s">
        <v>34</v>
      </c>
      <c r="H32" s="170"/>
      <c r="I32" s="55">
        <v>5000000000</v>
      </c>
      <c r="J32" s="38" t="s">
        <v>35</v>
      </c>
      <c r="K32" s="40"/>
      <c r="L32" s="3">
        <f>IF(F28&gt;2,2,F28)</f>
        <v>1</v>
      </c>
      <c r="M32" s="1" t="s">
        <v>36</v>
      </c>
    </row>
    <row r="33" spans="2:13" ht="18.75" thickBot="1" x14ac:dyDescent="0.4">
      <c r="B33" s="47"/>
      <c r="C33" s="170"/>
      <c r="D33" s="170"/>
      <c r="E33" s="170"/>
      <c r="F33" s="170"/>
      <c r="G33" s="170"/>
      <c r="H33" s="170"/>
      <c r="I33" s="170"/>
      <c r="J33" s="170"/>
      <c r="K33" s="48"/>
    </row>
    <row r="34" spans="2:13" ht="18" x14ac:dyDescent="0.35">
      <c r="B34" s="47"/>
      <c r="C34" s="52">
        <v>0</v>
      </c>
      <c r="D34" s="38" t="s">
        <v>37</v>
      </c>
      <c r="E34" s="170"/>
      <c r="F34" s="56" t="s">
        <v>38</v>
      </c>
      <c r="G34" s="38" t="s">
        <v>39</v>
      </c>
      <c r="H34" s="170"/>
      <c r="I34" s="53" t="s">
        <v>38</v>
      </c>
      <c r="J34" s="38" t="s">
        <v>40</v>
      </c>
      <c r="K34" s="48"/>
    </row>
    <row r="35" spans="2:13" ht="18.75" thickBot="1" x14ac:dyDescent="0.4">
      <c r="B35" s="47"/>
      <c r="C35" s="170"/>
      <c r="D35" s="170"/>
      <c r="E35" s="170"/>
      <c r="F35" s="170"/>
      <c r="G35" s="170"/>
      <c r="H35" s="170"/>
      <c r="I35" s="170"/>
      <c r="J35" s="170"/>
      <c r="K35" s="48"/>
    </row>
    <row r="36" spans="2:13" ht="18" x14ac:dyDescent="0.35">
      <c r="B36" s="36"/>
      <c r="C36" s="46"/>
      <c r="D36" s="38" t="s">
        <v>41</v>
      </c>
      <c r="E36" s="170"/>
      <c r="F36" s="46">
        <v>1</v>
      </c>
      <c r="G36" s="38" t="s">
        <v>42</v>
      </c>
      <c r="H36" s="170"/>
      <c r="I36" s="57">
        <v>1</v>
      </c>
      <c r="J36" s="38" t="s">
        <v>43</v>
      </c>
      <c r="K36" s="40"/>
      <c r="L36" s="3">
        <f>C34</f>
        <v>0</v>
      </c>
      <c r="M36" s="1" t="s">
        <v>44</v>
      </c>
    </row>
    <row r="37" spans="2:13" ht="18.75" thickBot="1" x14ac:dyDescent="0.4">
      <c r="B37" s="36"/>
      <c r="C37" s="170"/>
      <c r="D37" s="170"/>
      <c r="E37" s="170"/>
      <c r="F37" s="171"/>
      <c r="G37" s="170"/>
      <c r="H37" s="170"/>
      <c r="I37" s="170"/>
      <c r="J37" s="170"/>
      <c r="K37" s="48"/>
      <c r="L37" s="5"/>
      <c r="M37" s="4"/>
    </row>
    <row r="38" spans="2:13" ht="18.75" thickBot="1" x14ac:dyDescent="0.4">
      <c r="B38" s="36"/>
      <c r="C38" s="170"/>
      <c r="D38" s="170"/>
      <c r="E38" s="170"/>
      <c r="F38" s="170"/>
      <c r="G38" s="170"/>
      <c r="H38" s="170"/>
      <c r="I38" s="58">
        <f>VLOOKUP($C$26,Rates!$D$2:$E$7,2,FALSE)</f>
        <v>0.32146460106265118</v>
      </c>
      <c r="J38" s="38" t="s">
        <v>45</v>
      </c>
      <c r="K38" s="48"/>
      <c r="L38" s="157">
        <f>I38*100</f>
        <v>32.146460106265117</v>
      </c>
      <c r="M38" s="14" t="s">
        <v>45</v>
      </c>
    </row>
    <row r="39" spans="2:13" ht="18.75" thickBot="1" x14ac:dyDescent="0.4">
      <c r="B39" s="172"/>
      <c r="C39" s="173"/>
      <c r="D39" s="173"/>
      <c r="E39" s="173"/>
      <c r="F39" s="173"/>
      <c r="G39" s="173"/>
      <c r="H39" s="173"/>
      <c r="I39" s="173"/>
      <c r="J39" s="173"/>
      <c r="K39" s="174"/>
    </row>
    <row r="40" spans="2:13" ht="18" x14ac:dyDescent="0.25">
      <c r="B40" s="170"/>
      <c r="C40" s="170"/>
      <c r="D40" s="170"/>
      <c r="E40" s="170"/>
      <c r="F40" s="170"/>
      <c r="G40" s="170"/>
      <c r="H40" s="170"/>
      <c r="I40" s="170"/>
      <c r="J40" s="170"/>
      <c r="K40" s="170"/>
      <c r="L40" s="164"/>
      <c r="M40" s="165"/>
    </row>
    <row r="41" spans="2:13" ht="18" hidden="1" x14ac:dyDescent="0.25">
      <c r="B41" s="170"/>
      <c r="C41" s="170"/>
      <c r="D41" s="170"/>
      <c r="E41" s="170"/>
      <c r="F41" s="170"/>
      <c r="G41" s="170"/>
      <c r="H41" s="170"/>
      <c r="I41" s="170"/>
      <c r="J41" s="170"/>
      <c r="K41" s="170"/>
      <c r="L41" s="164"/>
      <c r="M41" s="165"/>
    </row>
    <row r="42" spans="2:13" ht="18.75" hidden="1" thickBot="1" x14ac:dyDescent="0.3">
      <c r="B42" s="170"/>
      <c r="C42" s="170"/>
      <c r="D42" s="170"/>
      <c r="E42" s="170"/>
      <c r="F42" s="170"/>
      <c r="G42" s="170"/>
      <c r="H42" s="170"/>
      <c r="I42" s="170"/>
      <c r="J42" s="170"/>
      <c r="K42" s="170"/>
      <c r="L42" s="59"/>
      <c r="M42" s="59"/>
    </row>
    <row r="43" spans="2:13" ht="18" hidden="1" thickBot="1" x14ac:dyDescent="0.4">
      <c r="B43" s="60"/>
      <c r="C43" s="61"/>
      <c r="D43" s="62"/>
      <c r="E43" s="62"/>
      <c r="F43" s="62"/>
      <c r="G43" s="62"/>
      <c r="H43" s="62"/>
      <c r="I43" s="62"/>
      <c r="J43" s="62"/>
      <c r="K43" s="63"/>
      <c r="L43" s="59"/>
      <c r="M43" s="59"/>
    </row>
    <row r="44" spans="2:13" ht="18.75" hidden="1" thickBot="1" x14ac:dyDescent="0.4">
      <c r="B44" s="64"/>
      <c r="C44" s="65">
        <v>0</v>
      </c>
      <c r="D44" s="37" t="s">
        <v>46</v>
      </c>
      <c r="E44" s="60"/>
      <c r="F44" s="66">
        <v>0</v>
      </c>
      <c r="G44" s="37" t="s">
        <v>47</v>
      </c>
      <c r="H44" s="60"/>
      <c r="I44" s="66">
        <v>0</v>
      </c>
      <c r="J44" s="37" t="s">
        <v>48</v>
      </c>
      <c r="K44" s="67"/>
      <c r="L44" s="59">
        <f>IF(F6&lt;=15,IF(AND(I26&lt;1500000000,I26&gt;501000000),25,0),IF(AND(F6&gt;=16,F6&lt;=35),IF(AND(I26&lt;5000000000,I26&gt;751000000),35,0),IF(AND(F6&gt;=36,F6&lt;=45),IF(AND(I26&lt;350000000,I26&gt;251000000),30,IF(AND(I26&lt;500000000,I26&gt;351000000),40,IF(AND(I26&lt;750000000,I26&gt;501000000),45,IF(AND(I26&lt;5000000000,I26&gt;751000000),50,0)))),IF(AND(F6&gt;=46,F6&lt;=55),IF(AND(I26&lt;350000000,I26&gt;251000000),45,IF(AND(I26&lt;5000000000,I26&gt;351000000),50,0)),IF(AND(F6&gt;=56,F6&lt;=60),IF(I26&lt;1500000000,50,0),IF(AND(F6&gt;=61,F6&lt;=70),IF(I26&lt;1500000000,60,0),0))))))/100</f>
        <v>0</v>
      </c>
      <c r="M44" s="59" t="s">
        <v>49</v>
      </c>
    </row>
    <row r="45" spans="2:13" ht="18" hidden="1" thickBot="1" x14ac:dyDescent="0.4">
      <c r="B45" s="68"/>
      <c r="C45" s="69"/>
      <c r="D45" s="60"/>
      <c r="E45" s="60"/>
      <c r="F45" s="60"/>
      <c r="G45" s="60"/>
      <c r="H45" s="60"/>
      <c r="I45" s="60"/>
      <c r="J45" s="60"/>
      <c r="K45" s="67"/>
      <c r="L45" s="59"/>
      <c r="M45" s="59"/>
    </row>
    <row r="46" spans="2:13" ht="18.75" hidden="1" thickBot="1" x14ac:dyDescent="0.4">
      <c r="B46" s="64"/>
      <c r="C46" s="66">
        <v>0</v>
      </c>
      <c r="D46" s="37" t="s">
        <v>50</v>
      </c>
      <c r="E46" s="60"/>
      <c r="F46" s="66">
        <v>0</v>
      </c>
      <c r="G46" s="37" t="s">
        <v>51</v>
      </c>
      <c r="H46" s="60"/>
      <c r="I46" s="66">
        <v>0</v>
      </c>
      <c r="J46" s="37" t="s">
        <v>52</v>
      </c>
      <c r="K46" s="67"/>
      <c r="L46" s="59"/>
      <c r="M46" s="59"/>
    </row>
    <row r="47" spans="2:13" ht="18.75" hidden="1" thickBot="1" x14ac:dyDescent="0.4">
      <c r="B47" s="64"/>
      <c r="C47" s="60"/>
      <c r="D47" s="60"/>
      <c r="E47" s="60"/>
      <c r="F47" s="60"/>
      <c r="G47" s="60"/>
      <c r="H47" s="60"/>
      <c r="I47" s="60"/>
      <c r="J47" s="60"/>
      <c r="K47" s="67"/>
      <c r="L47" s="70">
        <f>IF(C28&lt;0,0,IF(C28&lt;0.2,C28,0.2))</f>
        <v>0.2</v>
      </c>
      <c r="M47" s="71" t="s">
        <v>24</v>
      </c>
    </row>
    <row r="48" spans="2:13" ht="36.75" hidden="1" thickBot="1" x14ac:dyDescent="0.4">
      <c r="B48" s="64"/>
      <c r="C48" s="60"/>
      <c r="D48" s="60"/>
      <c r="E48" s="60"/>
      <c r="F48" s="66">
        <v>0</v>
      </c>
      <c r="G48" s="37" t="s">
        <v>53</v>
      </c>
      <c r="H48" s="60"/>
      <c r="I48" s="66">
        <v>0</v>
      </c>
      <c r="J48" s="37" t="s">
        <v>54</v>
      </c>
      <c r="K48" s="67"/>
      <c r="L48" s="59"/>
      <c r="M48" s="59"/>
    </row>
    <row r="49" spans="2:24" ht="18" hidden="1" thickBot="1" x14ac:dyDescent="0.45">
      <c r="B49" s="72"/>
      <c r="C49" s="73"/>
      <c r="D49" s="73"/>
      <c r="E49" s="73"/>
      <c r="F49" s="73"/>
      <c r="G49" s="73"/>
      <c r="H49" s="73"/>
      <c r="I49" s="73"/>
      <c r="J49" s="73"/>
      <c r="K49" s="74"/>
      <c r="L49" s="59"/>
      <c r="M49" s="59"/>
    </row>
    <row r="50" spans="2:24" ht="18" hidden="1" x14ac:dyDescent="0.35">
      <c r="B50" s="234"/>
      <c r="C50" s="170"/>
      <c r="D50" s="170"/>
      <c r="E50" s="170"/>
      <c r="F50" s="170"/>
      <c r="G50" s="170"/>
      <c r="H50" s="170"/>
      <c r="I50" s="170"/>
      <c r="J50" s="170"/>
      <c r="K50" s="235"/>
    </row>
    <row r="51" spans="2:24" ht="18" x14ac:dyDescent="0.35">
      <c r="B51" s="234"/>
      <c r="C51" s="170"/>
      <c r="D51" s="170"/>
      <c r="E51" s="170"/>
      <c r="F51" s="170"/>
      <c r="G51" s="170"/>
      <c r="H51" s="170"/>
      <c r="I51" s="170"/>
      <c r="J51" s="170"/>
      <c r="K51" s="235"/>
    </row>
    <row r="52" spans="2:24" ht="10.5" customHeight="1" x14ac:dyDescent="0.25"/>
    <row r="54" spans="2:24" x14ac:dyDescent="0.25">
      <c r="B54" s="277" t="s">
        <v>55</v>
      </c>
      <c r="C54" s="277"/>
      <c r="D54" s="277"/>
      <c r="E54" s="277"/>
      <c r="F54" s="277"/>
      <c r="G54" s="277"/>
      <c r="H54" s="277"/>
      <c r="I54" s="277"/>
      <c r="J54" s="277"/>
      <c r="K54" s="277"/>
    </row>
    <row r="55" spans="2:24" x14ac:dyDescent="0.25">
      <c r="B55" s="277"/>
      <c r="C55" s="277"/>
      <c r="D55" s="277"/>
      <c r="E55" s="277"/>
      <c r="F55" s="277"/>
      <c r="G55" s="277"/>
      <c r="H55" s="277"/>
      <c r="I55" s="277"/>
      <c r="J55" s="277"/>
      <c r="K55" s="277"/>
    </row>
    <row r="56" spans="2:24" ht="15.75" thickBot="1" x14ac:dyDescent="0.3">
      <c r="B56" s="277"/>
      <c r="C56" s="277"/>
      <c r="D56" s="277"/>
      <c r="E56" s="277"/>
      <c r="F56" s="277"/>
      <c r="G56" s="277"/>
      <c r="H56" s="277"/>
      <c r="I56" s="277"/>
      <c r="J56" s="277"/>
      <c r="K56" s="277"/>
    </row>
    <row r="57" spans="2:24" x14ac:dyDescent="0.25">
      <c r="B57" s="277"/>
      <c r="C57" s="277"/>
      <c r="D57" s="277"/>
      <c r="E57" s="277"/>
      <c r="F57" s="277"/>
      <c r="G57" s="277"/>
      <c r="H57" s="277"/>
      <c r="I57" s="277"/>
      <c r="J57" s="277"/>
      <c r="K57" s="277"/>
      <c r="W57" s="271"/>
      <c r="X57" s="272"/>
    </row>
    <row r="58" spans="2:24" x14ac:dyDescent="0.25">
      <c r="W58" s="273"/>
      <c r="X58" s="274"/>
    </row>
    <row r="59" spans="2:24" ht="15.75" thickBot="1" x14ac:dyDescent="0.3">
      <c r="W59" s="275"/>
      <c r="X59" s="276"/>
    </row>
    <row r="61" spans="2:24" ht="15.75" thickBot="1" x14ac:dyDescent="0.3"/>
    <row r="62" spans="2:24" ht="15.75" hidden="1" thickBot="1" x14ac:dyDescent="0.3">
      <c r="L62">
        <f>IF(I56="مدت معین",1,IF(I56="موقت به شرط حیات",2,3))</f>
        <v>3</v>
      </c>
    </row>
    <row r="63" spans="2:24" ht="16.5" hidden="1" customHeight="1" x14ac:dyDescent="0.25">
      <c r="X63" s="245" t="s">
        <v>56</v>
      </c>
    </row>
    <row r="64" spans="2:24" ht="16.5" hidden="1" customHeight="1" x14ac:dyDescent="0.25">
      <c r="X64" s="246"/>
    </row>
    <row r="65" spans="1:24" ht="16.5" hidden="1" customHeight="1" x14ac:dyDescent="0.25">
      <c r="X65" s="246"/>
    </row>
    <row r="66" spans="1:24" ht="16.5" hidden="1" customHeight="1" x14ac:dyDescent="0.25">
      <c r="X66" s="246"/>
    </row>
    <row r="67" spans="1:24" ht="16.5" hidden="1" customHeight="1" x14ac:dyDescent="0.25">
      <c r="X67" s="246"/>
    </row>
    <row r="68" spans="1:24" ht="16.5" hidden="1" customHeight="1" x14ac:dyDescent="0.25">
      <c r="X68" s="246"/>
    </row>
    <row r="69" spans="1:24" ht="33.75" hidden="1" customHeight="1" x14ac:dyDescent="0.25">
      <c r="X69" s="246"/>
    </row>
    <row r="70" spans="1:24" ht="16.5" hidden="1" customHeight="1" thickBot="1" x14ac:dyDescent="0.3">
      <c r="X70" s="246"/>
    </row>
    <row r="71" spans="1:24" ht="16.5" hidden="1" customHeight="1" thickBot="1" x14ac:dyDescent="0.3">
      <c r="L71" s="3">
        <f>IF(F69&gt;1,1,F69)</f>
        <v>0</v>
      </c>
      <c r="M71" s="1" t="s">
        <v>36</v>
      </c>
      <c r="X71" s="246"/>
    </row>
    <row r="72" spans="1:24" ht="15.75" hidden="1" thickBot="1" x14ac:dyDescent="0.3">
      <c r="X72" s="246"/>
    </row>
    <row r="73" spans="1:24" ht="18" hidden="1" thickBot="1" x14ac:dyDescent="0.3">
      <c r="L73" s="3">
        <f>IF(C58&gt;3,3,C58)</f>
        <v>0</v>
      </c>
      <c r="M73" s="1" t="s">
        <v>57</v>
      </c>
      <c r="X73" s="246"/>
    </row>
    <row r="74" spans="1:24" ht="15.75" hidden="1" thickBot="1" x14ac:dyDescent="0.3">
      <c r="X74" s="246"/>
    </row>
    <row r="75" spans="1:24" ht="25.5" hidden="1" customHeight="1" thickBot="1" x14ac:dyDescent="0.3">
      <c r="L75" s="3">
        <f>I65</f>
        <v>0</v>
      </c>
      <c r="M75" s="1" t="s">
        <v>44</v>
      </c>
      <c r="X75" s="247"/>
    </row>
    <row r="76" spans="1:24" ht="16.5" hidden="1" customHeight="1" thickBot="1" x14ac:dyDescent="0.3">
      <c r="L76" s="5"/>
      <c r="M76" s="4"/>
    </row>
    <row r="77" spans="1:24" ht="16.5" hidden="1" customHeight="1" thickBot="1" x14ac:dyDescent="0.3">
      <c r="L77" s="175">
        <f>F58*100</f>
        <v>0</v>
      </c>
      <c r="M77" s="14" t="s">
        <v>45</v>
      </c>
    </row>
    <row r="78" spans="1:24" ht="15.75" hidden="1" thickBot="1" x14ac:dyDescent="0.3"/>
    <row r="79" spans="1:24" ht="18" thickBot="1" x14ac:dyDescent="0.3">
      <c r="A79" s="176"/>
      <c r="L79" s="237" t="e">
        <f t="array" ref="L79" xml:space="preserve"> INDEX(#REF!,MATCH(1, --(#REF!&lt;0),0))</f>
        <v>#REF!</v>
      </c>
      <c r="M79" s="1" t="s">
        <v>58</v>
      </c>
    </row>
    <row r="80" spans="1:24" ht="42" customHeight="1" thickBot="1" x14ac:dyDescent="0.4">
      <c r="B80" s="177"/>
      <c r="C80" s="178"/>
      <c r="D80" s="179"/>
      <c r="E80" s="180"/>
      <c r="F80" s="178"/>
      <c r="G80" s="179"/>
      <c r="H80" s="180"/>
      <c r="I80" s="178"/>
      <c r="J80" s="179"/>
      <c r="K80" s="177"/>
      <c r="L80" s="238">
        <f>IF(F63&lt;=15,IF(AND(F56&lt;1500000000,F56&gt;501000000),25,0),IF(AND(F63&gt;=16,F63&lt;=35),IF(AND(F56&lt;5000000000,F56&gt;751000000),35,0),IF(AND(F63&gt;=36,F63&lt;=45),IF(AND(F56&lt;350000000,F56&gt;251000000),30,IF(AND(F56&lt;500000000,F56&gt;351000000),40,IF(AND(F56&lt;750000000,F56&gt;501000000),45,IF(AND(F56&lt;5000000000,F56&gt;751000000),50,0)))),IF(AND(F63&gt;=46,F63&lt;=55),IF(AND(F56&lt;350000000,F56&gt;251000000),45,IF(AND(F56&lt;5000000000,F56&gt;351000000),50,0)),IF(AND(F63&gt;=56,F63&lt;=60),IF(F56&lt;1500000000,50,0),IF(AND(F63&gt;=61,F63&lt;=70),IF(F56&lt;1500000000,60,0),0))))))/100</f>
        <v>0</v>
      </c>
      <c r="M80" t="s">
        <v>49</v>
      </c>
    </row>
    <row r="81" spans="2:13" ht="17.25" customHeight="1" x14ac:dyDescent="0.25">
      <c r="B81" s="262" t="s">
        <v>59</v>
      </c>
      <c r="C81" s="263"/>
      <c r="D81" s="263"/>
      <c r="E81" s="263"/>
      <c r="F81" s="263"/>
      <c r="G81" s="263"/>
      <c r="H81" s="263"/>
      <c r="I81" s="263"/>
      <c r="J81" s="263"/>
      <c r="K81" s="264"/>
    </row>
    <row r="82" spans="2:13" ht="42" customHeight="1" thickBot="1" x14ac:dyDescent="0.3">
      <c r="B82" s="265"/>
      <c r="C82" s="266"/>
      <c r="D82" s="266"/>
      <c r="E82" s="266"/>
      <c r="F82" s="266"/>
      <c r="G82" s="266"/>
      <c r="H82" s="266"/>
      <c r="I82" s="266"/>
      <c r="J82" s="266"/>
      <c r="K82" s="267"/>
    </row>
    <row r="83" spans="2:13" ht="16.5" customHeight="1" thickBot="1" x14ac:dyDescent="0.3">
      <c r="B83" s="265"/>
      <c r="C83" s="266"/>
      <c r="D83" s="266"/>
      <c r="E83" s="266"/>
      <c r="F83" s="266"/>
      <c r="G83" s="266"/>
      <c r="H83" s="266"/>
      <c r="I83" s="266"/>
      <c r="J83" s="266"/>
      <c r="K83" s="267"/>
      <c r="L83" s="181">
        <f>IF(I56&lt;0,0,IF(I56&lt;0.2,I56,0.2))</f>
        <v>0</v>
      </c>
      <c r="M83" s="182" t="s">
        <v>24</v>
      </c>
    </row>
    <row r="84" spans="2:13" ht="42" customHeight="1" thickBot="1" x14ac:dyDescent="0.3">
      <c r="B84" s="268"/>
      <c r="C84" s="269"/>
      <c r="D84" s="269"/>
      <c r="E84" s="269"/>
      <c r="F84" s="269"/>
      <c r="G84" s="269"/>
      <c r="H84" s="269"/>
      <c r="I84" s="269"/>
      <c r="J84" s="269"/>
      <c r="K84" s="270"/>
    </row>
    <row r="85" spans="2:13" ht="42" customHeight="1" x14ac:dyDescent="0.25">
      <c r="B85" s="244"/>
      <c r="C85" s="244"/>
      <c r="D85" s="244"/>
      <c r="E85" s="244"/>
      <c r="F85" s="244"/>
      <c r="G85" s="244"/>
      <c r="H85" s="244"/>
      <c r="I85" s="244"/>
      <c r="J85" s="244"/>
      <c r="K85" s="244"/>
    </row>
    <row r="86" spans="2:13" ht="16.5" customHeight="1" x14ac:dyDescent="0.4">
      <c r="B86" s="177"/>
      <c r="C86" s="183"/>
      <c r="D86" s="183"/>
      <c r="E86" s="183"/>
      <c r="F86" s="183"/>
      <c r="G86" s="183"/>
      <c r="H86" s="183"/>
      <c r="I86" s="183"/>
      <c r="J86" s="183"/>
      <c r="K86" s="177"/>
    </row>
    <row r="88" spans="2:13" ht="16.5" customHeight="1" x14ac:dyDescent="0.25">
      <c r="D88" s="49"/>
    </row>
  </sheetData>
  <protectedRanges>
    <protectedRange sqref="L73 F63 L71 C95 C89 L69 I60 C97 F67 C56 C71 C93 F56 C91 C69 F65 C60 C64:C65" name="Range3"/>
    <protectedRange sqref="L73 F63 L71 C95 C89 I60 C97 F67 C71 C93 F56 C91 C69 F65 C60 C64:C65" name="Range1_3"/>
    <protectedRange sqref="L73 F63 L71 C95 C89 I60 C97 F67 C71 C93 F56 C91 C69 F65 C60 C64:C65" name="Range2_3"/>
    <protectedRange sqref="F6 I6 I8 C6:C8" name="Range3_2"/>
    <protectedRange sqref="F6 I6 I8 C6:C8" name="Range1_3_2"/>
    <protectedRange sqref="F6 I6 I8 C6:C8" name="Range2_3_2"/>
    <protectedRange sqref="C32 I30 F24 I36 F36 F26 I24 C26 F30 C36 I32 I26 C24" name="Range3_3"/>
    <protectedRange sqref="C32 I30 F24 I36 F36 F26 I24 C26 F30 C36 I32 I26 C24" name="Range1_3_3"/>
    <protectedRange sqref="C32 I30 F24 I36 F36 F26 I24 C26 F30 C36 I32 I26 C24" name="Range2_3_3"/>
    <protectedRange sqref="L30 L32" name="Range3_4"/>
    <protectedRange sqref="L30 L32" name="Range1_3_4"/>
    <protectedRange sqref="L30 L32" name="Range2_3_4"/>
    <protectedRange sqref="F8" name="Range3_2_1"/>
    <protectedRange sqref="F8" name="Range1_3_2_1"/>
    <protectedRange sqref="F8" name="Range2_3_2_1"/>
  </protectedRanges>
  <mergeCells count="7">
    <mergeCell ref="X63:X75"/>
    <mergeCell ref="B2:C3"/>
    <mergeCell ref="D2:I3"/>
    <mergeCell ref="J2:K3"/>
    <mergeCell ref="B81:K84"/>
    <mergeCell ref="W57:X59"/>
    <mergeCell ref="B54:K57"/>
  </mergeCells>
  <conditionalFormatting sqref="I69">
    <cfRule type="expression" dxfId="0" priority="1" stopIfTrue="1">
      <formula>ISNUMBER($I$69)</formula>
    </cfRule>
  </conditionalFormatting>
  <dataValidations xWindow="574" yWindow="549" count="16">
    <dataValidation type="list" allowBlank="1" showInputMessage="1" showErrorMessage="1" sqref="I58:I59 I61" xr:uid="{A519D081-9130-41EB-A944-E481C8B914E4}">
      <formula1>"بله, خیر"</formula1>
    </dataValidation>
    <dataValidation type="list" allowBlank="1" showInputMessage="1" showErrorMessage="1" sqref="F69" xr:uid="{B9FFDC5F-C8EA-4B94-B509-891A5A8B6A7D}">
      <formula1>"0"</formula1>
    </dataValidation>
    <dataValidation type="list" allowBlank="1" showInputMessage="1" showErrorMessage="1" sqref="F60" xr:uid="{75A9D31A-DD57-4DEB-B25A-704CD8391E36}">
      <formula1>"0,5%,10%,15%,20%,25%,30%"</formula1>
    </dataValidation>
    <dataValidation type="list" allowBlank="1" showInputMessage="1" showErrorMessage="1" sqref="I41" xr:uid="{517FA06F-9697-429B-B781-D104153C88EE}">
      <formula1>"ماهانه,دو ماهه, سه ماهه,چهارماهه, شش ماهه,سالانه"</formula1>
    </dataValidation>
    <dataValidation type="list" allowBlank="1" showInputMessage="1" showErrorMessage="1" sqref="I99 C30" xr:uid="{497CD867-19F3-490F-B31D-01271D58DDCE}">
      <formula1>"1,2,3"</formula1>
    </dataValidation>
    <dataValidation type="list" allowBlank="1" showInputMessage="1" showErrorMessage="1" sqref="C65" xr:uid="{407DB58B-F65B-4BC4-9E0C-796C55262F35}">
      <formula1>"یکجا"</formula1>
    </dataValidation>
    <dataValidation type="list" allowBlank="1" showInputMessage="1" showErrorMessage="1" sqref="C101 F30 C32 I30" xr:uid="{1D4E32ED-739C-4A91-96D7-409F456BF06D}">
      <formula1>"بله,خیر"</formula1>
    </dataValidation>
    <dataValidation type="list" allowBlank="1" showInputMessage="1" showErrorMessage="1" sqref="F34 I34 I67" xr:uid="{4B9CE4CF-C9F9-4723-9908-5F039C00BE68}">
      <formula1>"طبقه چهار,طبقه دو از کار افتادگی,طبقه دو کلی,طبقه سه از کار افتادگی,طبقه سه کلی,طبقه یک,طبقه پنج"</formula1>
    </dataValidation>
    <dataValidation type="list" allowBlank="1" showInputMessage="1" showErrorMessage="1" sqref="F39 F41 F50:F53" xr:uid="{465E7F98-FEB3-4A56-8154-C1798DC7C296}">
      <formula1>"مدت معین,مادام‌العمر"</formula1>
    </dataValidation>
    <dataValidation type="list" allowBlank="1" showInputMessage="1" showErrorMessage="1" sqref="C26" xr:uid="{9A18DC22-1D69-4E19-8AB3-83F2496687EE}">
      <formula1>$M$6</formula1>
    </dataValidation>
    <dataValidation type="list" allowBlank="1" showInputMessage="1" showErrorMessage="1" prompt="سن بیمه‌شده برای طرحهای امراض خاص پایه، آسایش و ممتاز باید حداقل 2 سال باشد. " sqref="F32" xr:uid="{755DE55B-0BDE-4E57-B076-AA828A1EA0DE}">
      <formula1>INDIRECT($C$26)</formula1>
    </dataValidation>
    <dataValidation type="list" allowBlank="1" showInputMessage="1" showErrorMessage="1" sqref="C24" xr:uid="{4C5F8C9D-B227-4635-994C-52C065B50E39}">
      <formula1>"سالانه"</formula1>
    </dataValidation>
    <dataValidation type="list" allowBlank="1" showInputMessage="1" showErrorMessage="1" sqref="C41" xr:uid="{12D6B2C7-7DE3-4BF7-A83B-974E260B96F2}">
      <formula1>"5,10,15,20,25,30"</formula1>
    </dataValidation>
    <dataValidation type="list" allowBlank="1" showInputMessage="1" showErrorMessage="1" sqref="C8" xr:uid="{0D89634E-4B83-49E6-956A-D5C27F7FE996}">
      <formula1>$S$3:$S$7</formula1>
    </dataValidation>
    <dataValidation type="list" allowBlank="1" showInputMessage="1" showErrorMessage="1" sqref="I6 I60" xr:uid="{77D16AFA-3A03-4219-AA88-164A51E24A8A}">
      <formula1>$U$3:$U$6</formula1>
    </dataValidation>
    <dataValidation type="whole" errorStyle="warning" allowBlank="1" showInputMessage="1" showErrorMessage="1" error=".مدت بیمه نامه الحاقی باید کوچکتر یا مساوی با مدت پرداخت مستمری باشد_x000a_" sqref="F58" xr:uid="{F693A75B-A1F8-4351-8600-88F8A08F5F70}">
      <formula1>0</formula1>
      <formula2>I60</formula2>
    </dataValidation>
  </dataValidations>
  <pageMargins left="0.7" right="0.7" top="0.75" bottom="0.75" header="0.3" footer="0.3"/>
  <pageSetup paperSize="9" scale="65"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J109"/>
  <sheetViews>
    <sheetView topLeftCell="Z1" zoomScale="120" zoomScaleNormal="120" workbookViewId="0">
      <pane ySplit="3" topLeftCell="A4" activePane="bottomLeft" state="frozen"/>
      <selection activeCell="T1" sqref="T1"/>
      <selection pane="bottomLeft" activeCell="T1" sqref="T1"/>
    </sheetView>
  </sheetViews>
  <sheetFormatPr defaultColWidth="9.28515625" defaultRowHeight="15" x14ac:dyDescent="0.25"/>
  <cols>
    <col min="1" max="1" width="20" style="30" hidden="1" customWidth="1"/>
    <col min="2" max="2" width="9.28515625" style="30" hidden="1" customWidth="1"/>
    <col min="3" max="3" width="28.140625" style="31" customWidth="1"/>
    <col min="4" max="4" width="18.140625" style="31" bestFit="1" customWidth="1"/>
    <col min="5" max="5" width="19.28515625" style="31" customWidth="1"/>
    <col min="6" max="6" width="16.140625" style="30" hidden="1" customWidth="1"/>
    <col min="7" max="9" width="14" style="30" hidden="1" customWidth="1"/>
    <col min="10" max="10" width="21" style="30" hidden="1" customWidth="1"/>
    <col min="11" max="11" width="17.85546875" style="30" hidden="1" customWidth="1"/>
    <col min="12" max="12" width="16.28515625" style="30" hidden="1" customWidth="1"/>
    <col min="13" max="13" width="25" style="30" hidden="1" customWidth="1"/>
    <col min="14" max="15" width="13.140625" style="30" hidden="1" customWidth="1"/>
    <col min="16" max="16" width="11" style="30" hidden="1" customWidth="1"/>
    <col min="17" max="17" width="13.85546875" style="30" hidden="1" customWidth="1"/>
    <col min="18" max="18" width="17" style="30" hidden="1" customWidth="1"/>
    <col min="19" max="19" width="17.5703125" style="30" hidden="1" customWidth="1"/>
    <col min="20" max="22" width="27.85546875" style="30" hidden="1" customWidth="1"/>
    <col min="23" max="23" width="12" style="30" hidden="1" customWidth="1"/>
    <col min="24" max="24" width="15.7109375" style="30" hidden="1" customWidth="1"/>
    <col min="25" max="25" width="14.5703125" style="30" hidden="1" customWidth="1"/>
    <col min="26" max="27" width="15.140625" style="30" customWidth="1"/>
    <col min="28" max="28" width="19.5703125" style="30" customWidth="1"/>
    <col min="29" max="29" width="17.85546875" style="30" customWidth="1"/>
    <col min="30" max="30" width="20.85546875" style="30" customWidth="1"/>
    <col min="31" max="31" width="17" style="30" bestFit="1" customWidth="1"/>
    <col min="32" max="32" width="15.7109375" style="30" bestFit="1" customWidth="1"/>
    <col min="33" max="33" width="25.85546875" style="30" customWidth="1"/>
    <col min="34" max="34" width="8.85546875" style="30" customWidth="1"/>
    <col min="35" max="35" width="8.42578125" style="30" customWidth="1"/>
    <col min="36" max="36" width="7" style="30" customWidth="1"/>
    <col min="37" max="16384" width="9.28515625" style="240"/>
  </cols>
  <sheetData>
    <row r="1" spans="1:36" ht="33.75" customHeight="1" thickBot="1" x14ac:dyDescent="0.55000000000000004">
      <c r="A1" s="161"/>
      <c r="B1" s="161"/>
      <c r="C1" s="161"/>
      <c r="D1" s="161"/>
      <c r="E1" s="161"/>
      <c r="F1" s="161"/>
      <c r="G1" s="161"/>
      <c r="H1" s="161"/>
      <c r="I1" s="161"/>
      <c r="J1" s="161"/>
      <c r="N1" s="161"/>
      <c r="O1" s="161"/>
      <c r="P1" s="161"/>
      <c r="Q1" s="161"/>
      <c r="R1" s="161"/>
      <c r="S1" s="161"/>
      <c r="T1" s="161"/>
      <c r="U1" s="161"/>
      <c r="V1" s="161"/>
      <c r="W1" s="161"/>
      <c r="X1" s="161"/>
      <c r="Y1" s="161"/>
      <c r="Z1" s="161"/>
      <c r="AA1" s="161"/>
      <c r="AB1" s="161"/>
      <c r="AC1" s="161"/>
      <c r="AD1" s="161"/>
      <c r="AE1" s="163" t="s">
        <v>69</v>
      </c>
      <c r="AF1" s="18"/>
      <c r="AG1" s="162" t="s">
        <v>70</v>
      </c>
      <c r="AH1" s="161"/>
      <c r="AI1" s="161"/>
      <c r="AJ1" s="161"/>
    </row>
    <row r="2" spans="1:36" s="241" customFormat="1" ht="20.25" thickBot="1" x14ac:dyDescent="0.55000000000000004">
      <c r="A2" s="15"/>
      <c r="B2" s="16"/>
      <c r="C2" s="17" t="str">
        <f>IF(Info!$I$30="بله",IF(Info!$F$30="بله","بله "&amp;Info!$C$30&amp;" برابر ","خیر"),"خیر")</f>
        <v>خیر</v>
      </c>
      <c r="D2" s="288" t="s">
        <v>71</v>
      </c>
      <c r="E2" s="288"/>
      <c r="F2" s="15"/>
      <c r="G2" s="15"/>
      <c r="H2" s="15"/>
      <c r="I2" s="15"/>
      <c r="J2" s="15"/>
      <c r="K2" s="13"/>
      <c r="L2" s="13"/>
      <c r="M2" s="13"/>
      <c r="N2" s="15"/>
      <c r="O2" s="15"/>
      <c r="P2" s="15"/>
      <c r="Q2" s="15"/>
      <c r="R2" s="15"/>
      <c r="S2" s="15"/>
      <c r="T2" s="15"/>
      <c r="U2" s="15"/>
      <c r="V2" s="15"/>
      <c r="W2" s="15"/>
      <c r="X2" s="15"/>
      <c r="Y2" s="15"/>
      <c r="Z2" s="18"/>
      <c r="AA2" s="18"/>
      <c r="AB2" s="17" t="str">
        <f>IF(Info!$I$30="بله","بله","خیر")</f>
        <v>خیر</v>
      </c>
      <c r="AC2" s="288" t="s">
        <v>72</v>
      </c>
      <c r="AD2" s="288"/>
      <c r="AE2" s="163">
        <f>Info!I8</f>
        <v>3000000000</v>
      </c>
      <c r="AF2" s="18"/>
      <c r="AG2" s="162">
        <f>SUM(M4:M23)</f>
        <v>330448800</v>
      </c>
      <c r="AH2" s="15"/>
      <c r="AI2" s="16"/>
      <c r="AJ2" s="16"/>
    </row>
    <row r="3" spans="1:36" s="242" customFormat="1" ht="64.5" customHeight="1" thickBot="1" x14ac:dyDescent="0.5">
      <c r="A3" s="19" t="s">
        <v>73</v>
      </c>
      <c r="B3" s="19" t="s">
        <v>74</v>
      </c>
      <c r="C3" s="19" t="str">
        <f>"  اندوخته صندوق سرمایه گذاری " &amp; Info!C26&amp;" با سود "&amp;ROUND(Info!L38,1)&amp;" درصد (میانگین سود قطعی 5 سال گذشته)"</f>
        <v xml:space="preserve">  اندوخته صندوق سرمایه گذاری رشد1 با سود 32.1 درصد (میانگین سود قطعی 5 سال گذشته)</v>
      </c>
      <c r="D3" s="20" t="s">
        <v>75</v>
      </c>
      <c r="E3" s="19" t="s">
        <v>76</v>
      </c>
      <c r="F3" s="19" t="s">
        <v>77</v>
      </c>
      <c r="G3" s="19" t="s">
        <v>78</v>
      </c>
      <c r="H3" s="19" t="s">
        <v>79</v>
      </c>
      <c r="I3" s="19" t="s">
        <v>80</v>
      </c>
      <c r="J3" s="19" t="s">
        <v>81</v>
      </c>
      <c r="K3" s="19" t="s">
        <v>82</v>
      </c>
      <c r="L3" s="19" t="s">
        <v>83</v>
      </c>
      <c r="M3" s="19" t="s">
        <v>84</v>
      </c>
      <c r="N3" s="19" t="s">
        <v>85</v>
      </c>
      <c r="O3" s="19" t="s">
        <v>86</v>
      </c>
      <c r="P3" s="19" t="s">
        <v>87</v>
      </c>
      <c r="Q3" s="19" t="s">
        <v>88</v>
      </c>
      <c r="R3" s="19" t="s">
        <v>89</v>
      </c>
      <c r="S3" s="19" t="s">
        <v>90</v>
      </c>
      <c r="T3" s="19" t="s">
        <v>91</v>
      </c>
      <c r="U3" s="19" t="s">
        <v>92</v>
      </c>
      <c r="V3" s="19" t="s">
        <v>93</v>
      </c>
      <c r="W3" s="19" t="str">
        <f>CONCATENATE("حق‌بیمه امراض"&amp;" "&amp;Info!F32)</f>
        <v xml:space="preserve">حق‌بیمه امراض </v>
      </c>
      <c r="X3" s="19" t="s">
        <v>94</v>
      </c>
      <c r="Y3" s="19" t="s">
        <v>95</v>
      </c>
      <c r="Z3" s="19" t="s">
        <v>96</v>
      </c>
      <c r="AA3" s="19" t="str">
        <f>CONCATENATE("سرمایه بیماری‌های "&amp;" "&amp;Info!F32)</f>
        <v xml:space="preserve">سرمایه بیماری‌های  </v>
      </c>
      <c r="AB3" s="19" t="s">
        <v>97</v>
      </c>
      <c r="AC3" s="19" t="s">
        <v>98</v>
      </c>
      <c r="AD3" s="19" t="str">
        <f>"سرمایه فوت با تعدیل "&amp;(100*Info!$F$26)&amp;" درصد"</f>
        <v>سرمایه فوت با تعدیل 0 درصد</v>
      </c>
      <c r="AE3" s="19" t="s">
        <v>99</v>
      </c>
      <c r="AF3" s="19" t="str">
        <f>"حق‌بیمه پیشنهادی با تعدیل "&amp;(Info!$F$24*100) &amp; "درصد"</f>
        <v>حق‌بیمه پیشنهادی با تعدیل 0درصد</v>
      </c>
      <c r="AG3" s="19" t="str">
        <f>"حق‌بیمه پیشنهادی با تعدیل "&amp;(100*Info!$F$24)&amp;" درصد"</f>
        <v>حق‌بیمه پیشنهادی با تعدیل 0 درصد</v>
      </c>
      <c r="AH3" s="19" t="s">
        <v>100</v>
      </c>
      <c r="AI3" s="19" t="s">
        <v>101</v>
      </c>
      <c r="AJ3" s="19" t="s">
        <v>2</v>
      </c>
    </row>
    <row r="4" spans="1:36" s="243" customFormat="1" ht="19.5" thickBot="1" x14ac:dyDescent="0.5">
      <c r="A4" s="21">
        <f>IF(B4&gt;0,IF(Info!$C$32="بله",AG4/B4,(AG4+L4)/B4),0)</f>
        <v>300000000</v>
      </c>
      <c r="B4" s="21">
        <f>IF(AND(AI4&gt;=0,AJ4&lt;=Info!$I$6),LOOKUP(Info!$C$24,Rates!$I$2:$I$7,Rates!$F$2:$F$7),0)</f>
        <v>1</v>
      </c>
      <c r="C4" s="21">
        <f>IF(AG4&gt;=0,F4*(1+VLOOKUP(Info!$C$26,Rates!$D$3:$E$7,2,FALSE)),0)</f>
        <v>3605472837.9275169</v>
      </c>
      <c r="D4" s="21">
        <f>IF(AI4&lt;&gt;"",0.9*E4,"")</f>
        <v>2664274338.7942634</v>
      </c>
      <c r="E4" s="21">
        <f>IF(AI4&gt;=0,F4*(1+VLOOKUP(Info!$C$26,Rates!$A$14:$B$19,2,FALSE)),0)</f>
        <v>2960304820.882515</v>
      </c>
      <c r="F4" s="21">
        <f>IF(AI4&lt;&gt;"",(AG4-Y4-L4-K4-J4-I4-H4-G4)+(AF5-N5)+(AF6-N6)+(AF7-N7)+(AF8-N8)+SUM('جدول نمونه'!AF9:AF23)+Info!C36,0)</f>
        <v>2728391539.9838848</v>
      </c>
      <c r="G4" s="21">
        <f>IF(AI4&lt;&gt;"",Rates!$AB$11*(L4),"")</f>
        <v>0</v>
      </c>
      <c r="H4" s="21">
        <f>IF(AI4&lt;&gt;"",(Rates!$AD$11+Rates!$AC$11)*(L4),"")</f>
        <v>0</v>
      </c>
      <c r="I4" s="21">
        <f>IF(AI4&lt;&gt;"",LOOKUP(Info!$C$24,Rates!$I$2:$I$7,Rates!$H$2:$H$7)*(J4+K4+L4+Y4),"")</f>
        <v>0</v>
      </c>
      <c r="J4" s="21">
        <f>IF(N4="",0,N4)+IF(P4="",0,P4)+IF(Q4="",0,Q4)</f>
        <v>98448400</v>
      </c>
      <c r="K4" s="21">
        <f>IF(Y4&lt;&gt;"",Info!$C$34*Y4,"")</f>
        <v>0</v>
      </c>
      <c r="L4" s="21">
        <f>IF(R4="",0,R4)+IF(U4="",0,U4)+IF(W4="",0,W4)+IF(V4="",0,V4)+IF(T4="",0,T4)</f>
        <v>18480000</v>
      </c>
      <c r="M4" s="159">
        <f>SUM(N4:N8)+0.28*(V4+U4+T4)+0.1*R4+0.2*W4+0.03*(SUM(X6:X23))</f>
        <v>283879200</v>
      </c>
      <c r="N4" s="21">
        <f>30/100*O4</f>
        <v>63342000</v>
      </c>
      <c r="O4" s="21">
        <f>IF(AJ4&lt;=10,(1-Info!$C$44)*MIN(30/1000*AD4,0.75*X4),"")</f>
        <v>211140000</v>
      </c>
      <c r="P4" s="21">
        <f>IF(AJ4&lt;=5,IF(AI4&lt;&gt;"",0.002*AD4,"")*(1-Info!$I$44),0)</f>
        <v>15400000</v>
      </c>
      <c r="Q4" s="21">
        <f>(1-Info!$F$44)*IF(AI4&lt;&gt;"",IF(Info!$C$32="بله",0.07*X4,0.07*AG4),"")</f>
        <v>19706400.000000004</v>
      </c>
      <c r="R4" s="21">
        <f>IF(X4&lt;&gt;0,S4*X4,0)*(1-Info!$F$48)</f>
        <v>0</v>
      </c>
      <c r="S4" s="21">
        <f>IF(Info!$I$30="خیر",0,IF(Info!$F$30="بله",IF(Info!$C$30=1,2.3,IF(Info!$C$30=2,3.3,4.3)),1))*IF(AND(AH4&lt;=Rates!$Z$8,AH4&gt;0),(1+Info!$C$34)*(1+LOOKUP(Info!$F$34,Rates!$O$2:$O$9,Rates!$L$2:$L$9)/100)*(LOOKUP(Info!$C$6,Rates!$U$2:$U$108,Rates!$R$2:$R$108)/100),0)</f>
        <v>0</v>
      </c>
      <c r="T4" s="21">
        <f>IF(AI4&lt;71,(1-Info!$F$46)*((AB4*0.0008*(1+(LOOKUP(Info!$I$34,Rates!$O$2:$O$9,Rates!$M$2:$M$9)/100)))),0)</f>
        <v>6160000</v>
      </c>
      <c r="U4" s="21">
        <f>IF(AI4&lt;71,(1-Info!$I$46)*(((AD4*0.0008*Info!$L$30))*(1+(LOOKUP(Info!$I$34,Rates!$O:$O,Rates!$N:$N)/100))),0)</f>
        <v>6160000</v>
      </c>
      <c r="V4" s="151">
        <f>((Z4*0.0008))*(1+(LOOKUP(Info!$I$34,Rates!$O$2:$O$9,Rates!$M$2:$M$9)/100))*(1-Info!$C$46)</f>
        <v>6160000</v>
      </c>
      <c r="W4" s="21">
        <f>IF(AND(AI4&lt;=Rates!$Z$2,AJ4&lt;=Info!$I$6,Info!$F$32="معمولی"),VLOOKUP(AI4,Rates!$U$1:$Y$108,5,0),IF(AND(AI4&lt;=Rates!$Z$2,AJ4&lt;=Info!$I$6,Info!$F$32="پایه"),VLOOKUP(AI4,Rates!$U$1:$Y$108,2,0),IF(AND(AI4&lt;=Rates!$Z$2,AJ4&lt;=Info!$I$6,Info!$F$32="آسایش "),VLOOKUP(AI4,Rates!$U$1:$Y$108,3,0),IF(AND(AI4&lt;=Rates!$Z$2,AJ4&lt;=Info!$I$6,Info!$F$32="ممتاز"),VLOOKUP(AI4,Rates!$U$1:$Y$108,4,0),0))))*AA4/1000000*(1+Info!$C$34)*(1-Info!$I$48)</f>
        <v>0</v>
      </c>
      <c r="X4" s="21">
        <f>IF(Info!$C$32="بله",(AG4-W4-U4-V4-T4)/(1+S4),AG4)</f>
        <v>281520000</v>
      </c>
      <c r="Y4" s="21">
        <f>IF(AI4&gt;=0,(AD4*LOOKUP(AI4,Rates!$U$2:$U$108,Rates!$T$2:$T$108))/SQRT(1.1),0)</f>
        <v>6882060.0161152249</v>
      </c>
      <c r="Z4" s="21">
        <f>IF(AND(AI4&lt;=Rates!$Z$10,AI4&gt;=0),Info!$C$28*(AC4-AD4),0)</f>
        <v>7700000000</v>
      </c>
      <c r="AA4" s="21">
        <f>IF(AND(AI4&lt;=Rates!$Z$2,Info!$F$32="معمولی"),MIN(0.5*$AD$4,300000000,Info!$I$32), IF(AND(AI4&lt;=Rates!$Z$2,AI4&gt;-1),MIN($AD$4,Info!$I$32,5000000000),0))</f>
        <v>5000000000</v>
      </c>
      <c r="AB4" s="21">
        <f>IF(AND(AI4&gt;=0,AI4&lt;=65),AD4*Info!$L$32,0)</f>
        <v>7700000000</v>
      </c>
      <c r="AC4" s="21">
        <f>IF(AND(AI4&gt;=0,AI4&lt;=Rates!$Z$3),AD4*(1+Info!$L$30),AD4)</f>
        <v>15400000000</v>
      </c>
      <c r="AD4" s="21">
        <f>IF(AI4&lt;0,0,IF(AND(AI4&lt;71,AI4&gt;60),MIN(15*AG4,Info!$I$26,5000000000),IF(AI4&gt;=71,MIN(10*AG4,Info!$I$26,3000000000),IF(AI4&lt;15,MIN(10000000000,Info!$I$26),Info!$I$26))))</f>
        <v>7700000000</v>
      </c>
      <c r="AE4" s="21">
        <f>AF4</f>
        <v>300000000</v>
      </c>
      <c r="AF4" s="21">
        <f>IF(AI4&gt;=0,IF(Info!$C$32="بله",AG4,AG4+L4),"")</f>
        <v>300000000</v>
      </c>
      <c r="AG4" s="147">
        <f>IF(AI4&gt;=0,Info!$I$24,"")</f>
        <v>300000000</v>
      </c>
      <c r="AH4" s="148">
        <f>IF(AJ4&lt;&gt;"",Info!$C$6+AJ4-1,0)</f>
        <v>50</v>
      </c>
      <c r="AI4" s="22">
        <f>IF(AJ4&lt;&gt;"",IF(Info!$F$6+AJ4-1&lt;=Rates!$Z$11,Info!$F$6+AJ4-1,0),0)</f>
        <v>2</v>
      </c>
      <c r="AJ4" s="23">
        <f>IF(Info!$I$6&gt;=5,1,"")</f>
        <v>1</v>
      </c>
    </row>
    <row r="5" spans="1:36" s="243" customFormat="1" ht="19.5" thickBot="1" x14ac:dyDescent="0.5">
      <c r="A5" s="24">
        <f>IF(B5&gt;0,IF(Info!$C$32="بله",AG5/B5,(AG5+L5)/B5),0)</f>
        <v>300000000</v>
      </c>
      <c r="B5" s="24">
        <f>IF(AND(AI5&gt;=0,AJ5&lt;=Info!$I$6),LOOKUP(Info!$C$24,Rates!$I$2:$I$7,Rates!$F$2:$F$7),0)</f>
        <v>1</v>
      </c>
      <c r="C5" s="24">
        <f>IF(AG5&lt;&gt;0,(C4+F5)*(1+VLOOKUP(Info!$C$26,Rates!$D$3:$E$7,2,FALSE)),0)</f>
        <v>4685974491.6978254</v>
      </c>
      <c r="D5" s="21">
        <f t="shared" ref="D5:D8" si="0">IF(AI5&lt;&gt;"",0.9*E5,"")</f>
        <v>2832707519.5447273</v>
      </c>
      <c r="E5" s="24">
        <f>IF(AI5&lt;&gt;0,(E4+F5)*(1+VLOOKUP(Info!$C$26,Rates!$A$14:$B$19,2,FALSE)),0)</f>
        <v>3147452799.4941416</v>
      </c>
      <c r="F5" s="24">
        <f>-1*(Y5+W5+V5+U5+T5+R5+Q5+P5+K5)</f>
        <v>-59426664.66671633</v>
      </c>
      <c r="G5" s="24">
        <f>IF(AI5&lt;&gt;"",Rates!$AB$11*(L5),"")</f>
        <v>0</v>
      </c>
      <c r="H5" s="24">
        <f>IF(AI5&lt;&gt;"",(Rates!$AD$11+Rates!$AC$11)*(L5),"")</f>
        <v>0</v>
      </c>
      <c r="I5" s="24">
        <f>IF(AI5&lt;&gt;"",LOOKUP(Info!$C$24,Rates!$I$2:$I$7,Rates!$H$2:$H$7)*(J5+K5+L5+Y5),"")</f>
        <v>0</v>
      </c>
      <c r="J5" s="24">
        <f>IF(N5="",0,N5)+IF(P5="",0,P5)+IF(Q5="",0,Q5)</f>
        <v>72055900</v>
      </c>
      <c r="K5" s="24">
        <f>IF(Y5&lt;&gt;"",Info!$C$34*Y5,"")</f>
        <v>0</v>
      </c>
      <c r="L5" s="24">
        <f t="shared" ref="L5:L68" si="1">IF(R5="",0,R5)+IF(U5="",0,U5)+IF(W5="",0,W5)+IF(V5="",0,V5)+IF(T5="",0,T5)</f>
        <v>18480000</v>
      </c>
      <c r="M5" s="24">
        <f>0.28*(V5+U5+T5)+0.1*R5+0.2*W5</f>
        <v>5174400.0000000009</v>
      </c>
      <c r="N5" s="24">
        <f>N4+0.3*O5-12.5/100*O4</f>
        <v>36949500</v>
      </c>
      <c r="O5" s="24">
        <f>IF(AJ5&lt;=10,(1-Info!$C$44)*IF(OR(Info!$F$24&gt;0,Info!$F$26&gt;0),IF(0.75*$X$4&lt;=0.03*$AD$4,0.75*(X5-X4),0.03*(AD5-AD4)),0),"")</f>
        <v>0</v>
      </c>
      <c r="P5" s="24">
        <f>IF(AJ5&lt;=5,IF(AI5&lt;&gt;"",0.002*AD5,"")*(1-Info!$I$44),0)</f>
        <v>15400000</v>
      </c>
      <c r="Q5" s="24">
        <f>(1-Info!$F$44)*IF(AI5&lt;&gt;"",IF(Info!$C$32="بله",0.07*X5,0.07*AG5),"")</f>
        <v>19706400.000000004</v>
      </c>
      <c r="R5" s="24">
        <f>IF(X5&lt;&gt;0,S5*X5,0)*(1-Info!$F$48)</f>
        <v>0</v>
      </c>
      <c r="S5" s="24">
        <f>IF(Info!$I$30="خیر",0,IF(Info!$F$30="بله",IF(Info!$C$30=1,2.3,IF(Info!$C$30=2,3.3,4.3)),1))*IF(AND(AH5&lt;=Rates!$Z$8,AH5&gt;0),(1+Info!$C$34)*(1+LOOKUP(Info!$F$34,Rates!$O$2:$O$9,Rates!$L$2:$L$9)/100)*(LOOKUP(Info!$C$6,Rates!$U$2:$U$108,Rates!$R$2:$R$108)/100),0)</f>
        <v>0</v>
      </c>
      <c r="T5" s="24">
        <f>IF(AI5&lt;71,(1-Info!$F$46)*((AB5*0.0008*(1+(LOOKUP(Info!$I$34,Rates!$O$2:$O$9,Rates!$M$2:$M$9)/100)))),0)</f>
        <v>6160000</v>
      </c>
      <c r="U5" s="24">
        <f>IF(AI5&lt;71,(1-Info!$I$46)*(((AD5*0.0008*Info!$L$30))*(1+(LOOKUP(Info!$I$34,Rates!$O:$O,Rates!$N:$N)/100))),0)</f>
        <v>6160000</v>
      </c>
      <c r="V5" s="24">
        <f>((Z5*0.0008))*(1+(LOOKUP(Info!$I$34,Rates!$O$2:$O$9,Rates!$M$2:$M$9)/100))*(1-Info!$C$46)</f>
        <v>6160000</v>
      </c>
      <c r="W5" s="24">
        <f>IF(AND(AI5&lt;=Rates!$Z$2,AJ5&lt;=Info!$I$6,Info!$F$32="معمولی"),VLOOKUP(AI5,Rates!$U$1:$Y$108,5,0),IF(AND(AI5&lt;=Rates!$Z$2,AJ5&lt;=Info!$I$6,Info!$F$32="پایه"),VLOOKUP(AI5,Rates!$U$1:$Y$108,2,0),IF(AND(AI5&lt;=Rates!$Z$2,AJ5&lt;=Info!$I$6,Info!$F$32="آسایش "),VLOOKUP(AI5,Rates!$U$1:$Y$108,3,0),IF(AND(AI5&lt;=Rates!$Z$2,AJ5&lt;=Info!$I$6,Info!$F$32="ممتاز"),VLOOKUP(AI5,Rates!$U$1:$Y$108,4,0),0))))*AA5/1000000*(1+Info!$C$34)*(1-Info!$I$48)</f>
        <v>0</v>
      </c>
      <c r="X5" s="24">
        <f>IF(Info!$C$32="بله",(AG5-W5-U5-V5-T5)/(1+S5),AG5)</f>
        <v>281520000</v>
      </c>
      <c r="Y5" s="24">
        <f>IF(AI5&lt;&gt;0,(AD5*LOOKUP(AI5,Rates!$U$2:$U$108,Rates!$T$2:$T$108))/SQRT(1.1),0)</f>
        <v>5840264.666716327</v>
      </c>
      <c r="Z5" s="24">
        <f>IF(AND(AI5&lt;=Rates!$Z$10,AI5&gt;=0),Info!$C$28*(AC5-AD5),0)</f>
        <v>7700000000</v>
      </c>
      <c r="AA5" s="24">
        <f>IF(AND(AI5&gt;=0,AI5&lt;=Rates!$Z$2,AG5&gt;0),MIN(AA4*(1+Info!$F$26),5000000000),0)</f>
        <v>5000000000</v>
      </c>
      <c r="AB5" s="24">
        <f>IF(AND(AI5&gt;=0,AI5&lt;=65),AD5*Info!$L$32,0)</f>
        <v>7700000000</v>
      </c>
      <c r="AC5" s="24">
        <f>IF(AND(AI5&gt;=0,AI5&lt;=Rates!$Z$3),AD5*(1+Info!$L$30),AD5)</f>
        <v>15400000000</v>
      </c>
      <c r="AD5" s="24">
        <f>IF(AI5&lt;&gt;0,AD4*(1+Info!$F$26),0)</f>
        <v>7700000000</v>
      </c>
      <c r="AE5" s="24">
        <f>IF(AI5&lt;&gt;0,AF5+AE4,0)</f>
        <v>600000000</v>
      </c>
      <c r="AF5" s="24">
        <f>IF(AI5&gt;=0,IF(Info!$C$32="بله",AG5,AG5+L5),"")</f>
        <v>300000000</v>
      </c>
      <c r="AG5" s="146">
        <f>IF(AI5&lt;&gt;0,AG4*(1+Info!$F$24),0)</f>
        <v>300000000</v>
      </c>
      <c r="AH5" s="149">
        <f>IF(AJ5&lt;&gt;"",Info!$C$6+AJ5-1,0)</f>
        <v>51</v>
      </c>
      <c r="AI5" s="26">
        <f>IF(AJ5&lt;&gt;"",IF(Info!$F$6+AJ5-1&lt;=Rates!$Z$11,Info!$F$6+AJ5-1,0),0)</f>
        <v>3</v>
      </c>
      <c r="AJ5" s="27">
        <f>IF(AI4&lt;&gt;"",IF(AND(AJ4&lt;&gt;"",AI4+1&lt;=Rates!$Z$11),IF(AJ4&lt;&gt;0,IF(AJ4+1&lt;=Info!$I$6,AJ4+1,""),0),""),"")</f>
        <v>2</v>
      </c>
    </row>
    <row r="6" spans="1:36" s="243" customFormat="1" ht="19.5" thickBot="1" x14ac:dyDescent="0.5">
      <c r="A6" s="25">
        <f>IF(B6&gt;0,IF(Info!$C$32="بله",AG6/B6,(AG6+L6)/B6),0)</f>
        <v>300000000</v>
      </c>
      <c r="B6" s="25">
        <f>IF(AND(AI6&gt;=0,AJ6&lt;=Info!$I$6),LOOKUP(Info!$C$24,Rates!$I$2:$I$7,Rates!$F$2:$F$7),0)</f>
        <v>1</v>
      </c>
      <c r="C6" s="25">
        <f>IF(AG6&lt;&gt;0,(C5+F6)*(1+VLOOKUP(Info!$C$26,Rates!$D$3:$E$7,2,FALSE)),0)</f>
        <v>6114506200.0374317</v>
      </c>
      <c r="D6" s="21">
        <f t="shared" si="0"/>
        <v>3015965197.1316447</v>
      </c>
      <c r="E6" s="25">
        <f>IF(AI6&lt;&gt;0,(E5+F6)*(1+VLOOKUP(Info!$C$26,Rates!$A$14:$B$19,2,FALSE)),0)</f>
        <v>3351072441.2573829</v>
      </c>
      <c r="F6" s="24">
        <f t="shared" ref="F6:F23" si="2">-1*(Y6+W6+V6+U6+T6+R6+Q6+P6+K6)</f>
        <v>-58906770.685493544</v>
      </c>
      <c r="G6" s="25">
        <f>IF(AI6&lt;&gt;"",Rates!$AB$11*(L6),"")</f>
        <v>0</v>
      </c>
      <c r="H6" s="25">
        <f>IF(AI6&lt;&gt;"",(Rates!$AD$11+Rates!$AC$11)*(L6),"")</f>
        <v>0</v>
      </c>
      <c r="I6" s="25">
        <f>IF(AI6&lt;&gt;"",LOOKUP(Info!$C$24,Rates!$I$2:$I$7,Rates!$H$2:$H$7)*(J6+K6+L6+Y6),"")</f>
        <v>0</v>
      </c>
      <c r="J6" s="25">
        <f t="shared" ref="J6:J47" si="3">IF(N6="",0,N6)+IF(P6="",0,P6)+IF(Q6="",0,Q6)</f>
        <v>72055900</v>
      </c>
      <c r="K6" s="25">
        <f>IF(Y6&lt;&gt;"",Info!$C$34*Y6,"")</f>
        <v>0</v>
      </c>
      <c r="L6" s="25">
        <f t="shared" si="1"/>
        <v>18480000</v>
      </c>
      <c r="M6" s="24">
        <f t="shared" ref="M6:M23" si="4">0.28*(V6+U6+T6)+0.1*R6+0.2*W6</f>
        <v>5174400.0000000009</v>
      </c>
      <c r="N6" s="25">
        <f>N5+0.3*O6-12.5/100*O5</f>
        <v>36949500</v>
      </c>
      <c r="O6" s="25">
        <f>IF(AJ6&lt;=10,(1-Info!$C$44)*IF(OR(Info!$F$24&gt;0,Info!$F$26&gt;0),IF(0.75*$X$4&lt;=0.03*$AD$4,0.75*(X6-X5),0.03*(AD6-AD5)),0),"")</f>
        <v>0</v>
      </c>
      <c r="P6" s="25">
        <f>IF(AJ6&lt;=5,IF(AI6&lt;&gt;"",0.002*AD6,"")*(1-Info!$I$44),0)</f>
        <v>15400000</v>
      </c>
      <c r="Q6" s="25">
        <f>(1-Info!$F$44)*IF(AI6&lt;&gt;"",IF(Info!$C$32="بله",0.07*X6,0.07*AG6),"")</f>
        <v>19706400.000000004</v>
      </c>
      <c r="R6" s="25">
        <f>IF(X6&lt;&gt;0,S6*X6,0)*(1-Info!$F$48)</f>
        <v>0</v>
      </c>
      <c r="S6" s="25">
        <f>IF(Info!$I$30="خیر",0,IF(Info!$F$30="بله",IF(Info!$C$30=1,2.3,IF(Info!$C$30=2,3.3,4.3)),1))*IF(AND(AH6&lt;=Rates!$Z$8,AH6&gt;0),(1+Info!$C$34)*(1+LOOKUP(Info!$F$34,Rates!$O$2:$O$9,Rates!$L$2:$L$9)/100)*(LOOKUP(Info!$C$6,Rates!$U$2:$U$108,Rates!$R$2:$R$108)/100),0)</f>
        <v>0</v>
      </c>
      <c r="T6" s="25">
        <f>IF(AI6&lt;71,(1-Info!$F$46)*((AB6*0.0008*(1+(LOOKUP(Info!$I$34,Rates!$O$2:$O$9,Rates!$M$2:$M$9)/100)))),0)</f>
        <v>6160000</v>
      </c>
      <c r="U6" s="25">
        <f>IF(AI6&lt;71,(1-Info!$I$46)*(((AD6*0.0008*Info!$L$30))*(1+(LOOKUP(Info!$I$34,Rates!$O:$O,Rates!$N:$N)/100))),0)</f>
        <v>6160000</v>
      </c>
      <c r="V6" s="25">
        <f>((Z6*0.0008))*(1+(LOOKUP(Info!$I$34,Rates!$O$2:$O$9,Rates!$M$2:$M$9)/100))*(1-Info!$C$46)</f>
        <v>6160000</v>
      </c>
      <c r="W6" s="25">
        <f>IF(AND(AI6&lt;=Rates!$Z$2,AJ6&lt;=Info!$I$6,Info!$F$32="معمولی"),VLOOKUP(AI6,Rates!$U$1:$Y$108,5,0),IF(AND(AI6&lt;=Rates!$Z$2,AJ6&lt;=Info!$I$6,Info!$F$32="پایه"),VLOOKUP(AI6,Rates!$U$1:$Y$108,2,0),IF(AND(AI6&lt;=Rates!$Z$2,AJ6&lt;=Info!$I$6,Info!$F$32="آسایش "),VLOOKUP(AI6,Rates!$U$1:$Y$108,3,0),IF(AND(AI6&lt;=Rates!$Z$2,AJ6&lt;=Info!$I$6,Info!$F$32="ممتاز"),VLOOKUP(AI6,Rates!$U$1:$Y$108,4,0),0))))*AA6/1000000*(1+Info!$C$34)*(1-Info!$I$48)</f>
        <v>0</v>
      </c>
      <c r="X6" s="25">
        <f>IF(Info!$C$32="بله",(AG6-W6-U6-V6-T6)/(1+S6),AG6)</f>
        <v>281520000</v>
      </c>
      <c r="Y6" s="25">
        <f>IF(AI6&lt;&gt;0,(AD6*LOOKUP(AI6,Rates!$U$2:$U$108,Rates!$T$2:$T$108))/SQRT(1.1),0)</f>
        <v>5320370.6854935391</v>
      </c>
      <c r="Z6" s="25">
        <f>IF(AND(AI6&lt;=Rates!$Z$10,AI6&gt;=0),Info!$C$28*(AC6-AD6),0)</f>
        <v>7700000000</v>
      </c>
      <c r="AA6" s="25">
        <f>IF(AND(AI6&gt;=0,AI6&lt;=Rates!$Z$2,AG6&gt;0),MIN(AA5*(1+Info!$F$26),5000000000),0)</f>
        <v>5000000000</v>
      </c>
      <c r="AB6" s="25">
        <f>IF(AND(AI6&gt;=0,AI6&lt;=65),AD6*Info!$L$32,0)</f>
        <v>7700000000</v>
      </c>
      <c r="AC6" s="25">
        <f>IF(AND(AI6&gt;=0,AI6&lt;=Rates!$Z$3),AD6*(1+Info!$L$30),AD6)</f>
        <v>15400000000</v>
      </c>
      <c r="AD6" s="25">
        <f>IF(AI6&lt;&gt;0,AD5*(1+Info!$F$26),0)</f>
        <v>7700000000</v>
      </c>
      <c r="AE6" s="25">
        <f t="shared" ref="AE6:AE47" si="5">IF(AI6&lt;&gt;0,AF6+AE5,0)</f>
        <v>900000000</v>
      </c>
      <c r="AF6" s="155">
        <f>IF(AI6&gt;=0,IF(Info!$C$32="بله",AG6,AG6+L6),"")</f>
        <v>300000000</v>
      </c>
      <c r="AG6" s="145">
        <f>IF(AI6&lt;&gt;0,AG5*(1+Info!$F$24),0)</f>
        <v>300000000</v>
      </c>
      <c r="AH6" s="150">
        <f>IF(AJ6&lt;&gt;"",Info!$C$6+AJ6-1,0)</f>
        <v>52</v>
      </c>
      <c r="AI6" s="28">
        <f>IF(AJ6&lt;&gt;"",IF(Info!$F$6+AJ6-1&lt;=Rates!$Z$11,Info!$F$6+AJ6-1,0),0)</f>
        <v>4</v>
      </c>
      <c r="AJ6" s="29">
        <f>IF(AI5&lt;&gt;"",IF(AND(AJ5&lt;&gt;"",AI5+1&lt;=Rates!$Z$11),IF(AJ5&lt;&gt;0,IF(AJ5+1&lt;=Info!$I$6,AJ5+1,""),0),""),"")</f>
        <v>3</v>
      </c>
    </row>
    <row r="7" spans="1:36" s="243" customFormat="1" ht="19.5" thickBot="1" x14ac:dyDescent="0.5">
      <c r="A7" s="24">
        <f>IF(B7&gt;0,IF(Info!$C$32="بله",AG7/B7,(AG7+L7)/B7),0)</f>
        <v>300000000</v>
      </c>
      <c r="B7" s="24">
        <f>IF(AND(AI7&gt;=0,AJ7&lt;=Info!$I$6),LOOKUP(Info!$C$24,Rates!$I$2:$I$7,Rates!$F$2:$F$7),0)</f>
        <v>1</v>
      </c>
      <c r="C7" s="24">
        <f>IF(AG7&lt;&gt;0,(C6+F7)*(1+VLOOKUP(Info!$C$26,Rates!$D$3:$E$7,2,FALSE)),0)</f>
        <v>8002948853.8733702</v>
      </c>
      <c r="D7" s="21">
        <f t="shared" si="0"/>
        <v>3215308597.8898516</v>
      </c>
      <c r="E7" s="24">
        <f>IF(AI7&lt;&gt;0,(E6+F7)*(1+VLOOKUP(Info!$C$26,Rates!$A$14:$B$19,2,FALSE)),0)</f>
        <v>3572565108.7665014</v>
      </c>
      <c r="F7" s="24">
        <f t="shared" si="2"/>
        <v>-58385705.067058861</v>
      </c>
      <c r="G7" s="24">
        <f>IF(AI7&lt;&gt;"",Rates!$AB$11*(L7),"")</f>
        <v>0</v>
      </c>
      <c r="H7" s="24">
        <f>IF(AI7&lt;&gt;"",(Rates!$AD$11+Rates!$AC$11)*(L7),"")</f>
        <v>0</v>
      </c>
      <c r="I7" s="24">
        <f>IF(AI7&lt;&gt;"",LOOKUP(Info!$C$24,Rates!$I$2:$I$7,Rates!$H$2:$H$7)*(J7+K7+L7+Y7),"")</f>
        <v>0</v>
      </c>
      <c r="J7" s="24">
        <f t="shared" si="3"/>
        <v>72055900</v>
      </c>
      <c r="K7" s="24">
        <f>IF(Y7&lt;&gt;"",Info!$C$34*Y7,"")</f>
        <v>0</v>
      </c>
      <c r="L7" s="24">
        <f t="shared" si="1"/>
        <v>18480000</v>
      </c>
      <c r="M7" s="24">
        <f t="shared" si="4"/>
        <v>5174400.0000000009</v>
      </c>
      <c r="N7" s="24">
        <f>N6+0.3*O7-12.5/100*O6</f>
        <v>36949500</v>
      </c>
      <c r="O7" s="24">
        <f>IF(AJ7&lt;=10,(1-Info!$C$44)*IF(OR(Info!$F$24&gt;0,Info!$F$26&gt;0),IF(0.75*$X$4&lt;=0.03*$AD$4,0.75*(X7-X6),0.03*(AD7-AD6)),0),"")</f>
        <v>0</v>
      </c>
      <c r="P7" s="24">
        <f>IF(AJ7&lt;=5,IF(AI7&lt;&gt;"",0.002*AD7,"")*(1-Info!$I$44),0)</f>
        <v>15400000</v>
      </c>
      <c r="Q7" s="24">
        <f>(1-Info!$F$44)*IF(AI7&lt;&gt;"",IF(Info!$C$32="بله",0.07*X7,0.07*AG7),"")</f>
        <v>19706400.000000004</v>
      </c>
      <c r="R7" s="24">
        <f>IF(X7&lt;&gt;0,S7*X7,0)*(1-Info!$F$48)</f>
        <v>0</v>
      </c>
      <c r="S7" s="24">
        <f>IF(Info!$I$30="خیر",0,IF(Info!$F$30="بله",IF(Info!$C$30=1,2.3,IF(Info!$C$30=2,3.3,4.3)),1))*IF(AND(AH7&lt;=Rates!$Z$8,AH7&gt;0),(1+Info!$C$34)*(1+LOOKUP(Info!$F$34,Rates!$O$2:$O$9,Rates!$L$2:$L$9)/100)*(LOOKUP(Info!$C$6,Rates!$U$2:$U$108,Rates!$R$2:$R$108)/100),0)</f>
        <v>0</v>
      </c>
      <c r="T7" s="24">
        <f>IF(AI7&lt;71,(1-Info!$F$46)*((AB7*0.0008*(1+(LOOKUP(Info!$I$34,Rates!$O$2:$O$9,Rates!$M$2:$M$9)/100)))),0)</f>
        <v>6160000</v>
      </c>
      <c r="U7" s="24">
        <f>IF(AI7&lt;71,(1-Info!$I$46)*(((AD7*0.0008*Info!$L$30))*(1+(LOOKUP(Info!$I$34,Rates!$O:$O,Rates!$N:$N)/100))),0)</f>
        <v>6160000</v>
      </c>
      <c r="V7" s="24">
        <f>((Z7*0.0008))*(1+(LOOKUP(Info!$I$34,Rates!$O$2:$O$9,Rates!$M$2:$M$9)/100))*(1-Info!$C$46)</f>
        <v>6160000</v>
      </c>
      <c r="W7" s="24">
        <f>IF(AND(AI7&lt;=Rates!$Z$2,AJ7&lt;=Info!$I$6,Info!$F$32="معمولی"),VLOOKUP(AI7,Rates!$U$1:$Y$108,5,0),IF(AND(AI7&lt;=Rates!$Z$2,AJ7&lt;=Info!$I$6,Info!$F$32="پایه"),VLOOKUP(AI7,Rates!$U$1:$Y$108,2,0),IF(AND(AI7&lt;=Rates!$Z$2,AJ7&lt;=Info!$I$6,Info!$F$32="آسایش "),VLOOKUP(AI7,Rates!$U$1:$Y$108,3,0),IF(AND(AI7&lt;=Rates!$Z$2,AJ7&lt;=Info!$I$6,Info!$F$32="ممتاز"),VLOOKUP(AI7,Rates!$U$1:$Y$108,4,0),0))))*AA7/1000000*(1+Info!$C$34)*(1-Info!$I$48)</f>
        <v>0</v>
      </c>
      <c r="X7" s="24">
        <f>IF(Info!$C$32="بله",(AG7-W7-U7-V7-T7)/(1+S7),AG7)</f>
        <v>281520000</v>
      </c>
      <c r="Y7" s="24">
        <f>IF(AI7&lt;&gt;0,(AD7*LOOKUP(AI7,Rates!$U$2:$U$108,Rates!$T$2:$T$108))/SQRT(1.1),0)</f>
        <v>4799305.0670588622</v>
      </c>
      <c r="Z7" s="24">
        <f>IF(AND(AI7&lt;=Rates!$Z$10,AI7&gt;=0),Info!$C$28*(AC7-AD7),0)</f>
        <v>7700000000</v>
      </c>
      <c r="AA7" s="24">
        <f>IF(AND(AI7&gt;=0,AI7&lt;=Rates!$Z$2,AG7&gt;0),MIN(AA6*(1+Info!$F$26),5000000000),0)</f>
        <v>5000000000</v>
      </c>
      <c r="AB7" s="24">
        <f>IF(AND(AI7&gt;=0,AI7&lt;=65),AD7*Info!$L$32,0)</f>
        <v>7700000000</v>
      </c>
      <c r="AC7" s="24">
        <f>IF(AND(AI7&gt;=0,AI7&lt;=Rates!$Z$3),AD7*(1+Info!$L$30),AD7)</f>
        <v>15400000000</v>
      </c>
      <c r="AD7" s="24">
        <f>IF(AI7&lt;&gt;0,AD6*(1+Info!$F$26),0)</f>
        <v>7700000000</v>
      </c>
      <c r="AE7" s="24">
        <f t="shared" si="5"/>
        <v>1200000000</v>
      </c>
      <c r="AF7" s="24">
        <f>IF(AI7&gt;=0,IF(Info!$C$32="بله",AG7,AG7+L7),"")</f>
        <v>300000000</v>
      </c>
      <c r="AG7" s="146">
        <f>IF(AI7&lt;&gt;0,AG6*(1+Info!$F$24),0)</f>
        <v>300000000</v>
      </c>
      <c r="AH7" s="149">
        <f>IF(AJ7&lt;&gt;"",Info!$C$6+AJ7-1,0)</f>
        <v>53</v>
      </c>
      <c r="AI7" s="26">
        <f>IF(AJ7&lt;&gt;"",IF(Info!$F$6+AJ7-1&lt;=Rates!$Z$11,Info!$F$6+AJ7-1,0),0)</f>
        <v>5</v>
      </c>
      <c r="AJ7" s="27">
        <f>IF(AI6&lt;&gt;"",IF(AND(AJ6&lt;&gt;"",AI6+1&lt;=Rates!$Z$11),IF(AJ6&lt;&gt;0,IF(AJ6+1&lt;=Info!$I$6,AJ6+1,""),0),""),"")</f>
        <v>4</v>
      </c>
    </row>
    <row r="8" spans="1:36" s="243" customFormat="1" ht="18.75" x14ac:dyDescent="0.45">
      <c r="A8" s="25">
        <f>IF(B8&gt;0,IF(Info!$C$32="بله",AG8/B8,(AG8+L8)/B8),0)</f>
        <v>300000000</v>
      </c>
      <c r="B8" s="25">
        <f>IF(AND(AI8&gt;=0,AJ8&lt;=Info!$I$6),LOOKUP(Info!$C$24,Rates!$I$2:$I$7,Rates!$F$2:$F$7),0)</f>
        <v>1</v>
      </c>
      <c r="C8" s="25">
        <f>IF(AG8&lt;&gt;0,(C7+F8)*(1+VLOOKUP(Info!$C$26,Rates!$D$3:$E$7,2,FALSE)),0)</f>
        <v>10498950625.042061</v>
      </c>
      <c r="D8" s="21">
        <f t="shared" si="0"/>
        <v>3431959496.0766439</v>
      </c>
      <c r="E8" s="25">
        <f>IF(AI8&lt;&gt;0,(E7+F8)*(1+VLOOKUP(Info!$C$26,Rates!$A$14:$B$19,2,FALSE)),0)</f>
        <v>3813288328.9740486</v>
      </c>
      <c r="F8" s="24">
        <f t="shared" si="2"/>
        <v>-58013653.490880519</v>
      </c>
      <c r="G8" s="25">
        <f>IF(AI8&lt;&gt;"",Rates!$AB$11*(L8),"")</f>
        <v>0</v>
      </c>
      <c r="H8" s="25">
        <f>IF(AI8&lt;&gt;"",(Rates!$AD$11+Rates!$AC$11)*(L8),"")</f>
        <v>0</v>
      </c>
      <c r="I8" s="25">
        <f>IF(AI8&lt;&gt;"",LOOKUP(Info!$C$24,Rates!$I$2:$I$7,Rates!$H$2:$H$7)*(J8+K8+L8+Y8),"")</f>
        <v>0</v>
      </c>
      <c r="J8" s="25">
        <f>IF(N8="",0,N8)+IF(P8="",0,P8)+IF(Q8="",0,Q8)</f>
        <v>72055900</v>
      </c>
      <c r="K8" s="25">
        <f>IF(Y8&lt;&gt;"",Info!$C$34*Y8,"")</f>
        <v>0</v>
      </c>
      <c r="L8" s="25">
        <f t="shared" si="1"/>
        <v>18480000</v>
      </c>
      <c r="M8" s="24">
        <f t="shared" si="4"/>
        <v>5174400.0000000009</v>
      </c>
      <c r="N8" s="25">
        <f t="shared" ref="N8" si="6">N7+0.3*O8-12.5/100*O7</f>
        <v>36949500</v>
      </c>
      <c r="O8" s="25">
        <f>IF(AJ8&lt;=10,(1-Info!$C$44)*IF(OR(Info!$F$24&gt;0,Info!$F$26&gt;0),IF(0.75*$X$4&lt;=0.03*$AD$4,0.75*(X8-X7),0.03*(AD8-AD7)),0),"")</f>
        <v>0</v>
      </c>
      <c r="P8" s="25">
        <f>IF(AJ8&lt;=5,IF(AI8&lt;&gt;"",0.002*AD8,"")*(1-Info!$I$44),0)</f>
        <v>15400000</v>
      </c>
      <c r="Q8" s="25">
        <f>(1-Info!$F$44)*IF(AI8&lt;&gt;"",IF(Info!$C$32="بله",0.07*X8,0.07*AG8),"")</f>
        <v>19706400.000000004</v>
      </c>
      <c r="R8" s="25">
        <f>IF(X8&lt;&gt;0,S8*X8,0)*(1-Info!$F$48)</f>
        <v>0</v>
      </c>
      <c r="S8" s="25">
        <f>IF(Info!$I$30="خیر",0,IF(Info!$F$30="بله",IF(Info!$C$30=1,2.3,IF(Info!$C$30=2,3.3,4.3)),1))*IF(AND(AH8&lt;=Rates!$Z$8,AH8&gt;0),(1+Info!$C$34)*(1+LOOKUP(Info!$F$34,Rates!$O$2:$O$9,Rates!$L$2:$L$9)/100)*(LOOKUP(Info!$C$6,Rates!$U$2:$U$108,Rates!$R$2:$R$108)/100),0)</f>
        <v>0</v>
      </c>
      <c r="T8" s="25">
        <f>IF(AI8&lt;71,(1-Info!$F$46)*((AB8*0.0008*(1+(LOOKUP(Info!$I$34,Rates!$O$2:$O$9,Rates!$M$2:$M$9)/100)))),0)</f>
        <v>6160000</v>
      </c>
      <c r="U8" s="25">
        <f>IF(AI8&lt;71,(1-Info!$I$46)*(((AD8*0.0008*Info!$L$30))*(1+(LOOKUP(Info!$I$34,Rates!$O:$O,Rates!$N:$N)/100))),0)</f>
        <v>6160000</v>
      </c>
      <c r="V8" s="25">
        <f>((Z8*0.0008))*(1+(LOOKUP(Info!$I$34,Rates!$O$2:$O$9,Rates!$M$2:$M$9)/100))*(1-Info!$C$46)</f>
        <v>6160000</v>
      </c>
      <c r="W8" s="25">
        <f>IF(AND(AI8&lt;=Rates!$Z$2,AJ8&lt;=Info!$I$6,Info!$F$32="معمولی"),VLOOKUP(AI8,Rates!$U$1:$Y$108,5,0),IF(AND(AI8&lt;=Rates!$Z$2,AJ8&lt;=Info!$I$6,Info!$F$32="پایه"),VLOOKUP(AI8,Rates!$U$1:$Y$108,2,0),IF(AND(AI8&lt;=Rates!$Z$2,AJ8&lt;=Info!$I$6,Info!$F$32="آسایش "),VLOOKUP(AI8,Rates!$U$1:$Y$108,3,0),IF(AND(AI8&lt;=Rates!$Z$2,AJ8&lt;=Info!$I$6,Info!$F$32="ممتاز"),VLOOKUP(AI8,Rates!$U$1:$Y$108,4,0),0))))*AA8/1000000*(1+Info!$C$34)*(1-Info!$I$48)</f>
        <v>0</v>
      </c>
      <c r="X8" s="25">
        <f>IF(Info!$C$32="بله",(AG8-W8-U8-V8-T8)/(1+S8),AG8)</f>
        <v>281520000</v>
      </c>
      <c r="Y8" s="25">
        <f>IF(AI8&lt;&gt;0,(AD8*LOOKUP(AI8,Rates!$U$2:$U$108,Rates!$T$2:$T$108))/SQRT(1.1),0)</f>
        <v>4427253.4908805136</v>
      </c>
      <c r="Z8" s="25">
        <f>IF(AND(AI8&lt;=Rates!$Z$10,AI8&gt;=0),Info!$C$28*(AC8-AD8),0)</f>
        <v>7700000000</v>
      </c>
      <c r="AA8" s="25">
        <f>IF(AND(AI8&gt;=0,AI8&lt;=Rates!$Z$2,AG8&gt;0),MIN(AA7*(1+Info!$F$26),5000000000),0)</f>
        <v>5000000000</v>
      </c>
      <c r="AB8" s="25">
        <f>IF(AND(AI8&gt;=0,AI8&lt;=65),AD8*Info!$L$32,0)</f>
        <v>7700000000</v>
      </c>
      <c r="AC8" s="25">
        <f>IF(AND(AI8&gt;=0,AI8&lt;=Rates!$Z$3),AD8*(1+Info!$L$30),AD8)</f>
        <v>15400000000</v>
      </c>
      <c r="AD8" s="25">
        <f>IF(AI8&lt;&gt;0,AD7*(1+Info!$F$26),0)</f>
        <v>7700000000</v>
      </c>
      <c r="AE8" s="25">
        <f t="shared" si="5"/>
        <v>1500000000</v>
      </c>
      <c r="AF8" s="25">
        <f>IF(AI8&gt;=0,IF(Info!$C$32="بله",AG8,AG8+L8),"")</f>
        <v>300000000</v>
      </c>
      <c r="AG8" s="145">
        <f>IF(AI8&lt;&gt;0,AG7*(1+Info!$F$24),0)</f>
        <v>300000000</v>
      </c>
      <c r="AH8" s="150">
        <f>IF(AJ8&lt;&gt;"",Info!$C$6+AJ8-1,0)</f>
        <v>54</v>
      </c>
      <c r="AI8" s="28">
        <f>IF(AJ8&lt;&gt;"",IF(Info!$F$6+AJ8-1&lt;=Rates!$Z$11,Info!$F$6+AJ8-1,0),0)</f>
        <v>6</v>
      </c>
      <c r="AJ8" s="29">
        <f>IF(AI7&lt;&gt;"",IF(AND(AJ7&lt;&gt;"",AI7+1&lt;=Rates!$Z$11),IF(AJ7&lt;&gt;0,IF(AJ7+1&lt;=Info!$I$6,AJ7+1,""),0),""),"")</f>
        <v>5</v>
      </c>
    </row>
    <row r="9" spans="1:36" s="243" customFormat="1" ht="18.75" x14ac:dyDescent="0.45">
      <c r="A9" s="24">
        <f>IF(B9&gt;0,IF(Info!$C$32="بله",AG9/B9,(AG9+L9)/B9),0)</f>
        <v>300000000</v>
      </c>
      <c r="B9" s="24">
        <f>IF(AND(AI9&gt;=0,AJ9&lt;=Info!$I$6),LOOKUP(Info!$C$24,Rates!$I$2:$I$7,Rates!$F$2:$F$7),0)</f>
        <v>1</v>
      </c>
      <c r="C9" s="24">
        <f>IF(AG9&lt;&gt;0,(C8+F9)*(1+VLOOKUP(Info!$C$26,Rates!$D$3:$E$7,2,FALSE)),0)</f>
        <v>13817874074.849718</v>
      </c>
      <c r="D9" s="24">
        <f t="shared" ref="D9:D38" si="7">IF(AI9&lt;&gt;"",E9,"")</f>
        <v>4091342055.5825205</v>
      </c>
      <c r="E9" s="24">
        <f>IF(AI9&lt;&gt;0,(E8+F9)*(1+VLOOKUP(Info!$C$26,Rates!$A$14:$B$19,2,FALSE)),0)</f>
        <v>4091342055.5825205</v>
      </c>
      <c r="F9" s="24">
        <f t="shared" si="2"/>
        <v>-42466157.930250458</v>
      </c>
      <c r="G9" s="24">
        <f>IF(AI9&lt;&gt;"",Rates!$AB$11*(L9),"")</f>
        <v>0</v>
      </c>
      <c r="H9" s="24">
        <f>IF(AI9&lt;&gt;"",(Rates!$AD$11+Rates!$AC$11)*(L9),"")</f>
        <v>0</v>
      </c>
      <c r="I9" s="24">
        <f>IF(AI9&lt;&gt;"",LOOKUP(Info!$C$24,Rates!$I$2:$I$7,Rates!$H$2:$H$7)*(J9+K9+L9+Y9),"")</f>
        <v>0</v>
      </c>
      <c r="J9" s="24">
        <f t="shared" si="3"/>
        <v>19706400.000000004</v>
      </c>
      <c r="K9" s="24">
        <f>IF(Y9&lt;&gt;"",Info!$C$34*Y9,"")</f>
        <v>0</v>
      </c>
      <c r="L9" s="24">
        <f t="shared" si="1"/>
        <v>18480000</v>
      </c>
      <c r="M9" s="24">
        <f t="shared" si="4"/>
        <v>5174400.0000000009</v>
      </c>
      <c r="N9" s="24"/>
      <c r="O9" s="24">
        <f>IF(AJ9&lt;=10,(1-Info!$C$44)*IF(OR(Info!$F$24&gt;0,Info!$F$26&gt;0),IF(0.75*$X$4&lt;=0.03*$AD$4,0.75*(X9-X8),0.03*(AD9-AD8)),0),"")</f>
        <v>0</v>
      </c>
      <c r="P9" s="24">
        <f>IF(AJ9&lt;=5,IF(AI9&lt;&gt;"",0.002*AD9,"")*(1-Info!$I$44),0)</f>
        <v>0</v>
      </c>
      <c r="Q9" s="24">
        <f>(1-Info!$F$44)*IF(AI9&lt;&gt;"",IF(Info!$C$32="بله",0.07*X9,0.07*AG9),"")</f>
        <v>19706400.000000004</v>
      </c>
      <c r="R9" s="24">
        <f>IF(X9&lt;&gt;0,S9*X9,0)*(1-Info!$F$48)</f>
        <v>0</v>
      </c>
      <c r="S9" s="24">
        <f>IF(Info!$I$30="خیر",0,IF(Info!$F$30="بله",IF(Info!$C$30=1,2.3,IF(Info!$C$30=2,3.3,4.3)),1))*IF(AND(AH9&lt;=Rates!$Z$8,AH9&gt;0),(1+Info!$C$34)*(1+LOOKUP(Info!$F$34,Rates!$O$2:$O$9,Rates!$L$2:$L$9)/100)*(LOOKUP(Info!$C$6,Rates!$U$2:$U$108,Rates!$R$2:$R$108)/100),0)</f>
        <v>0</v>
      </c>
      <c r="T9" s="24">
        <f>IF(AI9&lt;71,(1-Info!$F$46)*((AB9*0.0008*(1+(LOOKUP(Info!$I$34,Rates!$O$2:$O$9,Rates!$M$2:$M$9)/100)))),0)</f>
        <v>6160000</v>
      </c>
      <c r="U9" s="24">
        <f>IF(AI9&lt;71,(1-Info!$I$46)*(((AD9*0.0008*Info!$L$30))*(1+(LOOKUP(Info!$I$34,Rates!$O:$O,Rates!$N:$N)/100))),0)</f>
        <v>6160000</v>
      </c>
      <c r="V9" s="24">
        <f>((Z9*0.0008))*(1+(LOOKUP(Info!$I$34,Rates!$O$2:$O$9,Rates!$M$2:$M$9)/100))*(1-Info!$C$46)</f>
        <v>6160000</v>
      </c>
      <c r="W9" s="24">
        <f>IF(AND(AI9&lt;=Rates!$Z$2,AJ9&lt;=Info!$I$6,Info!$F$32="معمولی"),VLOOKUP(AI9,Rates!$U$1:$Y$108,5,0),IF(AND(AI9&lt;=Rates!$Z$2,AJ9&lt;=Info!$I$6,Info!$F$32="پایه"),VLOOKUP(AI9,Rates!$U$1:$Y$108,2,0),IF(AND(AI9&lt;=Rates!$Z$2,AJ9&lt;=Info!$I$6,Info!$F$32="آسایش "),VLOOKUP(AI9,Rates!$U$1:$Y$108,3,0),IF(AND(AI9&lt;=Rates!$Z$2,AJ9&lt;=Info!$I$6,Info!$F$32="ممتاز"),VLOOKUP(AI9,Rates!$U$1:$Y$108,4,0),0))))*AA9/1000000*(1+Info!$C$34)*(1-Info!$I$48)</f>
        <v>0</v>
      </c>
      <c r="X9" s="24">
        <f>IF(Info!$C$32="بله",(AG9-W9-U9-V9-T9)/(1+S9),AG9)</f>
        <v>281520000</v>
      </c>
      <c r="Y9" s="24">
        <f>IF(AI9&lt;&gt;0,(AD9*LOOKUP(AI9,Rates!$U$2:$U$108,Rates!$T$2:$T$108))/SQRT(1.1),0)</f>
        <v>4279757.9302504556</v>
      </c>
      <c r="Z9" s="24">
        <f>IF(AND(AI9&lt;=Rates!$Z$10,AI9&gt;=0),Info!$C$28*(AC9-AD9),0)</f>
        <v>7700000000</v>
      </c>
      <c r="AA9" s="24">
        <f>IF(AND(AI9&gt;=0,AI9&lt;=Rates!$Z$2,AG9&gt;0),MIN(AA8*(1+Info!$F$26),5000000000),0)</f>
        <v>5000000000</v>
      </c>
      <c r="AB9" s="24">
        <f>IF(AND(AI9&gt;=0,AI9&lt;=65),AD9*Info!$L$32,0)</f>
        <v>7700000000</v>
      </c>
      <c r="AC9" s="24">
        <f>IF(AND(AI9&gt;=0,AI9&lt;=Rates!$Z$3),AD9*(1+Info!$L$30),AD9)</f>
        <v>15400000000</v>
      </c>
      <c r="AD9" s="24">
        <f>IF(AI9&lt;&gt;0,AD8*(1+Info!$F$26),0)</f>
        <v>7700000000</v>
      </c>
      <c r="AE9" s="24">
        <f t="shared" si="5"/>
        <v>1800000000</v>
      </c>
      <c r="AF9" s="24">
        <f>IF(AI9&gt;=0,IF(Info!$C$32="بله",AG9,AG9+L9),"")</f>
        <v>300000000</v>
      </c>
      <c r="AG9" s="146">
        <f>IF(AI9&lt;&gt;0,AG8*(1+Info!$F$24),0)</f>
        <v>300000000</v>
      </c>
      <c r="AH9" s="149">
        <f>IF(AJ9&lt;&gt;"",Info!$C$6+AJ9-1,0)</f>
        <v>55</v>
      </c>
      <c r="AI9" s="26">
        <f>IF(AJ9&lt;&gt;"",IF(Info!$F$6+AJ9-1&lt;=Rates!$Z$11,Info!$F$6+AJ9-1,0),0)</f>
        <v>7</v>
      </c>
      <c r="AJ9" s="27">
        <f>IF(AI8&lt;&gt;"",IF(AND(AJ8&lt;&gt;"",AI8+1&lt;=Rates!$Z$11),IF(AJ8&lt;&gt;0,IF(AJ8+1&lt;=Info!$I$6,AJ8+1,""),0),""),"")</f>
        <v>6</v>
      </c>
    </row>
    <row r="10" spans="1:36" s="243" customFormat="1" ht="18.75" x14ac:dyDescent="0.45">
      <c r="A10" s="25">
        <f>IF(B10&gt;0,IF(Info!$C$32="بله",AG10/B10,(AG10+L10)/B10),0)</f>
        <v>300000000</v>
      </c>
      <c r="B10" s="25">
        <f>IF(AND(AI10&gt;=0,AJ10&lt;=Info!$I$6),LOOKUP(Info!$C$24,Rates!$I$2:$I$7,Rates!$F$2:$F$7),0)</f>
        <v>1</v>
      </c>
      <c r="C10" s="25">
        <f>IF(AG10&lt;&gt;0,(C9+F10)*(1+VLOOKUP(Info!$C$26,Rates!$D$3:$E$7,2,FALSE)),0)</f>
        <v>18204107740.728405</v>
      </c>
      <c r="D10" s="25">
        <f t="shared" si="7"/>
        <v>4393353692.8039875</v>
      </c>
      <c r="E10" s="25">
        <f>IF(AI10&lt;&gt;0,(E9+F10)*(1+VLOOKUP(Info!$C$26,Rates!$A$14:$B$19,2,FALSE)),0)</f>
        <v>4393353692.8039875</v>
      </c>
      <c r="F10" s="24">
        <f t="shared" si="2"/>
        <v>-42168145.164098121</v>
      </c>
      <c r="G10" s="25">
        <f>IF(AI10&lt;&gt;"",Rates!$AB$11*(L10),"")</f>
        <v>0</v>
      </c>
      <c r="H10" s="25">
        <f>IF(AI10&lt;&gt;"",(Rates!$AD$11+Rates!$AC$11)*(L10),"")</f>
        <v>0</v>
      </c>
      <c r="I10" s="25">
        <f>IF(AI10&lt;&gt;"",LOOKUP(Info!$C$24,Rates!$I$2:$I$7,Rates!$H$2:$H$7)*(J10+K10+L10+Y10),"")</f>
        <v>0</v>
      </c>
      <c r="J10" s="25">
        <f t="shared" si="3"/>
        <v>19706400.000000004</v>
      </c>
      <c r="K10" s="25">
        <f>IF(Y10&lt;&gt;"",Info!$C$34*Y10,"")</f>
        <v>0</v>
      </c>
      <c r="L10" s="25">
        <f t="shared" si="1"/>
        <v>18480000</v>
      </c>
      <c r="M10" s="24">
        <f t="shared" si="4"/>
        <v>5174400.0000000009</v>
      </c>
      <c r="N10" s="25">
        <f t="shared" ref="N10" si="8">IF(O10&lt;&gt;"",N9-12.5/100*O9+0.3*O10-17.5/100*O5,"")</f>
        <v>0</v>
      </c>
      <c r="O10" s="25">
        <f>IF(AJ10&lt;=10,(1-Info!$C$44)*IF(OR(Info!$F$24&gt;0,Info!$F$26&gt;0),IF(0.75*$X$4&lt;=0.03*$AD$4,0.75*(X10-X9),0.03*(AD10-AD9)),0),"")</f>
        <v>0</v>
      </c>
      <c r="P10" s="25">
        <f>IF(AJ10&lt;=5,IF(AI10&lt;&gt;"",0.002*AD10,"")*(1-Info!$I$44),0)</f>
        <v>0</v>
      </c>
      <c r="Q10" s="25">
        <f>(1-Info!$F$44)*IF(AI10&lt;&gt;"",IF(Info!$C$32="بله",0.07*X10,0.07*AG10),"")</f>
        <v>19706400.000000004</v>
      </c>
      <c r="R10" s="25">
        <f>IF(X10&lt;&gt;0,S10*X10,0)*(1-Info!$F$48)</f>
        <v>0</v>
      </c>
      <c r="S10" s="25">
        <f>IF(Info!$I$30="خیر",0,IF(Info!$F$30="بله",IF(Info!$C$30=1,2.3,IF(Info!$C$30=2,3.3,4.3)),1))*IF(AND(AH10&lt;=Rates!$Z$8,AH10&gt;0),(1+Info!$C$34)*(1+LOOKUP(Info!$F$34,Rates!$O$2:$O$9,Rates!$L$2:$L$9)/100)*(LOOKUP(Info!$C$6,Rates!$U$2:$U$108,Rates!$R$2:$R$108)/100),0)</f>
        <v>0</v>
      </c>
      <c r="T10" s="25">
        <f>IF(AI10&lt;71,(1-Info!$F$46)*((AB10*0.0008*(1+(LOOKUP(Info!$I$34,Rates!$O$2:$O$9,Rates!$M$2:$M$9)/100)))),0)</f>
        <v>6160000</v>
      </c>
      <c r="U10" s="25">
        <f>IF(AI10&lt;71,(1-Info!$I$46)*(((AD10*0.0008*Info!$L$30))*(1+(LOOKUP(Info!$I$34,Rates!$O:$O,Rates!$N:$N)/100))),0)</f>
        <v>6160000</v>
      </c>
      <c r="V10" s="25">
        <f>((Z10*0.0008))*(1+(LOOKUP(Info!$I$34,Rates!$O$2:$O$9,Rates!$M$2:$M$9)/100))*(1-Info!$C$46)</f>
        <v>6160000</v>
      </c>
      <c r="W10" s="25">
        <f>IF(AND(AI10&lt;=Rates!$Z$2,AJ10&lt;=Info!$I$6,Info!$F$32="معمولی"),VLOOKUP(AI10,Rates!$U$1:$Y$108,5,0),IF(AND(AI10&lt;=Rates!$Z$2,AJ10&lt;=Info!$I$6,Info!$F$32="پایه"),VLOOKUP(AI10,Rates!$U$1:$Y$108,2,0),IF(AND(AI10&lt;=Rates!$Z$2,AJ10&lt;=Info!$I$6,Info!$F$32="آسایش "),VLOOKUP(AI10,Rates!$U$1:$Y$108,3,0),IF(AND(AI10&lt;=Rates!$Z$2,AJ10&lt;=Info!$I$6,Info!$F$32="ممتاز"),VLOOKUP(AI10,Rates!$U$1:$Y$108,4,0),0))))*AA10/1000000*(1+Info!$C$34)*(1-Info!$I$48)</f>
        <v>0</v>
      </c>
      <c r="X10" s="25">
        <f>IF(Info!$C$32="بله",(AG10-W10-U10-V10-T10)/(1+S10),AG10)</f>
        <v>281520000</v>
      </c>
      <c r="Y10" s="25">
        <f>IF(AI10&lt;&gt;0,(AD10*LOOKUP(AI10,Rates!$U$2:$U$108,Rates!$T$2:$T$108))/SQRT(1.1),0)</f>
        <v>3981745.1640981166</v>
      </c>
      <c r="Z10" s="25">
        <f>IF(AND(AI10&lt;=Rates!$Z$10,AI10&gt;=0),Info!$C$28*(AC10-AD10),0)</f>
        <v>7700000000</v>
      </c>
      <c r="AA10" s="25">
        <f>IF(AND(AI10&gt;=0,AI10&lt;=Rates!$Z$2,AG10&gt;0),MIN(AA9*(1+Info!$F$26),5000000000),0)</f>
        <v>5000000000</v>
      </c>
      <c r="AB10" s="25">
        <f>IF(AND(AI10&gt;=0,AI10&lt;=65),AD10*Info!$L$32,0)</f>
        <v>7700000000</v>
      </c>
      <c r="AC10" s="25">
        <f>IF(AND(AI10&gt;=0,AI10&lt;=Rates!$Z$3),AD10*(1+Info!$L$30),AD10)</f>
        <v>15400000000</v>
      </c>
      <c r="AD10" s="25">
        <f>IF(AI10&lt;&gt;0,AD9*(1+Info!$F$26),0)</f>
        <v>7700000000</v>
      </c>
      <c r="AE10" s="25">
        <f t="shared" si="5"/>
        <v>2100000000</v>
      </c>
      <c r="AF10" s="25">
        <f>IF(AI10&gt;=0,IF(Info!$C$32="بله",AG10,AG10+L10),"")</f>
        <v>300000000</v>
      </c>
      <c r="AG10" s="145">
        <f>IF(AI10&lt;&gt;0,AG9*(1+Info!$F$24),0)</f>
        <v>300000000</v>
      </c>
      <c r="AH10" s="150">
        <f>IF(AJ10&lt;&gt;"",Info!$C$6+AJ10-1,0)</f>
        <v>56</v>
      </c>
      <c r="AI10" s="28">
        <f>IF(AJ10&lt;&gt;"",IF(Info!$F$6+AJ10-1&lt;=Rates!$Z$11,Info!$F$6+AJ10-1,0),0)</f>
        <v>8</v>
      </c>
      <c r="AJ10" s="29">
        <f>IF(AI9&lt;&gt;"",IF(AND(AJ9&lt;&gt;"",AI9+1&lt;=Rates!$Z$11),IF(AJ9&lt;&gt;0,IF(AJ9+1&lt;=Info!$I$6,AJ9+1,""),0),""),"")</f>
        <v>7</v>
      </c>
    </row>
    <row r="11" spans="1:36" s="243" customFormat="1" ht="18.75" x14ac:dyDescent="0.45">
      <c r="A11" s="24">
        <f>IF(B11&gt;0,IF(Info!$C$32="بله",AG11/B11,(AG11+L11)/B11),0)</f>
        <v>300000000</v>
      </c>
      <c r="B11" s="24">
        <f>IF(AND(AI11&gt;=0,AJ11&lt;=Info!$I$6),LOOKUP(Info!$C$24,Rates!$I$2:$I$7,Rates!$F$2:$F$7),0)</f>
        <v>1</v>
      </c>
      <c r="C11" s="24">
        <f>IF(AG11&lt;&gt;0,(C10+F11)*(1+VLOOKUP(Info!$C$26,Rates!$D$3:$E$7,2,FALSE)),0)</f>
        <v>24000456738.826225</v>
      </c>
      <c r="D11" s="24">
        <f t="shared" si="7"/>
        <v>4721115532.1814594</v>
      </c>
      <c r="E11" s="24">
        <f>IF(AI11&lt;&gt;0,(E10+F11)*(1+VLOOKUP(Info!$C$26,Rates!$A$14:$B$19,2,FALSE)),0)</f>
        <v>4721115532.1814594</v>
      </c>
      <c r="F11" s="24">
        <f t="shared" si="2"/>
        <v>-42095137.798033491</v>
      </c>
      <c r="G11" s="24">
        <f>IF(AI11&lt;&gt;"",Rates!$AB$11*(L11),"")</f>
        <v>0</v>
      </c>
      <c r="H11" s="24">
        <f>IF(AI11&lt;&gt;"",(Rates!$AD$11+Rates!$AC$11)*(L11),"")</f>
        <v>0</v>
      </c>
      <c r="I11" s="24">
        <f>IF(AI11&lt;&gt;"",LOOKUP(Info!$C$24,Rates!$I$2:$I$7,Rates!$H$2:$H$7)*(J11+K11+L11+Y11),"")</f>
        <v>0</v>
      </c>
      <c r="J11" s="24">
        <f t="shared" si="3"/>
        <v>19706400.000000004</v>
      </c>
      <c r="K11" s="24">
        <f>IF(Y11&lt;&gt;"",Info!$C$34*Y11,"")</f>
        <v>0</v>
      </c>
      <c r="L11" s="24">
        <f t="shared" si="1"/>
        <v>18480000</v>
      </c>
      <c r="M11" s="24">
        <f t="shared" si="4"/>
        <v>5174400.0000000009</v>
      </c>
      <c r="N11" s="24">
        <f>IF(O11&lt;&gt;"",N10+5/100*O10+0.3*O11-17.5/100*O6,"")</f>
        <v>0</v>
      </c>
      <c r="O11" s="24">
        <f>IF(AJ11&lt;=10,(1-Info!$C$44)*IF(OR(Info!$F$24&gt;0,Info!$F$26&gt;0),IF(0.75*$X$4&lt;=0.03*$AD$4,0.75*(X11-X10),0.03*(AD11-AD10)),0),"")</f>
        <v>0</v>
      </c>
      <c r="P11" s="24">
        <f>IF(AJ11&lt;=5,IF(AI11&lt;&gt;"",0.002*AD11,"")*(1-Info!$I$44),0)</f>
        <v>0</v>
      </c>
      <c r="Q11" s="24">
        <f>(1-Info!$F$44)*IF(AI11&lt;&gt;"",IF(Info!$C$32="بله",0.07*X11,0.07*AG11),"")</f>
        <v>19706400.000000004</v>
      </c>
      <c r="R11" s="24">
        <f>IF(X11&lt;&gt;0,S11*X11,0)*(1-Info!$F$48)</f>
        <v>0</v>
      </c>
      <c r="S11" s="24">
        <f>IF(Info!$I$30="خیر",0,IF(Info!$F$30="بله",IF(Info!$C$30=1,2.3,IF(Info!$C$30=2,3.3,4.3)),1))*IF(AND(AH11&lt;=Rates!$Z$8,AH11&gt;0),(1+Info!$C$34)*(1+LOOKUP(Info!$F$34,Rates!$O$2:$O$9,Rates!$L$2:$L$9)/100)*(LOOKUP(Info!$C$6,Rates!$U$2:$U$108,Rates!$R$2:$R$108)/100),0)</f>
        <v>0</v>
      </c>
      <c r="T11" s="24">
        <f>IF(AI11&lt;71,(1-Info!$F$46)*((AB11*0.0008*(1+(LOOKUP(Info!$I$34,Rates!$O$2:$O$9,Rates!$M$2:$M$9)/100)))),0)</f>
        <v>6160000</v>
      </c>
      <c r="U11" s="24">
        <f>IF(AI11&lt;71,(1-Info!$I$46)*(((AD11*0.0008*Info!$L$30))*(1+(LOOKUP(Info!$I$34,Rates!$O:$O,Rates!$N:$N)/100))),0)</f>
        <v>6160000</v>
      </c>
      <c r="V11" s="24">
        <f>((Z11*0.0008))*(1+(LOOKUP(Info!$I$34,Rates!$O$2:$O$9,Rates!$M$2:$M$9)/100))*(1-Info!$C$46)</f>
        <v>6160000</v>
      </c>
      <c r="W11" s="24">
        <f>IF(AND(AI11&lt;=Rates!$Z$2,AJ11&lt;=Info!$I$6,Info!$F$32="معمولی"),VLOOKUP(AI11,Rates!$U$1:$Y$108,5,0),IF(AND(AI11&lt;=Rates!$Z$2,AJ11&lt;=Info!$I$6,Info!$F$32="پایه"),VLOOKUP(AI11,Rates!$U$1:$Y$108,2,0),IF(AND(AI11&lt;=Rates!$Z$2,AJ11&lt;=Info!$I$6,Info!$F$32="آسایش "),VLOOKUP(AI11,Rates!$U$1:$Y$108,3,0),IF(AND(AI11&lt;=Rates!$Z$2,AJ11&lt;=Info!$I$6,Info!$F$32="ممتاز"),VLOOKUP(AI11,Rates!$U$1:$Y$108,4,0),0))))*AA11/1000000*(1+Info!$C$34)*(1-Info!$I$48)</f>
        <v>0</v>
      </c>
      <c r="X11" s="24">
        <f>IF(Info!$C$32="بله",(AG11-W11-U11-V11-T11)/(1+S11),AG11)</f>
        <v>281520000</v>
      </c>
      <c r="Y11" s="24">
        <f>IF(AI11&lt;&gt;0,(AD11*LOOKUP(AI11,Rates!$U$2:$U$108,Rates!$T$2:$T$108))/SQRT(1.1),0)</f>
        <v>3908737.798033481</v>
      </c>
      <c r="Z11" s="24">
        <f>IF(AND(AI11&lt;=Rates!$Z$10,AI11&gt;=0),Info!$C$28*(AC11-AD11),0)</f>
        <v>7700000000</v>
      </c>
      <c r="AA11" s="24">
        <f>IF(AND(AI11&gt;=0,AI11&lt;=Rates!$Z$2,AG11&gt;0),MIN(AA10*(1+Info!$F$26),5000000000),0)</f>
        <v>5000000000</v>
      </c>
      <c r="AB11" s="24">
        <f>IF(AND(AI11&gt;=0,AI11&lt;=65),AD11*Info!$L$32,0)</f>
        <v>7700000000</v>
      </c>
      <c r="AC11" s="24">
        <f>IF(AND(AI11&gt;=0,AI11&lt;=Rates!$Z$3),AD11*(1+Info!$L$30),AD11)</f>
        <v>15400000000</v>
      </c>
      <c r="AD11" s="24">
        <f>IF(AI11&lt;&gt;0,AD10*(1+Info!$F$26),0)</f>
        <v>7700000000</v>
      </c>
      <c r="AE11" s="24">
        <f t="shared" si="5"/>
        <v>2400000000</v>
      </c>
      <c r="AF11" s="24">
        <f>IF(AI11&gt;=0,IF(Info!$C$32="بله",AG11,AG11+L11),"")</f>
        <v>300000000</v>
      </c>
      <c r="AG11" s="146">
        <f>IF(AI11&lt;&gt;0,AG10*(1+Info!$F$24),0)</f>
        <v>300000000</v>
      </c>
      <c r="AH11" s="149">
        <f>IF(AJ11&lt;&gt;"",Info!$C$6+AJ11-1,0)</f>
        <v>57</v>
      </c>
      <c r="AI11" s="26">
        <f>IF(AJ11&lt;&gt;"",IF(Info!$F$6+AJ11-1&lt;=Rates!$Z$11,Info!$F$6+AJ11-1,0),0)</f>
        <v>9</v>
      </c>
      <c r="AJ11" s="27">
        <f>IF(AI10&lt;&gt;"",IF(AND(AJ10&lt;&gt;"",AI10+1&lt;=Rates!$Z$11),IF(AJ10&lt;&gt;0,IF(AJ10+1&lt;=Info!$I$6,AJ10+1,""),0),""),"")</f>
        <v>8</v>
      </c>
    </row>
    <row r="12" spans="1:36" s="243" customFormat="1" ht="18.75" x14ac:dyDescent="0.45">
      <c r="A12" s="25">
        <f>IF(B12&gt;0,IF(Info!$C$32="بله",AG12/B12,(AG12+L12)/B12),0)</f>
        <v>300000000</v>
      </c>
      <c r="B12" s="25">
        <f>IF(AND(AI12&gt;=0,AJ12&lt;=Info!$I$6),LOOKUP(Info!$C$24,Rates!$I$2:$I$7,Rates!$F$2:$F$7),0)</f>
        <v>1</v>
      </c>
      <c r="C12" s="25">
        <f>IF(AG12&lt;&gt;0,(C11+F12)*(1+VLOOKUP(Info!$C$26,Rates!$D$3:$E$7,2,FALSE)),0)</f>
        <v>31660124003.742844</v>
      </c>
      <c r="D12" s="25">
        <f t="shared" si="7"/>
        <v>5076734868.7838621</v>
      </c>
      <c r="E12" s="25">
        <f>IF(AI12&lt;&gt;0,(E11+F12)*(1+VLOOKUP(Info!$C$26,Rates!$A$14:$B$19,2,FALSE)),0)</f>
        <v>5076734868.7838621</v>
      </c>
      <c r="F12" s="24">
        <f t="shared" si="2"/>
        <v>-42097219.938268892</v>
      </c>
      <c r="G12" s="25">
        <f>IF(AI12&lt;&gt;"",Rates!$AB$11*(L12),"")</f>
        <v>0</v>
      </c>
      <c r="H12" s="25">
        <f>IF(AI12&lt;&gt;"",(Rates!$AD$11+Rates!$AC$11)*(L12),"")</f>
        <v>0</v>
      </c>
      <c r="I12" s="25">
        <f>IF(AI12&lt;&gt;"",LOOKUP(Info!$C$24,Rates!$I$2:$I$7,Rates!$H$2:$H$7)*(J12+K12+L12+Y12),"")</f>
        <v>0</v>
      </c>
      <c r="J12" s="25">
        <f t="shared" si="3"/>
        <v>19706400.000000004</v>
      </c>
      <c r="K12" s="25">
        <f>IF(Y12&lt;&gt;"",Info!$C$34*Y12,"")</f>
        <v>0</v>
      </c>
      <c r="L12" s="25">
        <f t="shared" si="1"/>
        <v>18480000</v>
      </c>
      <c r="M12" s="24">
        <f t="shared" si="4"/>
        <v>5174400.0000000009</v>
      </c>
      <c r="N12" s="25">
        <f>IF(O12&lt;&gt;"",N11+5/100*O11+0.3*O12-17.5/100*O7-17.5/100*O10,"")</f>
        <v>0</v>
      </c>
      <c r="O12" s="25">
        <f>IF(AJ12&lt;=10,(1-Info!$C$44)*IF(OR(Info!$F$24&gt;0,Info!$F$26&gt;0),IF(0.75*$X$4&lt;=0.03*$AD$4,0.75*(X12-X11),0.03*(AD12-AD11)),0),"")</f>
        <v>0</v>
      </c>
      <c r="P12" s="25">
        <f>IF(AJ12&lt;=5,IF(AI12&lt;&gt;"",0.002*AD12,"")*(1-Info!$I$44),0)</f>
        <v>0</v>
      </c>
      <c r="Q12" s="25">
        <f>(1-Info!$F$44)*IF(AI12&lt;&gt;"",IF(Info!$C$32="بله",0.07*X12,0.07*AG12),"")</f>
        <v>19706400.000000004</v>
      </c>
      <c r="R12" s="25">
        <f>IF(X12&lt;&gt;0,S12*X12,0)*(1-Info!$F$48)</f>
        <v>0</v>
      </c>
      <c r="S12" s="25">
        <f>IF(Info!$I$30="خیر",0,IF(Info!$F$30="بله",IF(Info!$C$30=1,2.3,IF(Info!$C$30=2,3.3,4.3)),1))*IF(AND(AH12&lt;=Rates!$Z$8,AH12&gt;0),(1+Info!$C$34)*(1+LOOKUP(Info!$F$34,Rates!$O$2:$O$9,Rates!$L$2:$L$9)/100)*(LOOKUP(Info!$C$6,Rates!$U$2:$U$108,Rates!$R$2:$R$108)/100),0)</f>
        <v>0</v>
      </c>
      <c r="T12" s="25">
        <f>IF(AI12&lt;71,(1-Info!$F$46)*((AB12*0.0008*(1+(LOOKUP(Info!$I$34,Rates!$O$2:$O$9,Rates!$M$2:$M$9)/100)))),0)</f>
        <v>6160000</v>
      </c>
      <c r="U12" s="25">
        <f>IF(AI12&lt;71,(1-Info!$I$46)*(((AD12*0.0008*Info!$L$30))*(1+(LOOKUP(Info!$I$34,Rates!$O:$O,Rates!$N:$N)/100))),0)</f>
        <v>6160000</v>
      </c>
      <c r="V12" s="25">
        <f>((Z12*0.0008))*(1+(LOOKUP(Info!$I$34,Rates!$O$2:$O$9,Rates!$M$2:$M$9)/100))*(1-Info!$C$46)</f>
        <v>6160000</v>
      </c>
      <c r="W12" s="25">
        <f>IF(AND(AI12&lt;=Rates!$Z$2,AJ12&lt;=Info!$I$6,Info!$F$32="معمولی"),VLOOKUP(AI12,Rates!$U$1:$Y$108,5,0),IF(AND(AI12&lt;=Rates!$Z$2,AJ12&lt;=Info!$I$6,Info!$F$32="پایه"),VLOOKUP(AI12,Rates!$U$1:$Y$108,2,0),IF(AND(AI12&lt;=Rates!$Z$2,AJ12&lt;=Info!$I$6,Info!$F$32="آسایش "),VLOOKUP(AI12,Rates!$U$1:$Y$108,3,0),IF(AND(AI12&lt;=Rates!$Z$2,AJ12&lt;=Info!$I$6,Info!$F$32="ممتاز"),VLOOKUP(AI12,Rates!$U$1:$Y$108,4,0),0))))*AA12/1000000*(1+Info!$C$34)*(1-Info!$I$48)</f>
        <v>0</v>
      </c>
      <c r="X12" s="25">
        <f>IF(Info!$C$32="بله",(AG12-W12-U12-V12-T12)/(1+S12),AG12)</f>
        <v>281520000</v>
      </c>
      <c r="Y12" s="25">
        <f>IF(AI12&lt;&gt;0,(AD12*LOOKUP(AI12,Rates!$U$2:$U$108,Rates!$T$2:$T$108))/SQRT(1.1),0)</f>
        <v>3910819.9382688887</v>
      </c>
      <c r="Z12" s="25">
        <f>IF(AND(AI12&lt;=Rates!$Z$10,AI12&gt;=0),Info!$C$28*(AC12-AD12),0)</f>
        <v>7700000000</v>
      </c>
      <c r="AA12" s="25">
        <f>IF(AND(AI12&gt;=0,AI12&lt;=Rates!$Z$2,AG12&gt;0),MIN(AA11*(1+Info!$F$26),5000000000),0)</f>
        <v>5000000000</v>
      </c>
      <c r="AB12" s="25">
        <f>IF(AND(AI12&gt;=0,AI12&lt;=65),AD12*Info!$L$32,0)</f>
        <v>7700000000</v>
      </c>
      <c r="AC12" s="25">
        <f>IF(AND(AI12&gt;=0,AI12&lt;=Rates!$Z$3),AD12*(1+Info!$L$30),AD12)</f>
        <v>15400000000</v>
      </c>
      <c r="AD12" s="25">
        <f>IF(AI12&lt;&gt;0,AD11*(1+Info!$F$26),0)</f>
        <v>7700000000</v>
      </c>
      <c r="AE12" s="25">
        <f t="shared" si="5"/>
        <v>2700000000</v>
      </c>
      <c r="AF12" s="25">
        <f>IF(AI12&gt;=0,IF(Info!$C$32="بله",AG12,AG12+L12),"")</f>
        <v>300000000</v>
      </c>
      <c r="AG12" s="145">
        <f>IF(AI12&lt;&gt;0,AG11*(1+Info!$F$24),0)</f>
        <v>300000000</v>
      </c>
      <c r="AH12" s="150">
        <f>IF(AJ12&lt;&gt;"",Info!$C$6+AJ12-1,0)</f>
        <v>58</v>
      </c>
      <c r="AI12" s="28">
        <f>IF(AJ12&lt;&gt;"",IF(Info!$F$6+AJ12-1&lt;=Rates!$Z$11,Info!$F$6+AJ12-1,0),0)</f>
        <v>10</v>
      </c>
      <c r="AJ12" s="29">
        <f>IF(AI11&lt;&gt;"",IF(AND(AJ11&lt;&gt;"",AI11+1&lt;=Rates!$Z$11),IF(AJ11&lt;&gt;0,IF(AJ11+1&lt;=Info!$I$6,AJ11+1,""),0),""),"")</f>
        <v>9</v>
      </c>
    </row>
    <row r="13" spans="1:36" s="243" customFormat="1" ht="18.75" x14ac:dyDescent="0.45">
      <c r="A13" s="24">
        <f>IF(B13&gt;0,IF(Info!$C$32="بله",AG13/B13,(AG13+L13)/B13),0)</f>
        <v>300000000</v>
      </c>
      <c r="B13" s="24">
        <f>IF(AND(AI13&gt;=0,AJ13&lt;=Info!$I$6),LOOKUP(Info!$C$24,Rates!$I$2:$I$7,Rates!$F$2:$F$7),0)</f>
        <v>1</v>
      </c>
      <c r="C13" s="24">
        <f>IF(AG13&lt;&gt;0,(C12+F13)*(1+VLOOKUP(Info!$C$26,Rates!$D$3:$E$7,2,FALSE)),0)</f>
        <v>41782100395.840996</v>
      </c>
      <c r="D13" s="24">
        <f t="shared" si="7"/>
        <v>5462579587.4672136</v>
      </c>
      <c r="E13" s="24">
        <f>IF(AI13&lt;&gt;0,(E12+F13)*(1+VLOOKUP(Info!$C$26,Rates!$A$14:$B$19,2,FALSE)),0)</f>
        <v>5462579587.4672136</v>
      </c>
      <c r="F13" s="24">
        <f t="shared" si="2"/>
        <v>-42099304.297951192</v>
      </c>
      <c r="G13" s="24">
        <f>IF(AI13&lt;&gt;"",Rates!$AB$11*(L13),"")</f>
        <v>0</v>
      </c>
      <c r="H13" s="24">
        <f>IF(AI13&lt;&gt;"",(Rates!$AD$11+Rates!$AC$11)*(L13),"")</f>
        <v>0</v>
      </c>
      <c r="I13" s="24">
        <f>IF(AI13&lt;&gt;"",LOOKUP(Info!$C$24,Rates!$I$2:$I$7,Rates!$H$2:$H$7)*(J13+K13+L13+Y13),"")</f>
        <v>0</v>
      </c>
      <c r="J13" s="24">
        <f t="shared" si="3"/>
        <v>19706400.000000004</v>
      </c>
      <c r="K13" s="24">
        <f>IF(Y13&lt;&gt;"",Info!$C$34*Y13,"")</f>
        <v>0</v>
      </c>
      <c r="L13" s="24">
        <f t="shared" si="1"/>
        <v>18480000</v>
      </c>
      <c r="M13" s="24">
        <f t="shared" si="4"/>
        <v>5174400.0000000009</v>
      </c>
      <c r="N13" s="24">
        <f>IF(O13&lt;&gt;"",N12+40/100*O12+O13-17.5/100*O8,"")</f>
        <v>0</v>
      </c>
      <c r="O13" s="24">
        <f>IF(AJ13&lt;=10,(1-Info!$C$44)*IF(OR(Info!$F$24&gt;0,Info!$F$26&gt;0),IF(0.75*$X$4&lt;=0.03*$AD$4,0.75*(X13-X12),0.03*(AD13-AD12)),0),"")</f>
        <v>0</v>
      </c>
      <c r="P13" s="24">
        <f>IF(AJ13&lt;=5,IF(AI13&lt;&gt;"",0.002*AD13,"")*(1-Info!$I$44),0)</f>
        <v>0</v>
      </c>
      <c r="Q13" s="24">
        <f>(1-Info!$F$44)*IF(AI13&lt;&gt;"",IF(Info!$C$32="بله",0.07*X13,0.07*AG13),"")</f>
        <v>19706400.000000004</v>
      </c>
      <c r="R13" s="24">
        <f>IF(X13&lt;&gt;0,S13*X13,0)*(1-Info!$F$48)</f>
        <v>0</v>
      </c>
      <c r="S13" s="24">
        <f>IF(Info!$I$30="خیر",0,IF(Info!$F$30="بله",IF(Info!$C$30=1,2.3,IF(Info!$C$30=2,3.3,4.3)),1))*IF(AND(AH13&lt;=Rates!$Z$8,AH13&gt;0),(1+Info!$C$34)*(1+LOOKUP(Info!$F$34,Rates!$O$2:$O$9,Rates!$L$2:$L$9)/100)*(LOOKUP(Info!$C$6,Rates!$U$2:$U$108,Rates!$R$2:$R$108)/100),0)</f>
        <v>0</v>
      </c>
      <c r="T13" s="24">
        <f>IF(AI13&lt;71,(1-Info!$F$46)*((AB13*0.0008*(1+(LOOKUP(Info!$I$34,Rates!$O$2:$O$9,Rates!$M$2:$M$9)/100)))),0)</f>
        <v>6160000</v>
      </c>
      <c r="U13" s="24">
        <f>IF(AI13&lt;71,(1-Info!$I$46)*(((AD13*0.0008*Info!$L$30))*(1+(LOOKUP(Info!$I$34,Rates!$O:$O,Rates!$N:$N)/100))),0)</f>
        <v>6160000</v>
      </c>
      <c r="V13" s="24">
        <f>((Z13*0.0008))*(1+(LOOKUP(Info!$I$34,Rates!$O$2:$O$9,Rates!$M$2:$M$9)/100))*(1-Info!$C$46)</f>
        <v>6160000</v>
      </c>
      <c r="W13" s="24">
        <f>IF(AND(AI13&lt;=Rates!$Z$2,AJ13&lt;=Info!$I$6,Info!$F$32="معمولی"),VLOOKUP(AI13,Rates!$U$1:$Y$108,5,0),IF(AND(AI13&lt;=Rates!$Z$2,AJ13&lt;=Info!$I$6,Info!$F$32="پایه"),VLOOKUP(AI13,Rates!$U$1:$Y$108,2,0),IF(AND(AI13&lt;=Rates!$Z$2,AJ13&lt;=Info!$I$6,Info!$F$32="آسایش "),VLOOKUP(AI13,Rates!$U$1:$Y$108,3,0),IF(AND(AI13&lt;=Rates!$Z$2,AJ13&lt;=Info!$I$6,Info!$F$32="ممتاز"),VLOOKUP(AI13,Rates!$U$1:$Y$108,4,0),0))))*AA13/1000000*(1+Info!$C$34)*(1-Info!$I$48)</f>
        <v>0</v>
      </c>
      <c r="X13" s="24">
        <f>IF(Info!$C$32="بله",(AG13-W13-U13-V13-T13)/(1+S13),AG13)</f>
        <v>281520000</v>
      </c>
      <c r="Y13" s="24">
        <f>IF(AI13&lt;&gt;0,(AD13*LOOKUP(AI13,Rates!$U$2:$U$108,Rates!$T$2:$T$108))/SQRT(1.1),0)</f>
        <v>3912904.2979511884</v>
      </c>
      <c r="Z13" s="24">
        <f>IF(AND(AI13&lt;=Rates!$Z$10,AI13&gt;=0),Info!$C$28*(AC13-AD13),0)</f>
        <v>7700000000</v>
      </c>
      <c r="AA13" s="24">
        <f>IF(AND(AI13&gt;=0,AI13&lt;=Rates!$Z$2,AG13&gt;0),MIN(AA12*(1+Info!$F$26),5000000000),0)</f>
        <v>5000000000</v>
      </c>
      <c r="AB13" s="24">
        <f>IF(AND(AI13&gt;=0,AI13&lt;=65),AD13*Info!$L$32,0)</f>
        <v>7700000000</v>
      </c>
      <c r="AC13" s="24">
        <f>IF(AND(AI13&gt;=0,AI13&lt;=Rates!$Z$3),AD13*(1+Info!$L$30),AD13)</f>
        <v>15400000000</v>
      </c>
      <c r="AD13" s="24">
        <f>IF(AI13&lt;&gt;0,AD12*(1+Info!$F$26),0)</f>
        <v>7700000000</v>
      </c>
      <c r="AE13" s="24">
        <f t="shared" si="5"/>
        <v>3000000000</v>
      </c>
      <c r="AF13" s="24">
        <f>IF(AI13&gt;=0,IF(Info!$C$32="بله",AG13,AG13+L13),"")</f>
        <v>300000000</v>
      </c>
      <c r="AG13" s="146">
        <f>IF(AI13&lt;&gt;0,AG12*(1+Info!$F$24),0)</f>
        <v>300000000</v>
      </c>
      <c r="AH13" s="149">
        <f>IF(AJ13&lt;&gt;"",Info!$C$6+AJ13-1,0)</f>
        <v>59</v>
      </c>
      <c r="AI13" s="26">
        <f>IF(AJ13&lt;&gt;"",IF(Info!$F$6+AJ13-1&lt;=Rates!$Z$11,Info!$F$6+AJ13-1,0),0)</f>
        <v>11</v>
      </c>
      <c r="AJ13" s="27">
        <f>IF(AI12&lt;&gt;"",IF(AND(AJ12&lt;&gt;"",AI12+1&lt;=Rates!$Z$11),IF(AJ12&lt;&gt;0,IF(AJ12+1&lt;=Info!$I$6,AJ12+1,""),0),""),"")</f>
        <v>10</v>
      </c>
    </row>
    <row r="14" spans="1:36" s="243" customFormat="1" ht="18.75" x14ac:dyDescent="0.45">
      <c r="A14" s="25">
        <f>IF(B14&gt;0,IF(Info!$C$32="بله",AG14/B14,(AG14+L14)/B14),0)</f>
        <v>0</v>
      </c>
      <c r="B14" s="25">
        <f>IF(AND(AI14&gt;=0,AJ14&lt;=Info!$I$6),LOOKUP(Info!$C$24,Rates!$I$2:$I$7,Rates!$F$2:$F$7),0)</f>
        <v>0</v>
      </c>
      <c r="C14" s="25">
        <f>IF(AG14&lt;&gt;0,(C13+F14)*(1+VLOOKUP(Info!$C$26,Rates!$D$3:$E$7,2,FALSE)),0)</f>
        <v>0</v>
      </c>
      <c r="D14" s="25">
        <f t="shared" si="7"/>
        <v>0</v>
      </c>
      <c r="E14" s="25">
        <f>IF(AI14&lt;&gt;0,(E13+F14)*(1+VLOOKUP(Info!$C$26,Rates!$A$14:$B$19,2,FALSE)),0)</f>
        <v>0</v>
      </c>
      <c r="F14" s="24">
        <f t="shared" si="2"/>
        <v>0</v>
      </c>
      <c r="G14" s="25">
        <f>IF(AI14&lt;&gt;"",Rates!$AB$11*(L14),"")</f>
        <v>0</v>
      </c>
      <c r="H14" s="25">
        <f>IF(AI14&lt;&gt;"",(Rates!$AD$11+Rates!$AC$11)*(L14),"")</f>
        <v>0</v>
      </c>
      <c r="I14" s="25">
        <f>IF(AI14&lt;&gt;"",LOOKUP(Info!$C$24,Rates!$I$2:$I$7,Rates!$H$2:$H$7)*(J14+K14+L14+Y14),"")</f>
        <v>0</v>
      </c>
      <c r="J14" s="25">
        <f t="shared" si="3"/>
        <v>0</v>
      </c>
      <c r="K14" s="25">
        <f>IF(Y14&lt;&gt;"",Info!$C$34*Y14,"")</f>
        <v>0</v>
      </c>
      <c r="L14" s="25">
        <f t="shared" si="1"/>
        <v>0</v>
      </c>
      <c r="M14" s="24">
        <f t="shared" si="4"/>
        <v>0</v>
      </c>
      <c r="N14" s="25">
        <v>0</v>
      </c>
      <c r="O14" s="25" t="str">
        <f>IF(AJ14&lt;=10,(1-Info!$C$44)*IF(OR(Info!$F$24&gt;0,Info!$F$26&gt;0),IF(0.75*$X$4&lt;=0.03*$AD$4,0.75*(X14-X13),0.03*(AD14-AD13)),0),"")</f>
        <v/>
      </c>
      <c r="P14" s="25">
        <f>IF(AJ14&lt;=5,IF(AI14&lt;&gt;"",0.002*AD14,"")*(1-Info!$I$44),0)</f>
        <v>0</v>
      </c>
      <c r="Q14" s="25">
        <f>(1-Info!$F$44)*IF(AI14&lt;&gt;"",IF(Info!$C$32="بله",0.07*X14,0.07*AG14),"")</f>
        <v>0</v>
      </c>
      <c r="R14" s="25">
        <f>IF(X14&lt;&gt;0,S14*X14,0)*(1-Info!$F$48)</f>
        <v>0</v>
      </c>
      <c r="S14" s="25">
        <f>IF(Info!$I$30="خیر",0,IF(Info!$F$30="بله",IF(Info!$C$30=1,2.3,IF(Info!$C$30=2,3.3,4.3)),1))*IF(AND(AH14&lt;=Rates!$Z$8,AH14&gt;0),(1+Info!$C$34)*(1+LOOKUP(Info!$F$34,Rates!$O$2:$O$9,Rates!$L$2:$L$9)/100)*(LOOKUP(Info!$C$6,Rates!$U$2:$U$108,Rates!$R$2:$R$108)/100),0)</f>
        <v>0</v>
      </c>
      <c r="T14" s="25">
        <f>IF(AI14&lt;71,(1-Info!$F$46)*((AB14*0.0008*(1+(LOOKUP(Info!$I$34,Rates!$O$2:$O$9,Rates!$M$2:$M$9)/100)))),0)</f>
        <v>0</v>
      </c>
      <c r="U14" s="25">
        <f>IF(AI14&lt;71,(1-Info!$I$46)*(((AD14*0.0008*Info!$L$30))*(1+(LOOKUP(Info!$I$34,Rates!$O:$O,Rates!$N:$N)/100))),0)</f>
        <v>0</v>
      </c>
      <c r="V14" s="25">
        <f>((Z14*0.0008))*(1+(LOOKUP(Info!$I$34,Rates!$O$2:$O$9,Rates!$M$2:$M$9)/100))*(1-Info!$C$46)</f>
        <v>0</v>
      </c>
      <c r="W14" s="25">
        <f>IF(AND(AI14&lt;=Rates!$Z$2,AJ14&lt;=Info!$I$6,Info!$F$32="معمولی"),VLOOKUP(AI14,Rates!$U$1:$Y$108,5,0),IF(AND(AI14&lt;=Rates!$Z$2,AJ14&lt;=Info!$I$6,Info!$F$32="پایه"),VLOOKUP(AI14,Rates!$U$1:$Y$108,2,0),IF(AND(AI14&lt;=Rates!$Z$2,AJ14&lt;=Info!$I$6,Info!$F$32="آسایش "),VLOOKUP(AI14,Rates!$U$1:$Y$108,3,0),IF(AND(AI14&lt;=Rates!$Z$2,AJ14&lt;=Info!$I$6,Info!$F$32="ممتاز"),VLOOKUP(AI14,Rates!$U$1:$Y$108,4,0),0))))*AA14/1000000*(1+Info!$C$34)*(1-Info!$I$48)</f>
        <v>0</v>
      </c>
      <c r="X14" s="25">
        <f>IF(Info!$C$32="بله",(AG14-W14-U14-V14-T14)/(1+S14),AG14)</f>
        <v>0</v>
      </c>
      <c r="Y14" s="25">
        <f>IF(AI14&lt;&gt;0,(AD14*LOOKUP(AI14,Rates!$U$2:$U$108,Rates!$T$2:$T$108))/SQRT(1.1),0)</f>
        <v>0</v>
      </c>
      <c r="Z14" s="25">
        <f>IF(AND(AI14&lt;=Rates!$Z$10,AI14&gt;=0),Info!$C$28*(AC14-AD14),0)</f>
        <v>0</v>
      </c>
      <c r="AA14" s="25">
        <f>IF(AND(AI14&gt;=0,AI14&lt;=Rates!$Z$2,AG14&gt;0),MIN(AA13*(1+Info!$F$26),5000000000),0)</f>
        <v>0</v>
      </c>
      <c r="AB14" s="25">
        <f>IF(AND(AI14&gt;=0,AI14&lt;=65),AD14*Info!$L$32,0)</f>
        <v>0</v>
      </c>
      <c r="AC14" s="25">
        <f>IF(AND(AI14&gt;=0,AI14&lt;=Rates!$Z$3),AD14*(1+Info!$L$30),AD14)</f>
        <v>0</v>
      </c>
      <c r="AD14" s="25">
        <f>IF(AI14&lt;&gt;0,AD13*(1+Info!$F$26),0)</f>
        <v>0</v>
      </c>
      <c r="AE14" s="25">
        <f t="shared" si="5"/>
        <v>0</v>
      </c>
      <c r="AF14" s="25">
        <f>IF(AI14&gt;=0,IF(Info!$C$32="بله",AG14,AG14+L14),"")</f>
        <v>0</v>
      </c>
      <c r="AG14" s="145">
        <f>IF(AI14&lt;&gt;0,AG13*(1+Info!$F$24),0)</f>
        <v>0</v>
      </c>
      <c r="AH14" s="150">
        <f>IF(AJ14&lt;&gt;"",Info!$C$6+AJ14-1,0)</f>
        <v>0</v>
      </c>
      <c r="AI14" s="28">
        <f>IF(AJ14&lt;&gt;"",IF(Info!$F$6+AJ14-1&lt;=Rates!$Z$11,Info!$F$6+AJ14-1,0),0)</f>
        <v>0</v>
      </c>
      <c r="AJ14" s="29" t="str">
        <f>IF(AI13&lt;&gt;"",IF(AND(AJ13&lt;&gt;"",AI13+1&lt;=Rates!$Z$11),IF(AJ13&lt;&gt;0,IF(AJ13+1&lt;=Info!$I$6,AJ13+1,""),0),""),"")</f>
        <v/>
      </c>
    </row>
    <row r="15" spans="1:36" s="243" customFormat="1" ht="18.75" x14ac:dyDescent="0.45">
      <c r="A15" s="24">
        <f>IF(B15&gt;0,IF(Info!$C$32="بله",AG15/B15,(AG15+L15)/B15),0)</f>
        <v>0</v>
      </c>
      <c r="B15" s="24">
        <f>IF(AND(AI15&gt;=0,AJ15&lt;=Info!$I$6),LOOKUP(Info!$C$24,Rates!$I$2:$I$7,Rates!$F$2:$F$7),0)</f>
        <v>0</v>
      </c>
      <c r="C15" s="24">
        <f>IF(AG15&lt;&gt;0,(C14+F15)*(1+VLOOKUP(Info!$C$26,Rates!$D$3:$E$7,2,FALSE)),0)</f>
        <v>0</v>
      </c>
      <c r="D15" s="24">
        <f t="shared" si="7"/>
        <v>0</v>
      </c>
      <c r="E15" s="24">
        <f>IF(AI15&lt;&gt;0,(E14+F15)*(1+VLOOKUP(Info!$C$26,Rates!$A$14:$B$19,2,FALSE)),0)</f>
        <v>0</v>
      </c>
      <c r="F15" s="24">
        <f t="shared" si="2"/>
        <v>0</v>
      </c>
      <c r="G15" s="24">
        <f>IF(AI15&lt;&gt;"",Rates!$AB$11*(L15),"")</f>
        <v>0</v>
      </c>
      <c r="H15" s="24">
        <f>IF(AI15&lt;&gt;"",(Rates!$AD$11+Rates!$AC$11)*(L15),"")</f>
        <v>0</v>
      </c>
      <c r="I15" s="24">
        <f>IF(AI15&lt;&gt;"",LOOKUP(Info!$C$24,Rates!$I$2:$I$7,Rates!$H$2:$H$7)*(J15+K15+L15+Y15),"")</f>
        <v>0</v>
      </c>
      <c r="J15" s="24">
        <f t="shared" si="3"/>
        <v>0</v>
      </c>
      <c r="K15" s="24">
        <f>IF(Y15&lt;&gt;"",Info!$C$34*Y15,"")</f>
        <v>0</v>
      </c>
      <c r="L15" s="24">
        <f t="shared" si="1"/>
        <v>0</v>
      </c>
      <c r="M15" s="24">
        <f t="shared" si="4"/>
        <v>0</v>
      </c>
      <c r="N15" s="24">
        <v>0</v>
      </c>
      <c r="O15" s="24" t="str">
        <f>IF(AJ15&lt;=10,(1-Info!$C$44)*IF(OR(Info!$F$24&gt;0,Info!$F$26&gt;0),IF(0.75*$X$4&lt;=0.03*$AD$4,0.75*(X15-X14),0.03*(AD15-AD14)),0),"")</f>
        <v/>
      </c>
      <c r="P15" s="24">
        <f>IF(AJ15&lt;=5,IF(AI15&lt;&gt;"",0.002*AD15,"")*(1-Info!$I$44),0)</f>
        <v>0</v>
      </c>
      <c r="Q15" s="24">
        <f>(1-Info!$F$44)*IF(AI15&lt;&gt;"",IF(Info!$C$32="بله",0.07*X15,0.07*AG15),"")</f>
        <v>0</v>
      </c>
      <c r="R15" s="24">
        <f>IF(X15&lt;&gt;0,S15*X15,0)*(1-Info!$F$48)</f>
        <v>0</v>
      </c>
      <c r="S15" s="24">
        <f>IF(Info!$I$30="خیر",0,IF(Info!$F$30="بله",IF(Info!$C$30=1,2.3,IF(Info!$C$30=2,3.3,4.3)),1))*IF(AND(AH15&lt;=Rates!$Z$8,AH15&gt;0),(1+Info!$C$34)*(1+LOOKUP(Info!$F$34,Rates!$O$2:$O$9,Rates!$L$2:$L$9)/100)*(LOOKUP(Info!$C$6,Rates!$U$2:$U$108,Rates!$R$2:$R$108)/100),0)</f>
        <v>0</v>
      </c>
      <c r="T15" s="24">
        <f>IF(AI15&lt;71,(1-Info!$F$46)*((AB15*0.0008*(1+(LOOKUP(Info!$I$34,Rates!$O$2:$O$9,Rates!$M$2:$M$9)/100)))),0)</f>
        <v>0</v>
      </c>
      <c r="U15" s="24">
        <f>IF(AI15&lt;71,(1-Info!$I$46)*(((AD15*0.0008*Info!$L$30))*(1+(LOOKUP(Info!$I$34,Rates!$O:$O,Rates!$N:$N)/100))),0)</f>
        <v>0</v>
      </c>
      <c r="V15" s="24">
        <f>((Z15*0.0008))*(1+(LOOKUP(Info!$I$34,Rates!$O$2:$O$9,Rates!$M$2:$M$9)/100))*(1-Info!$C$46)</f>
        <v>0</v>
      </c>
      <c r="W15" s="24">
        <f>IF(AND(AI15&lt;=Rates!$Z$2,AJ15&lt;=Info!$I$6,Info!$F$32="معمولی"),VLOOKUP(AI15,Rates!$U$1:$Y$108,5,0),IF(AND(AI15&lt;=Rates!$Z$2,AJ15&lt;=Info!$I$6,Info!$F$32="پایه"),VLOOKUP(AI15,Rates!$U$1:$Y$108,2,0),IF(AND(AI15&lt;=Rates!$Z$2,AJ15&lt;=Info!$I$6,Info!$F$32="آسایش "),VLOOKUP(AI15,Rates!$U$1:$Y$108,3,0),IF(AND(AI15&lt;=Rates!$Z$2,AJ15&lt;=Info!$I$6,Info!$F$32="ممتاز"),VLOOKUP(AI15,Rates!$U$1:$Y$108,4,0),0))))*AA15/1000000*(1+Info!$C$34)*(1-Info!$I$48)</f>
        <v>0</v>
      </c>
      <c r="X15" s="24">
        <f>IF(Info!$C$32="بله",(AG15-W15-U15-V15-T15)/(1+S15),AG15)</f>
        <v>0</v>
      </c>
      <c r="Y15" s="24">
        <f>IF(AI15&lt;&gt;0,(AD15*LOOKUP(AI15,Rates!$U$2:$U$108,Rates!$T$2:$T$108))/SQRT(1.1),0)</f>
        <v>0</v>
      </c>
      <c r="Z15" s="24">
        <f>IF(AND(AI15&lt;=Rates!$Z$10,AI15&gt;=0),Info!$C$28*(AC15-AD15),0)</f>
        <v>0</v>
      </c>
      <c r="AA15" s="24">
        <f>IF(AND(AI15&gt;=0,AI15&lt;=Rates!$Z$2,AG15&gt;0),MIN(AA14*(1+Info!$F$26),5000000000),0)</f>
        <v>0</v>
      </c>
      <c r="AB15" s="24">
        <f>IF(AND(AI15&gt;=0,AI15&lt;=65),AD15*Info!$L$32,0)</f>
        <v>0</v>
      </c>
      <c r="AC15" s="24">
        <f>IF(AND(AI15&gt;=0,AI15&lt;=Rates!$Z$3),AD15*(1+Info!$L$30),AD15)</f>
        <v>0</v>
      </c>
      <c r="AD15" s="24">
        <f>IF(AI15&lt;&gt;0,AD14*(1+Info!$F$26),0)</f>
        <v>0</v>
      </c>
      <c r="AE15" s="24">
        <f t="shared" si="5"/>
        <v>0</v>
      </c>
      <c r="AF15" s="24">
        <f>IF(AI15&gt;=0,IF(Info!$C$32="بله",AG15,AG15+L15),"")</f>
        <v>0</v>
      </c>
      <c r="AG15" s="146">
        <f>IF(AI15&lt;&gt;0,AG14*(1+Info!$F$24),0)</f>
        <v>0</v>
      </c>
      <c r="AH15" s="149">
        <f>IF(AJ15&lt;&gt;"",Info!$C$6+AJ15-1,0)</f>
        <v>0</v>
      </c>
      <c r="AI15" s="26">
        <f>IF(AJ15&lt;&gt;"",IF(Info!$F$6+AJ15-1&lt;=Rates!$Z$11,Info!$F$6+AJ15-1,0),0)</f>
        <v>0</v>
      </c>
      <c r="AJ15" s="27" t="str">
        <f>IF(AI14&lt;&gt;"",IF(AND(AJ14&lt;&gt;"",AI14+1&lt;=Rates!$Z$11),IF(AJ14&lt;&gt;0,IF(AJ14+1&lt;=Info!$I$6,AJ14+1,""),0),""),"")</f>
        <v/>
      </c>
    </row>
    <row r="16" spans="1:36" s="243" customFormat="1" ht="18.75" x14ac:dyDescent="0.45">
      <c r="A16" s="25">
        <f>IF(B16&gt;0,IF(Info!$C$32="بله",AG16/B16,(AG16+L16)/B16),0)</f>
        <v>0</v>
      </c>
      <c r="B16" s="25">
        <f>IF(AND(AI16&gt;=0,AJ16&lt;=Info!$I$6),LOOKUP(Info!$C$24,Rates!$I$2:$I$7,Rates!$F$2:$F$7),0)</f>
        <v>0</v>
      </c>
      <c r="C16" s="25">
        <f>IF(AG16&lt;&gt;0,(C15+F16)*(1+VLOOKUP(Info!$C$26,Rates!$D$3:$E$7,2,FALSE)),0)</f>
        <v>0</v>
      </c>
      <c r="D16" s="25">
        <f t="shared" si="7"/>
        <v>0</v>
      </c>
      <c r="E16" s="25">
        <f>IF(AI16&lt;&gt;0,(E15+F16)*(1+VLOOKUP(Info!$C$26,Rates!$A$14:$B$19,2,FALSE)),0)</f>
        <v>0</v>
      </c>
      <c r="F16" s="24">
        <f t="shared" si="2"/>
        <v>0</v>
      </c>
      <c r="G16" s="25">
        <f>IF(AI16&lt;&gt;"",Rates!$AB$11*(L16),"")</f>
        <v>0</v>
      </c>
      <c r="H16" s="25">
        <f>IF(AI16&lt;&gt;"",(Rates!$AD$11+Rates!$AC$11)*(L16),"")</f>
        <v>0</v>
      </c>
      <c r="I16" s="25">
        <f>IF(AI16&lt;&gt;"",LOOKUP(Info!$C$24,Rates!$I$2:$I$7,Rates!$H$2:$H$7)*(J16+K16+L16+Y16),"")</f>
        <v>0</v>
      </c>
      <c r="J16" s="25">
        <f t="shared" si="3"/>
        <v>0</v>
      </c>
      <c r="K16" s="25">
        <f>IF(Y16&lt;&gt;"",Info!$C$34*Y16,"")</f>
        <v>0</v>
      </c>
      <c r="L16" s="25">
        <f t="shared" si="1"/>
        <v>0</v>
      </c>
      <c r="M16" s="24">
        <f t="shared" si="4"/>
        <v>0</v>
      </c>
      <c r="N16" s="25">
        <v>0</v>
      </c>
      <c r="O16" s="25" t="str">
        <f>IF(AJ16&lt;=10,(1-Info!$C$44)*IF(OR(Info!$F$24&gt;0,Info!$F$26&gt;0),IF(0.75*$X$4&lt;=0.03*$AD$4,0.75*(X16-X15),0.03*(AD16-AD15)),0),"")</f>
        <v/>
      </c>
      <c r="P16" s="25">
        <f>IF(AJ16&lt;=5,IF(AI16&lt;&gt;"",0.002*AD16,"")*(1-Info!$I$44),0)</f>
        <v>0</v>
      </c>
      <c r="Q16" s="25">
        <f>(1-Info!$F$44)*IF(AI16&lt;&gt;"",IF(Info!$C$32="بله",0.07*X16,0.07*AG16),"")</f>
        <v>0</v>
      </c>
      <c r="R16" s="25">
        <f>IF(X16&lt;&gt;0,S16*X16,0)*(1-Info!$F$48)</f>
        <v>0</v>
      </c>
      <c r="S16" s="25">
        <f>IF(Info!$I$30="خیر",0,IF(Info!$F$30="بله",IF(Info!$C$30=1,2.3,IF(Info!$C$30=2,3.3,4.3)),1))*IF(AND(AH16&lt;=Rates!$Z$8,AH16&gt;0),(1+Info!$C$34)*(1+LOOKUP(Info!$F$34,Rates!$O$2:$O$9,Rates!$L$2:$L$9)/100)*(LOOKUP(Info!$C$6,Rates!$U$2:$U$108,Rates!$R$2:$R$108)/100),0)</f>
        <v>0</v>
      </c>
      <c r="T16" s="25">
        <f>IF(AI16&lt;71,(1-Info!$F$46)*((AB16*0.0008*(1+(LOOKUP(Info!$I$34,Rates!$O$2:$O$9,Rates!$M$2:$M$9)/100)))),0)</f>
        <v>0</v>
      </c>
      <c r="U16" s="25">
        <f>IF(AI16&lt;71,(1-Info!$I$46)*(((AD16*0.0008*Info!$L$30))*(1+(LOOKUP(Info!$I$34,Rates!$O:$O,Rates!$N:$N)/100))),0)</f>
        <v>0</v>
      </c>
      <c r="V16" s="25">
        <f>((Z16*0.0008))*(1+(LOOKUP(Info!$I$34,Rates!$O$2:$O$9,Rates!$M$2:$M$9)/100))*(1-Info!$C$46)</f>
        <v>0</v>
      </c>
      <c r="W16" s="25">
        <f>IF(AND(AI16&lt;=Rates!$Z$2,AJ16&lt;=Info!$I$6,Info!$F$32="معمولی"),VLOOKUP(AI16,Rates!$U$1:$Y$108,5,0),IF(AND(AI16&lt;=Rates!$Z$2,AJ16&lt;=Info!$I$6,Info!$F$32="پایه"),VLOOKUP(AI16,Rates!$U$1:$Y$108,2,0),IF(AND(AI16&lt;=Rates!$Z$2,AJ16&lt;=Info!$I$6,Info!$F$32="آسایش "),VLOOKUP(AI16,Rates!$U$1:$Y$108,3,0),IF(AND(AI16&lt;=Rates!$Z$2,AJ16&lt;=Info!$I$6,Info!$F$32="ممتاز"),VLOOKUP(AI16,Rates!$U$1:$Y$108,4,0),0))))*AA16/1000000*(1+Info!$C$34)*(1-Info!$I$48)</f>
        <v>0</v>
      </c>
      <c r="X16" s="25">
        <f>IF(Info!$C$32="بله",(AG16-W16-U16-V16-T16)/(1+S16),AG16)</f>
        <v>0</v>
      </c>
      <c r="Y16" s="25">
        <f>IF(AI16&lt;&gt;0,(AD16*LOOKUP(AI16,Rates!$U$2:$U$108,Rates!$T$2:$T$108))/SQRT(1.1),0)</f>
        <v>0</v>
      </c>
      <c r="Z16" s="25">
        <f>IF(AND(AI16&lt;=Rates!$Z$10,AI16&gt;=0),Info!$C$28*(AC16-AD16),0)</f>
        <v>0</v>
      </c>
      <c r="AA16" s="25">
        <f>IF(AND(AI16&gt;=0,AI16&lt;=Rates!$Z$2,AG16&gt;0),MIN(AA15*(1+Info!$F$26),5000000000),0)</f>
        <v>0</v>
      </c>
      <c r="AB16" s="25">
        <f>IF(AND(AI16&gt;=0,AI16&lt;=65),AD16*Info!$L$32,0)</f>
        <v>0</v>
      </c>
      <c r="AC16" s="25">
        <f>IF(AND(AI16&gt;=0,AI16&lt;=Rates!$Z$3),AD16*(1+Info!$L$30),AD16)</f>
        <v>0</v>
      </c>
      <c r="AD16" s="25">
        <f>IF(AI16&lt;&gt;0,AD15*(1+Info!$F$26),0)</f>
        <v>0</v>
      </c>
      <c r="AE16" s="25">
        <f t="shared" si="5"/>
        <v>0</v>
      </c>
      <c r="AF16" s="25">
        <f>IF(AI16&gt;=0,IF(Info!$C$32="بله",AG16,AG16+L16),"")</f>
        <v>0</v>
      </c>
      <c r="AG16" s="145">
        <f>IF(AI16&lt;&gt;0,AG15*(1+Info!$F$24),0)</f>
        <v>0</v>
      </c>
      <c r="AH16" s="150">
        <f>IF(AJ16&lt;&gt;"",Info!$C$6+AJ16-1,0)</f>
        <v>0</v>
      </c>
      <c r="AI16" s="28">
        <f>IF(AJ16&lt;&gt;"",IF(Info!$F$6+AJ16-1&lt;=Rates!$Z$11,Info!$F$6+AJ16-1,0),0)</f>
        <v>0</v>
      </c>
      <c r="AJ16" s="29" t="str">
        <f>IF(AI15&lt;&gt;"",IF(AND(AJ15&lt;&gt;"",AI15+1&lt;=Rates!$Z$11),IF(AJ15&lt;&gt;0,IF(AJ15+1&lt;=Info!$I$6,AJ15+1,""),0),""),"")</f>
        <v/>
      </c>
    </row>
    <row r="17" spans="1:36" s="243" customFormat="1" ht="18.75" x14ac:dyDescent="0.45">
      <c r="A17" s="24">
        <f>IF(B17&gt;0,IF(Info!$C$32="بله",AG17/B17,(AG17+L17)/B17),0)</f>
        <v>0</v>
      </c>
      <c r="B17" s="24">
        <f>IF(AND(AI17&gt;=0,AJ17&lt;=Info!$I$6),LOOKUP(Info!$C$24,Rates!$I$2:$I$7,Rates!$F$2:$F$7),0)</f>
        <v>0</v>
      </c>
      <c r="C17" s="24">
        <f>IF(AG17&lt;&gt;0,(C16+F17)*(1+VLOOKUP(Info!$C$26,Rates!$D$3:$E$7,2,FALSE)),0)</f>
        <v>0</v>
      </c>
      <c r="D17" s="24">
        <f t="shared" si="7"/>
        <v>0</v>
      </c>
      <c r="E17" s="24">
        <f>IF(AI17&lt;&gt;0,(E16+F17)*(1+VLOOKUP(Info!$C$26,Rates!$A$14:$B$19,2,FALSE)),0)</f>
        <v>0</v>
      </c>
      <c r="F17" s="24">
        <f t="shared" si="2"/>
        <v>0</v>
      </c>
      <c r="G17" s="24">
        <f>IF(AI17&lt;&gt;"",Rates!$AB$11*(L17),"")</f>
        <v>0</v>
      </c>
      <c r="H17" s="24">
        <f>IF(AI17&lt;&gt;"",(Rates!$AD$11+Rates!$AC$11)*(L17),"")</f>
        <v>0</v>
      </c>
      <c r="I17" s="24">
        <f>IF(AI17&lt;&gt;"",LOOKUP(Info!$C$24,Rates!$I$2:$I$7,Rates!$H$2:$H$7)*(J17+K17+L17+Y17),"")</f>
        <v>0</v>
      </c>
      <c r="J17" s="24">
        <f t="shared" si="3"/>
        <v>0</v>
      </c>
      <c r="K17" s="24">
        <f>IF(Y17&lt;&gt;"",Info!$C$34*Y17,"")</f>
        <v>0</v>
      </c>
      <c r="L17" s="24">
        <f t="shared" si="1"/>
        <v>0</v>
      </c>
      <c r="M17" s="24">
        <f t="shared" si="4"/>
        <v>0</v>
      </c>
      <c r="N17" s="24">
        <v>0</v>
      </c>
      <c r="O17" s="24" t="str">
        <f>IF(AJ17&lt;=10,(1-Info!$C$44)*IF(OR(Info!$F$24&gt;0,Info!$F$26&gt;0),IF(0.75*$X$4&lt;=0.03*$AD$4,0.75*(X17-X16),0.03*(AD17-AD16)),0),"")</f>
        <v/>
      </c>
      <c r="P17" s="24">
        <f>IF(AJ17&lt;=5,IF(AI17&lt;&gt;"",0.002*AD17,"")*(1-Info!$I$44),0)</f>
        <v>0</v>
      </c>
      <c r="Q17" s="24">
        <f>(1-Info!$F$44)*IF(AI17&lt;&gt;"",IF(Info!$C$32="بله",0.07*X17,0.07*AG17),"")</f>
        <v>0</v>
      </c>
      <c r="R17" s="24">
        <f>IF(X17&lt;&gt;0,S17*X17,0)*(1-Info!$F$48)</f>
        <v>0</v>
      </c>
      <c r="S17" s="24">
        <f>IF(Info!$I$30="خیر",0,IF(Info!$F$30="بله",IF(Info!$C$30=1,2.3,IF(Info!$C$30=2,3.3,4.3)),1))*IF(AND(AH17&lt;=Rates!$Z$8,AH17&gt;0),(1+Info!$C$34)*(1+LOOKUP(Info!$F$34,Rates!$O$2:$O$9,Rates!$L$2:$L$9)/100)*(LOOKUP(Info!$C$6,Rates!$U$2:$U$108,Rates!$R$2:$R$108)/100),0)</f>
        <v>0</v>
      </c>
      <c r="T17" s="24">
        <f>IF(AI17&lt;71,(1-Info!$F$46)*((AB17*0.0008*(1+(LOOKUP(Info!$I$34,Rates!$O$2:$O$9,Rates!$M$2:$M$9)/100)))),0)</f>
        <v>0</v>
      </c>
      <c r="U17" s="24">
        <f>IF(AI17&lt;71,(1-Info!$I$46)*(((AD17*0.0008*Info!$L$30))*(1+(LOOKUP(Info!$I$34,Rates!$O:$O,Rates!$N:$N)/100))),0)</f>
        <v>0</v>
      </c>
      <c r="V17" s="24">
        <f>((Z17*0.0008))*(1+(LOOKUP(Info!$I$34,Rates!$O$2:$O$9,Rates!$M$2:$M$9)/100))*(1-Info!$C$46)</f>
        <v>0</v>
      </c>
      <c r="W17" s="24">
        <f>IF(AND(AI17&lt;=Rates!$Z$2,AJ17&lt;=Info!$I$6,Info!$F$32="معمولی"),VLOOKUP(AI17,Rates!$U$1:$Y$108,5,0),IF(AND(AI17&lt;=Rates!$Z$2,AJ17&lt;=Info!$I$6,Info!$F$32="پایه"),VLOOKUP(AI17,Rates!$U$1:$Y$108,2,0),IF(AND(AI17&lt;=Rates!$Z$2,AJ17&lt;=Info!$I$6,Info!$F$32="آسایش "),VLOOKUP(AI17,Rates!$U$1:$Y$108,3,0),IF(AND(AI17&lt;=Rates!$Z$2,AJ17&lt;=Info!$I$6,Info!$F$32="ممتاز"),VLOOKUP(AI17,Rates!$U$1:$Y$108,4,0),0))))*AA17/1000000*(1+Info!$C$34)*(1-Info!$I$48)</f>
        <v>0</v>
      </c>
      <c r="X17" s="24">
        <f>IF(Info!$C$32="بله",(AG17-W17-U17-V17-T17)/(1+S17),AG17)</f>
        <v>0</v>
      </c>
      <c r="Y17" s="24">
        <f>IF(AI17&lt;&gt;0,(AD17*LOOKUP(AI17,Rates!$U$2:$U$108,Rates!$T$2:$T$108))/SQRT(1.1),0)</f>
        <v>0</v>
      </c>
      <c r="Z17" s="24">
        <f>IF(AND(AI17&lt;=Rates!$Z$10,AI17&gt;=0),Info!$C$28*(AC17-AD17),0)</f>
        <v>0</v>
      </c>
      <c r="AA17" s="24">
        <f>IF(AND(AI17&gt;=0,AI17&lt;=Rates!$Z$2,AG17&gt;0),MIN(AA16*(1+Info!$F$26),5000000000),0)</f>
        <v>0</v>
      </c>
      <c r="AB17" s="24">
        <f>IF(AND(AI17&gt;=0,AI17&lt;=65),AD17*Info!$L$32,0)</f>
        <v>0</v>
      </c>
      <c r="AC17" s="24">
        <f>IF(AND(AI17&gt;=0,AI17&lt;=Rates!$Z$3),AD17*(1+Info!$L$30),AD17)</f>
        <v>0</v>
      </c>
      <c r="AD17" s="24">
        <f>IF(AI17&lt;&gt;0,AD16*(1+Info!$F$26),0)</f>
        <v>0</v>
      </c>
      <c r="AE17" s="24">
        <f t="shared" si="5"/>
        <v>0</v>
      </c>
      <c r="AF17" s="24">
        <f>IF(AI17&gt;=0,IF(Info!$C$32="بله",AG17,AG17+L17),"")</f>
        <v>0</v>
      </c>
      <c r="AG17" s="146">
        <f>IF(AI17&lt;&gt;0,AG16*(1+Info!$F$24),0)</f>
        <v>0</v>
      </c>
      <c r="AH17" s="149">
        <f>IF(AJ17&lt;&gt;"",Info!$C$6+AJ17-1,0)</f>
        <v>0</v>
      </c>
      <c r="AI17" s="26">
        <f>IF(AJ17&lt;&gt;"",IF(Info!$F$6+AJ17-1&lt;=Rates!$Z$11,Info!$F$6+AJ17-1,0),0)</f>
        <v>0</v>
      </c>
      <c r="AJ17" s="27" t="str">
        <f>IF(AI16&lt;&gt;"",IF(AND(AJ16&lt;&gt;"",AI16+1&lt;=Rates!$Z$11),IF(AJ16&lt;&gt;0,IF(AJ16+1&lt;=Info!$I$6,AJ16+1,""),0),""),"")</f>
        <v/>
      </c>
    </row>
    <row r="18" spans="1:36" s="243" customFormat="1" ht="18.75" x14ac:dyDescent="0.45">
      <c r="A18" s="25">
        <f>IF(B18&gt;0,IF(Info!$C$32="بله",AG18/B18,(AG18+L18)/B18),0)</f>
        <v>0</v>
      </c>
      <c r="B18" s="25">
        <f>IF(AND(AI18&gt;=0,AJ18&lt;=Info!$I$6),LOOKUP(Info!$C$24,Rates!$I$2:$I$7,Rates!$F$2:$F$7),0)</f>
        <v>0</v>
      </c>
      <c r="C18" s="25">
        <f>IF(AG18&lt;&gt;0,(C17+F18)*(1+VLOOKUP(Info!$C$26,Rates!$D$3:$E$7,2,FALSE)),0)</f>
        <v>0</v>
      </c>
      <c r="D18" s="25">
        <f t="shared" si="7"/>
        <v>0</v>
      </c>
      <c r="E18" s="25">
        <f>IF(AI18&lt;&gt;0,(E17+F18)*(1+VLOOKUP(Info!$C$26,Rates!$A$14:$B$19,2,FALSE)),0)</f>
        <v>0</v>
      </c>
      <c r="F18" s="24">
        <f t="shared" si="2"/>
        <v>0</v>
      </c>
      <c r="G18" s="25">
        <f>IF(AI18&lt;&gt;"",Rates!$AB$11*(L18),"")</f>
        <v>0</v>
      </c>
      <c r="H18" s="25">
        <f>IF(AI18&lt;&gt;"",(Rates!$AD$11+Rates!$AC$11)*(L18),"")</f>
        <v>0</v>
      </c>
      <c r="I18" s="25">
        <f>IF(AI18&lt;&gt;"",LOOKUP(Info!$C$24,Rates!$I$2:$I$7,Rates!$H$2:$H$7)*(J18+K18+L18+Y18),"")</f>
        <v>0</v>
      </c>
      <c r="J18" s="25">
        <f t="shared" si="3"/>
        <v>0</v>
      </c>
      <c r="K18" s="25">
        <f>IF(Y18&lt;&gt;"",Info!$C$34*Y18,"")</f>
        <v>0</v>
      </c>
      <c r="L18" s="25">
        <f t="shared" si="1"/>
        <v>0</v>
      </c>
      <c r="M18" s="24">
        <f t="shared" si="4"/>
        <v>0</v>
      </c>
      <c r="N18" s="25">
        <v>0</v>
      </c>
      <c r="O18" s="25" t="str">
        <f>IF(AJ18&lt;=10,(1-Info!$C$44)*IF(OR(Info!$F$24&gt;0,Info!$F$26&gt;0),IF(0.75*$X$4&lt;=0.03*$AD$4,0.75*(X18-X17),0.03*(AD18-AD17)),0),"")</f>
        <v/>
      </c>
      <c r="P18" s="25">
        <f>IF(AJ18&lt;=5,IF(AI18&lt;&gt;"",0.002*AD18,"")*(1-Info!$I$44),0)</f>
        <v>0</v>
      </c>
      <c r="Q18" s="25">
        <f>(1-Info!$F$44)*IF(AI18&lt;&gt;"",IF(Info!$C$32="بله",0.07*X18,0.07*AG18),"")</f>
        <v>0</v>
      </c>
      <c r="R18" s="25">
        <f>IF(X18&lt;&gt;0,S18*X18,0)*(1-Info!$F$48)</f>
        <v>0</v>
      </c>
      <c r="S18" s="25">
        <f>IF(Info!$I$30="خیر",0,IF(Info!$F$30="بله",IF(Info!$C$30=1,2.3,IF(Info!$C$30=2,3.3,4.3)),1))*IF(AND(AH18&lt;=Rates!$Z$8,AH18&gt;0),(1+Info!$C$34)*(1+LOOKUP(Info!$F$34,Rates!$O$2:$O$9,Rates!$L$2:$L$9)/100)*(LOOKUP(Info!$C$6,Rates!$U$2:$U$108,Rates!$R$2:$R$108)/100),0)</f>
        <v>0</v>
      </c>
      <c r="T18" s="25">
        <f>IF(AI18&lt;71,(1-Info!$F$46)*((AB18*0.0008*(1+(LOOKUP(Info!$I$34,Rates!$O$2:$O$9,Rates!$M$2:$M$9)/100)))),0)</f>
        <v>0</v>
      </c>
      <c r="U18" s="25">
        <f>IF(AI18&lt;71,(1-Info!$I$46)*(((AD18*0.0008*Info!$L$30))*(1+(LOOKUP(Info!$I$34,Rates!$O:$O,Rates!$N:$N)/100))),0)</f>
        <v>0</v>
      </c>
      <c r="V18" s="25">
        <f>((Z18*0.0008))*(1+(LOOKUP(Info!$I$34,Rates!$O$2:$O$9,Rates!$M$2:$M$9)/100))*(1-Info!$C$46)</f>
        <v>0</v>
      </c>
      <c r="W18" s="25">
        <f>IF(AND(AI18&lt;=Rates!$Z$2,AJ18&lt;=Info!$I$6,Info!$F$32="معمولی"),VLOOKUP(AI18,Rates!$U$1:$Y$108,5,0),IF(AND(AI18&lt;=Rates!$Z$2,AJ18&lt;=Info!$I$6,Info!$F$32="پایه"),VLOOKUP(AI18,Rates!$U$1:$Y$108,2,0),IF(AND(AI18&lt;=Rates!$Z$2,AJ18&lt;=Info!$I$6,Info!$F$32="آسایش "),VLOOKUP(AI18,Rates!$U$1:$Y$108,3,0),IF(AND(AI18&lt;=Rates!$Z$2,AJ18&lt;=Info!$I$6,Info!$F$32="ممتاز"),VLOOKUP(AI18,Rates!$U$1:$Y$108,4,0),0))))*AA18/1000000*(1+Info!$C$34)*(1-Info!$I$48)</f>
        <v>0</v>
      </c>
      <c r="X18" s="25">
        <f>IF(Info!$C$32="بله",(AG18-W18-U18-V18-T18)/(1+S18),AG18)</f>
        <v>0</v>
      </c>
      <c r="Y18" s="25">
        <f>IF(AI18&lt;&gt;0,(AD18*LOOKUP(AI18,Rates!$U$2:$U$108,Rates!$T$2:$T$108))/SQRT(1.1),0)</f>
        <v>0</v>
      </c>
      <c r="Z18" s="25">
        <f>IF(AND(AI18&lt;=Rates!$Z$10,AI18&gt;=0),Info!$C$28*(AC18-AD18),0)</f>
        <v>0</v>
      </c>
      <c r="AA18" s="25">
        <f>IF(AND(AI18&gt;=0,AI18&lt;=Rates!$Z$2,AG18&gt;0),MIN(AA17*(1+Info!$F$26),5000000000),0)</f>
        <v>0</v>
      </c>
      <c r="AB18" s="25">
        <f>IF(AND(AI18&gt;=0,AI18&lt;=65),AD18*Info!$L$32,0)</f>
        <v>0</v>
      </c>
      <c r="AC18" s="25">
        <f>IF(AND(AI18&gt;=0,AI18&lt;=Rates!$Z$3),AD18*(1+Info!$L$30),AD18)</f>
        <v>0</v>
      </c>
      <c r="AD18" s="25">
        <f>IF(AI18&lt;&gt;0,AD17*(1+Info!$F$26),0)</f>
        <v>0</v>
      </c>
      <c r="AE18" s="25">
        <f t="shared" si="5"/>
        <v>0</v>
      </c>
      <c r="AF18" s="25">
        <f>IF(AI18&gt;=0,IF(Info!$C$32="بله",AG18,AG18+L18),"")</f>
        <v>0</v>
      </c>
      <c r="AG18" s="145">
        <f>IF(AI18&lt;&gt;0,AG17*(1+Info!$F$24),0)</f>
        <v>0</v>
      </c>
      <c r="AH18" s="150">
        <f>IF(AJ18&lt;&gt;"",Info!$C$6+AJ18-1,0)</f>
        <v>0</v>
      </c>
      <c r="AI18" s="28">
        <f>IF(AJ18&lt;&gt;"",IF(Info!$F$6+AJ18-1&lt;=Rates!$Z$11,Info!$F$6+AJ18-1,0),0)</f>
        <v>0</v>
      </c>
      <c r="AJ18" s="29" t="str">
        <f>IF(AI17&lt;&gt;"",IF(AND(AJ17&lt;&gt;"",AI17+1&lt;=Rates!$Z$11),IF(AJ17&lt;&gt;0,IF(AJ17+1&lt;=Info!$I$6,AJ17+1,""),0),""),"")</f>
        <v/>
      </c>
    </row>
    <row r="19" spans="1:36" s="243" customFormat="1" ht="18.75" x14ac:dyDescent="0.45">
      <c r="A19" s="24">
        <f>IF(B19&gt;0,IF(Info!$C$32="بله",AG19/B19,(AG19+L19)/B19),0)</f>
        <v>0</v>
      </c>
      <c r="B19" s="24">
        <f>IF(AND(AI19&gt;=0,AJ19&lt;=Info!$I$6),LOOKUP(Info!$C$24,Rates!$I$2:$I$7,Rates!$F$2:$F$7),0)</f>
        <v>0</v>
      </c>
      <c r="C19" s="24">
        <f>IF(AG19&lt;&gt;0,(C18+F19)*(1+VLOOKUP(Info!$C$26,Rates!$D$3:$E$7,2,FALSE)),0)</f>
        <v>0</v>
      </c>
      <c r="D19" s="24">
        <f t="shared" si="7"/>
        <v>0</v>
      </c>
      <c r="E19" s="24">
        <f>IF(AI19&lt;&gt;0,(E18+F19)*(1+VLOOKUP(Info!$C$26,Rates!$A$14:$B$19,2,FALSE)),0)</f>
        <v>0</v>
      </c>
      <c r="F19" s="24">
        <f t="shared" si="2"/>
        <v>0</v>
      </c>
      <c r="G19" s="24">
        <f>IF(AI19&lt;&gt;"",Rates!$AB$11*(L19),"")</f>
        <v>0</v>
      </c>
      <c r="H19" s="24">
        <f>IF(AI19&lt;&gt;"",(Rates!$AD$11+Rates!$AC$11)*(L19),"")</f>
        <v>0</v>
      </c>
      <c r="I19" s="24">
        <f>IF(AI19&lt;&gt;"",LOOKUP(Info!$C$24,Rates!$I$2:$I$7,Rates!$H$2:$H$7)*(J19+K19+L19+Y19),"")</f>
        <v>0</v>
      </c>
      <c r="J19" s="24">
        <f>IF(N19="",0,N19)+IF(P19="",0,P19)+IF(Q19="",0,Q19)</f>
        <v>0</v>
      </c>
      <c r="K19" s="24">
        <f>IF(Y19&lt;&gt;"",Info!$C$34*Y19,"")</f>
        <v>0</v>
      </c>
      <c r="L19" s="24">
        <f t="shared" si="1"/>
        <v>0</v>
      </c>
      <c r="M19" s="24">
        <f t="shared" si="4"/>
        <v>0</v>
      </c>
      <c r="N19" s="24">
        <v>0</v>
      </c>
      <c r="O19" s="24" t="str">
        <f>IF(AJ19&lt;=10,(1-Info!$C$44)*IF(OR(Info!$F$24&gt;0,Info!$F$26&gt;0),IF(0.75*$X$4&lt;=0.03*$AD$4,0.75*(X19-X18),0.03*(AD19-AD18)),0),"")</f>
        <v/>
      </c>
      <c r="P19" s="24">
        <f>IF(AJ19&lt;=5,IF(AI19&lt;&gt;"",0.002*AD19,"")*(1-Info!$I$44),0)</f>
        <v>0</v>
      </c>
      <c r="Q19" s="24">
        <f>(1-Info!$F$44)*IF(AI19&lt;&gt;"",IF(Info!$C$32="بله",0.07*X19,0.07*AG19),"")</f>
        <v>0</v>
      </c>
      <c r="R19" s="24">
        <f>IF(X19&lt;&gt;0,S19*X19,0)*(1-Info!$F$48)</f>
        <v>0</v>
      </c>
      <c r="S19" s="24">
        <f>IF(Info!$I$30="خیر",0,IF(Info!$F$30="بله",IF(Info!$C$30=1,2.3,IF(Info!$C$30=2,3.3,4.3)),1))*IF(AND(AH19&lt;=Rates!$Z$8,AH19&gt;0),(1+Info!$C$34)*(1+LOOKUP(Info!$F$34,Rates!$O$2:$O$9,Rates!$L$2:$L$9)/100)*(LOOKUP(Info!$C$6,Rates!$U$2:$U$108,Rates!$R$2:$R$108)/100),0)</f>
        <v>0</v>
      </c>
      <c r="T19" s="24">
        <f>IF(AI19&lt;71,(1-Info!$F$46)*((AB19*0.0008*(1+(LOOKUP(Info!$I$34,Rates!$O$2:$O$9,Rates!$M$2:$M$9)/100)))),0)</f>
        <v>0</v>
      </c>
      <c r="U19" s="24">
        <f>IF(AI19&lt;71,(1-Info!$I$46)*(((AD19*0.0008*Info!$L$30))*(1+(LOOKUP(Info!$I$34,Rates!$O:$O,Rates!$N:$N)/100))),0)</f>
        <v>0</v>
      </c>
      <c r="V19" s="24">
        <f>((Z19*0.0008))*(1+(LOOKUP(Info!$I$34,Rates!$O$2:$O$9,Rates!$M$2:$M$9)/100))*(1-Info!$C$46)</f>
        <v>0</v>
      </c>
      <c r="W19" s="24">
        <f>IF(AND(AI19&lt;=Rates!$Z$2,AJ19&lt;=Info!$I$6,Info!$F$32="معمولی"),VLOOKUP(AI19,Rates!$U$1:$Y$108,5,0),IF(AND(AI19&lt;=Rates!$Z$2,AJ19&lt;=Info!$I$6,Info!$F$32="پایه"),VLOOKUP(AI19,Rates!$U$1:$Y$108,2,0),IF(AND(AI19&lt;=Rates!$Z$2,AJ19&lt;=Info!$I$6,Info!$F$32="آسایش "),VLOOKUP(AI19,Rates!$U$1:$Y$108,3,0),IF(AND(AI19&lt;=Rates!$Z$2,AJ19&lt;=Info!$I$6,Info!$F$32="ممتاز"),VLOOKUP(AI19,Rates!$U$1:$Y$108,4,0),0))))*AA19/1000000*(1+Info!$C$34)*(1-Info!$I$48)</f>
        <v>0</v>
      </c>
      <c r="X19" s="24">
        <f>IF(Info!$C$32="بله",(AG19-W19-U19-V19-T19)/(1+S19),AG19)</f>
        <v>0</v>
      </c>
      <c r="Y19" s="24">
        <f>IF(AI19&lt;&gt;0,(AD19*LOOKUP(AI19,Rates!$U$2:$U$108,Rates!$T$2:$T$108))/SQRT(1.1),0)</f>
        <v>0</v>
      </c>
      <c r="Z19" s="24">
        <f>IF(AND(AI19&lt;=Rates!$Z$10,AI19&gt;=0),Info!$C$28*(AC19-AD19),0)</f>
        <v>0</v>
      </c>
      <c r="AA19" s="24">
        <f>IF(AND(AI19&gt;=0,AI19&lt;=Rates!$Z$2,AG19&gt;0),MIN(AA18*(1+Info!$F$26),5000000000),0)</f>
        <v>0</v>
      </c>
      <c r="AB19" s="24">
        <f>IF(AND(AI19&gt;=0,AI19&lt;=65),AD19*Info!$L$32,0)</f>
        <v>0</v>
      </c>
      <c r="AC19" s="24">
        <f>IF(AND(AI19&gt;=0,AI19&lt;=Rates!$Z$3),AD19*(1+Info!$L$30),AD19)</f>
        <v>0</v>
      </c>
      <c r="AD19" s="24">
        <f>IF(AI19&lt;&gt;0,AD18*(1+Info!$F$26),0)</f>
        <v>0</v>
      </c>
      <c r="AE19" s="24">
        <f t="shared" si="5"/>
        <v>0</v>
      </c>
      <c r="AF19" s="24">
        <f>IF(AI19&gt;=0,IF(Info!$C$32="بله",AG19,AG19+L19),"")</f>
        <v>0</v>
      </c>
      <c r="AG19" s="146">
        <f>IF(AI19&lt;&gt;0,AG18*(1+Info!$F$24),0)</f>
        <v>0</v>
      </c>
      <c r="AH19" s="149">
        <f>IF(AJ19&lt;&gt;"",Info!$C$6+AJ19-1,0)</f>
        <v>0</v>
      </c>
      <c r="AI19" s="26">
        <f>IF(AJ19&lt;&gt;"",IF(Info!$F$6+AJ19-1&lt;=Rates!$Z$11,Info!$F$6+AJ19-1,0),0)</f>
        <v>0</v>
      </c>
      <c r="AJ19" s="27" t="str">
        <f>IF(AI18&lt;&gt;"",IF(AND(AJ18&lt;&gt;"",AI18+1&lt;=Rates!$Z$11),IF(AJ18&lt;&gt;0,IF(AJ18+1&lt;=Info!$I$6,AJ18+1,""),0),""),"")</f>
        <v/>
      </c>
    </row>
    <row r="20" spans="1:36" s="243" customFormat="1" ht="18.75" x14ac:dyDescent="0.45">
      <c r="A20" s="25">
        <f>IF(B20&gt;0,IF(Info!$C$32="بله",AG20/B20,(AG20+L20)/B20),0)</f>
        <v>0</v>
      </c>
      <c r="B20" s="25">
        <f>IF(AND(AI20&gt;=0,AJ20&lt;=Info!$I$6),LOOKUP(Info!$C$24,Rates!$I$2:$I$7,Rates!$F$2:$F$7),0)</f>
        <v>0</v>
      </c>
      <c r="C20" s="25">
        <f>IF(AG20&lt;&gt;0,(C19+F20)*(1+VLOOKUP(Info!$C$26,Rates!$D$3:$E$7,2,FALSE)),0)</f>
        <v>0</v>
      </c>
      <c r="D20" s="25">
        <f t="shared" si="7"/>
        <v>0</v>
      </c>
      <c r="E20" s="25">
        <f>IF(AI20&lt;&gt;0,(E19+F20)*(1+VLOOKUP(Info!$C$26,Rates!$A$14:$B$19,2,FALSE)),0)</f>
        <v>0</v>
      </c>
      <c r="F20" s="24">
        <f t="shared" si="2"/>
        <v>0</v>
      </c>
      <c r="G20" s="25">
        <f>IF(AI20&lt;&gt;"",Rates!$AB$11*(L20),"")</f>
        <v>0</v>
      </c>
      <c r="H20" s="25">
        <f>IF(AI20&lt;&gt;"",(Rates!$AD$11+Rates!$AC$11)*(L20),"")</f>
        <v>0</v>
      </c>
      <c r="I20" s="25">
        <f>IF(AI20&lt;&gt;"",LOOKUP(Info!$C$24,Rates!$I$2:$I$7,Rates!$H$2:$H$7)*(J20+K20+L20+Y20),"")</f>
        <v>0</v>
      </c>
      <c r="J20" s="25">
        <f t="shared" si="3"/>
        <v>0</v>
      </c>
      <c r="K20" s="25">
        <f>IF(Y20&lt;&gt;"",Info!$C$34*Y20,"")</f>
        <v>0</v>
      </c>
      <c r="L20" s="25">
        <f t="shared" si="1"/>
        <v>0</v>
      </c>
      <c r="M20" s="24">
        <f t="shared" si="4"/>
        <v>0</v>
      </c>
      <c r="N20" s="25">
        <v>0</v>
      </c>
      <c r="O20" s="25" t="str">
        <f>IF(AJ20&lt;=10,(1-Info!$C$44)*IF(OR(Info!$F$24&gt;0,Info!$F$26&gt;0),IF(0.75*$X$4&lt;=0.03*$AD$4,0.75*(X20-X19),0.03*(AD20-AD19)),0),"")</f>
        <v/>
      </c>
      <c r="P20" s="25">
        <f>IF(AJ20&lt;=5,IF(AI20&lt;&gt;"",0.002*AD20,"")*(1-Info!$I$44),0)</f>
        <v>0</v>
      </c>
      <c r="Q20" s="25">
        <f>(1-Info!$F$44)*IF(AI20&lt;&gt;"",IF(Info!$C$32="بله",0.07*X20,0.07*AG20),"")</f>
        <v>0</v>
      </c>
      <c r="R20" s="25">
        <f>IF(X20&lt;&gt;0,S20*X20,0)*(1-Info!$F$48)</f>
        <v>0</v>
      </c>
      <c r="S20" s="25">
        <f>IF(Info!$I$30="خیر",0,IF(Info!$F$30="بله",IF(Info!$C$30=1,2.3,IF(Info!$C$30=2,3.3,4.3)),1))*IF(AND(AH20&lt;=Rates!$Z$8,AH20&gt;0),(1+Info!$C$34)*(1+LOOKUP(Info!$F$34,Rates!$O$2:$O$9,Rates!$L$2:$L$9)/100)*(LOOKUP(Info!$C$6,Rates!$U$2:$U$108,Rates!$R$2:$R$108)/100),0)</f>
        <v>0</v>
      </c>
      <c r="T20" s="25">
        <f>IF(AI20&lt;71,(1-Info!$F$46)*((AB20*0.0008*(1+(LOOKUP(Info!$I$34,Rates!$O$2:$O$9,Rates!$M$2:$M$9)/100)))),0)</f>
        <v>0</v>
      </c>
      <c r="U20" s="25">
        <f>IF(AI20&lt;71,(1-Info!$I$46)*(((AD20*0.0008*Info!$L$30))*(1+(LOOKUP(Info!$I$34,Rates!$O:$O,Rates!$N:$N)/100))),0)</f>
        <v>0</v>
      </c>
      <c r="V20" s="25">
        <f>((Z20*0.0008))*(1+(LOOKUP(Info!$I$34,Rates!$O$2:$O$9,Rates!$M$2:$M$9)/100))*(1-Info!$C$46)</f>
        <v>0</v>
      </c>
      <c r="W20" s="25">
        <f>IF(AND(AI20&lt;=Rates!$Z$2,AJ20&lt;=Info!$I$6,Info!$F$32="معمولی"),VLOOKUP(AI20,Rates!$U$1:$Y$108,5,0),IF(AND(AI20&lt;=Rates!$Z$2,AJ20&lt;=Info!$I$6,Info!$F$32="پایه"),VLOOKUP(AI20,Rates!$U$1:$Y$108,2,0),IF(AND(AI20&lt;=Rates!$Z$2,AJ20&lt;=Info!$I$6,Info!$F$32="آسایش "),VLOOKUP(AI20,Rates!$U$1:$Y$108,3,0),IF(AND(AI20&lt;=Rates!$Z$2,AJ20&lt;=Info!$I$6,Info!$F$32="ممتاز"),VLOOKUP(AI20,Rates!$U$1:$Y$108,4,0),0))))*AA20/1000000*(1+Info!$C$34)*(1-Info!$I$48)</f>
        <v>0</v>
      </c>
      <c r="X20" s="25">
        <f>IF(Info!$C$32="بله",(AG20-W20-U20-V20-T20)/(1+S20),AG20)</f>
        <v>0</v>
      </c>
      <c r="Y20" s="25">
        <f>IF(AI20&lt;&gt;0,(AD20*LOOKUP(AI20,Rates!$U$2:$U$108,Rates!$T$2:$T$108))/SQRT(1.1),0)</f>
        <v>0</v>
      </c>
      <c r="Z20" s="25">
        <f>IF(AND(AI20&lt;=Rates!$Z$10,AI20&gt;=0),Info!$C$28*(AC20-AD20),0)</f>
        <v>0</v>
      </c>
      <c r="AA20" s="25">
        <f>IF(AND(AI20&gt;=0,AI20&lt;=Rates!$Z$2,AG20&gt;0),MIN(AA19*(1+Info!$F$26),5000000000),0)</f>
        <v>0</v>
      </c>
      <c r="AB20" s="25">
        <f>IF(AND(AI20&gt;=0,AI20&lt;=65),AD20*Info!$L$32,0)</f>
        <v>0</v>
      </c>
      <c r="AC20" s="25">
        <f>IF(AND(AI20&gt;=0,AI20&lt;=Rates!$Z$3),AD20*(1+Info!$L$30),AD20)</f>
        <v>0</v>
      </c>
      <c r="AD20" s="25">
        <f>IF(AI20&lt;&gt;0,AD19*(1+Info!$F$26),0)</f>
        <v>0</v>
      </c>
      <c r="AE20" s="25">
        <f t="shared" si="5"/>
        <v>0</v>
      </c>
      <c r="AF20" s="25">
        <f>IF(AI20&gt;=0,IF(Info!$C$32="بله",AG20,AG20+L20),"")</f>
        <v>0</v>
      </c>
      <c r="AG20" s="145">
        <f>IF(AI20&lt;&gt;0,AG19*(1+Info!$F$24),0)</f>
        <v>0</v>
      </c>
      <c r="AH20" s="150">
        <f>IF(AJ20&lt;&gt;"",Info!$C$6+AJ20-1,0)</f>
        <v>0</v>
      </c>
      <c r="AI20" s="28">
        <f>IF(AJ20&lt;&gt;"",IF(Info!$F$6+AJ20-1&lt;=Rates!$Z$11,Info!$F$6+AJ20-1,0),0)</f>
        <v>0</v>
      </c>
      <c r="AJ20" s="29" t="str">
        <f>IF(AI19&lt;&gt;"",IF(AND(AJ19&lt;&gt;"",AI19+1&lt;=Rates!$Z$11),IF(AJ19&lt;&gt;0,IF(AJ19+1&lt;=Info!$I$6,AJ19+1,""),0),""),"")</f>
        <v/>
      </c>
    </row>
    <row r="21" spans="1:36" s="243" customFormat="1" ht="18.75" x14ac:dyDescent="0.45">
      <c r="A21" s="24">
        <f>IF(B21&gt;0,IF(Info!$C$32="بله",AG21/B21,(AG21+L21)/B21),0)</f>
        <v>0</v>
      </c>
      <c r="B21" s="24">
        <f>IF(AND(AI21&gt;=0,AJ21&lt;=Info!$I$6),LOOKUP(Info!$C$24,Rates!$I$2:$I$7,Rates!$F$2:$F$7),0)</f>
        <v>0</v>
      </c>
      <c r="C21" s="24">
        <f>IF(AG21&lt;&gt;0,(C20+F21)*(1+VLOOKUP(Info!$C$26,Rates!$D$3:$E$7,2,FALSE)),0)</f>
        <v>0</v>
      </c>
      <c r="D21" s="24">
        <f t="shared" si="7"/>
        <v>0</v>
      </c>
      <c r="E21" s="24">
        <f>IF(AI21&lt;&gt;0,(E20+F21)*(1+VLOOKUP(Info!$C$26,Rates!$A$14:$B$19,2,FALSE)),0)</f>
        <v>0</v>
      </c>
      <c r="F21" s="24">
        <f t="shared" si="2"/>
        <v>0</v>
      </c>
      <c r="G21" s="24">
        <f>IF(AI21&lt;&gt;"",Rates!$AB$11*(L21),"")</f>
        <v>0</v>
      </c>
      <c r="H21" s="24">
        <f>IF(AI21&lt;&gt;"",(Rates!$AD$11+Rates!$AC$11)*(L21),"")</f>
        <v>0</v>
      </c>
      <c r="I21" s="24">
        <f>IF(AI21&lt;&gt;"",LOOKUP(Info!$C$24,Rates!$I$2:$I$7,Rates!$H$2:$H$7)*(J21+K21+L21+Y21),"")</f>
        <v>0</v>
      </c>
      <c r="J21" s="24">
        <f t="shared" si="3"/>
        <v>0</v>
      </c>
      <c r="K21" s="24">
        <f>IF(Y21&lt;&gt;"",Info!$C$34*Y21,"")</f>
        <v>0</v>
      </c>
      <c r="L21" s="24">
        <f t="shared" si="1"/>
        <v>0</v>
      </c>
      <c r="M21" s="24">
        <f t="shared" si="4"/>
        <v>0</v>
      </c>
      <c r="N21" s="24">
        <v>0</v>
      </c>
      <c r="O21" s="24" t="str">
        <f>IF(AJ21&lt;=10,(1-Info!$C$44)*IF(OR(Info!$F$24&gt;0,Info!$F$26&gt;0),IF(0.75*$X$4&lt;=0.03*$AD$4,0.75*(X21-X20),0.03*(AD21-AD20)),0),"")</f>
        <v/>
      </c>
      <c r="P21" s="24">
        <f>IF(AJ21&lt;=5,IF(AI21&lt;&gt;"",0.002*AD21,"")*(1-Info!$I$44),0)</f>
        <v>0</v>
      </c>
      <c r="Q21" s="24">
        <f>(1-Info!$F$44)*IF(AI21&lt;&gt;"",IF(Info!$C$32="بله",0.07*X21,0.07*AG21),"")</f>
        <v>0</v>
      </c>
      <c r="R21" s="24">
        <f>IF(X21&lt;&gt;0,S21*X21,0)*(1-Info!$F$48)</f>
        <v>0</v>
      </c>
      <c r="S21" s="24">
        <f>IF(Info!$I$30="خیر",0,IF(Info!$F$30="بله",IF(Info!$C$30=1,2.3,IF(Info!$C$30=2,3.3,4.3)),1))*IF(AND(AH21&lt;=Rates!$Z$8,AH21&gt;0),(1+Info!$C$34)*(1+LOOKUP(Info!$F$34,Rates!$O$2:$O$9,Rates!$L$2:$L$9)/100)*(LOOKUP(Info!$C$6,Rates!$U$2:$U$108,Rates!$R$2:$R$108)/100),0)</f>
        <v>0</v>
      </c>
      <c r="T21" s="24">
        <f>IF(AI21&lt;71,(1-Info!$F$46)*((AB21*0.0008*(1+(LOOKUP(Info!$I$34,Rates!$O$2:$O$9,Rates!$M$2:$M$9)/100)))),0)</f>
        <v>0</v>
      </c>
      <c r="U21" s="24">
        <f>IF(AI21&lt;71,(1-Info!$I$46)*(((AD21*0.0008*Info!$L$30))*(1+(LOOKUP(Info!$I$34,Rates!$O:$O,Rates!$N:$N)/100))),0)</f>
        <v>0</v>
      </c>
      <c r="V21" s="24">
        <f>((Z21*0.0008))*(1+(LOOKUP(Info!$I$34,Rates!$O$2:$O$9,Rates!$M$2:$M$9)/100))*(1-Info!$C$46)</f>
        <v>0</v>
      </c>
      <c r="W21" s="24">
        <f>IF(AND(AI21&lt;=Rates!$Z$2,AJ21&lt;=Info!$I$6,Info!$F$32="معمولی"),VLOOKUP(AI21,Rates!$U$1:$Y$108,5,0),IF(AND(AI21&lt;=Rates!$Z$2,AJ21&lt;=Info!$I$6,Info!$F$32="پایه"),VLOOKUP(AI21,Rates!$U$1:$Y$108,2,0),IF(AND(AI21&lt;=Rates!$Z$2,AJ21&lt;=Info!$I$6,Info!$F$32="آسایش "),VLOOKUP(AI21,Rates!$U$1:$Y$108,3,0),IF(AND(AI21&lt;=Rates!$Z$2,AJ21&lt;=Info!$I$6,Info!$F$32="ممتاز"),VLOOKUP(AI21,Rates!$U$1:$Y$108,4,0),0))))*AA21/1000000*(1+Info!$C$34)*(1-Info!$I$48)</f>
        <v>0</v>
      </c>
      <c r="X21" s="24">
        <f>IF(Info!$C$32="بله",(AG21-W21-U21-V21-T21)/(1+S21),AG21)</f>
        <v>0</v>
      </c>
      <c r="Y21" s="24">
        <f>IF(AI21&lt;&gt;0,(AD21*LOOKUP(AI21,Rates!$U$2:$U$108,Rates!$T$2:$T$108))/SQRT(1.1),0)</f>
        <v>0</v>
      </c>
      <c r="Z21" s="24">
        <f>IF(AND(AI21&lt;=Rates!$Z$10,AI21&gt;=0),Info!$C$28*(AC21-AD21),0)</f>
        <v>0</v>
      </c>
      <c r="AA21" s="24">
        <f>IF(AND(AI21&gt;=0,AI21&lt;=Rates!$Z$2,AG21&gt;0),MIN(AA20*(1+Info!$F$26),5000000000),0)</f>
        <v>0</v>
      </c>
      <c r="AB21" s="24">
        <f>IF(AND(AI21&gt;=0,AI21&lt;=65),AD21*Info!$L$32,0)</f>
        <v>0</v>
      </c>
      <c r="AC21" s="24">
        <f>IF(AND(AI21&gt;=0,AI21&lt;=Rates!$Z$3),AD21*(1+Info!$L$30),AD21)</f>
        <v>0</v>
      </c>
      <c r="AD21" s="24">
        <f>IF(AI21&lt;&gt;0,AD20*(1+Info!$F$26),0)</f>
        <v>0</v>
      </c>
      <c r="AE21" s="24">
        <f t="shared" si="5"/>
        <v>0</v>
      </c>
      <c r="AF21" s="24">
        <f>IF(AI21&gt;=0,IF(Info!$C$32="بله",AG21,AG21+L21),"")</f>
        <v>0</v>
      </c>
      <c r="AG21" s="146">
        <f>IF(AI21&lt;&gt;0,AG20*(1+Info!$F$24),0)</f>
        <v>0</v>
      </c>
      <c r="AH21" s="149">
        <f>IF(AJ21&lt;&gt;"",Info!$C$6+AJ21-1,0)</f>
        <v>0</v>
      </c>
      <c r="AI21" s="26">
        <f>IF(AJ21&lt;&gt;"",IF(Info!$F$6+AJ21-1&lt;=Rates!$Z$11,Info!$F$6+AJ21-1,0),0)</f>
        <v>0</v>
      </c>
      <c r="AJ21" s="27" t="str">
        <f>IF(AI20&lt;&gt;"",IF(AND(AJ20&lt;&gt;"",AI20+1&lt;=Rates!$Z$11),IF(AJ20&lt;&gt;0,IF(AJ20+1&lt;=Info!$I$6,AJ20+1,""),0),""),"")</f>
        <v/>
      </c>
    </row>
    <row r="22" spans="1:36" s="243" customFormat="1" ht="18.75" x14ac:dyDescent="0.45">
      <c r="A22" s="25">
        <f>IF(B22&gt;0,IF(Info!$C$32="بله",AG22/B22,(AG22+L22)/B22),0)</f>
        <v>0</v>
      </c>
      <c r="B22" s="25">
        <f>IF(AND(AI22&gt;=0,AJ22&lt;=Info!$I$6),LOOKUP(Info!$C$24,Rates!$I$2:$I$7,Rates!$F$2:$F$7),0)</f>
        <v>0</v>
      </c>
      <c r="C22" s="25">
        <f>IF(AG22&lt;&gt;0,(C21+F22)*(1+VLOOKUP(Info!$C$26,Rates!$D$3:$E$7,2,FALSE)),0)</f>
        <v>0</v>
      </c>
      <c r="D22" s="25">
        <f t="shared" si="7"/>
        <v>0</v>
      </c>
      <c r="E22" s="25">
        <f>IF(AI22&lt;&gt;0,(E21+F22)*(1+VLOOKUP(Info!$C$26,Rates!$A$14:$B$19,2,FALSE)),0)</f>
        <v>0</v>
      </c>
      <c r="F22" s="24">
        <f t="shared" si="2"/>
        <v>0</v>
      </c>
      <c r="G22" s="25">
        <f>IF(AI22&lt;&gt;"",Rates!$AB$11*(L22),"")</f>
        <v>0</v>
      </c>
      <c r="H22" s="25">
        <f>IF(AI22&lt;&gt;"",(Rates!$AD$11+Rates!$AC$11)*(L22),"")</f>
        <v>0</v>
      </c>
      <c r="I22" s="25">
        <f>IF(AI22&lt;&gt;"",LOOKUP(Info!$C$24,Rates!$I$2:$I$7,Rates!$H$2:$H$7)*(J22+K22+L22+Y22),"")</f>
        <v>0</v>
      </c>
      <c r="J22" s="25">
        <f t="shared" si="3"/>
        <v>0</v>
      </c>
      <c r="K22" s="25">
        <f>IF(Y22&lt;&gt;"",Info!$C$34*Y22,"")</f>
        <v>0</v>
      </c>
      <c r="L22" s="25">
        <f t="shared" si="1"/>
        <v>0</v>
      </c>
      <c r="M22" s="24">
        <f t="shared" si="4"/>
        <v>0</v>
      </c>
      <c r="N22" s="25">
        <v>0</v>
      </c>
      <c r="O22" s="25" t="str">
        <f>IF(AJ22&lt;=10,(1-Info!$C$44)*IF(OR(Info!$F$24&gt;0,Info!$F$26&gt;0),IF(0.75*$X$4&lt;=0.03*$AD$4,0.75*(X22-X21),0.03*(AD22-AD21)),0),"")</f>
        <v/>
      </c>
      <c r="P22" s="25">
        <f>IF(AJ22&lt;=5,IF(AI22&lt;&gt;"",0.002*AD22,"")*(1-Info!$I$44),0)</f>
        <v>0</v>
      </c>
      <c r="Q22" s="25">
        <f>(1-Info!$F$44)*IF(AI22&lt;&gt;"",IF(Info!$C$32="بله",0.07*X22,0.07*AG22),"")</f>
        <v>0</v>
      </c>
      <c r="R22" s="25">
        <f>IF(X22&lt;&gt;0,S22*X22,0)*(1-Info!$F$48)</f>
        <v>0</v>
      </c>
      <c r="S22" s="25">
        <f>IF(Info!$I$30="خیر",0,IF(Info!$F$30="بله",IF(Info!$C$30=1,2.3,IF(Info!$C$30=2,3.3,4.3)),1))*IF(AND(AH22&lt;=Rates!$Z$8,AH22&gt;0),(1+Info!$C$34)*(1+LOOKUP(Info!$F$34,Rates!$O$2:$O$9,Rates!$L$2:$L$9)/100)*(LOOKUP(Info!$C$6,Rates!$U$2:$U$108,Rates!$R$2:$R$108)/100),0)</f>
        <v>0</v>
      </c>
      <c r="T22" s="25">
        <f>IF(AI22&lt;71,(1-Info!$F$46)*((AB22*0.0008*(1+(LOOKUP(Info!$I$34,Rates!$O$2:$O$9,Rates!$M$2:$M$9)/100)))),0)</f>
        <v>0</v>
      </c>
      <c r="U22" s="25">
        <f>IF(AI22&lt;71,(1-Info!$I$46)*(((AD22*0.0008*Info!$L$30))*(1+(LOOKUP(Info!$I$34,Rates!$O:$O,Rates!$N:$N)/100))),0)</f>
        <v>0</v>
      </c>
      <c r="V22" s="25">
        <f>((Z22*0.0008))*(1+(LOOKUP(Info!$I$34,Rates!$O$2:$O$9,Rates!$M$2:$M$9)/100))*(1-Info!$C$46)</f>
        <v>0</v>
      </c>
      <c r="W22" s="25">
        <f>IF(AND(AI22&lt;=Rates!$Z$2,AJ22&lt;=Info!$I$6,Info!$F$32="معمولی"),VLOOKUP(AI22,Rates!$U$1:$Y$108,5,0),IF(AND(AI22&lt;=Rates!$Z$2,AJ22&lt;=Info!$I$6,Info!$F$32="پایه"),VLOOKUP(AI22,Rates!$U$1:$Y$108,2,0),IF(AND(AI22&lt;=Rates!$Z$2,AJ22&lt;=Info!$I$6,Info!$F$32="آسایش "),VLOOKUP(AI22,Rates!$U$1:$Y$108,3,0),IF(AND(AI22&lt;=Rates!$Z$2,AJ22&lt;=Info!$I$6,Info!$F$32="ممتاز"),VLOOKUP(AI22,Rates!$U$1:$Y$108,4,0),0))))*AA22/1000000*(1+Info!$C$34)*(1-Info!$I$48)</f>
        <v>0</v>
      </c>
      <c r="X22" s="25">
        <f>IF(Info!$C$32="بله",(AG22-W22-U22-V22-T22)/(1+S22),AG22)</f>
        <v>0</v>
      </c>
      <c r="Y22" s="25">
        <f>IF(AI22&lt;&gt;0,(AD22*LOOKUP(AI22,Rates!$U$2:$U$108,Rates!$T$2:$T$108))/SQRT(1.1),0)</f>
        <v>0</v>
      </c>
      <c r="Z22" s="25">
        <f>IF(AND(AI22&lt;=Rates!$Z$10,AI22&gt;=0),Info!$C$28*(AC22-AD22),0)</f>
        <v>0</v>
      </c>
      <c r="AA22" s="25">
        <f>IF(AND(AI22&gt;=0,AI22&lt;=Rates!$Z$2,AG22&gt;0),MIN(AA21*(1+Info!$F$26),5000000000),0)</f>
        <v>0</v>
      </c>
      <c r="AB22" s="25">
        <f>IF(AND(AI22&gt;=0,AI22&lt;=65),AD22*Info!$L$32,0)</f>
        <v>0</v>
      </c>
      <c r="AC22" s="25">
        <f>IF(AND(AI22&gt;=0,AI22&lt;=Rates!$Z$3),AD22*(1+Info!$L$30),AD22)</f>
        <v>0</v>
      </c>
      <c r="AD22" s="25">
        <f>IF(AI22&lt;&gt;0,AD21*(1+Info!$F$26),0)</f>
        <v>0</v>
      </c>
      <c r="AE22" s="25">
        <f t="shared" si="5"/>
        <v>0</v>
      </c>
      <c r="AF22" s="25">
        <f>IF(AI22&gt;=0,IF(Info!$C$32="بله",AG22,AG22+L22),"")</f>
        <v>0</v>
      </c>
      <c r="AG22" s="145">
        <f>IF(AI22&lt;&gt;0,AG21*(1+Info!$F$24),0)</f>
        <v>0</v>
      </c>
      <c r="AH22" s="150">
        <f>IF(AJ22&lt;&gt;"",Info!$C$6+AJ22-1,0)</f>
        <v>0</v>
      </c>
      <c r="AI22" s="28">
        <f>IF(AJ22&lt;&gt;"",IF(Info!$F$6+AJ22-1&lt;=Rates!$Z$11,Info!$F$6+AJ22-1,0),0)</f>
        <v>0</v>
      </c>
      <c r="AJ22" s="29" t="str">
        <f>IF(AI21&lt;&gt;"",IF(AND(AJ21&lt;&gt;"",AI21+1&lt;=Rates!$Z$11),IF(AJ21&lt;&gt;0,IF(AJ21+1&lt;=Info!$I$6,AJ21+1,""),0),""),"")</f>
        <v/>
      </c>
    </row>
    <row r="23" spans="1:36" s="243" customFormat="1" ht="18.75" x14ac:dyDescent="0.45">
      <c r="A23" s="24">
        <f>IF(B23&gt;0,IF(Info!$C$32="بله",AG23/B23,(AG23+L23)/B23),0)</f>
        <v>0</v>
      </c>
      <c r="B23" s="24">
        <f>IF(AND(AI23&gt;=0,AJ23&lt;=Info!$I$6),LOOKUP(Info!$C$24,Rates!$I$2:$I$7,Rates!$F$2:$F$7),0)</f>
        <v>0</v>
      </c>
      <c r="C23" s="24">
        <f>IF(AG23&lt;&gt;0,(C22+F23)*(1+VLOOKUP(Info!$C$26,Rates!$D$3:$E$7,2,FALSE)),0)</f>
        <v>0</v>
      </c>
      <c r="D23" s="24">
        <f t="shared" si="7"/>
        <v>0</v>
      </c>
      <c r="E23" s="24">
        <f>IF(AI23&lt;&gt;0,(E22+F23)*(1+VLOOKUP(Info!$C$26,Rates!$A$14:$B$19,2,FALSE)),0)</f>
        <v>0</v>
      </c>
      <c r="F23" s="24">
        <f t="shared" si="2"/>
        <v>0</v>
      </c>
      <c r="G23" s="24">
        <f>IF(AI23&lt;&gt;"",Rates!$AB$11*(L23),"")</f>
        <v>0</v>
      </c>
      <c r="H23" s="24">
        <f>IF(AI23&lt;&gt;"",(Rates!$AD$11+Rates!$AC$11)*(L23),"")</f>
        <v>0</v>
      </c>
      <c r="I23" s="24">
        <f>IF(AI23&lt;&gt;"",LOOKUP(Info!$C$24,Rates!$I$2:$I$7,Rates!$H$2:$H$7)*(J23+K23+L23+Y23),"")</f>
        <v>0</v>
      </c>
      <c r="J23" s="24">
        <f t="shared" si="3"/>
        <v>0</v>
      </c>
      <c r="K23" s="24">
        <f>IF(Y23&lt;&gt;"",Info!$C$34*Y23,"")</f>
        <v>0</v>
      </c>
      <c r="L23" s="24">
        <f t="shared" si="1"/>
        <v>0</v>
      </c>
      <c r="M23" s="24">
        <f t="shared" si="4"/>
        <v>0</v>
      </c>
      <c r="N23" s="24">
        <v>0</v>
      </c>
      <c r="O23" s="24" t="str">
        <f>IF(AJ23&lt;=10,(1-Info!$C$44)*IF(OR(Info!$F$24&gt;0,Info!$F$26&gt;0),IF(0.75*$X$4&lt;=0.03*$AD$4,0.75*(X23-X22),0.03*(AD23-AD22)),0),"")</f>
        <v/>
      </c>
      <c r="P23" s="24">
        <f>IF(AJ23&lt;=5,IF(AI23&lt;&gt;"",0.002*AD23,"")*(1-Info!$I$44),0)</f>
        <v>0</v>
      </c>
      <c r="Q23" s="24">
        <f>(1-Info!$F$44)*IF(AI23&lt;&gt;"",IF(Info!$C$32="بله",0.07*X23,0.07*AG23),"")</f>
        <v>0</v>
      </c>
      <c r="R23" s="24">
        <f>IF(X23&lt;&gt;0,S23*X23,0)*(1-Info!$F$48)</f>
        <v>0</v>
      </c>
      <c r="S23" s="24">
        <f>IF(Info!$I$30="خیر",0,IF(Info!$F$30="بله",IF(Info!$C$30=1,2.3,IF(Info!$C$30=2,3.3,4.3)),1))*IF(AND(AH23&lt;=Rates!$Z$8,AH23&gt;0),(1+Info!$C$34)*(1+LOOKUP(Info!$F$34,Rates!$O$2:$O$9,Rates!$L$2:$L$9)/100)*(LOOKUP(Info!$C$6,Rates!$U$2:$U$108,Rates!$R$2:$R$108)/100),0)</f>
        <v>0</v>
      </c>
      <c r="T23" s="24">
        <f>IF(AI23&lt;71,(1-Info!$F$46)*((AB23*0.0008*(1+(LOOKUP(Info!$I$34,Rates!$O$2:$O$9,Rates!$M$2:$M$9)/100)))),0)</f>
        <v>0</v>
      </c>
      <c r="U23" s="24">
        <f>IF(AI23&lt;71,(1-Info!$I$46)*(((AD23*0.0008*Info!$L$30))*(1+(LOOKUP(Info!$I$34,Rates!$O:$O,Rates!$N:$N)/100))),0)</f>
        <v>0</v>
      </c>
      <c r="V23" s="24">
        <f>((Z23*0.0008))*(1+(LOOKUP(Info!$I$34,Rates!$O$2:$O$9,Rates!$M$2:$M$9)/100))*(1-Info!$C$46)</f>
        <v>0</v>
      </c>
      <c r="W23" s="24">
        <f>IF(AND(AI23&lt;=Rates!$Z$2,AJ23&lt;=Info!$I$6,Info!$F$32="معمولی"),VLOOKUP(AI23,Rates!$U$1:$Y$108,5,0),IF(AND(AI23&lt;=Rates!$Z$2,AJ23&lt;=Info!$I$6,Info!$F$32="پایه"),VLOOKUP(AI23,Rates!$U$1:$Y$108,2,0),IF(AND(AI23&lt;=Rates!$Z$2,AJ23&lt;=Info!$I$6,Info!$F$32="آسایش "),VLOOKUP(AI23,Rates!$U$1:$Y$108,3,0),IF(AND(AI23&lt;=Rates!$Z$2,AJ23&lt;=Info!$I$6,Info!$F$32="ممتاز"),VLOOKUP(AI23,Rates!$U$1:$Y$108,4,0),0))))*AA23/1000000*(1+Info!$C$34)*(1-Info!$I$48)</f>
        <v>0</v>
      </c>
      <c r="X23" s="24">
        <f>IF(Info!$C$32="بله",(AG23-W23-U23-V23-T23)/(1+S23),AG23)</f>
        <v>0</v>
      </c>
      <c r="Y23" s="24">
        <f>IF(AI23&lt;&gt;0,(AD23*LOOKUP(AI23,Rates!$U$2:$U$108,Rates!$T$2:$T$108))/SQRT(1.1),0)</f>
        <v>0</v>
      </c>
      <c r="Z23" s="24">
        <f>IF(AND(AI23&lt;=Rates!$Z$10,AI23&gt;=0),Info!$C$28*(AC23-AD23),0)</f>
        <v>0</v>
      </c>
      <c r="AA23" s="24">
        <f>IF(AND(AI23&gt;=0,AI23&lt;=Rates!$Z$2,AG23&gt;0),MIN(AA22*(1+Info!$F$26),5000000000),0)</f>
        <v>0</v>
      </c>
      <c r="AB23" s="24">
        <f>IF(AND(AI23&gt;=0,AI23&lt;=65),AD23*Info!$L$32,0)</f>
        <v>0</v>
      </c>
      <c r="AC23" s="24">
        <f>IF(AND(AI23&gt;=0,AI23&lt;=Rates!$Z$3),AD23*(1+Info!$L$30),AD23)</f>
        <v>0</v>
      </c>
      <c r="AD23" s="24">
        <f>IF(AI23&lt;&gt;0,AD22*(1+Info!$F$26),0)</f>
        <v>0</v>
      </c>
      <c r="AE23" s="24">
        <f t="shared" si="5"/>
        <v>0</v>
      </c>
      <c r="AF23" s="24">
        <f>IF(AI23&gt;=0,IF(Info!$C$32="بله",AG23,AG23+L23),"")</f>
        <v>0</v>
      </c>
      <c r="AG23" s="146">
        <f>IF(AI23&lt;&gt;0,AG22*(1+Info!$F$24),0)</f>
        <v>0</v>
      </c>
      <c r="AH23" s="149">
        <f>IF(AJ23&lt;&gt;"",Info!$C$6+AJ23-1,0)</f>
        <v>0</v>
      </c>
      <c r="AI23" s="26">
        <f>IF(AJ23&lt;&gt;"",IF(Info!$F$6+AJ23-1&lt;=Rates!$Z$11,Info!$F$6+AJ23-1,0),0)</f>
        <v>0</v>
      </c>
      <c r="AJ23" s="27" t="str">
        <f>IF(AI22&lt;&gt;"",IF(AND(AJ22&lt;&gt;"",AI22+1&lt;=Rates!$Z$11),IF(AJ22&lt;&gt;0,IF(AJ22+1&lt;=Info!$I$6,AJ22+1,""),0),""),"")</f>
        <v/>
      </c>
    </row>
    <row r="24" spans="1:36" s="243" customFormat="1" ht="18.75" x14ac:dyDescent="0.45">
      <c r="A24" s="25">
        <f>IF(B24&gt;0,IF(Info!$C$32="بله",AG24/B24,(AG24+L24)/B24),0)</f>
        <v>0</v>
      </c>
      <c r="B24" s="25">
        <f>IF(AND(AI24&gt;=0,AJ24&lt;=Info!$I$6),LOOKUP(Info!$C$24,Rates!$I$2:$I$7,Rates!$F$2:$F$7),0)</f>
        <v>0</v>
      </c>
      <c r="C24" s="25">
        <f>IF(AG24&lt;&gt;0,(C23+F24)*(1+VLOOKUP(Info!$C$26,Rates!$D$3:$E$7,2,FALSE)),0)</f>
        <v>0</v>
      </c>
      <c r="D24" s="25">
        <f t="shared" si="7"/>
        <v>0</v>
      </c>
      <c r="E24" s="25">
        <f>IF(AI24&lt;&gt;0,(E23+F24)*(1+VLOOKUP(Info!$C$26,Rates!$A$14:$B$19,2,FALSE)),0)</f>
        <v>0</v>
      </c>
      <c r="F24" s="25">
        <f>IF(AI24&lt;&gt;"",IF(Info!$C$32="بله",IF(AND(AJ24&lt;=Info!$F$36,AJ24&gt;=Info!$I$36),Info!$C$36,0)+(AG24-Y24-L24-K24-J24-I24-H24-G24),IF(AND(AJ24&lt;=Info!$F$36,AJ24&gt;=Info!$I$36),Info!$C$36,0)+(AG24-Y24-K24-J24-I24-H24-G24)),"")</f>
        <v>0</v>
      </c>
      <c r="G24" s="25">
        <f>IF(AI24&lt;&gt;"",Rates!$AB$11*(L24),"")</f>
        <v>0</v>
      </c>
      <c r="H24" s="25">
        <f>IF(AI24&lt;&gt;"",(Rates!$AD$11+Rates!$AC$11)*(L24),"")</f>
        <v>0</v>
      </c>
      <c r="I24" s="25">
        <f>IF(AI24&lt;&gt;"",LOOKUP(Info!$C$24,Rates!$I$2:$I$7,Rates!$H$2:$H$7)*(J24+K24+L24+Y24),"")</f>
        <v>0</v>
      </c>
      <c r="J24" s="25">
        <f t="shared" si="3"/>
        <v>0</v>
      </c>
      <c r="K24" s="25">
        <f>IF(Y24&lt;&gt;"",Info!$C$34*Y24,"")</f>
        <v>0</v>
      </c>
      <c r="L24" s="25">
        <f t="shared" si="1"/>
        <v>0</v>
      </c>
      <c r="M24" s="25"/>
      <c r="N24" s="25">
        <v>0</v>
      </c>
      <c r="O24" s="25" t="str">
        <f>IF(AJ24&lt;=10,(1-Info!$C$44)*IF(OR(Info!$F$24&gt;0,Info!$F$26&gt;0),IF(0.75*$X$4&lt;=0.03*$AD$4,0.75*(X24-X23),0.03*(AD24-AD23)),0),"")</f>
        <v/>
      </c>
      <c r="P24" s="25">
        <f>IF(AJ24&lt;=5,IF(AI24&lt;&gt;"",0.002*AD24,"")*(1-Info!$I$44),0)</f>
        <v>0</v>
      </c>
      <c r="Q24" s="25">
        <f>(1-Info!$F$44)*IF(AI24&lt;&gt;"",IF(Info!$C$32="بله",0.07*X24,0.07*AG24),"")</f>
        <v>0</v>
      </c>
      <c r="R24" s="25">
        <f>IF(X24&lt;&gt;0,S24*X24,0)*(1-Info!$F$48)</f>
        <v>0</v>
      </c>
      <c r="S24" s="25">
        <f>IF(Info!$I$30="خیر",0,IF(Info!$F$30="بله",IF(Info!$C$30=1,2.3,IF(Info!$C$30=2,3.3,4.3)),1))*IF(AND(AH24&lt;=Rates!$Z$8,AH24&gt;0),(1+Info!$C$34)*(1+LOOKUP(Info!$F$34,Rates!$O$2:$O$9,Rates!$L$2:$L$9)/100)*(LOOKUP(Info!$C$6,Rates!$U$2:$U$108,Rates!$R$2:$R$108)/100),0)</f>
        <v>0</v>
      </c>
      <c r="T24" s="25">
        <f>IF(AI24&lt;71,(1-Info!$F$46)*((AB24*0.0008*(1+(LOOKUP(Info!$I$34,Rates!$O$2:$O$9,Rates!$M$2:$M$9)/100)))),0)</f>
        <v>0</v>
      </c>
      <c r="U24" s="25">
        <f>IF(AI24&lt;71,(1-Info!$I$46)*(((AD24*0.0008*Info!$L$30))*(1+(LOOKUP(Info!$I$34,Rates!$O:$O,Rates!$N:$N)/100))),0)</f>
        <v>0</v>
      </c>
      <c r="V24" s="25">
        <f>((Z24*0.0008))*(1+(LOOKUP(Info!$I$34,Rates!$O$2:$O$9,Rates!$M$2:$M$9)/100))*(1-Info!$C$46)</f>
        <v>0</v>
      </c>
      <c r="W24" s="25">
        <f>IF(AND(AI24&lt;=Rates!$Z$2,AJ24&lt;=Info!$I$6,Info!$F$32="معمولی"),VLOOKUP(AI24,Rates!$U$1:$Y$108,5,0),IF(AND(AI24&lt;=Rates!$Z$2,AJ24&lt;=Info!$I$6,Info!$F$32="پایه"),VLOOKUP(AI24,Rates!$U$1:$Y$108,2,0),IF(AND(AI24&lt;=Rates!$Z$2,AJ24&lt;=Info!$I$6,Info!$F$32="آسایش "),VLOOKUP(AI24,Rates!$U$1:$Y$108,3,0),IF(AND(AI24&lt;=Rates!$Z$2,AJ24&lt;=Info!$I$6,Info!$F$32="ممتاز"),VLOOKUP(AI24,Rates!$U$1:$Y$108,4,0),0))))*AA24/1000000*(1+Info!$C$34)*(1-Info!$I$48)</f>
        <v>0</v>
      </c>
      <c r="X24" s="25">
        <f>IF(Info!$C$32="بله",(AG24-W24-U24-V24-T24)/(1+S24),AG24)</f>
        <v>0</v>
      </c>
      <c r="Y24" s="25">
        <f>IF(AI24&lt;&gt;0,(AD24*LOOKUP(AI24,Rates!$U$2:$U$108,Rates!$T$2:$T$108))/SQRT(1.1),0)</f>
        <v>0</v>
      </c>
      <c r="Z24" s="25">
        <f>IF(AND(AI24&lt;=Rates!$Z$10,AI24&gt;=0),Info!$C$28*(AC24-AD24),0)</f>
        <v>0</v>
      </c>
      <c r="AA24" s="25">
        <f>IF(AND(AI24&gt;=0,AI24&lt;=Rates!$Z$2,AG24&gt;0),MIN(AA23*(1+Info!$F$26),5000000000),0)</f>
        <v>0</v>
      </c>
      <c r="AB24" s="25">
        <f>IF(AND(AI24&gt;=0,AI24&lt;=65),AD24*Info!$L$32,0)</f>
        <v>0</v>
      </c>
      <c r="AC24" s="25">
        <f>IF(AND(AI24&gt;=0,AI24&lt;=Rates!$Z$3),AD24*(1+Info!$L$30),AD24)</f>
        <v>0</v>
      </c>
      <c r="AD24" s="25">
        <f>IF(AI24&lt;&gt;0,AD23*(1+Info!$F$26),0)</f>
        <v>0</v>
      </c>
      <c r="AE24" s="25">
        <f t="shared" si="5"/>
        <v>0</v>
      </c>
      <c r="AF24" s="25">
        <f>IF(AI24&gt;=0,IF(Info!$C$32="بله",AG24,AG24+L24),"")</f>
        <v>0</v>
      </c>
      <c r="AG24" s="145">
        <f>IF(AI24&lt;&gt;0,AG23*(1+Info!$F$24),0)</f>
        <v>0</v>
      </c>
      <c r="AH24" s="150">
        <f>IF(AJ24&lt;&gt;"",Info!$C$6+AJ24-1,0)</f>
        <v>0</v>
      </c>
      <c r="AI24" s="28">
        <f>IF(AJ24&lt;&gt;"",IF(Info!$F$6+AJ24-1&lt;=Rates!$Z$11,Info!$F$6+AJ24-1,0),0)</f>
        <v>0</v>
      </c>
      <c r="AJ24" s="29" t="str">
        <f>IF(AI23&lt;&gt;"",IF(AND(AJ23&lt;&gt;"",AI23+1&lt;=Rates!$Z$11),IF(AJ23&lt;&gt;0,IF(AJ23+1&lt;=Info!$I$6,AJ23+1,""),0),""),"")</f>
        <v/>
      </c>
    </row>
    <row r="25" spans="1:36" s="243" customFormat="1" ht="18.75" x14ac:dyDescent="0.45">
      <c r="A25" s="24">
        <f>IF(B25&gt;0,IF(Info!$C$32="بله",AG25/B25,(AG25+L25)/B25),0)</f>
        <v>0</v>
      </c>
      <c r="B25" s="24">
        <f>IF(AND(AI25&gt;=0,AJ25&lt;=Info!$I$6),LOOKUP(Info!$C$24,Rates!$I$2:$I$7,Rates!$F$2:$F$7),0)</f>
        <v>0</v>
      </c>
      <c r="C25" s="24">
        <f>IF(AG25&lt;&gt;0,(C24+F25)*(1+VLOOKUP(Info!$C$26,Rates!$D$3:$E$7,2,FALSE)),0)</f>
        <v>0</v>
      </c>
      <c r="D25" s="24">
        <f t="shared" si="7"/>
        <v>0</v>
      </c>
      <c r="E25" s="24">
        <f>IF(AI25&lt;&gt;0,(E24+F25)*(1+VLOOKUP(Info!$C$26,Rates!$A$14:$B$19,2,FALSE)),0)</f>
        <v>0</v>
      </c>
      <c r="F25" s="24">
        <f>IF(AI25&lt;&gt;"",IF(Info!$C$32="بله",IF(AND(AJ25&lt;=Info!$F$36,AJ25&gt;=Info!$I$36),Info!$C$36,0)+(AG25-Y25-L25-K25-J25-I25-H25-G25),IF(AND(AJ25&lt;=Info!$F$36,AJ25&gt;=Info!$I$36),Info!$C$36,0)+(AG25-Y25-K25-J25-I25-H25-G25)),"")</f>
        <v>0</v>
      </c>
      <c r="G25" s="24">
        <f>IF(AI25&lt;&gt;"",Rates!$AB$11*(L25),"")</f>
        <v>0</v>
      </c>
      <c r="H25" s="24">
        <f>IF(AI25&lt;&gt;"",(Rates!$AD$11+Rates!$AC$11)*(L25),"")</f>
        <v>0</v>
      </c>
      <c r="I25" s="24">
        <f>IF(AI25&lt;&gt;"",LOOKUP(Info!$C$24,Rates!$I$2:$I$7,Rates!$H$2:$H$7)*(J25+K25+L25+Y25),"")</f>
        <v>0</v>
      </c>
      <c r="J25" s="24">
        <f t="shared" si="3"/>
        <v>0</v>
      </c>
      <c r="K25" s="24">
        <f>IF(Y25&lt;&gt;"",Info!$C$34*Y25,"")</f>
        <v>0</v>
      </c>
      <c r="L25" s="24">
        <f t="shared" si="1"/>
        <v>0</v>
      </c>
      <c r="M25" s="24"/>
      <c r="N25" s="24">
        <v>0</v>
      </c>
      <c r="O25" s="24" t="str">
        <f>IF(AJ25&lt;=10,(1-Info!$C$44)*IF(OR(Info!$F$24&gt;0,Info!$F$26&gt;0),IF(0.75*$X$4&lt;=0.03*$AD$4,0.75*(X25-X24),0.03*(AD25-AD24)),0),"")</f>
        <v/>
      </c>
      <c r="P25" s="24">
        <f>IF(AJ25&lt;=5,IF(AI25&lt;&gt;"",0.002*AD25,"")*(1-Info!$I$44),0)</f>
        <v>0</v>
      </c>
      <c r="Q25" s="24">
        <f>(1-Info!$F$44)*IF(AI25&lt;&gt;"",IF(Info!$C$32="بله",0.07*X25,0.07*AG25),"")</f>
        <v>0</v>
      </c>
      <c r="R25" s="24">
        <f>IF(X25&lt;&gt;0,S25*X25,0)*(1-Info!$F$48)</f>
        <v>0</v>
      </c>
      <c r="S25" s="24">
        <f>IF(Info!$I$30="خیر",0,IF(Info!$F$30="بله",IF(Info!$C$30=1,2.3,IF(Info!$C$30=2,3.3,4.3)),1))*IF(AND(AH25&lt;=Rates!$Z$8,AH25&gt;0),(1+Info!$C$34)*(1+LOOKUP(Info!$F$34,Rates!$O$2:$O$9,Rates!$L$2:$L$9)/100)*(LOOKUP(Info!$C$6,Rates!$U$2:$U$108,Rates!$R$2:$R$108)/100),0)</f>
        <v>0</v>
      </c>
      <c r="T25" s="24">
        <f>IF(AI25&lt;71,(1-Info!$F$46)*((AB25*0.0008*(1+(LOOKUP(Info!$I$34,Rates!$O$2:$O$9,Rates!$M$2:$M$9)/100)))),0)</f>
        <v>0</v>
      </c>
      <c r="U25" s="24">
        <f>IF(AI25&lt;71,(1-Info!$I$46)*(((AD25*0.0008*Info!$L$30))*(1+(LOOKUP(Info!$I$34,Rates!$O:$O,Rates!$N:$N)/100))),0)</f>
        <v>0</v>
      </c>
      <c r="V25" s="24">
        <f>((Z25*0.0008))*(1+(LOOKUP(Info!$I$34,Rates!$O$2:$O$9,Rates!$M$2:$M$9)/100))*(1-Info!$C$46)</f>
        <v>0</v>
      </c>
      <c r="W25" s="24">
        <f>IF(AND(AI25&lt;=Rates!$Z$2,AJ25&lt;=Info!$I$6,Info!$F$32="معمولی"),VLOOKUP(AI25,Rates!$U$1:$Y$108,5,0),IF(AND(AI25&lt;=Rates!$Z$2,AJ25&lt;=Info!$I$6,Info!$F$32="پایه"),VLOOKUP(AI25,Rates!$U$1:$Y$108,2,0),IF(AND(AI25&lt;=Rates!$Z$2,AJ25&lt;=Info!$I$6,Info!$F$32="آسایش "),VLOOKUP(AI25,Rates!$U$1:$Y$108,3,0),IF(AND(AI25&lt;=Rates!$Z$2,AJ25&lt;=Info!$I$6,Info!$F$32="ممتاز"),VLOOKUP(AI25,Rates!$U$1:$Y$108,4,0),0))))*AA25/1000000*(1+Info!$C$34)*(1-Info!$I$48)</f>
        <v>0</v>
      </c>
      <c r="X25" s="24">
        <f>IF(Info!$C$32="بله",(AG25-W25-U25-V25-T25)/(1+S25),AG25)</f>
        <v>0</v>
      </c>
      <c r="Y25" s="24">
        <f>IF(AI25&lt;&gt;0,(AD25*LOOKUP(AI25,Rates!$U$2:$U$108,Rates!$T$2:$T$108))/SQRT(1.1),0)</f>
        <v>0</v>
      </c>
      <c r="Z25" s="24">
        <f>IF(AND(AI25&lt;=Rates!$Z$10,AI25&gt;=0),Info!$C$28*(AC25-AD25),0)</f>
        <v>0</v>
      </c>
      <c r="AA25" s="24">
        <f>IF(AND(AI25&gt;=0,AI25&lt;=Rates!$Z$2,AG25&gt;0),MIN(AA24*(1+Info!$F$26),5000000000),0)</f>
        <v>0</v>
      </c>
      <c r="AB25" s="24">
        <f>IF(AND(AI25&gt;=0,AI25&lt;=65),AD25*Info!$L$32,0)</f>
        <v>0</v>
      </c>
      <c r="AC25" s="24">
        <f>IF(AND(AI25&gt;=0,AI25&lt;=Rates!$Z$3),AD25*(1+Info!$L$30),AD25)</f>
        <v>0</v>
      </c>
      <c r="AD25" s="24">
        <f>IF(AI25&lt;&gt;0,AD24*(1+Info!$F$26),0)</f>
        <v>0</v>
      </c>
      <c r="AE25" s="24">
        <f t="shared" si="5"/>
        <v>0</v>
      </c>
      <c r="AF25" s="24">
        <f>IF(AI25&gt;=0,IF(Info!$C$32="بله",AG25,AG25+L25),"")</f>
        <v>0</v>
      </c>
      <c r="AG25" s="146">
        <f>IF(AI25&lt;&gt;0,AG24*(1+Info!$F$24),0)</f>
        <v>0</v>
      </c>
      <c r="AH25" s="149">
        <f>IF(AJ25&lt;&gt;"",Info!$C$6+AJ25-1,0)</f>
        <v>0</v>
      </c>
      <c r="AI25" s="26">
        <f>IF(AJ25&lt;&gt;"",IF(Info!$F$6+AJ25-1&lt;=Rates!$Z$11,Info!$F$6+AJ25-1,0),0)</f>
        <v>0</v>
      </c>
      <c r="AJ25" s="27" t="str">
        <f>IF(AI24&lt;&gt;"",IF(AND(AJ24&lt;&gt;"",AI24+1&lt;=Rates!$Z$11),IF(AJ24&lt;&gt;0,IF(AJ24+1&lt;=Info!$I$6,AJ24+1,""),0),""),"")</f>
        <v/>
      </c>
    </row>
    <row r="26" spans="1:36" s="243" customFormat="1" ht="18.75" x14ac:dyDescent="0.45">
      <c r="A26" s="25">
        <f>IF(B26&gt;0,IF(Info!$C$32="بله",AG26/B26,(AG26+L26)/B26),0)</f>
        <v>0</v>
      </c>
      <c r="B26" s="25">
        <f>IF(AND(AI26&gt;=0,AJ26&lt;=Info!$I$6),LOOKUP(Info!$C$24,Rates!$I$2:$I$7,Rates!$F$2:$F$7),0)</f>
        <v>0</v>
      </c>
      <c r="C26" s="25">
        <f>IF(AG26&lt;&gt;0,(C25+F26)*(1+VLOOKUP(Info!$C$26,Rates!$D$3:$E$7,2,FALSE)),0)</f>
        <v>0</v>
      </c>
      <c r="D26" s="25">
        <f t="shared" si="7"/>
        <v>0</v>
      </c>
      <c r="E26" s="25">
        <f>IF(AI26&lt;&gt;0,(E25+F26)*(1+VLOOKUP(Info!$C$26,Rates!$A$14:$B$19,2,FALSE)),0)</f>
        <v>0</v>
      </c>
      <c r="F26" s="25">
        <f>IF(AI26&lt;&gt;"",IF(Info!$C$32="بله",IF(AND(AJ26&lt;=Info!$F$36,AJ26&gt;=Info!$I$36),Info!$C$36,0)+(AG26-Y26-L26-K26-J26-I26-H26-G26),IF(AND(AJ26&lt;=Info!$F$36,AJ26&gt;=Info!$I$36),Info!$C$36,0)+(AG26-Y26-K26-J26-I26-H26-G26)),"")</f>
        <v>0</v>
      </c>
      <c r="G26" s="25">
        <f>IF(AI26&lt;&gt;"",Rates!$AB$11*(L26),"")</f>
        <v>0</v>
      </c>
      <c r="H26" s="25">
        <f>IF(AI26&lt;&gt;"",(Rates!$AD$11+Rates!$AC$11)*(L26),"")</f>
        <v>0</v>
      </c>
      <c r="I26" s="25">
        <f>IF(AI26&lt;&gt;"",LOOKUP(Info!$C$24,Rates!$I$2:$I$7,Rates!$H$2:$H$7)*(J26+K26+L26+Y26),"")</f>
        <v>0</v>
      </c>
      <c r="J26" s="25">
        <f t="shared" si="3"/>
        <v>0</v>
      </c>
      <c r="K26" s="25">
        <f>IF(Y26&lt;&gt;"",Info!$C$34*Y26,"")</f>
        <v>0</v>
      </c>
      <c r="L26" s="25">
        <f t="shared" si="1"/>
        <v>0</v>
      </c>
      <c r="M26" s="25"/>
      <c r="N26" s="25">
        <v>0</v>
      </c>
      <c r="O26" s="25" t="str">
        <f>IF(AJ26&lt;=10,(1-Info!$C$44)*IF(OR(Info!$F$24&gt;0,Info!$F$26&gt;0),IF(0.75*$X$4&lt;=0.03*$AD$4,0.75*(X26-X25),0.03*(AD26-AD25)),0),"")</f>
        <v/>
      </c>
      <c r="P26" s="25">
        <f>IF(AJ26&lt;=5,IF(AI26&lt;&gt;"",0.002*AD26,"")*(1-Info!$I$44),0)</f>
        <v>0</v>
      </c>
      <c r="Q26" s="25">
        <f>(1-Info!$F$44)*IF(AI26&lt;&gt;"",IF(Info!$C$32="بله",0.07*X26,0.07*AG26),"")</f>
        <v>0</v>
      </c>
      <c r="R26" s="25">
        <f>IF(X26&lt;&gt;0,S26*X26,0)*(1-Info!$F$48)</f>
        <v>0</v>
      </c>
      <c r="S26" s="25">
        <f>IF(Info!$I$30="خیر",0,IF(Info!$F$30="بله",IF(Info!$C$30=1,2.3,IF(Info!$C$30=2,3.3,4.3)),1))*IF(AND(AH26&lt;=Rates!$Z$8,AH26&gt;0),(1+Info!$C$34)*(1+LOOKUP(Info!$F$34,Rates!$O$2:$O$9,Rates!$L$2:$L$9)/100)*(LOOKUP(Info!$C$6,Rates!$U$2:$U$108,Rates!$R$2:$R$108)/100),0)</f>
        <v>0</v>
      </c>
      <c r="T26" s="25">
        <f>IF(AI26&lt;71,(1-Info!$F$46)*((AB26*0.0008*(1+(LOOKUP(Info!$I$34,Rates!$O$2:$O$9,Rates!$M$2:$M$9)/100)))),0)</f>
        <v>0</v>
      </c>
      <c r="U26" s="25">
        <f>IF(AI26&lt;71,(1-Info!$I$46)*(((AD26*0.0008*Info!$L$30))*(1+(LOOKUP(Info!$I$34,Rates!$O:$O,Rates!$N:$N)/100))),0)</f>
        <v>0</v>
      </c>
      <c r="V26" s="25">
        <f>((Z26*0.0008))*(1+(LOOKUP(Info!$I$34,Rates!$O$2:$O$9,Rates!$M$2:$M$9)/100))*(1-Info!$C$46)</f>
        <v>0</v>
      </c>
      <c r="W26" s="25">
        <f>IF(AND(AI26&lt;=Rates!$Z$2,AJ26&lt;=Info!$I$6,Info!$F$32="معمولی"),VLOOKUP(AI26,Rates!$U$1:$Y$108,5,0),IF(AND(AI26&lt;=Rates!$Z$2,AJ26&lt;=Info!$I$6,Info!$F$32="پایه"),VLOOKUP(AI26,Rates!$U$1:$Y$108,2,0),IF(AND(AI26&lt;=Rates!$Z$2,AJ26&lt;=Info!$I$6,Info!$F$32="آسایش "),VLOOKUP(AI26,Rates!$U$1:$Y$108,3,0),IF(AND(AI26&lt;=Rates!$Z$2,AJ26&lt;=Info!$I$6,Info!$F$32="ممتاز"),VLOOKUP(AI26,Rates!$U$1:$Y$108,4,0),0))))*AA26/1000000*(1+Info!$C$34)*(1-Info!$I$48)</f>
        <v>0</v>
      </c>
      <c r="X26" s="25">
        <f>IF(Info!$C$32="بله",(AG26-W26-U26-V26-T26)/(1+S26),AG26)</f>
        <v>0</v>
      </c>
      <c r="Y26" s="25">
        <f>IF(AI26&lt;&gt;0,(AD26*LOOKUP(AI26,Rates!$U$2:$U$108,Rates!$T$2:$T$108))/SQRT(1.1),0)</f>
        <v>0</v>
      </c>
      <c r="Z26" s="25">
        <f>IF(AND(AI26&lt;=Rates!$Z$10,AI26&gt;=0),Info!$C$28*(AC26-AD26),0)</f>
        <v>0</v>
      </c>
      <c r="AA26" s="25">
        <f>IF(AND(AI26&gt;=0,AI26&lt;=Rates!$Z$2,AG26&gt;0),MIN(AA25*(1+Info!$F$26),5000000000),0)</f>
        <v>0</v>
      </c>
      <c r="AB26" s="25">
        <f>IF(AND(AI26&gt;=0,AI26&lt;=65),AD26*Info!$L$32,0)</f>
        <v>0</v>
      </c>
      <c r="AC26" s="25">
        <f>IF(AND(AI26&gt;=0,AI26&lt;=Rates!$Z$3),AD26*(1+Info!$L$30),AD26)</f>
        <v>0</v>
      </c>
      <c r="AD26" s="25">
        <f>IF(AI26&lt;&gt;0,AD25*(1+Info!$F$26),0)</f>
        <v>0</v>
      </c>
      <c r="AE26" s="25">
        <f t="shared" si="5"/>
        <v>0</v>
      </c>
      <c r="AF26" s="25">
        <f>IF(AI26&gt;=0,IF(Info!$C$32="بله",AG26,AG26+L26),"")</f>
        <v>0</v>
      </c>
      <c r="AG26" s="145">
        <f>IF(AI26&lt;&gt;0,AG25*(1+Info!$F$24),0)</f>
        <v>0</v>
      </c>
      <c r="AH26" s="150">
        <f>IF(AJ26&lt;&gt;"",Info!$C$6+AJ26-1,0)</f>
        <v>0</v>
      </c>
      <c r="AI26" s="28">
        <f>IF(AJ26&lt;&gt;"",IF(Info!$F$6+AJ26-1&lt;=Rates!$Z$11,Info!$F$6+AJ26-1,0),0)</f>
        <v>0</v>
      </c>
      <c r="AJ26" s="29" t="str">
        <f>IF(AI25&lt;&gt;"",IF(AND(AJ25&lt;&gt;"",AI25+1&lt;=Rates!$Z$11),IF(AJ25&lt;&gt;0,IF(AJ25+1&lt;=Info!$I$6,AJ25+1,""),0),""),"")</f>
        <v/>
      </c>
    </row>
    <row r="27" spans="1:36" s="243" customFormat="1" ht="18.75" x14ac:dyDescent="0.45">
      <c r="A27" s="24">
        <f>IF(B27&gt;0,IF(Info!$C$32="بله",AG27/B27,(AG27+L27)/B27),0)</f>
        <v>0</v>
      </c>
      <c r="B27" s="24">
        <f>IF(AND(AI27&gt;=0,AJ27&lt;=Info!$I$6),LOOKUP(Info!$C$24,Rates!$I$2:$I$7,Rates!$F$2:$F$7),0)</f>
        <v>0</v>
      </c>
      <c r="C27" s="24">
        <f>IF(AG27&lt;&gt;0,(C26+F27)*(1+VLOOKUP(Info!$C$26,Rates!$D$3:$E$7,2,FALSE)),0)</f>
        <v>0</v>
      </c>
      <c r="D27" s="24">
        <f t="shared" si="7"/>
        <v>0</v>
      </c>
      <c r="E27" s="24">
        <f>IF(AI27&lt;&gt;0,(E26+F27)*(1+VLOOKUP(Info!$C$26,Rates!$A$14:$B$19,2,FALSE)),0)</f>
        <v>0</v>
      </c>
      <c r="F27" s="24">
        <f>IF(AI27&lt;&gt;"",IF(Info!$C$32="بله",IF(AND(AJ27&lt;=Info!$F$36,AJ27&gt;=Info!$I$36),Info!$C$36,0)+(AG27-Y27-L27-K27-J27-I27-H27-G27),IF(AND(AJ27&lt;=Info!$F$36,AJ27&gt;=Info!$I$36),Info!$C$36,0)+(AG27-Y27-K27-J27-I27-H27-G27)),"")</f>
        <v>0</v>
      </c>
      <c r="G27" s="24">
        <f>IF(AI27&lt;&gt;"",Rates!$AB$11*(L27),"")</f>
        <v>0</v>
      </c>
      <c r="H27" s="24">
        <f>IF(AI27&lt;&gt;"",(Rates!$AD$11+Rates!$AC$11)*(L27),"")</f>
        <v>0</v>
      </c>
      <c r="I27" s="24">
        <f>IF(AI27&lt;&gt;"",LOOKUP(Info!$C$24,Rates!$I$2:$I$7,Rates!$H$2:$H$7)*(J27+K27+L27+Y27),"")</f>
        <v>0</v>
      </c>
      <c r="J27" s="24">
        <f t="shared" si="3"/>
        <v>0</v>
      </c>
      <c r="K27" s="24">
        <f>IF(Y27&lt;&gt;"",Info!$C$34*Y27,"")</f>
        <v>0</v>
      </c>
      <c r="L27" s="24">
        <f t="shared" si="1"/>
        <v>0</v>
      </c>
      <c r="M27" s="24"/>
      <c r="N27" s="24">
        <v>0</v>
      </c>
      <c r="O27" s="24" t="str">
        <f>IF(AJ27&lt;=10,(1-Info!$C$44)*IF(OR(Info!$F$24&gt;0,Info!$F$26&gt;0),IF(0.75*$X$4&lt;=0.03*$AD$4,0.75*(X27-X26),0.03*(AD27-AD26)),0),"")</f>
        <v/>
      </c>
      <c r="P27" s="24">
        <f>IF(AJ27&lt;=5,IF(AI27&lt;&gt;"",0.002*AD27,"")*(1-Info!$I$44),0)</f>
        <v>0</v>
      </c>
      <c r="Q27" s="24">
        <f>(1-Info!$F$44)*IF(AI27&lt;&gt;"",IF(Info!$C$32="بله",0.07*X27,0.07*AG27),"")</f>
        <v>0</v>
      </c>
      <c r="R27" s="24">
        <f>IF(X27&lt;&gt;0,S27*X27,0)*(1-Info!$F$48)</f>
        <v>0</v>
      </c>
      <c r="S27" s="24">
        <f>IF(Info!$I$30="خیر",0,IF(Info!$F$30="بله",IF(Info!$C$30=1,2.3,IF(Info!$C$30=2,3.3,4.3)),1))*IF(AND(AH27&lt;=Rates!$Z$8,AH27&gt;0),(1+Info!$C$34)*(1+LOOKUP(Info!$F$34,Rates!$O$2:$O$9,Rates!$L$2:$L$9)/100)*(LOOKUP(Info!$C$6,Rates!$U$2:$U$108,Rates!$R$2:$R$108)/100),0)</f>
        <v>0</v>
      </c>
      <c r="T27" s="24">
        <f>IF(AI27&lt;71,(1-Info!$F$46)*((AB27*0.0008*(1+(LOOKUP(Info!$I$34,Rates!$O$2:$O$9,Rates!$M$2:$M$9)/100)))),0)</f>
        <v>0</v>
      </c>
      <c r="U27" s="24">
        <f>IF(AI27&lt;71,(1-Info!$I$46)*(((AD27*0.0008*Info!$L$30))*(1+(LOOKUP(Info!$I$34,Rates!$O:$O,Rates!$N:$N)/100))),0)</f>
        <v>0</v>
      </c>
      <c r="V27" s="24">
        <f>((Z27*0.0008))*(1+(LOOKUP(Info!$I$34,Rates!$O$2:$O$9,Rates!$M$2:$M$9)/100))*(1-Info!$C$46)</f>
        <v>0</v>
      </c>
      <c r="W27" s="24">
        <f>IF(AND(AI27&lt;=Rates!$Z$2,AJ27&lt;=Info!$I$6,Info!$F$32="معمولی"),VLOOKUP(AI27,Rates!$U$1:$Y$108,5,0),IF(AND(AI27&lt;=Rates!$Z$2,AJ27&lt;=Info!$I$6,Info!$F$32="پایه"),VLOOKUP(AI27,Rates!$U$1:$Y$108,2,0),IF(AND(AI27&lt;=Rates!$Z$2,AJ27&lt;=Info!$I$6,Info!$F$32="آسایش "),VLOOKUP(AI27,Rates!$U$1:$Y$108,3,0),IF(AND(AI27&lt;=Rates!$Z$2,AJ27&lt;=Info!$I$6,Info!$F$32="ممتاز"),VLOOKUP(AI27,Rates!$U$1:$Y$108,4,0),0))))*AA27/1000000*(1+Info!$C$34)*(1-Info!$I$48)</f>
        <v>0</v>
      </c>
      <c r="X27" s="24">
        <f>IF(Info!$C$32="بله",(AG27-W27-U27-V27-T27)/(1+S27),AG27)</f>
        <v>0</v>
      </c>
      <c r="Y27" s="24">
        <f>IF(AI27&lt;&gt;0,(AD27*LOOKUP(AI27,Rates!$U$2:$U$108,Rates!$T$2:$T$108))/SQRT(1.1),0)</f>
        <v>0</v>
      </c>
      <c r="Z27" s="24">
        <f>IF(AND(AI27&lt;=Rates!$Z$10,AI27&gt;=0),Info!$C$28*(AC27-AD27),0)</f>
        <v>0</v>
      </c>
      <c r="AA27" s="24">
        <f>IF(AND(AI27&gt;=0,AI27&lt;=Rates!$Z$2,AG27&gt;0),MIN(AA26*(1+Info!$F$26),5000000000),0)</f>
        <v>0</v>
      </c>
      <c r="AB27" s="24">
        <f>IF(AND(AI27&gt;=0,AI27&lt;=65),AD27*Info!$L$32,0)</f>
        <v>0</v>
      </c>
      <c r="AC27" s="24">
        <f>IF(AND(AI27&gt;=0,AI27&lt;=Rates!$Z$3),AD27*(1+Info!$L$30),AD27)</f>
        <v>0</v>
      </c>
      <c r="AD27" s="24">
        <f>IF(AI27&lt;&gt;0,AD26*(1+Info!$F$26),0)</f>
        <v>0</v>
      </c>
      <c r="AE27" s="24">
        <f t="shared" si="5"/>
        <v>0</v>
      </c>
      <c r="AF27" s="24">
        <f>IF(AI27&gt;=0,IF(Info!$C$32="بله",AG27,AG27+L27),"")</f>
        <v>0</v>
      </c>
      <c r="AG27" s="146">
        <f>IF(AI27&lt;&gt;0,AG26*(1+Info!$F$24),0)</f>
        <v>0</v>
      </c>
      <c r="AH27" s="149">
        <f>IF(AJ27&lt;&gt;"",Info!$C$6+AJ27-1,0)</f>
        <v>0</v>
      </c>
      <c r="AI27" s="26">
        <f>IF(AJ27&lt;&gt;"",IF(Info!$F$6+AJ27-1&lt;=Rates!$Z$11,Info!$F$6+AJ27-1,0),0)</f>
        <v>0</v>
      </c>
      <c r="AJ27" s="27" t="str">
        <f>IF(AI26&lt;&gt;"",IF(AND(AJ26&lt;&gt;"",AI26+1&lt;=Rates!$Z$11),IF(AJ26&lt;&gt;0,IF(AJ26+1&lt;=Info!$I$6,AJ26+1,""),0),""),"")</f>
        <v/>
      </c>
    </row>
    <row r="28" spans="1:36" s="243" customFormat="1" ht="18.75" x14ac:dyDescent="0.45">
      <c r="A28" s="25">
        <f>IF(B28&gt;0,IF(Info!$C$32="بله",AG28/B28,(AG28+L28)/B28),0)</f>
        <v>0</v>
      </c>
      <c r="B28" s="25">
        <f>IF(AND(AI28&gt;=0,AJ28&lt;=Info!$I$6),LOOKUP(Info!$C$24,Rates!$I$2:$I$7,Rates!$F$2:$F$7),0)</f>
        <v>0</v>
      </c>
      <c r="C28" s="25">
        <f>IF(AG28&lt;&gt;0,(C27+F28)*(1+VLOOKUP(Info!$C$26,Rates!$D$3:$E$7,2,FALSE)),0)</f>
        <v>0</v>
      </c>
      <c r="D28" s="25">
        <f t="shared" si="7"/>
        <v>0</v>
      </c>
      <c r="E28" s="25">
        <f>IF(AI28&lt;&gt;0,(E27+F28)*(1+VLOOKUP(Info!$C$26,Rates!$A$14:$B$19,2,FALSE)),0)</f>
        <v>0</v>
      </c>
      <c r="F28" s="25">
        <f>IF(AI28&lt;&gt;"",IF(Info!$C$32="بله",IF(AND(AJ28&lt;=Info!$F$36,AJ28&gt;=Info!$I$36),Info!$C$36,0)+(AG28-Y28-L28-K28-J28-I28-H28-G28),IF(AND(AJ28&lt;=Info!$F$36,AJ28&gt;=Info!$I$36),Info!$C$36,0)+(AG28-Y28-K28-J28-I28-H28-G28)),"")</f>
        <v>0</v>
      </c>
      <c r="G28" s="25">
        <f>IF(AI28&lt;&gt;"",Rates!$AB$11*(L28),"")</f>
        <v>0</v>
      </c>
      <c r="H28" s="25">
        <f>IF(AI28&lt;&gt;"",(Rates!$AD$11+Rates!$AC$11)*(L28),"")</f>
        <v>0</v>
      </c>
      <c r="I28" s="25">
        <f>IF(AI28&lt;&gt;"",LOOKUP(Info!$C$24,Rates!$I$2:$I$7,Rates!$H$2:$H$7)*(J28+K28+L28+Y28),"")</f>
        <v>0</v>
      </c>
      <c r="J28" s="25">
        <f t="shared" si="3"/>
        <v>0</v>
      </c>
      <c r="K28" s="25">
        <f>IF(Y28&lt;&gt;"",Info!$C$34*Y28,"")</f>
        <v>0</v>
      </c>
      <c r="L28" s="25">
        <f t="shared" si="1"/>
        <v>0</v>
      </c>
      <c r="M28" s="25"/>
      <c r="N28" s="25">
        <v>0</v>
      </c>
      <c r="O28" s="25" t="str">
        <f>IF(AJ28&lt;=10,(1-Info!$C$44)*IF(OR(Info!$F$24&gt;0,Info!$F$26&gt;0),IF(0.75*$X$4&lt;=0.03*$AD$4,0.75*(X28-X27),0.03*(AD28-AD27)),0),"")</f>
        <v/>
      </c>
      <c r="P28" s="25">
        <f>IF(AJ28&lt;=5,IF(AI28&lt;&gt;"",0.002*AD28,"")*(1-Info!$I$44),0)</f>
        <v>0</v>
      </c>
      <c r="Q28" s="25">
        <f>(1-Info!$F$44)*IF(AI28&lt;&gt;"",IF(Info!$C$32="بله",0.07*X28,0.07*AG28),"")</f>
        <v>0</v>
      </c>
      <c r="R28" s="25">
        <f>IF(X28&lt;&gt;0,S28*X28,0)*(1-Info!$F$48)</f>
        <v>0</v>
      </c>
      <c r="S28" s="25">
        <f>IF(Info!$I$30="خیر",0,IF(Info!$F$30="بله",IF(Info!$C$30=1,2.3,IF(Info!$C$30=2,3.3,4.3)),1))*IF(AND(AH28&lt;=Rates!$Z$8,AH28&gt;0),(1+Info!$C$34)*(1+LOOKUP(Info!$F$34,Rates!$O$2:$O$9,Rates!$L$2:$L$9)/100)*(LOOKUP(Info!$C$6,Rates!$U$2:$U$108,Rates!$R$2:$R$108)/100),0)</f>
        <v>0</v>
      </c>
      <c r="T28" s="25">
        <f>IF(AI28&lt;71,(1-Info!$F$46)*((AB28*0.0008*(1+(LOOKUP(Info!$I$34,Rates!$O$2:$O$9,Rates!$M$2:$M$9)/100)))),0)</f>
        <v>0</v>
      </c>
      <c r="U28" s="25">
        <f>IF(AI28&lt;71,(1-Info!$I$46)*(((AD28*0.0008*Info!$L$30))*(1+(LOOKUP(Info!$I$34,Rates!$O:$O,Rates!$N:$N)/100))),0)</f>
        <v>0</v>
      </c>
      <c r="V28" s="25">
        <f>((Z28*0.0008))*(1+(LOOKUP(Info!$I$34,Rates!$O$2:$O$9,Rates!$M$2:$M$9)/100))*(1-Info!$C$46)</f>
        <v>0</v>
      </c>
      <c r="W28" s="25">
        <f>IF(AND(AI28&lt;=Rates!$Z$2,AJ28&lt;=Info!$I$6,Info!$F$32="معمولی"),VLOOKUP(AI28,Rates!$U$1:$Y$108,5,0),IF(AND(AI28&lt;=Rates!$Z$2,AJ28&lt;=Info!$I$6,Info!$F$32="پایه"),VLOOKUP(AI28,Rates!$U$1:$Y$108,2,0),IF(AND(AI28&lt;=Rates!$Z$2,AJ28&lt;=Info!$I$6,Info!$F$32="آسایش "),VLOOKUP(AI28,Rates!$U$1:$Y$108,3,0),IF(AND(AI28&lt;=Rates!$Z$2,AJ28&lt;=Info!$I$6,Info!$F$32="ممتاز"),VLOOKUP(AI28,Rates!$U$1:$Y$108,4,0),0))))*AA28/1000000*(1+Info!$C$34)*(1-Info!$I$48)</f>
        <v>0</v>
      </c>
      <c r="X28" s="25">
        <f>IF(Info!$C$32="بله",(AG28-W28-U28-V28-T28)/(1+S28),AG28)</f>
        <v>0</v>
      </c>
      <c r="Y28" s="25">
        <f>IF(AI28&lt;&gt;0,(AD28*LOOKUP(AI28,Rates!$U$2:$U$108,Rates!$T$2:$T$108))/SQRT(1.1),0)</f>
        <v>0</v>
      </c>
      <c r="Z28" s="25">
        <f>IF(AND(AI28&lt;=Rates!$Z$10,AI28&gt;=0),Info!$C$28*(AC28-AD28),0)</f>
        <v>0</v>
      </c>
      <c r="AA28" s="25">
        <f>IF(AND(AI28&gt;=0,AI28&lt;=Rates!$Z$2,AG28&gt;0),MIN(AA27*(1+Info!$F$26),5000000000),0)</f>
        <v>0</v>
      </c>
      <c r="AB28" s="25">
        <f>IF(AND(AI28&gt;=0,AI28&lt;=65),AD28*Info!$L$32,0)</f>
        <v>0</v>
      </c>
      <c r="AC28" s="25">
        <f>IF(AND(AI28&gt;=0,AI28&lt;=Rates!$Z$3),AD28*(1+Info!$L$30),AD28)</f>
        <v>0</v>
      </c>
      <c r="AD28" s="25">
        <f>IF(AI28&lt;&gt;0,AD27*(1+Info!$F$26),0)</f>
        <v>0</v>
      </c>
      <c r="AE28" s="25">
        <f t="shared" si="5"/>
        <v>0</v>
      </c>
      <c r="AF28" s="25">
        <f>IF(AI28&gt;=0,IF(Info!$C$32="بله",AG28,AG28+L28),"")</f>
        <v>0</v>
      </c>
      <c r="AG28" s="145">
        <f>IF(AI28&lt;&gt;0,AG27*(1+Info!$F$24),0)</f>
        <v>0</v>
      </c>
      <c r="AH28" s="150">
        <f>IF(AJ28&lt;&gt;"",Info!$C$6+AJ28-1,0)</f>
        <v>0</v>
      </c>
      <c r="AI28" s="28">
        <f>IF(AJ28&lt;&gt;"",IF(Info!$F$6+AJ28-1&lt;=Rates!$Z$11,Info!$F$6+AJ28-1,0),0)</f>
        <v>0</v>
      </c>
      <c r="AJ28" s="29" t="str">
        <f>IF(AI27&lt;&gt;"",IF(AND(AJ27&lt;&gt;"",AI27+1&lt;=Rates!$Z$11),IF(AJ27&lt;&gt;0,IF(AJ27+1&lt;=Info!$I$6,AJ27+1,""),0),""),"")</f>
        <v/>
      </c>
    </row>
    <row r="29" spans="1:36" s="243" customFormat="1" ht="18.75" x14ac:dyDescent="0.45">
      <c r="A29" s="24">
        <f>IF(B29&gt;0,IF(Info!$C$32="بله",AG29/B29,(AG29+L29)/B29),0)</f>
        <v>0</v>
      </c>
      <c r="B29" s="24">
        <f>IF(AND(AI29&gt;=0,AJ29&lt;=Info!$I$6),LOOKUP(Info!$C$24,Rates!$I$2:$I$7,Rates!$F$2:$F$7),0)</f>
        <v>0</v>
      </c>
      <c r="C29" s="24">
        <f>IF(AG29&lt;&gt;0,(C28+F29)*(1+VLOOKUP(Info!$C$26,Rates!$D$3:$E$7,2,FALSE)),0)</f>
        <v>0</v>
      </c>
      <c r="D29" s="24">
        <f t="shared" si="7"/>
        <v>0</v>
      </c>
      <c r="E29" s="24">
        <f>IF(AI29&lt;&gt;0,(E28+F29)*(1+VLOOKUP(Info!$C$26,Rates!$A$14:$B$19,2,FALSE)),0)</f>
        <v>0</v>
      </c>
      <c r="F29" s="24">
        <f>IF(AI29&lt;&gt;"",IF(Info!$C$32="بله",IF(AND(AJ29&lt;=Info!$F$36,AJ29&gt;=Info!$I$36),Info!$C$36,0)+(AG29-Y29-L29-K29-J29-I29-H29-G29),IF(AND(AJ29&lt;=Info!$F$36,AJ29&gt;=Info!$I$36),Info!$C$36,0)+(AG29-Y29-K29-J29-I29-H29-G29)),"")</f>
        <v>0</v>
      </c>
      <c r="G29" s="24">
        <f>IF(AI29&lt;&gt;"",Rates!$AB$11*(L29),"")</f>
        <v>0</v>
      </c>
      <c r="H29" s="24">
        <f>IF(AI29&lt;&gt;"",(Rates!$AD$11+Rates!$AC$11)*(L29),"")</f>
        <v>0</v>
      </c>
      <c r="I29" s="24">
        <f>IF(AI29&lt;&gt;"",LOOKUP(Info!$C$24,Rates!$I$2:$I$7,Rates!$H$2:$H$7)*(J29+K29+L29+Y29),"")</f>
        <v>0</v>
      </c>
      <c r="J29" s="24">
        <f t="shared" si="3"/>
        <v>0</v>
      </c>
      <c r="K29" s="24">
        <f>IF(Y29&lt;&gt;"",Info!$C$34*Y29,"")</f>
        <v>0</v>
      </c>
      <c r="L29" s="24">
        <f t="shared" si="1"/>
        <v>0</v>
      </c>
      <c r="M29" s="24"/>
      <c r="N29" s="24">
        <v>0</v>
      </c>
      <c r="O29" s="24" t="str">
        <f>IF(AJ29&lt;=10,(1-Info!$C$44)*IF(OR(Info!$F$24&gt;0,Info!$F$26&gt;0),IF(0.75*$X$4&lt;=0.03*$AD$4,0.75*(X29-X28),0.03*(AD29-AD28)),0),"")</f>
        <v/>
      </c>
      <c r="P29" s="24">
        <f>IF(AJ29&lt;=5,IF(AI29&lt;&gt;"",0.002*AD29,"")*(1-Info!$I$44),0)</f>
        <v>0</v>
      </c>
      <c r="Q29" s="24">
        <f>(1-Info!$F$44)*IF(AI29&lt;&gt;"",IF(Info!$C$32="بله",0.07*X29,0.07*AG29),"")</f>
        <v>0</v>
      </c>
      <c r="R29" s="24">
        <f>IF(X29&lt;&gt;0,S29*X29,0)*(1-Info!$F$48)</f>
        <v>0</v>
      </c>
      <c r="S29" s="24">
        <f>IF(Info!$I$30="خیر",0,IF(Info!$F$30="بله",IF(Info!$C$30=1,2.3,IF(Info!$C$30=2,3.3,4.3)),1))*IF(AND(AH29&lt;=Rates!$Z$8,AH29&gt;0),(1+Info!$C$34)*(1+LOOKUP(Info!$F$34,Rates!$O$2:$O$9,Rates!$L$2:$L$9)/100)*(LOOKUP(Info!$C$6,Rates!$U$2:$U$108,Rates!$R$2:$R$108)/100),0)</f>
        <v>0</v>
      </c>
      <c r="T29" s="24">
        <f>IF(AI29&lt;71,(1-Info!$F$46)*((AB29*0.0008*(1+(LOOKUP(Info!$I$34,Rates!$O$2:$O$9,Rates!$M$2:$M$9)/100)))),0)</f>
        <v>0</v>
      </c>
      <c r="U29" s="24">
        <f>IF(AI29&lt;71,(1-Info!$I$46)*(((AD29*0.0008*Info!$L$30))*(1+(LOOKUP(Info!$I$34,Rates!$O:$O,Rates!$N:$N)/100))),0)</f>
        <v>0</v>
      </c>
      <c r="V29" s="24">
        <f>((Z29*0.0008))*(1+(LOOKUP(Info!$I$34,Rates!$O$2:$O$9,Rates!$M$2:$M$9)/100))*(1-Info!$C$46)</f>
        <v>0</v>
      </c>
      <c r="W29" s="24">
        <f>IF(AND(AI29&lt;=Rates!$Z$2,AJ29&lt;=Info!$I$6,Info!$F$32="معمولی"),VLOOKUP(AI29,Rates!$U$1:$Y$108,5,0),IF(AND(AI29&lt;=Rates!$Z$2,AJ29&lt;=Info!$I$6,Info!$F$32="پایه"),VLOOKUP(AI29,Rates!$U$1:$Y$108,2,0),IF(AND(AI29&lt;=Rates!$Z$2,AJ29&lt;=Info!$I$6,Info!$F$32="آسایش "),VLOOKUP(AI29,Rates!$U$1:$Y$108,3,0),IF(AND(AI29&lt;=Rates!$Z$2,AJ29&lt;=Info!$I$6,Info!$F$32="ممتاز"),VLOOKUP(AI29,Rates!$U$1:$Y$108,4,0),0))))*AA29/1000000*(1+Info!$C$34)*(1-Info!$I$48)</f>
        <v>0</v>
      </c>
      <c r="X29" s="24">
        <f>IF(Info!$C$32="بله",(AG29-W29-U29-V29-T29)/(1+S29),AG29)</f>
        <v>0</v>
      </c>
      <c r="Y29" s="24">
        <f>IF(AI29&lt;&gt;0,(AD29*LOOKUP(AI29,Rates!$U$2:$U$108,Rates!$T$2:$T$108))/SQRT(1.1),0)</f>
        <v>0</v>
      </c>
      <c r="Z29" s="24">
        <f>IF(AND(AI29&lt;=Rates!$Z$10,AI29&gt;=0),Info!$C$28*(AC29-AD29),0)</f>
        <v>0</v>
      </c>
      <c r="AA29" s="24">
        <f>IF(AND(AI29&gt;=0,AI29&lt;=Rates!$Z$2,AG29&gt;0),MIN(AA28*(1+Info!$F$26),5000000000),0)</f>
        <v>0</v>
      </c>
      <c r="AB29" s="24">
        <f>IF(AND(AI29&gt;=0,AI29&lt;=65),AD29*Info!$L$32,0)</f>
        <v>0</v>
      </c>
      <c r="AC29" s="24">
        <f>IF(AND(AI29&gt;=0,AI29&lt;=Rates!$Z$3),AD29*(1+Info!$L$30),AD29)</f>
        <v>0</v>
      </c>
      <c r="AD29" s="24">
        <f>IF(AI29&lt;&gt;0,AD28*(1+Info!$F$26),0)</f>
        <v>0</v>
      </c>
      <c r="AE29" s="24">
        <f t="shared" si="5"/>
        <v>0</v>
      </c>
      <c r="AF29" s="24">
        <f>IF(AI29&gt;=0,IF(Info!$C$32="بله",AG29,AG29+L29),"")</f>
        <v>0</v>
      </c>
      <c r="AG29" s="146">
        <f>IF(AI29&lt;&gt;0,AG28*(1+Info!$F$24),0)</f>
        <v>0</v>
      </c>
      <c r="AH29" s="149">
        <f>IF(AJ29&lt;&gt;"",Info!$C$6+AJ29-1,0)</f>
        <v>0</v>
      </c>
      <c r="AI29" s="26">
        <f>IF(AJ29&lt;&gt;"",IF(Info!$F$6+AJ29-1&lt;=Rates!$Z$11,Info!$F$6+AJ29-1,0),0)</f>
        <v>0</v>
      </c>
      <c r="AJ29" s="27" t="str">
        <f>IF(AI28&lt;&gt;"",IF(AND(AJ28&lt;&gt;"",AI28+1&lt;=Rates!$Z$11),IF(AJ28&lt;&gt;0,IF(AJ28+1&lt;=Info!$I$6,AJ28+1,""),0),""),"")</f>
        <v/>
      </c>
    </row>
    <row r="30" spans="1:36" s="243" customFormat="1" ht="18.75" x14ac:dyDescent="0.45">
      <c r="A30" s="25">
        <f>IF(B30&gt;0,IF(Info!$C$32="بله",AG30/B30,(AG30+L30)/B30),0)</f>
        <v>0</v>
      </c>
      <c r="B30" s="25">
        <f>IF(AND(AI30&gt;=0,AJ30&lt;=Info!$I$6),LOOKUP(Info!$C$24,Rates!$I$2:$I$7,Rates!$F$2:$F$7),0)</f>
        <v>0</v>
      </c>
      <c r="C30" s="25">
        <f>IF(AG30&lt;&gt;0,(C29+F30)*(1+VLOOKUP(Info!$C$26,Rates!$D$3:$E$7,2,FALSE)),0)</f>
        <v>0</v>
      </c>
      <c r="D30" s="25">
        <f t="shared" si="7"/>
        <v>0</v>
      </c>
      <c r="E30" s="25">
        <f>IF(AI30&lt;&gt;0,(E29+F30)*(1+VLOOKUP(Info!$C$26,Rates!$A$14:$B$19,2,FALSE)),0)</f>
        <v>0</v>
      </c>
      <c r="F30" s="25">
        <f>IF(AI30&lt;&gt;"",IF(Info!$C$32="بله",IF(AND(AJ30&lt;=Info!$F$36,AJ30&gt;=Info!$I$36),Info!$C$36,0)+(AG30-Y30-L30-K30-J30-I30-H30-G30),IF(AND(AJ30&lt;=Info!$F$36,AJ30&gt;=Info!$I$36),Info!$C$36,0)+(AG30-Y30-K30-J30-I30-H30-G30)),"")</f>
        <v>0</v>
      </c>
      <c r="G30" s="25">
        <f>IF(AI30&lt;&gt;"",Rates!$AB$11*(L30),"")</f>
        <v>0</v>
      </c>
      <c r="H30" s="25">
        <f>IF(AI30&lt;&gt;"",(Rates!$AD$11+Rates!$AC$11)*(L30),"")</f>
        <v>0</v>
      </c>
      <c r="I30" s="25">
        <f>IF(AI30&lt;&gt;"",LOOKUP(Info!$C$24,Rates!$I$2:$I$7,Rates!$H$2:$H$7)*(J30+K30+L30+Y30),"")</f>
        <v>0</v>
      </c>
      <c r="J30" s="25">
        <f t="shared" si="3"/>
        <v>0</v>
      </c>
      <c r="K30" s="25">
        <f>IF(Y30&lt;&gt;"",Info!$C$34*Y30,"")</f>
        <v>0</v>
      </c>
      <c r="L30" s="25">
        <f t="shared" si="1"/>
        <v>0</v>
      </c>
      <c r="M30" s="25"/>
      <c r="N30" s="25">
        <v>0</v>
      </c>
      <c r="O30" s="25" t="str">
        <f>IF(AJ30&lt;=10,(1-Info!$C$44)*IF(OR(Info!$F$24&gt;0,Info!$F$26&gt;0),IF(0.75*$X$4&lt;=0.03*$AD$4,0.75*(X30-X29),0.03*(AD30-AD29)),0),"")</f>
        <v/>
      </c>
      <c r="P30" s="25">
        <f>IF(AJ30&lt;=5,IF(AI30&lt;&gt;"",0.002*AD30,"")*(1-Info!$I$44),0)</f>
        <v>0</v>
      </c>
      <c r="Q30" s="25">
        <f>(1-Info!$F$44)*IF(AI30&lt;&gt;"",IF(Info!$C$32="بله",0.07*X30,0.07*AG30),"")</f>
        <v>0</v>
      </c>
      <c r="R30" s="25">
        <f>IF(X30&lt;&gt;0,S30*X30,0)*(1-Info!$F$48)</f>
        <v>0</v>
      </c>
      <c r="S30" s="25">
        <f>IF(Info!$I$30="خیر",0,IF(Info!$F$30="بله",IF(Info!$C$30=1,2.3,IF(Info!$C$30=2,3.3,4.3)),1))*IF(AND(AH30&lt;=Rates!$Z$8,AH30&gt;0),(1+Info!$C$34)*(1+LOOKUP(Info!$F$34,Rates!$O$2:$O$9,Rates!$L$2:$L$9)/100)*(LOOKUP(Info!$C$6,Rates!$U$2:$U$108,Rates!$R$2:$R$108)/100),0)</f>
        <v>0</v>
      </c>
      <c r="T30" s="25">
        <f>IF(AI30&lt;71,(1-Info!$F$46)*((AB30*0.0008*(1+(LOOKUP(Info!$I$34,Rates!$O$2:$O$9,Rates!$M$2:$M$9)/100)))),0)</f>
        <v>0</v>
      </c>
      <c r="U30" s="25">
        <f>IF(AI30&lt;71,(1-Info!$I$46)*(((AD30*0.0008*Info!$L$30))*(1+(LOOKUP(Info!$I$34,Rates!$O:$O,Rates!$N:$N)/100))),0)</f>
        <v>0</v>
      </c>
      <c r="V30" s="25">
        <f>((Z30*0.0008))*(1+(LOOKUP(Info!$I$34,Rates!$O$2:$O$9,Rates!$M$2:$M$9)/100))*(1-Info!$C$46)</f>
        <v>0</v>
      </c>
      <c r="W30" s="25">
        <f>IF(AND(AI30&lt;=Rates!$Z$2,AJ30&lt;=Info!$I$6,Info!$F$32="معمولی"),VLOOKUP(AI30,Rates!$U$1:$Y$108,5,0),IF(AND(AI30&lt;=Rates!$Z$2,AJ30&lt;=Info!$I$6,Info!$F$32="پایه"),VLOOKUP(AI30,Rates!$U$1:$Y$108,2,0),IF(AND(AI30&lt;=Rates!$Z$2,AJ30&lt;=Info!$I$6,Info!$F$32="آسایش "),VLOOKUP(AI30,Rates!$U$1:$Y$108,3,0),IF(AND(AI30&lt;=Rates!$Z$2,AJ30&lt;=Info!$I$6,Info!$F$32="ممتاز"),VLOOKUP(AI30,Rates!$U$1:$Y$108,4,0),0))))*AA30/1000000*(1+Info!$C$34)*(1-Info!$I$48)</f>
        <v>0</v>
      </c>
      <c r="X30" s="25">
        <f>IF(Info!$C$32="بله",(AG30-W30-U30-V30-T30)/(1+S30),AG30)</f>
        <v>0</v>
      </c>
      <c r="Y30" s="25">
        <f>IF(AI30&lt;&gt;0,(AD30*LOOKUP(AI30,Rates!$U$2:$U$108,Rates!$T$2:$T$108))/SQRT(1.1),0)</f>
        <v>0</v>
      </c>
      <c r="Z30" s="25">
        <f>IF(AND(AI30&lt;=Rates!$Z$10,AI30&gt;=0),Info!$C$28*(AC30-AD30),0)</f>
        <v>0</v>
      </c>
      <c r="AA30" s="25">
        <f>IF(AND(AI30&gt;=0,AI30&lt;=Rates!$Z$2,AG30&gt;0),MIN(AA29*(1+Info!$F$26),5000000000),0)</f>
        <v>0</v>
      </c>
      <c r="AB30" s="25">
        <f>IF(AND(AI30&gt;=0,AI30&lt;=65),AD30*Info!$L$32,0)</f>
        <v>0</v>
      </c>
      <c r="AC30" s="25">
        <f>IF(AND(AI30&gt;=0,AI30&lt;=Rates!$Z$3),AD30*(1+Info!$L$30),AD30)</f>
        <v>0</v>
      </c>
      <c r="AD30" s="25">
        <f>IF(AI30&lt;&gt;0,AD29*(1+Info!$F$26),0)</f>
        <v>0</v>
      </c>
      <c r="AE30" s="25">
        <f t="shared" si="5"/>
        <v>0</v>
      </c>
      <c r="AF30" s="25">
        <f>IF(AI30&gt;=0,IF(Info!$C$32="بله",AG30,AG30+L30),"")</f>
        <v>0</v>
      </c>
      <c r="AG30" s="145">
        <f>IF(AI30&lt;&gt;0,AG29*(1+Info!$F$24),0)</f>
        <v>0</v>
      </c>
      <c r="AH30" s="150">
        <f>IF(AJ30&lt;&gt;"",Info!$C$6+AJ30-1,0)</f>
        <v>0</v>
      </c>
      <c r="AI30" s="28">
        <f>IF(AJ30&lt;&gt;"",IF(Info!$F$6+AJ30-1&lt;=Rates!$Z$11,Info!$F$6+AJ30-1,0),0)</f>
        <v>0</v>
      </c>
      <c r="AJ30" s="29" t="str">
        <f>IF(AI29&lt;&gt;"",IF(AND(AJ29&lt;&gt;"",AI29+1&lt;=Rates!$Z$11),IF(AJ29&lt;&gt;0,IF(AJ29+1&lt;=Info!$I$6,AJ29+1,""),0),""),"")</f>
        <v/>
      </c>
    </row>
    <row r="31" spans="1:36" s="243" customFormat="1" ht="18.75" x14ac:dyDescent="0.45">
      <c r="A31" s="24">
        <f>IF(B31&gt;0,IF(Info!$C$32="بله",AG31/B31,(AG31+L31)/B31),0)</f>
        <v>0</v>
      </c>
      <c r="B31" s="24">
        <f>IF(AND(AI31&gt;=0,AJ31&lt;=Info!$I$6),LOOKUP(Info!$C$24,Rates!$I$2:$I$7,Rates!$F$2:$F$7),0)</f>
        <v>0</v>
      </c>
      <c r="C31" s="24">
        <f>IF(AG31&lt;&gt;0,(C30+F31)*(1+VLOOKUP(Info!$C$26,Rates!$D$3:$E$7,2,FALSE)),0)</f>
        <v>0</v>
      </c>
      <c r="D31" s="24">
        <f t="shared" si="7"/>
        <v>0</v>
      </c>
      <c r="E31" s="24">
        <f>IF(AI31&lt;&gt;0,(E30+F31)*(1+VLOOKUP(Info!$C$26,Rates!$A$14:$B$19,2,FALSE)),0)</f>
        <v>0</v>
      </c>
      <c r="F31" s="24">
        <f>IF(AI31&lt;&gt;"",IF(Info!$C$32="بله",IF(AND(AJ31&lt;=Info!$F$36,AJ31&gt;=Info!$I$36),Info!$C$36,0)+(AG31-Y31-L31-K31-J31-I31-H31-G31),IF(AND(AJ31&lt;=Info!$F$36,AJ31&gt;=Info!$I$36),Info!$C$36,0)+(AG31-Y31-K31-J31-I31-H31-G31)),"")</f>
        <v>0</v>
      </c>
      <c r="G31" s="24">
        <f>IF(AI31&lt;&gt;"",Rates!$AB$11*(L31),"")</f>
        <v>0</v>
      </c>
      <c r="H31" s="24">
        <f>IF(AI31&lt;&gt;"",(Rates!$AD$11+Rates!$AC$11)*(L31),"")</f>
        <v>0</v>
      </c>
      <c r="I31" s="24">
        <f>IF(AI31&lt;&gt;"",LOOKUP(Info!$C$24,Rates!$I$2:$I$7,Rates!$H$2:$H$7)*(J31+K31+L31+Y31),"")</f>
        <v>0</v>
      </c>
      <c r="J31" s="24">
        <f t="shared" si="3"/>
        <v>0</v>
      </c>
      <c r="K31" s="24">
        <f>IF(Y31&lt;&gt;"",Info!$C$34*Y31,"")</f>
        <v>0</v>
      </c>
      <c r="L31" s="24">
        <f t="shared" si="1"/>
        <v>0</v>
      </c>
      <c r="M31" s="24"/>
      <c r="N31" s="24">
        <v>0</v>
      </c>
      <c r="O31" s="24" t="str">
        <f>IF(AJ31&lt;=10,(1-Info!$C$44)*IF(OR(Info!$F$24&gt;0,Info!$F$26&gt;0),IF(0.75*$X$4&lt;=0.03*$AD$4,0.75*(X31-X30),0.03*(AD31-AD30)),0),"")</f>
        <v/>
      </c>
      <c r="P31" s="24">
        <f>IF(AJ31&lt;=5,IF(AI31&lt;&gt;"",0.002*AD31,"")*(1-Info!$I$44),0)</f>
        <v>0</v>
      </c>
      <c r="Q31" s="24">
        <f>(1-Info!$F$44)*IF(AI31&lt;&gt;"",IF(Info!$C$32="بله",0.07*X31,0.07*AG31),"")</f>
        <v>0</v>
      </c>
      <c r="R31" s="24">
        <f>IF(X31&lt;&gt;0,S31*X31,0)*(1-Info!$F$48)</f>
        <v>0</v>
      </c>
      <c r="S31" s="24">
        <f>IF(Info!$I$30="خیر",0,IF(Info!$F$30="بله",IF(Info!$C$30=1,2.3,IF(Info!$C$30=2,3.3,4.3)),1))*IF(AND(AH31&lt;=Rates!$Z$8,AH31&gt;0),(1+Info!$C$34)*(1+LOOKUP(Info!$F$34,Rates!$O$2:$O$9,Rates!$L$2:$L$9)/100)*(LOOKUP(Info!$C$6,Rates!$U$2:$U$108,Rates!$R$2:$R$108)/100),0)</f>
        <v>0</v>
      </c>
      <c r="T31" s="24">
        <f>IF(AI31&lt;71,(1-Info!$F$46)*((AB31*0.0008*(1+(LOOKUP(Info!$I$34,Rates!$O$2:$O$9,Rates!$M$2:$M$9)/100)))),0)</f>
        <v>0</v>
      </c>
      <c r="U31" s="24">
        <f>IF(AI31&lt;71,(1-Info!$I$46)*(((AD31*0.0008*Info!$L$30))*(1+(LOOKUP(Info!$I$34,Rates!$O:$O,Rates!$N:$N)/100))),0)</f>
        <v>0</v>
      </c>
      <c r="V31" s="24">
        <f>((Z31*0.0008))*(1+(LOOKUP(Info!$I$34,Rates!$O$2:$O$9,Rates!$M$2:$M$9)/100))*(1-Info!$C$46)</f>
        <v>0</v>
      </c>
      <c r="W31" s="24">
        <f>IF(AND(AI31&lt;=Rates!$Z$2,AJ31&lt;=Info!$I$6,Info!$F$32="معمولی"),VLOOKUP(AI31,Rates!$U$1:$Y$108,5,0),IF(AND(AI31&lt;=Rates!$Z$2,AJ31&lt;=Info!$I$6,Info!$F$32="پایه"),VLOOKUP(AI31,Rates!$U$1:$Y$108,2,0),IF(AND(AI31&lt;=Rates!$Z$2,AJ31&lt;=Info!$I$6,Info!$F$32="آسایش "),VLOOKUP(AI31,Rates!$U$1:$Y$108,3,0),IF(AND(AI31&lt;=Rates!$Z$2,AJ31&lt;=Info!$I$6,Info!$F$32="ممتاز"),VLOOKUP(AI31,Rates!$U$1:$Y$108,4,0),0))))*AA31/1000000*(1+Info!$C$34)*(1-Info!$I$48)</f>
        <v>0</v>
      </c>
      <c r="X31" s="24">
        <f>IF(Info!$C$32="بله",(AG31-W31-U31-V31-T31)/(1+S31),AG31)</f>
        <v>0</v>
      </c>
      <c r="Y31" s="24">
        <f>IF(AI31&lt;&gt;0,(AD31*LOOKUP(AI31,Rates!$U$2:$U$108,Rates!$T$2:$T$108))/SQRT(1.1),0)</f>
        <v>0</v>
      </c>
      <c r="Z31" s="24">
        <f>IF(AND(AI31&lt;=Rates!$Z$10,AI31&gt;=0),Info!$C$28*(AC31-AD31),0)</f>
        <v>0</v>
      </c>
      <c r="AA31" s="24">
        <f>IF(AND(AI31&gt;=0,AI31&lt;=Rates!$Z$2,AG31&gt;0),MIN(AA30*(1+Info!$F$26),5000000000),0)</f>
        <v>0</v>
      </c>
      <c r="AB31" s="24">
        <f>IF(AND(AI31&gt;=0,AI31&lt;=65),AD31*Info!$L$32,0)</f>
        <v>0</v>
      </c>
      <c r="AC31" s="24">
        <f>IF(AND(AI31&gt;=0,AI31&lt;=Rates!$Z$3),AD31*(1+Info!$L$30),AD31)</f>
        <v>0</v>
      </c>
      <c r="AD31" s="24">
        <f>IF(AI31&lt;&gt;0,AD30*(1+Info!$F$26),0)</f>
        <v>0</v>
      </c>
      <c r="AE31" s="24">
        <f t="shared" si="5"/>
        <v>0</v>
      </c>
      <c r="AF31" s="24">
        <f>IF(AI31&gt;=0,IF(Info!$C$32="بله",AG31,AG31+L31),"")</f>
        <v>0</v>
      </c>
      <c r="AG31" s="146">
        <f>IF(AI31&lt;&gt;0,AG30*(1+Info!$F$24),0)</f>
        <v>0</v>
      </c>
      <c r="AH31" s="149">
        <f>IF(AJ31&lt;&gt;"",Info!$C$6+AJ31-1,0)</f>
        <v>0</v>
      </c>
      <c r="AI31" s="26">
        <f>IF(AJ31&lt;&gt;"",IF(Info!$F$6+AJ31-1&lt;=Rates!$Z$11,Info!$F$6+AJ31-1,0),0)</f>
        <v>0</v>
      </c>
      <c r="AJ31" s="27" t="str">
        <f>IF(AI30&lt;&gt;"",IF(AND(AJ30&lt;&gt;"",AI30+1&lt;=Rates!$Z$11),IF(AJ30&lt;&gt;0,IF(AJ30+1&lt;=Info!$I$6,AJ30+1,""),0),""),"")</f>
        <v/>
      </c>
    </row>
    <row r="32" spans="1:36" s="243" customFormat="1" ht="18.75" x14ac:dyDescent="0.45">
      <c r="A32" s="25">
        <f>IF(B32&gt;0,IF(Info!$C$32="بله",AG32/B32,(AG32+L32)/B32),0)</f>
        <v>0</v>
      </c>
      <c r="B32" s="25">
        <f>IF(AND(AI32&gt;=0,AJ32&lt;=Info!$I$6),LOOKUP(Info!$C$24,Rates!$I$2:$I$7,Rates!$F$2:$F$7),0)</f>
        <v>0</v>
      </c>
      <c r="C32" s="25">
        <f>IF(AG32&lt;&gt;0,(C31+F32)*(1+VLOOKUP(Info!$C$26,Rates!$D$3:$E$7,2,FALSE)),0)</f>
        <v>0</v>
      </c>
      <c r="D32" s="25">
        <f t="shared" si="7"/>
        <v>0</v>
      </c>
      <c r="E32" s="25">
        <f>IF(AI32&lt;&gt;0,(E31+F32)*(1+VLOOKUP(Info!$C$26,Rates!$A$14:$B$19,2,FALSE)),0)</f>
        <v>0</v>
      </c>
      <c r="F32" s="25">
        <f>IF(AI32&lt;&gt;"",IF(Info!$C$32="بله",IF(AND(AJ32&lt;=Info!$F$36,AJ32&gt;=Info!$I$36),Info!$C$36,0)+(AG32-Y32-L32-K32-J32-I32-H32-G32),IF(AND(AJ32&lt;=Info!$F$36,AJ32&gt;=Info!$I$36),Info!$C$36,0)+(AG32-Y32-K32-J32-I32-H32-G32)),"")</f>
        <v>0</v>
      </c>
      <c r="G32" s="25">
        <f>IF(AI32&lt;&gt;"",Rates!$AB$11*(L32),"")</f>
        <v>0</v>
      </c>
      <c r="H32" s="25">
        <f>IF(AI32&lt;&gt;"",(Rates!$AD$11+Rates!$AC$11)*(L32),"")</f>
        <v>0</v>
      </c>
      <c r="I32" s="25">
        <f>IF(AI32&lt;&gt;"",LOOKUP(Info!$C$24,Rates!$I$2:$I$7,Rates!$H$2:$H$7)*(J32+K32+L32+Y32),"")</f>
        <v>0</v>
      </c>
      <c r="J32" s="25">
        <f t="shared" si="3"/>
        <v>0</v>
      </c>
      <c r="K32" s="25">
        <f>IF(Y32&lt;&gt;"",Info!$C$34*Y32,"")</f>
        <v>0</v>
      </c>
      <c r="L32" s="25">
        <f t="shared" si="1"/>
        <v>0</v>
      </c>
      <c r="M32" s="25"/>
      <c r="N32" s="25">
        <v>0</v>
      </c>
      <c r="O32" s="25" t="str">
        <f>IF(AJ32&lt;=10,(1-Info!$C$44)*IF(OR(Info!$F$24&gt;0,Info!$F$26&gt;0),IF(0.75*$X$4&lt;=0.03*$AD$4,0.75*(X32-X31),0.03*(AD32-AD31)),0),"")</f>
        <v/>
      </c>
      <c r="P32" s="25">
        <f>IF(AJ32&lt;=5,IF(AI32&lt;&gt;"",0.002*AD32,"")*(1-Info!$I$44),0)</f>
        <v>0</v>
      </c>
      <c r="Q32" s="25">
        <f>(1-Info!$F$44)*IF(AI32&lt;&gt;"",IF(Info!$C$32="بله",0.07*X32,0.07*AG32),"")</f>
        <v>0</v>
      </c>
      <c r="R32" s="25">
        <f>IF(X32&lt;&gt;0,S32*X32,0)*(1-Info!$F$48)</f>
        <v>0</v>
      </c>
      <c r="S32" s="25">
        <f>IF(Info!$I$30="خیر",0,IF(Info!$F$30="بله",IF(Info!$C$30=1,2.3,IF(Info!$C$30=2,3.3,4.3)),1))*IF(AND(AH32&lt;=Rates!$Z$8,AH32&gt;0),(1+Info!$C$34)*(1+LOOKUP(Info!$F$34,Rates!$O$2:$O$9,Rates!$L$2:$L$9)/100)*(LOOKUP(Info!$C$6,Rates!$U$2:$U$108,Rates!$R$2:$R$108)/100),0)</f>
        <v>0</v>
      </c>
      <c r="T32" s="25">
        <f>IF(AI32&lt;71,(1-Info!$F$46)*((AB32*0.0008*(1+(LOOKUP(Info!$I$34,Rates!$O$2:$O$9,Rates!$M$2:$M$9)/100)))),0)</f>
        <v>0</v>
      </c>
      <c r="U32" s="25">
        <f>IF(AI32&lt;71,(1-Info!$I$46)*(((AD32*0.0008*Info!$L$30))*(1+(LOOKUP(Info!$I$34,Rates!$O:$O,Rates!$N:$N)/100))),0)</f>
        <v>0</v>
      </c>
      <c r="V32" s="25">
        <f>((Z32*0.0008))*(1+(LOOKUP(Info!$I$34,Rates!$O$2:$O$9,Rates!$M$2:$M$9)/100))*(1-Info!$C$46)</f>
        <v>0</v>
      </c>
      <c r="W32" s="25">
        <f>IF(AND(AI32&lt;=Rates!$Z$2,AJ32&lt;=Info!$I$6,Info!$F$32="معمولی"),VLOOKUP(AI32,Rates!$U$1:$Y$108,5,0),IF(AND(AI32&lt;=Rates!$Z$2,AJ32&lt;=Info!$I$6,Info!$F$32="پایه"),VLOOKUP(AI32,Rates!$U$1:$Y$108,2,0),IF(AND(AI32&lt;=Rates!$Z$2,AJ32&lt;=Info!$I$6,Info!$F$32="آسایش "),VLOOKUP(AI32,Rates!$U$1:$Y$108,3,0),IF(AND(AI32&lt;=Rates!$Z$2,AJ32&lt;=Info!$I$6,Info!$F$32="ممتاز"),VLOOKUP(AI32,Rates!$U$1:$Y$108,4,0),0))))*AA32/1000000*(1+Info!$C$34)*(1-Info!$I$48)</f>
        <v>0</v>
      </c>
      <c r="X32" s="25">
        <f>IF(Info!$C$32="بله",(AG32-W32-U32-V32-T32)/(1+S32),AG32)</f>
        <v>0</v>
      </c>
      <c r="Y32" s="25">
        <f>IF(AI32&lt;&gt;0,(AD32*LOOKUP(AI32,Rates!$U$2:$U$108,Rates!$T$2:$T$108))/SQRT(1.1),0)</f>
        <v>0</v>
      </c>
      <c r="Z32" s="25">
        <f>IF(AND(AI32&lt;=Rates!$Z$10,AI32&gt;=0),Info!$C$28*(AC32-AD32),0)</f>
        <v>0</v>
      </c>
      <c r="AA32" s="25">
        <f>IF(AND(AI32&gt;=0,AI32&lt;=Rates!$Z$2,AG32&gt;0),MIN(AA31*(1+Info!$F$26),5000000000),0)</f>
        <v>0</v>
      </c>
      <c r="AB32" s="25">
        <f>IF(AND(AI32&gt;=0,AI32&lt;=65),AD32*Info!$L$32,0)</f>
        <v>0</v>
      </c>
      <c r="AC32" s="25">
        <f>IF(AND(AI32&gt;=0,AI32&lt;=Rates!$Z$3),AD32*(1+Info!$L$30),AD32)</f>
        <v>0</v>
      </c>
      <c r="AD32" s="25">
        <f>IF(AI32&lt;&gt;0,AD31*(1+Info!$F$26),0)</f>
        <v>0</v>
      </c>
      <c r="AE32" s="25">
        <f t="shared" si="5"/>
        <v>0</v>
      </c>
      <c r="AF32" s="25">
        <f>IF(AI32&gt;=0,IF(Info!$C$32="بله",AG32,AG32+L32),"")</f>
        <v>0</v>
      </c>
      <c r="AG32" s="145">
        <f>IF(AI32&lt;&gt;0,AG31*(1+Info!$F$24),0)</f>
        <v>0</v>
      </c>
      <c r="AH32" s="150">
        <f>IF(AJ32&lt;&gt;"",Info!$C$6+AJ32-1,0)</f>
        <v>0</v>
      </c>
      <c r="AI32" s="28">
        <f>IF(AJ32&lt;&gt;"",IF(Info!$F$6+AJ32-1&lt;=Rates!$Z$11,Info!$F$6+AJ32-1,0),0)</f>
        <v>0</v>
      </c>
      <c r="AJ32" s="29" t="str">
        <f>IF(AI31&lt;&gt;"",IF(AND(AJ31&lt;&gt;"",AI31+1&lt;=Rates!$Z$11),IF(AJ31&lt;&gt;0,IF(AJ31+1&lt;=Info!$I$6,AJ31+1,""),0),""),"")</f>
        <v/>
      </c>
    </row>
    <row r="33" spans="1:36" s="243" customFormat="1" ht="18.75" x14ac:dyDescent="0.45">
      <c r="A33" s="24">
        <f>IF(B33&gt;0,IF(Info!$C$32="بله",AG33/B33,(AG33+L33)/B33),0)</f>
        <v>0</v>
      </c>
      <c r="B33" s="24">
        <f>IF(AND(AI33&gt;=0,AJ33&lt;=Info!$I$6),LOOKUP(Info!$C$24,Rates!$I$2:$I$7,Rates!$F$2:$F$7),0)</f>
        <v>0</v>
      </c>
      <c r="C33" s="24">
        <f>IF(AG33&lt;&gt;0,(C32+F33)*(1+VLOOKUP(Info!$C$26,Rates!$D$3:$E$7,2,FALSE)),0)</f>
        <v>0</v>
      </c>
      <c r="D33" s="24">
        <f t="shared" si="7"/>
        <v>0</v>
      </c>
      <c r="E33" s="24">
        <f>IF(AI33&lt;&gt;0,(E32+F33)*(1+VLOOKUP(Info!$C$26,Rates!$A$14:$B$19,2,FALSE)),0)</f>
        <v>0</v>
      </c>
      <c r="F33" s="24">
        <f>IF(AI33&lt;&gt;"",IF(Info!$C$32="بله",IF(AND(AJ33&lt;=Info!$F$36,AJ33&gt;=Info!$I$36),Info!$C$36,0)+(AG33-Y33-L33-K33-J33-I33-H33-G33),IF(AND(AJ33&lt;=Info!$F$36,AJ33&gt;=Info!$I$36),Info!$C$36,0)+(AG33-Y33-K33-J33-I33-H33-G33)),"")</f>
        <v>0</v>
      </c>
      <c r="G33" s="24">
        <f>IF(AI33&lt;&gt;"",Rates!$AB$11*(L33),"")</f>
        <v>0</v>
      </c>
      <c r="H33" s="24">
        <f>IF(AI33&lt;&gt;"",(Rates!$AD$11+Rates!$AC$11)*(L33),"")</f>
        <v>0</v>
      </c>
      <c r="I33" s="24">
        <f>IF(AI33&lt;&gt;"",LOOKUP(Info!$C$24,Rates!$I$2:$I$7,Rates!$H$2:$H$7)*(J33+K33+L33+Y33),"")</f>
        <v>0</v>
      </c>
      <c r="J33" s="24">
        <f t="shared" si="3"/>
        <v>0</v>
      </c>
      <c r="K33" s="24">
        <f>IF(Y33&lt;&gt;"",Info!$C$34*Y33,"")</f>
        <v>0</v>
      </c>
      <c r="L33" s="24">
        <f t="shared" si="1"/>
        <v>0</v>
      </c>
      <c r="M33" s="24"/>
      <c r="N33" s="24">
        <v>0</v>
      </c>
      <c r="O33" s="24" t="str">
        <f>IF(AJ33&lt;=10,(1-Info!$C$44)*IF(OR(Info!$F$24&gt;0,Info!$F$26&gt;0),IF(0.75*$X$4&lt;=0.03*$AD$4,0.75*(X33-X32),0.03*(AD33-AD32)),0),"")</f>
        <v/>
      </c>
      <c r="P33" s="24">
        <f>IF(AJ33&lt;=5,IF(AI33&lt;&gt;"",0.002*AD33,"")*(1-Info!$I$44),0)</f>
        <v>0</v>
      </c>
      <c r="Q33" s="24">
        <f>(1-Info!$F$44)*IF(AI33&lt;&gt;"",IF(Info!$C$32="بله",0.07*X33,0.07*AG33),"")</f>
        <v>0</v>
      </c>
      <c r="R33" s="24">
        <f>IF(X33&lt;&gt;0,S33*X33,0)*(1-Info!$F$48)</f>
        <v>0</v>
      </c>
      <c r="S33" s="24">
        <f>IF(Info!$I$30="خیر",0,IF(Info!$F$30="بله",IF(Info!$C$30=1,2.3,IF(Info!$C$30=2,3.3,4.3)),1))*IF(AND(AH33&lt;=Rates!$Z$8,AH33&gt;0),(1+Info!$C$34)*(1+LOOKUP(Info!$F$34,Rates!$O$2:$O$9,Rates!$L$2:$L$9)/100)*(LOOKUP(Info!$C$6,Rates!$U$2:$U$108,Rates!$R$2:$R$108)/100),0)</f>
        <v>0</v>
      </c>
      <c r="T33" s="24">
        <f>IF(AI33&lt;71,(1-Info!$F$46)*((AB33*0.0008*(1+(LOOKUP(Info!$I$34,Rates!$O$2:$O$9,Rates!$M$2:$M$9)/100)))),0)</f>
        <v>0</v>
      </c>
      <c r="U33" s="24">
        <f>IF(AI33&lt;71,(1-Info!$I$46)*(((AD33*0.0008*Info!$L$30))*(1+(LOOKUP(Info!$I$34,Rates!$O:$O,Rates!$N:$N)/100))),0)</f>
        <v>0</v>
      </c>
      <c r="V33" s="24">
        <f>((Z33*0.0008))*(1+(LOOKUP(Info!$I$34,Rates!$O$2:$O$9,Rates!$M$2:$M$9)/100))*(1-Info!$C$46)</f>
        <v>0</v>
      </c>
      <c r="W33" s="24">
        <f>IF(AND(AI33&lt;=Rates!$Z$2,AJ33&lt;=Info!$I$6,Info!$F$32="معمولی"),VLOOKUP(AI33,Rates!$U$1:$Y$108,5,0),IF(AND(AI33&lt;=Rates!$Z$2,AJ33&lt;=Info!$I$6,Info!$F$32="پایه"),VLOOKUP(AI33,Rates!$U$1:$Y$108,2,0),IF(AND(AI33&lt;=Rates!$Z$2,AJ33&lt;=Info!$I$6,Info!$F$32="آسایش "),VLOOKUP(AI33,Rates!$U$1:$Y$108,3,0),IF(AND(AI33&lt;=Rates!$Z$2,AJ33&lt;=Info!$I$6,Info!$F$32="ممتاز"),VLOOKUP(AI33,Rates!$U$1:$Y$108,4,0),0))))*AA33/1000000*(1+Info!$C$34)*(1-Info!$I$48)</f>
        <v>0</v>
      </c>
      <c r="X33" s="24">
        <f>IF(Info!$C$32="بله",(AG33-W33-U33-V33-T33)/(1+S33),AG33)</f>
        <v>0</v>
      </c>
      <c r="Y33" s="24">
        <f>IF(AI33&lt;&gt;0,(AD33*LOOKUP(AI33,Rates!$U$2:$U$108,Rates!$T$2:$T$108))/SQRT(1.1),0)</f>
        <v>0</v>
      </c>
      <c r="Z33" s="24">
        <f>IF(AND(AI33&lt;=Rates!$Z$10,AI33&gt;=0),Info!$C$28*(AC33-AD33),0)</f>
        <v>0</v>
      </c>
      <c r="AA33" s="24">
        <f>IF(AND(AI33&gt;=0,AI33&lt;=Rates!$Z$2,AG33&gt;0),MIN(AA32*(1+Info!$F$26),5000000000),0)</f>
        <v>0</v>
      </c>
      <c r="AB33" s="24">
        <f>IF(AND(AI33&gt;=0,AI33&lt;=65),AD33*Info!$L$32,0)</f>
        <v>0</v>
      </c>
      <c r="AC33" s="24">
        <f>IF(AND(AI33&gt;=0,AI33&lt;=Rates!$Z$3),AD33*(1+Info!$L$30),AD33)</f>
        <v>0</v>
      </c>
      <c r="AD33" s="24">
        <f>IF(AI33&lt;&gt;0,AD32*(1+Info!$F$26),0)</f>
        <v>0</v>
      </c>
      <c r="AE33" s="24">
        <f t="shared" si="5"/>
        <v>0</v>
      </c>
      <c r="AF33" s="24">
        <f>IF(AI33&gt;=0,IF(Info!$C$32="بله",AG33,AG33+L33),"")</f>
        <v>0</v>
      </c>
      <c r="AG33" s="146">
        <f>IF(AI33&lt;&gt;0,AG32*(1+Info!$F$24),0)</f>
        <v>0</v>
      </c>
      <c r="AH33" s="149">
        <f>IF(AJ33&lt;&gt;"",Info!$C$6+AJ33-1,0)</f>
        <v>0</v>
      </c>
      <c r="AI33" s="26">
        <f>IF(AJ33&lt;&gt;"",IF(Info!$F$6+AJ33-1&lt;=Rates!$Z$11,Info!$F$6+AJ33-1,0),0)</f>
        <v>0</v>
      </c>
      <c r="AJ33" s="27" t="str">
        <f>IF(AI32&lt;&gt;"",IF(AND(AJ32&lt;&gt;"",AI32+1&lt;=Rates!$Z$11),IF(AJ32&lt;&gt;0,IF(AJ32+1&lt;=Info!$I$6,AJ32+1,""),0),""),"")</f>
        <v/>
      </c>
    </row>
    <row r="34" spans="1:36" s="243" customFormat="1" ht="18.75" x14ac:dyDescent="0.45">
      <c r="A34" s="25">
        <f>IF(B34&gt;0,IF(Info!$C$32="بله",AG34/B34,(AG34+L34)/B34),0)</f>
        <v>0</v>
      </c>
      <c r="B34" s="25">
        <f>IF(AND(AI34&gt;=0,AJ34&lt;=Info!$I$6),LOOKUP(Info!$C$24,Rates!$I$2:$I$7,Rates!$F$2:$F$7),0)</f>
        <v>0</v>
      </c>
      <c r="C34" s="25">
        <f>IF(AG34&lt;&gt;0,(C33+F34)*(1+VLOOKUP(Info!$C$26,Rates!$D$3:$E$7,2,FALSE)),0)</f>
        <v>0</v>
      </c>
      <c r="D34" s="25">
        <f t="shared" si="7"/>
        <v>0</v>
      </c>
      <c r="E34" s="25">
        <f>IF(AI34&lt;&gt;0,(E33+F34)*(1+VLOOKUP(Info!$C$26,Rates!$A$14:$B$19,2,FALSE)),0)</f>
        <v>0</v>
      </c>
      <c r="F34" s="25">
        <f>IF(AI34&lt;&gt;"",IF(Info!$C$32="بله",IF(AND(AJ34&lt;=Info!$F$36,AJ34&gt;=Info!$I$36),Info!$C$36,0)+(AG34-Y34-L34-K34-J34-I34-H34-G34),IF(AND(AJ34&lt;=Info!$F$36,AJ34&gt;=Info!$I$36),Info!$C$36,0)+(AG34-Y34-K34-J34-I34-H34-G34)),"")</f>
        <v>0</v>
      </c>
      <c r="G34" s="25">
        <f>IF(AI34&lt;&gt;"",Rates!$AB$11*(L34),"")</f>
        <v>0</v>
      </c>
      <c r="H34" s="25">
        <f>IF(AI34&lt;&gt;"",(Rates!$AD$11+Rates!$AC$11)*(L34),"")</f>
        <v>0</v>
      </c>
      <c r="I34" s="25">
        <f>IF(AI34&lt;&gt;"",LOOKUP(Info!$C$24,Rates!$I$2:$I$7,Rates!$H$2:$H$7)*(J34+K34+L34+Y34),"")</f>
        <v>0</v>
      </c>
      <c r="J34" s="25">
        <f t="shared" si="3"/>
        <v>0</v>
      </c>
      <c r="K34" s="25">
        <f>IF(Y34&lt;&gt;"",Info!$C$34*Y34,"")</f>
        <v>0</v>
      </c>
      <c r="L34" s="25">
        <f t="shared" si="1"/>
        <v>0</v>
      </c>
      <c r="M34" s="25"/>
      <c r="N34" s="25">
        <v>0</v>
      </c>
      <c r="O34" s="25" t="str">
        <f>IF(AJ34&lt;=10,(1-Info!$C$44)*IF(OR(Info!$F$24&gt;0,Info!$F$26&gt;0),IF(0.75*$X$4&lt;=0.03*$AD$4,0.75*(X34-X33),0.03*(AD34-AD33)),0),"")</f>
        <v/>
      </c>
      <c r="P34" s="25">
        <f>IF(AJ34&lt;=5,IF(AI34&lt;&gt;"",0.002*AD34,"")*(1-Info!$I$44),0)</f>
        <v>0</v>
      </c>
      <c r="Q34" s="25">
        <f>(1-Info!$F$44)*IF(AI34&lt;&gt;"",IF(Info!$C$32="بله",0.07*X34,0.07*AG34),"")</f>
        <v>0</v>
      </c>
      <c r="R34" s="25">
        <f>IF(X34&lt;&gt;0,S34*X34,0)*(1-Info!$F$48)</f>
        <v>0</v>
      </c>
      <c r="S34" s="25">
        <f>IF(Info!$I$30="خیر",0,IF(Info!$F$30="بله",IF(Info!$C$30=1,2.3,IF(Info!$C$30=2,3.3,4.3)),1))*IF(AND(AH34&lt;=Rates!$Z$8,AH34&gt;0),(1+Info!$C$34)*(1+LOOKUP(Info!$F$34,Rates!$O$2:$O$9,Rates!$L$2:$L$9)/100)*(LOOKUP(Info!$C$6,Rates!$U$2:$U$108,Rates!$R$2:$R$108)/100),0)</f>
        <v>0</v>
      </c>
      <c r="T34" s="25">
        <f>IF(AI34&lt;71,(1-Info!$F$46)*((AB34*0.0008*(1+(LOOKUP(Info!$I$34,Rates!$O$2:$O$9,Rates!$M$2:$M$9)/100)))),0)</f>
        <v>0</v>
      </c>
      <c r="U34" s="25">
        <f>IF(AI34&lt;71,(1-Info!$I$46)*(((AD34*0.0008*Info!$L$30))*(1+(LOOKUP(Info!$I$34,Rates!$O:$O,Rates!$N:$N)/100))),0)</f>
        <v>0</v>
      </c>
      <c r="V34" s="25">
        <f>((Z34*0.0008))*(1+(LOOKUP(Info!$I$34,Rates!$O$2:$O$9,Rates!$M$2:$M$9)/100))*(1-Info!$C$46)</f>
        <v>0</v>
      </c>
      <c r="W34" s="25">
        <f>IF(AND(AI34&lt;=Rates!$Z$2,AJ34&lt;=Info!$I$6,Info!$F$32="معمولی"),VLOOKUP(AI34,Rates!$U$1:$Y$108,5,0),IF(AND(AI34&lt;=Rates!$Z$2,AJ34&lt;=Info!$I$6,Info!$F$32="پایه"),VLOOKUP(AI34,Rates!$U$1:$Y$108,2,0),IF(AND(AI34&lt;=Rates!$Z$2,AJ34&lt;=Info!$I$6,Info!$F$32="آسایش "),VLOOKUP(AI34,Rates!$U$1:$Y$108,3,0),IF(AND(AI34&lt;=Rates!$Z$2,AJ34&lt;=Info!$I$6,Info!$F$32="ممتاز"),VLOOKUP(AI34,Rates!$U$1:$Y$108,4,0),0))))*AA34/1000000*(1+Info!$C$34)*(1-Info!$I$48)</f>
        <v>0</v>
      </c>
      <c r="X34" s="25">
        <f>IF(Info!$C$32="بله",(AG34-W34-U34-V34-T34)/(1+S34),AG34)</f>
        <v>0</v>
      </c>
      <c r="Y34" s="25">
        <f>IF(AI34&lt;&gt;0,(AD34*LOOKUP(AI34,Rates!$U$2:$U$108,Rates!$T$2:$T$108))/SQRT(1.1),0)</f>
        <v>0</v>
      </c>
      <c r="Z34" s="25">
        <f>IF(AND(AI34&lt;=Rates!$Z$10,AI34&gt;=0),Info!$C$28*(AC34-AD34),0)</f>
        <v>0</v>
      </c>
      <c r="AA34" s="25">
        <f>IF(AND(AI34&gt;=0,AI34&lt;=Rates!$Z$2,AG34&gt;0),MIN(AA33*(1+Info!$F$26),5000000000),0)</f>
        <v>0</v>
      </c>
      <c r="AB34" s="25">
        <f>IF(AND(AI34&gt;=0,AI34&lt;=65),AD34*Info!$L$32,0)</f>
        <v>0</v>
      </c>
      <c r="AC34" s="25">
        <f>IF(AND(AI34&gt;=0,AI34&lt;=Rates!$Z$3),AD34*(1+Info!$L$30),AD34)</f>
        <v>0</v>
      </c>
      <c r="AD34" s="25">
        <f>IF(AI34&lt;&gt;0,AD33*(1+Info!$F$26),0)</f>
        <v>0</v>
      </c>
      <c r="AE34" s="25">
        <f t="shared" si="5"/>
        <v>0</v>
      </c>
      <c r="AF34" s="25">
        <f>IF(AI34&gt;=0,IF(Info!$C$32="بله",AG34,AG34+L34),"")</f>
        <v>0</v>
      </c>
      <c r="AG34" s="145">
        <f>IF(AI34&lt;&gt;0,AG33*(1+Info!$F$24),0)</f>
        <v>0</v>
      </c>
      <c r="AH34" s="150">
        <f>IF(AJ34&lt;&gt;"",Info!$C$6+AJ34-1,0)</f>
        <v>0</v>
      </c>
      <c r="AI34" s="28">
        <f>IF(AJ34&lt;&gt;"",IF(Info!$F$6+AJ34-1&lt;=Rates!$Z$11,Info!$F$6+AJ34-1,0),0)</f>
        <v>0</v>
      </c>
      <c r="AJ34" s="29" t="str">
        <f>IF(AI33&lt;&gt;"",IF(AND(AJ33&lt;&gt;"",AI33+1&lt;=Rates!$Z$11),IF(AJ33&lt;&gt;0,IF(AJ33+1&lt;=Info!$I$6,AJ33+1,""),0),""),"")</f>
        <v/>
      </c>
    </row>
    <row r="35" spans="1:36" s="243" customFormat="1" ht="18.75" x14ac:dyDescent="0.45">
      <c r="A35" s="24">
        <f>IF(B35&gt;0,IF(Info!$C$32="بله",AG35/B35,(AG35+L35)/B35),0)</f>
        <v>0</v>
      </c>
      <c r="B35" s="24">
        <f>IF(AND(AI35&gt;=0,AJ35&lt;=Info!$I$6),LOOKUP(Info!$C$24,Rates!$I$2:$I$7,Rates!$F$2:$F$7),0)</f>
        <v>0</v>
      </c>
      <c r="C35" s="24">
        <f>IF(AG35&lt;&gt;0,(C34+F35)*(1+VLOOKUP(Info!$C$26,Rates!$D$3:$E$7,2,FALSE)),0)</f>
        <v>0</v>
      </c>
      <c r="D35" s="24">
        <f t="shared" si="7"/>
        <v>0</v>
      </c>
      <c r="E35" s="24">
        <f>IF(AI35&lt;&gt;0,(E34+F35)*(1+VLOOKUP(Info!$C$26,Rates!$A$14:$B$19,2,FALSE)),0)</f>
        <v>0</v>
      </c>
      <c r="F35" s="24">
        <f>IF(AI35&lt;&gt;"",IF(Info!$C$32="بله",IF(AND(AJ35&lt;=Info!$F$36,AJ35&gt;=Info!$I$36),Info!$C$36,0)+(AG35-Y35-L35-K35-J35-I35-H35-G35),IF(AND(AJ35&lt;=Info!$F$36,AJ35&gt;=Info!$I$36),Info!$C$36,0)+(AG35-Y35-K35-J35-I35-H35-G35)),"")</f>
        <v>0</v>
      </c>
      <c r="G35" s="24">
        <f>IF(AI35&lt;&gt;"",Rates!$AB$11*(L35),"")</f>
        <v>0</v>
      </c>
      <c r="H35" s="24">
        <f>IF(AI35&lt;&gt;"",(Rates!$AD$11+Rates!$AC$11)*(L35),"")</f>
        <v>0</v>
      </c>
      <c r="I35" s="24">
        <f>IF(AI35&lt;&gt;"",LOOKUP(Info!$C$24,Rates!$I$2:$I$7,Rates!$H$2:$H$7)*(J35+K35+L35+Y35),"")</f>
        <v>0</v>
      </c>
      <c r="J35" s="24">
        <f t="shared" si="3"/>
        <v>0</v>
      </c>
      <c r="K35" s="24">
        <f>IF(Y35&lt;&gt;"",Info!$C$34*Y35,"")</f>
        <v>0</v>
      </c>
      <c r="L35" s="24">
        <f t="shared" si="1"/>
        <v>0</v>
      </c>
      <c r="M35" s="24"/>
      <c r="N35" s="24">
        <v>0</v>
      </c>
      <c r="O35" s="24" t="str">
        <f>IF(AJ35&lt;=10,(1-Info!$C$44)*IF(OR(Info!$F$24&gt;0,Info!$F$26&gt;0),IF(0.75*$X$4&lt;=0.03*$AD$4,0.75*(X35-X34),0.03*(AD35-AD34)),0),"")</f>
        <v/>
      </c>
      <c r="P35" s="24">
        <f>IF(AJ35&lt;=5,IF(AI35&lt;&gt;"",0.002*AD35,"")*(1-Info!$I$44),0)</f>
        <v>0</v>
      </c>
      <c r="Q35" s="24">
        <f>(1-Info!$F$44)*IF(AI35&lt;&gt;"",IF(Info!$C$32="بله",0.07*X35,0.07*AG35),"")</f>
        <v>0</v>
      </c>
      <c r="R35" s="24">
        <f>IF(X35&lt;&gt;0,S35*X35,0)*(1-Info!$F$48)</f>
        <v>0</v>
      </c>
      <c r="S35" s="24">
        <f>IF(Info!$I$30="خیر",0,IF(Info!$F$30="بله",IF(Info!$C$30=1,2.3,IF(Info!$C$30=2,3.3,4.3)),1))*IF(AND(AH35&lt;=Rates!$Z$8,AH35&gt;0),(1+Info!$C$34)*(1+LOOKUP(Info!$F$34,Rates!$O$2:$O$9,Rates!$L$2:$L$9)/100)*(LOOKUP(Info!$C$6,Rates!$U$2:$U$108,Rates!$R$2:$R$108)/100),0)</f>
        <v>0</v>
      </c>
      <c r="T35" s="24">
        <f>IF(AI35&lt;71,(1-Info!$F$46)*((AB35*0.0008*(1+(LOOKUP(Info!$I$34,Rates!$O$2:$O$9,Rates!$M$2:$M$9)/100)))),0)</f>
        <v>0</v>
      </c>
      <c r="U35" s="24">
        <f>IF(AI35&lt;71,(1-Info!$I$46)*(((AD35*0.0008*Info!$L$30))*(1+(LOOKUP(Info!$I$34,Rates!$O:$O,Rates!$N:$N)/100))),0)</f>
        <v>0</v>
      </c>
      <c r="V35" s="24">
        <f>((Z35*0.0008))*(1+(LOOKUP(Info!$I$34,Rates!$O$2:$O$9,Rates!$M$2:$M$9)/100))*(1-Info!$C$46)</f>
        <v>0</v>
      </c>
      <c r="W35" s="24">
        <f>IF(AND(AI35&lt;=Rates!$Z$2,AJ35&lt;=Info!$I$6,Info!$F$32="معمولی"),VLOOKUP(AI35,Rates!$U$1:$Y$108,5,0),IF(AND(AI35&lt;=Rates!$Z$2,AJ35&lt;=Info!$I$6,Info!$F$32="پایه"),VLOOKUP(AI35,Rates!$U$1:$Y$108,2,0),IF(AND(AI35&lt;=Rates!$Z$2,AJ35&lt;=Info!$I$6,Info!$F$32="آسایش "),VLOOKUP(AI35,Rates!$U$1:$Y$108,3,0),IF(AND(AI35&lt;=Rates!$Z$2,AJ35&lt;=Info!$I$6,Info!$F$32="ممتاز"),VLOOKUP(AI35,Rates!$U$1:$Y$108,4,0),0))))*AA35/1000000*(1+Info!$C$34)*(1-Info!$I$48)</f>
        <v>0</v>
      </c>
      <c r="X35" s="24">
        <f>IF(Info!$C$32="بله",(AG35-W35-U35-V35-T35)/(1+S35),AG35)</f>
        <v>0</v>
      </c>
      <c r="Y35" s="24">
        <f>IF(AI35&lt;&gt;0,(AD35*LOOKUP(AI35,Rates!$U$2:$U$108,Rates!$T$2:$T$108))/SQRT(1.1),0)</f>
        <v>0</v>
      </c>
      <c r="Z35" s="24">
        <f>IF(AND(AI35&lt;=Rates!$Z$10,AI35&gt;=0),Info!$C$28*(AC35-AD35),0)</f>
        <v>0</v>
      </c>
      <c r="AA35" s="24">
        <f>IF(AND(AI35&gt;=0,AI35&lt;=Rates!$Z$2,AG35&gt;0),MIN(AA34*(1+Info!$F$26),5000000000),0)</f>
        <v>0</v>
      </c>
      <c r="AB35" s="24">
        <f>IF(AND(AI35&gt;=0,AI35&lt;=65),AD35*Info!$L$32,0)</f>
        <v>0</v>
      </c>
      <c r="AC35" s="24">
        <f>IF(AND(AI35&gt;=0,AI35&lt;=Rates!$Z$3),AD35*(1+Info!$L$30),AD35)</f>
        <v>0</v>
      </c>
      <c r="AD35" s="24">
        <f>IF(AI35&lt;&gt;0,AD34*(1+Info!$F$26),0)</f>
        <v>0</v>
      </c>
      <c r="AE35" s="24">
        <f t="shared" si="5"/>
        <v>0</v>
      </c>
      <c r="AF35" s="24">
        <f>IF(AI35&gt;=0,IF(Info!$C$32="بله",AG35,AG35+L35),"")</f>
        <v>0</v>
      </c>
      <c r="AG35" s="146">
        <f>IF(AI35&lt;&gt;0,AG34*(1+Info!$F$24),0)</f>
        <v>0</v>
      </c>
      <c r="AH35" s="149">
        <f>IF(AJ35&lt;&gt;"",Info!$C$6+AJ35-1,0)</f>
        <v>0</v>
      </c>
      <c r="AI35" s="26">
        <f>IF(AJ35&lt;&gt;"",IF(Info!$F$6+AJ35-1&lt;=Rates!$Z$11,Info!$F$6+AJ35-1,0),0)</f>
        <v>0</v>
      </c>
      <c r="AJ35" s="27" t="str">
        <f>IF(AI34&lt;&gt;"",IF(AND(AJ34&lt;&gt;"",AI34+1&lt;=Rates!$Z$11),IF(AJ34&lt;&gt;0,IF(AJ34+1&lt;=Info!$I$6,AJ34+1,""),0),""),"")</f>
        <v/>
      </c>
    </row>
    <row r="36" spans="1:36" s="243" customFormat="1" ht="18.75" x14ac:dyDescent="0.45">
      <c r="A36" s="25">
        <f>IF(B36&gt;0,IF(Info!$C$32="بله",AG36/B36,(AG36+L36)/B36),0)</f>
        <v>0</v>
      </c>
      <c r="B36" s="25">
        <f>IF(AND(AI36&gt;=0,AJ36&lt;=Info!$I$6),LOOKUP(Info!$C$24,Rates!$I$2:$I$7,Rates!$F$2:$F$7),0)</f>
        <v>0</v>
      </c>
      <c r="C36" s="25">
        <f>IF(AG36&lt;&gt;0,(C35+F36)*(1+VLOOKUP(Info!$C$26,Rates!$D$3:$E$7,2,FALSE)),0)</f>
        <v>0</v>
      </c>
      <c r="D36" s="25">
        <f t="shared" si="7"/>
        <v>0</v>
      </c>
      <c r="E36" s="25">
        <f>IF(AI36&lt;&gt;0,(E35+F36)*(1+VLOOKUP(Info!$C$26,Rates!$A$14:$B$19,2,FALSE)),0)</f>
        <v>0</v>
      </c>
      <c r="F36" s="25">
        <f>IF(AI36&lt;&gt;"",IF(Info!$C$32="بله",IF(AND(AJ36&lt;=Info!$F$36,AJ36&gt;=Info!$I$36),Info!$C$36,0)+(AG36-Y36-L36-K36-J36-I36-H36-G36),IF(AND(AJ36&lt;=Info!$F$36,AJ36&gt;=Info!$I$36),Info!$C$36,0)+(AG36-Y36-K36-J36-I36-H36-G36)),"")</f>
        <v>0</v>
      </c>
      <c r="G36" s="25">
        <f>IF(AI36&lt;&gt;"",Rates!$AB$11*(L36),"")</f>
        <v>0</v>
      </c>
      <c r="H36" s="25">
        <f>IF(AI36&lt;&gt;"",(Rates!$AD$11+Rates!$AC$11)*(L36),"")</f>
        <v>0</v>
      </c>
      <c r="I36" s="25">
        <f>IF(AI36&lt;&gt;"",LOOKUP(Info!$C$24,Rates!$I$2:$I$7,Rates!$H$2:$H$7)*(J36+K36+L36+Y36),"")</f>
        <v>0</v>
      </c>
      <c r="J36" s="25">
        <f t="shared" si="3"/>
        <v>0</v>
      </c>
      <c r="K36" s="25">
        <f>IF(Y36&lt;&gt;"",Info!$C$34*Y36,"")</f>
        <v>0</v>
      </c>
      <c r="L36" s="25">
        <f t="shared" si="1"/>
        <v>0</v>
      </c>
      <c r="M36" s="25"/>
      <c r="N36" s="25">
        <v>0</v>
      </c>
      <c r="O36" s="25" t="str">
        <f>IF(AJ36&lt;=10,(1-Info!$C$44)*IF(OR(Info!$F$24&gt;0,Info!$F$26&gt;0),IF(0.75*$X$4&lt;=0.03*$AD$4,0.75*(X36-X35),0.03*(AD36-AD35)),0),"")</f>
        <v/>
      </c>
      <c r="P36" s="25">
        <f>IF(AJ36&lt;=5,IF(AI36&lt;&gt;"",0.002*AD36,"")*(1-Info!$I$44),0)</f>
        <v>0</v>
      </c>
      <c r="Q36" s="25">
        <f>(1-Info!$F$44)*IF(AI36&lt;&gt;"",IF(Info!$C$32="بله",0.07*X36,0.07*AG36),"")</f>
        <v>0</v>
      </c>
      <c r="R36" s="25">
        <f>IF(X36&lt;&gt;0,S36*X36,0)*(1-Info!$F$48)</f>
        <v>0</v>
      </c>
      <c r="S36" s="25">
        <f>IF(Info!$I$30="خیر",0,IF(Info!$F$30="بله",IF(Info!$C$30=1,2.3,IF(Info!$C$30=2,3.3,4.3)),1))*IF(AND(AH36&lt;=Rates!$Z$8,AH36&gt;0),(1+Info!$C$34)*(1+LOOKUP(Info!$F$34,Rates!$O$2:$O$9,Rates!$L$2:$L$9)/100)*(LOOKUP(Info!$C$6,Rates!$U$2:$U$108,Rates!$R$2:$R$108)/100),0)</f>
        <v>0</v>
      </c>
      <c r="T36" s="25">
        <f>IF(AI36&lt;71,(1-Info!$F$46)*((AB36*0.0008*(1+(LOOKUP(Info!$I$34,Rates!$O$2:$O$9,Rates!$M$2:$M$9)/100)))),0)</f>
        <v>0</v>
      </c>
      <c r="U36" s="25">
        <f>IF(AI36&lt;71,(1-Info!$I$46)*(((AD36*0.0008*Info!$L$30))*(1+(LOOKUP(Info!$I$34,Rates!$O:$O,Rates!$N:$N)/100))),0)</f>
        <v>0</v>
      </c>
      <c r="V36" s="25">
        <f>((Z36*0.0008))*(1+(LOOKUP(Info!$I$34,Rates!$O$2:$O$9,Rates!$M$2:$M$9)/100))*(1-Info!$C$46)</f>
        <v>0</v>
      </c>
      <c r="W36" s="25">
        <f>IF(AND(AI36&lt;=Rates!$Z$2,AJ36&lt;=Info!$I$6,Info!$F$32="معمولی"),VLOOKUP(AI36,Rates!$U$1:$Y$108,5,0),IF(AND(AI36&lt;=Rates!$Z$2,AJ36&lt;=Info!$I$6,Info!$F$32="پایه"),VLOOKUP(AI36,Rates!$U$1:$Y$108,2,0),IF(AND(AI36&lt;=Rates!$Z$2,AJ36&lt;=Info!$I$6,Info!$F$32="آسایش "),VLOOKUP(AI36,Rates!$U$1:$Y$108,3,0),IF(AND(AI36&lt;=Rates!$Z$2,AJ36&lt;=Info!$I$6,Info!$F$32="ممتاز"),VLOOKUP(AI36,Rates!$U$1:$Y$108,4,0),0))))*AA36/1000000*(1+Info!$C$34)*(1-Info!$I$48)</f>
        <v>0</v>
      </c>
      <c r="X36" s="25">
        <f>IF(Info!$C$32="بله",(AG36-W36-U36-V36-T36)/(1+S36),AG36)</f>
        <v>0</v>
      </c>
      <c r="Y36" s="25">
        <f>IF(AI36&lt;&gt;0,(AD36*LOOKUP(AI36,Rates!$U$2:$U$108,Rates!$T$2:$T$108))/SQRT(1.1),0)</f>
        <v>0</v>
      </c>
      <c r="Z36" s="25">
        <f>IF(AND(AI36&lt;=Rates!$Z$10,AI36&gt;=0),Info!$C$28*(AC36-AD36),0)</f>
        <v>0</v>
      </c>
      <c r="AA36" s="25">
        <f>IF(AND(AI36&gt;=0,AI36&lt;=Rates!$Z$2,AG36&gt;0),MIN(AA35*(1+Info!$F$26),5000000000),0)</f>
        <v>0</v>
      </c>
      <c r="AB36" s="25">
        <f>IF(AND(AI36&gt;=0,AI36&lt;=65),AD36*Info!$L$32,0)</f>
        <v>0</v>
      </c>
      <c r="AC36" s="25">
        <f>IF(AND(AI36&gt;=0,AI36&lt;=Rates!$Z$3),AD36*(1+Info!$L$30),AD36)</f>
        <v>0</v>
      </c>
      <c r="AD36" s="25">
        <f>IF(AI36&lt;&gt;0,AD35*(1+Info!$F$26),0)</f>
        <v>0</v>
      </c>
      <c r="AE36" s="25">
        <f t="shared" si="5"/>
        <v>0</v>
      </c>
      <c r="AF36" s="25">
        <f>IF(AI36&gt;=0,IF(Info!$C$32="بله",AG36,AG36+L36),"")</f>
        <v>0</v>
      </c>
      <c r="AG36" s="145">
        <f>IF(AI36&lt;&gt;0,AG35*(1+Info!$F$24),0)</f>
        <v>0</v>
      </c>
      <c r="AH36" s="150">
        <f>IF(AJ36&lt;&gt;"",Info!$C$6+AJ36-1,0)</f>
        <v>0</v>
      </c>
      <c r="AI36" s="28">
        <f>IF(AJ36&lt;&gt;"",IF(Info!$F$6+AJ36-1&lt;=Rates!$Z$11,Info!$F$6+AJ36-1,0),0)</f>
        <v>0</v>
      </c>
      <c r="AJ36" s="29" t="str">
        <f>IF(AI35&lt;&gt;"",IF(AND(AJ35&lt;&gt;"",AI35+1&lt;=Rates!$Z$11),IF(AJ35&lt;&gt;0,IF(AJ35+1&lt;=Info!$I$6,AJ35+1,""),0),""),"")</f>
        <v/>
      </c>
    </row>
    <row r="37" spans="1:36" s="243" customFormat="1" ht="18.75" x14ac:dyDescent="0.45">
      <c r="A37" s="24">
        <f>IF(B37&gt;0,IF(Info!$C$32="بله",AG37/B37,(AG37+L37)/B37),0)</f>
        <v>0</v>
      </c>
      <c r="B37" s="24">
        <f>IF(AND(AI37&gt;=0,AJ37&lt;=Info!$I$6),LOOKUP(Info!$C$24,Rates!$I$2:$I$7,Rates!$F$2:$F$7),0)</f>
        <v>0</v>
      </c>
      <c r="C37" s="24">
        <f>IF(AG37&lt;&gt;0,(C36+F37)*(1+VLOOKUP(Info!$C$26,Rates!$D$3:$E$7,2,FALSE)),0)</f>
        <v>0</v>
      </c>
      <c r="D37" s="24">
        <f t="shared" si="7"/>
        <v>0</v>
      </c>
      <c r="E37" s="24">
        <f>IF(AI37&lt;&gt;0,(E36+F37)*(1+VLOOKUP(Info!$C$26,Rates!$A$14:$B$19,2,FALSE)),0)</f>
        <v>0</v>
      </c>
      <c r="F37" s="24">
        <f>IF(AI37&lt;&gt;"",IF(Info!$C$32="بله",IF(AND(AJ37&lt;=Info!$F$36,AJ37&gt;=Info!$I$36),Info!$C$36,0)+(AG37-Y37-L37-K37-J37-I37-H37-G37),IF(AND(AJ37&lt;=Info!$F$36,AJ37&gt;=Info!$I$36),Info!$C$36,0)+(AG37-Y37-K37-J37-I37-H37-G37)),"")</f>
        <v>0</v>
      </c>
      <c r="G37" s="24">
        <f>IF(AI37&lt;&gt;"",Rates!$AB$11*(L37),"")</f>
        <v>0</v>
      </c>
      <c r="H37" s="24">
        <f>IF(AI37&lt;&gt;"",(Rates!$AD$11+Rates!$AC$11)*(L37),"")</f>
        <v>0</v>
      </c>
      <c r="I37" s="24">
        <f>IF(AI37&lt;&gt;"",LOOKUP(Info!$C$24,Rates!$I$2:$I$7,Rates!$H$2:$H$7)*(J37+K37+L37+Y37),"")</f>
        <v>0</v>
      </c>
      <c r="J37" s="24">
        <f t="shared" si="3"/>
        <v>0</v>
      </c>
      <c r="K37" s="24">
        <f>IF(Y37&lt;&gt;"",Info!$C$34*Y37,"")</f>
        <v>0</v>
      </c>
      <c r="L37" s="24">
        <f t="shared" si="1"/>
        <v>0</v>
      </c>
      <c r="M37" s="24"/>
      <c r="N37" s="24">
        <v>0</v>
      </c>
      <c r="O37" s="24" t="str">
        <f>IF(AJ37&lt;=10,(1-Info!$C$44)*IF(OR(Info!$F$24&gt;0,Info!$F$26&gt;0),IF(0.75*$X$4&lt;=0.03*$AD$4,0.75*(X37-X36),0.03*(AD37-AD36)),0),"")</f>
        <v/>
      </c>
      <c r="P37" s="24">
        <f>IF(AJ37&lt;=5,IF(AI37&lt;&gt;"",0.002*AD37,"")*(1-Info!$I$44),0)</f>
        <v>0</v>
      </c>
      <c r="Q37" s="24">
        <f>(1-Info!$F$44)*IF(AI37&lt;&gt;"",IF(Info!$C$32="بله",0.07*X37,0.07*AG37),"")</f>
        <v>0</v>
      </c>
      <c r="R37" s="24">
        <f>IF(X37&lt;&gt;0,S37*X37,0)*(1-Info!$F$48)</f>
        <v>0</v>
      </c>
      <c r="S37" s="24">
        <f>IF(Info!$I$30="خیر",0,IF(Info!$F$30="بله",IF(Info!$C$30=1,2.3,IF(Info!$C$30=2,3.3,4.3)),1))*IF(AND(AH37&lt;=Rates!$Z$8,AH37&gt;0),(1+Info!$C$34)*(1+LOOKUP(Info!$F$34,Rates!$O$2:$O$9,Rates!$L$2:$L$9)/100)*(LOOKUP(Info!$C$6,Rates!$U$2:$U$108,Rates!$R$2:$R$108)/100),0)</f>
        <v>0</v>
      </c>
      <c r="T37" s="24">
        <f>IF(AI37&lt;71,(1-Info!$F$46)*((AB37*0.0008*(1+(LOOKUP(Info!$I$34,Rates!$O$2:$O$9,Rates!$M$2:$M$9)/100)))),0)</f>
        <v>0</v>
      </c>
      <c r="U37" s="24">
        <f>IF(AI37&lt;71,(1-Info!$I$46)*(((AD37*0.0008*Info!$L$30))*(1+(LOOKUP(Info!$I$34,Rates!$O:$O,Rates!$N:$N)/100))),0)</f>
        <v>0</v>
      </c>
      <c r="V37" s="24">
        <f>((Z37*0.0008))*(1+(LOOKUP(Info!$I$34,Rates!$O$2:$O$9,Rates!$M$2:$M$9)/100))*(1-Info!$C$46)</f>
        <v>0</v>
      </c>
      <c r="W37" s="24">
        <f>IF(AND(AI37&lt;=Rates!$Z$2,AJ37&lt;=Info!$I$6,Info!$F$32="معمولی"),VLOOKUP(AI37,Rates!$U$1:$Y$108,5,0),IF(AND(AI37&lt;=Rates!$Z$2,AJ37&lt;=Info!$I$6,Info!$F$32="پایه"),VLOOKUP(AI37,Rates!$U$1:$Y$108,2,0),IF(AND(AI37&lt;=Rates!$Z$2,AJ37&lt;=Info!$I$6,Info!$F$32="آسایش "),VLOOKUP(AI37,Rates!$U$1:$Y$108,3,0),IF(AND(AI37&lt;=Rates!$Z$2,AJ37&lt;=Info!$I$6,Info!$F$32="ممتاز"),VLOOKUP(AI37,Rates!$U$1:$Y$108,4,0),0))))*AA37/1000000*(1+Info!$C$34)*(1-Info!$I$48)</f>
        <v>0</v>
      </c>
      <c r="X37" s="24">
        <f>IF(Info!$C$32="بله",(AG37-W37-U37-V37-T37)/(1+S37),AG37)</f>
        <v>0</v>
      </c>
      <c r="Y37" s="24">
        <f>IF(AI37&lt;&gt;0,(AD37*LOOKUP(AI37,Rates!$U$2:$U$108,Rates!$T$2:$T$108))/SQRT(1.1),0)</f>
        <v>0</v>
      </c>
      <c r="Z37" s="24">
        <f>IF(AND(AI37&lt;=Rates!$Z$10,AI37&gt;=0),Info!$C$28*(AC37-AD37),0)</f>
        <v>0</v>
      </c>
      <c r="AA37" s="24">
        <f>IF(AND(AI37&gt;=0,AI37&lt;=Rates!$Z$2,AG37&gt;0),MIN(AA36*(1+Info!$F$26),5000000000),0)</f>
        <v>0</v>
      </c>
      <c r="AB37" s="24">
        <f>IF(AND(AI37&gt;=0,AI37&lt;=65),AD37*Info!$L$32,0)</f>
        <v>0</v>
      </c>
      <c r="AC37" s="24">
        <f>IF(AND(AI37&gt;=0,AI37&lt;=Rates!$Z$3),AD37*(1+Info!$L$30),AD37)</f>
        <v>0</v>
      </c>
      <c r="AD37" s="24">
        <f>IF(AI37&lt;&gt;0,AD36*(1+Info!$F$26),0)</f>
        <v>0</v>
      </c>
      <c r="AE37" s="24">
        <f t="shared" si="5"/>
        <v>0</v>
      </c>
      <c r="AF37" s="24">
        <f>IF(AI37&gt;=0,IF(Info!$C$32="بله",AG37,AG37+L37),"")</f>
        <v>0</v>
      </c>
      <c r="AG37" s="146">
        <f>IF(AI37&lt;&gt;0,AG36*(1+Info!$F$24),0)</f>
        <v>0</v>
      </c>
      <c r="AH37" s="149">
        <f>IF(AJ37&lt;&gt;"",Info!$C$6+AJ37-1,0)</f>
        <v>0</v>
      </c>
      <c r="AI37" s="26">
        <f>IF(AJ37&lt;&gt;"",IF(Info!$F$6+AJ37-1&lt;=Rates!$Z$11,Info!$F$6+AJ37-1,0),0)</f>
        <v>0</v>
      </c>
      <c r="AJ37" s="27" t="str">
        <f>IF(AI36&lt;&gt;"",IF(AND(AJ36&lt;&gt;"",AI36+1&lt;=Rates!$Z$11),IF(AJ36&lt;&gt;0,IF(AJ36+1&lt;=Info!$I$6,AJ36+1,""),0),""),"")</f>
        <v/>
      </c>
    </row>
    <row r="38" spans="1:36" s="243" customFormat="1" ht="18.75" x14ac:dyDescent="0.45">
      <c r="A38" s="25">
        <f>IF(B38&gt;0,IF(Info!$C$32="بله",AG38/B38,(AG38+L38)/B38),0)</f>
        <v>0</v>
      </c>
      <c r="B38" s="25">
        <f>IF(AND(AI38&gt;=0,AJ38&lt;=Info!$I$6),LOOKUP(Info!$C$24,Rates!$I$2:$I$7,Rates!$F$2:$F$7),0)</f>
        <v>0</v>
      </c>
      <c r="C38" s="25">
        <f>IF(AG38&lt;&gt;0,(C37+F38)*(1+VLOOKUP(Info!$C$26,Rates!$D$3:$E$7,2,FALSE)),0)</f>
        <v>0</v>
      </c>
      <c r="D38" s="25">
        <f t="shared" si="7"/>
        <v>0</v>
      </c>
      <c r="E38" s="25">
        <f>IF(AI38&lt;&gt;0,(E37+F38)*(1+VLOOKUP(Info!$C$26,Rates!$A$14:$B$19,2,FALSE)),0)</f>
        <v>0</v>
      </c>
      <c r="F38" s="25">
        <f>IF(AI38&lt;&gt;"",IF(Info!$C$32="بله",IF(AND(AJ38&lt;=Info!$F$36,AJ38&gt;=Info!$I$36),Info!$C$36,0)+(AG38-Y38-L38-K38-J38-I38-H38-G38),IF(AND(AJ38&lt;=Info!$F$36,AJ38&gt;=Info!$I$36),Info!$C$36,0)+(AG38-Y38-K38-J38-I38-H38-G38)),"")</f>
        <v>0</v>
      </c>
      <c r="G38" s="25">
        <f>IF(AI38&lt;&gt;"",Rates!$AB$11*(L38),"")</f>
        <v>0</v>
      </c>
      <c r="H38" s="25">
        <f>IF(AI38&lt;&gt;"",(Rates!$AD$11+Rates!$AC$11)*(L38),"")</f>
        <v>0</v>
      </c>
      <c r="I38" s="25">
        <f>IF(AI38&lt;&gt;"",LOOKUP(Info!$C$24,Rates!$I$2:$I$7,Rates!$H$2:$H$7)*(J38+K38+L38+Y38),"")</f>
        <v>0</v>
      </c>
      <c r="J38" s="25">
        <f t="shared" si="3"/>
        <v>0</v>
      </c>
      <c r="K38" s="25">
        <f>IF(Y38&lt;&gt;"",Info!$C$34*Y38,"")</f>
        <v>0</v>
      </c>
      <c r="L38" s="25">
        <f t="shared" si="1"/>
        <v>0</v>
      </c>
      <c r="M38" s="25"/>
      <c r="N38" s="25">
        <v>0</v>
      </c>
      <c r="O38" s="25" t="str">
        <f>IF(AJ38&lt;=10,(1-Info!$C$44)*IF(OR(Info!$F$24&gt;0,Info!$F$26&gt;0),IF(0.75*$X$4&lt;=0.03*$AD$4,0.75*(X38-X37),0.03*(AD38-AD37)),0),"")</f>
        <v/>
      </c>
      <c r="P38" s="25">
        <f>IF(AJ38&lt;=5,IF(AI38&lt;&gt;"",0.002*AD38,"")*(1-Info!$I$44),0)</f>
        <v>0</v>
      </c>
      <c r="Q38" s="25">
        <f>(1-Info!$F$44)*IF(AI38&lt;&gt;"",IF(Info!$C$32="بله",0.07*X38,0.07*AG38),"")</f>
        <v>0</v>
      </c>
      <c r="R38" s="25">
        <f>IF(X38&lt;&gt;0,S38*X38,0)*(1-Info!$F$48)</f>
        <v>0</v>
      </c>
      <c r="S38" s="25">
        <f>IF(Info!$I$30="خیر",0,IF(Info!$F$30="بله",IF(Info!$C$30=1,2.3,IF(Info!$C$30=2,3.3,4.3)),1))*IF(AND(AH38&lt;=Rates!$Z$8,AH38&gt;0),(1+Info!$C$34)*(1+LOOKUP(Info!$F$34,Rates!$O$2:$O$9,Rates!$L$2:$L$9)/100)*(LOOKUP(Info!$C$6,Rates!$U$2:$U$108,Rates!$R$2:$R$108)/100),0)</f>
        <v>0</v>
      </c>
      <c r="T38" s="25">
        <f>IF(AI38&lt;71,(1-Info!$F$46)*((AB38*0.0008*(1+(LOOKUP(Info!$I$34,Rates!$O$2:$O$9,Rates!$M$2:$M$9)/100)))),0)</f>
        <v>0</v>
      </c>
      <c r="U38" s="25">
        <f>IF(AI38&lt;71,(1-Info!$I$46)*(((AD38*0.0008*Info!$L$30))*(1+(LOOKUP(Info!$I$34,Rates!$O:$O,Rates!$N:$N)/100))),0)</f>
        <v>0</v>
      </c>
      <c r="V38" s="25">
        <f>((Z38*0.0008))*(1+(LOOKUP(Info!$I$34,Rates!$O$2:$O$9,Rates!$M$2:$M$9)/100))*(1-Info!$C$46)</f>
        <v>0</v>
      </c>
      <c r="W38" s="25">
        <f>IF(AND(AI38&lt;=Rates!$Z$2,AJ38&lt;=Info!$I$6,Info!$F$32="معمولی"),VLOOKUP(AI38,Rates!$U$1:$Y$108,5,0),IF(AND(AI38&lt;=Rates!$Z$2,AJ38&lt;=Info!$I$6,Info!$F$32="پایه"),VLOOKUP(AI38,Rates!$U$1:$Y$108,2,0),IF(AND(AI38&lt;=Rates!$Z$2,AJ38&lt;=Info!$I$6,Info!$F$32="آسایش "),VLOOKUP(AI38,Rates!$U$1:$Y$108,3,0),IF(AND(AI38&lt;=Rates!$Z$2,AJ38&lt;=Info!$I$6,Info!$F$32="ممتاز"),VLOOKUP(AI38,Rates!$U$1:$Y$108,4,0),0))))*AA38/1000000*(1+Info!$C$34)*(1-Info!$I$48)</f>
        <v>0</v>
      </c>
      <c r="X38" s="25">
        <f>IF(Info!$C$32="بله",(AG38-W38-U38-V38-T38)/(1+S38),AG38)</f>
        <v>0</v>
      </c>
      <c r="Y38" s="25">
        <f>IF(AI38&lt;&gt;0,(AD38*LOOKUP(AI38,Rates!$U$2:$U$108,Rates!$T$2:$T$108))/SQRT(1.1),0)</f>
        <v>0</v>
      </c>
      <c r="Z38" s="25">
        <f>IF(AND(AI38&lt;=Rates!$Z$10,AI38&gt;=0),Info!$C$28*(AC38-AD38),0)</f>
        <v>0</v>
      </c>
      <c r="AA38" s="25">
        <f>IF(AND(AI38&gt;=0,AI38&lt;=Rates!$Z$2,AG38&gt;0),MIN(AA37*(1+Info!$F$26),5000000000),0)</f>
        <v>0</v>
      </c>
      <c r="AB38" s="25">
        <f>IF(AND(AI38&gt;=0,AI38&lt;=65),AD38*Info!$L$32,0)</f>
        <v>0</v>
      </c>
      <c r="AC38" s="25">
        <f>IF(AND(AI38&gt;=0,AI38&lt;=Rates!$Z$3),AD38*(1+Info!$L$30),AD38)</f>
        <v>0</v>
      </c>
      <c r="AD38" s="25">
        <f>IF(AI38&lt;&gt;0,AD37*(1+Info!$F$26),0)</f>
        <v>0</v>
      </c>
      <c r="AE38" s="25">
        <f t="shared" si="5"/>
        <v>0</v>
      </c>
      <c r="AF38" s="25">
        <f>IF(AI38&gt;=0,IF(Info!$C$32="بله",AG38,AG38+L38),"")</f>
        <v>0</v>
      </c>
      <c r="AG38" s="145">
        <f>IF(AI38&lt;&gt;0,AG37*(1+Info!$F$24),0)</f>
        <v>0</v>
      </c>
      <c r="AH38" s="150">
        <f>IF(AJ38&lt;&gt;"",Info!$C$6+AJ38-1,0)</f>
        <v>0</v>
      </c>
      <c r="AI38" s="28">
        <f>IF(AJ38&lt;&gt;"",IF(Info!$F$6+AJ38-1&lt;=Rates!$Z$11,Info!$F$6+AJ38-1,0),0)</f>
        <v>0</v>
      </c>
      <c r="AJ38" s="29" t="str">
        <f>IF(AI37&lt;&gt;"",IF(AND(AJ37&lt;&gt;"",AI37+1&lt;=Rates!$Z$11),IF(AJ37&lt;&gt;0,IF(AJ37+1&lt;=Info!$I$6,AJ37+1,""),0),""),"")</f>
        <v/>
      </c>
    </row>
    <row r="39" spans="1:36" s="243" customFormat="1" ht="18.75" x14ac:dyDescent="0.45">
      <c r="A39" s="24">
        <f>IF(B39&gt;0,IF(Info!$C$32="بله",AG39/B39,(AG39+L39)/B39),0)</f>
        <v>0</v>
      </c>
      <c r="B39" s="24">
        <f>IF(AND(AI39&gt;=0,AJ39&lt;=Info!$I$6),LOOKUP(Info!$C$24,Rates!$I$2:$I$7,Rates!$F$2:$F$7),0)</f>
        <v>0</v>
      </c>
      <c r="C39" s="24">
        <f>IF(AG39&lt;&gt;0,(C38+F39)*(1+VLOOKUP(Info!$C$26,Rates!$D$3:$E$7,2,FALSE)),0)</f>
        <v>0</v>
      </c>
      <c r="D39" s="24">
        <f t="shared" ref="D39:D70" si="9">IF(AI39&lt;&gt;"",E39,"")</f>
        <v>0</v>
      </c>
      <c r="E39" s="24">
        <f>IF(AI39&lt;&gt;0,(E38+F39)*(1+VLOOKUP(Info!$C$26,Rates!$A$14:$B$19,2,FALSE)),0)</f>
        <v>0</v>
      </c>
      <c r="F39" s="24">
        <f>IF(AI39&lt;&gt;"",IF(Info!$C$32="بله",IF(AND(AJ39&lt;=Info!$F$36,AJ39&gt;=Info!$I$36),Info!$C$36,0)+(AG39-Y39-L39-K39-J39-I39-H39-G39),IF(AND(AJ39&lt;=Info!$F$36,AJ39&gt;=Info!$I$36),Info!$C$36,0)+(AG39-Y39-K39-J39-I39-H39-G39)),"")</f>
        <v>0</v>
      </c>
      <c r="G39" s="24">
        <f>IF(AI39&lt;&gt;"",Rates!$AB$11*(L39),"")</f>
        <v>0</v>
      </c>
      <c r="H39" s="24">
        <f>IF(AI39&lt;&gt;"",(Rates!$AD$11+Rates!$AC$11)*(L39),"")</f>
        <v>0</v>
      </c>
      <c r="I39" s="24">
        <f>IF(AI39&lt;&gt;"",LOOKUP(Info!$C$24,Rates!$I$2:$I$7,Rates!$H$2:$H$7)*(J39+K39+L39+Y39),"")</f>
        <v>0</v>
      </c>
      <c r="J39" s="24">
        <f t="shared" si="3"/>
        <v>0</v>
      </c>
      <c r="K39" s="24">
        <f>IF(Y39&lt;&gt;"",Info!$C$34*Y39,"")</f>
        <v>0</v>
      </c>
      <c r="L39" s="24">
        <f t="shared" si="1"/>
        <v>0</v>
      </c>
      <c r="M39" s="24"/>
      <c r="N39" s="24">
        <v>0</v>
      </c>
      <c r="O39" s="24" t="str">
        <f>IF(AJ39&lt;=10,(1-Info!$C$44)*IF(OR(Info!$F$24&gt;0,Info!$F$26&gt;0),IF(0.75*$X$4&lt;=0.03*$AD$4,0.75*(X39-X38),0.03*(AD39-AD38)),0),"")</f>
        <v/>
      </c>
      <c r="P39" s="24">
        <f>IF(AJ39&lt;=5,IF(AI39&lt;&gt;"",0.002*AD39,"")*(1-Info!$I$44),0)</f>
        <v>0</v>
      </c>
      <c r="Q39" s="24">
        <f>(1-Info!$F$44)*IF(AI39&lt;&gt;"",IF(Info!$C$32="بله",0.07*X39,0.07*AG39),"")</f>
        <v>0</v>
      </c>
      <c r="R39" s="24">
        <f>IF(X39&lt;&gt;0,S39*X39,0)*(1-Info!$F$48)</f>
        <v>0</v>
      </c>
      <c r="S39" s="24">
        <f>IF(Info!$I$30="خیر",0,IF(Info!$F$30="بله",IF(Info!$C$30=1,2.3,IF(Info!$C$30=2,3.3,4.3)),1))*IF(AND(AH39&lt;=Rates!$Z$8,AH39&gt;0),(1+Info!$C$34)*(1+LOOKUP(Info!$F$34,Rates!$O$2:$O$9,Rates!$L$2:$L$9)/100)*(LOOKUP(Info!$C$6,Rates!$U$2:$U$108,Rates!$R$2:$R$108)/100),0)</f>
        <v>0</v>
      </c>
      <c r="T39" s="24">
        <f>IF(AI39&lt;71,(1-Info!$F$46)*((AB39*0.0008*(1+(LOOKUP(Info!$I$34,Rates!$O$2:$O$9,Rates!$M$2:$M$9)/100)))),0)</f>
        <v>0</v>
      </c>
      <c r="U39" s="24">
        <f>IF(AI39&lt;71,(1-Info!$I$46)*(((AD39*0.0008*Info!$L$30))*(1+(LOOKUP(Info!$I$34,Rates!$O:$O,Rates!$N:$N)/100))),0)</f>
        <v>0</v>
      </c>
      <c r="V39" s="24">
        <f>((Z39*0.0008))*(1+(LOOKUP(Info!$I$34,Rates!$O$2:$O$9,Rates!$M$2:$M$9)/100))*(1-Info!$C$46)</f>
        <v>0</v>
      </c>
      <c r="W39" s="24">
        <f>IF(AND(AI39&lt;=Rates!$Z$2,AJ39&lt;=Info!$I$6,Info!$F$32="معمولی"),VLOOKUP(AI39,Rates!$U$1:$Y$108,5,0),IF(AND(AI39&lt;=Rates!$Z$2,AJ39&lt;=Info!$I$6,Info!$F$32="پایه"),VLOOKUP(AI39,Rates!$U$1:$Y$108,2,0),IF(AND(AI39&lt;=Rates!$Z$2,AJ39&lt;=Info!$I$6,Info!$F$32="آسایش "),VLOOKUP(AI39,Rates!$U$1:$Y$108,3,0),IF(AND(AI39&lt;=Rates!$Z$2,AJ39&lt;=Info!$I$6,Info!$F$32="ممتاز"),VLOOKUP(AI39,Rates!$U$1:$Y$108,4,0),0))))*AA39/1000000*(1+Info!$C$34)*(1-Info!$I$48)</f>
        <v>0</v>
      </c>
      <c r="X39" s="24">
        <f>IF(Info!$C$32="بله",(AG39-W39-U39-V39-T39)/(1+S39),AG39)</f>
        <v>0</v>
      </c>
      <c r="Y39" s="24">
        <f>IF(AI39&lt;&gt;0,(AD39*LOOKUP(AI39,Rates!$U$2:$U$108,Rates!$T$2:$T$108))/SQRT(1.1),0)</f>
        <v>0</v>
      </c>
      <c r="Z39" s="24">
        <f>IF(AND(AI39&lt;=Rates!$Z$10,AI39&gt;=0),Info!$C$28*(AC39-AD39),0)</f>
        <v>0</v>
      </c>
      <c r="AA39" s="24">
        <f>IF(AND(AI39&gt;=0,AI39&lt;=Rates!$Z$2,AG39&gt;0),MIN(AA38*(1+Info!$F$26),5000000000),0)</f>
        <v>0</v>
      </c>
      <c r="AB39" s="24">
        <f>IF(AND(AI39&gt;=0,AI39&lt;=65),AD39*Info!$L$32,0)</f>
        <v>0</v>
      </c>
      <c r="AC39" s="24">
        <f>IF(AND(AI39&gt;=0,AI39&lt;=Rates!$Z$3),AD39*(1+Info!$L$30),AD39)</f>
        <v>0</v>
      </c>
      <c r="AD39" s="24">
        <f>IF(AI39&lt;&gt;0,AD38*(1+Info!$F$26),0)</f>
        <v>0</v>
      </c>
      <c r="AE39" s="24">
        <f t="shared" si="5"/>
        <v>0</v>
      </c>
      <c r="AF39" s="24">
        <f>IF(AI39&gt;=0,IF(Info!$C$32="بله",AG39,AG39+L39),"")</f>
        <v>0</v>
      </c>
      <c r="AG39" s="146">
        <f>IF(AI39&lt;&gt;0,AG38*(1+Info!$F$24),0)</f>
        <v>0</v>
      </c>
      <c r="AH39" s="149">
        <f>IF(AJ39&lt;&gt;"",Info!$C$6+AJ39-1,0)</f>
        <v>0</v>
      </c>
      <c r="AI39" s="26">
        <f>IF(AJ39&lt;&gt;"",IF(Info!$F$6+AJ39-1&lt;=Rates!$Z$11,Info!$F$6+AJ39-1,0),0)</f>
        <v>0</v>
      </c>
      <c r="AJ39" s="27" t="str">
        <f>IF(AI38&lt;&gt;"",IF(AND(AJ38&lt;&gt;"",AI38+1&lt;=Rates!$Z$11),IF(AJ38&lt;&gt;0,IF(AJ38+1&lt;=Info!$I$6,AJ38+1,""),0),""),"")</f>
        <v/>
      </c>
    </row>
    <row r="40" spans="1:36" s="243" customFormat="1" ht="18.75" x14ac:dyDescent="0.45">
      <c r="A40" s="25">
        <f>IF(B40&gt;0,IF(Info!$C$32="بله",AG40/B40,(AG40+L40)/B40),0)</f>
        <v>0</v>
      </c>
      <c r="B40" s="25">
        <f>IF(AND(AI40&gt;=0,AJ40&lt;=Info!$I$6),LOOKUP(Info!$C$24,Rates!$I$2:$I$7,Rates!$F$2:$F$7),0)</f>
        <v>0</v>
      </c>
      <c r="C40" s="25">
        <f>IF(AG40&lt;&gt;0,(C39+F40)*(1+VLOOKUP(Info!$C$26,Rates!$D$3:$E$7,2,FALSE)),0)</f>
        <v>0</v>
      </c>
      <c r="D40" s="25">
        <f t="shared" si="9"/>
        <v>0</v>
      </c>
      <c r="E40" s="25">
        <f>IF(AI40&lt;&gt;0,(E39+F40)*(1+VLOOKUP(Info!$C$26,Rates!$A$14:$B$19,2,FALSE)),0)</f>
        <v>0</v>
      </c>
      <c r="F40" s="25">
        <f>IF(AI40&lt;&gt;"",IF(Info!$C$32="بله",IF(AND(AJ40&lt;=Info!$F$36,AJ40&gt;=Info!$I$36),Info!$C$36,0)+(AG40-Y40-L40-K40-J40-I40-H40-G40),IF(AND(AJ40&lt;=Info!$F$36,AJ40&gt;=Info!$I$36),Info!$C$36,0)+(AG40-Y40-K40-J40-I40-H40-G40)),"")</f>
        <v>0</v>
      </c>
      <c r="G40" s="25">
        <f>IF(AI40&lt;&gt;"",Rates!$AB$11*(L40),"")</f>
        <v>0</v>
      </c>
      <c r="H40" s="25">
        <f>IF(AI40&lt;&gt;"",(Rates!$AD$11+Rates!$AC$11)*(L40),"")</f>
        <v>0</v>
      </c>
      <c r="I40" s="25">
        <f>IF(AI40&lt;&gt;"",LOOKUP(Info!$C$24,Rates!$I$2:$I$7,Rates!$H$2:$H$7)*(J40+K40+L40+Y40),"")</f>
        <v>0</v>
      </c>
      <c r="J40" s="25">
        <f t="shared" si="3"/>
        <v>0</v>
      </c>
      <c r="K40" s="25">
        <f>IF(Y40&lt;&gt;"",Info!$C$34*Y40,"")</f>
        <v>0</v>
      </c>
      <c r="L40" s="25">
        <f t="shared" si="1"/>
        <v>0</v>
      </c>
      <c r="M40" s="25"/>
      <c r="N40" s="25">
        <v>0</v>
      </c>
      <c r="O40" s="25" t="str">
        <f>IF(AJ40&lt;=10,(1-Info!$C$44)*IF(OR(Info!$F$24&gt;0,Info!$F$26&gt;0),IF(0.75*$X$4&lt;=0.03*$AD$4,0.75*(X40-X39),0.03*(AD40-AD39)),0),"")</f>
        <v/>
      </c>
      <c r="P40" s="25">
        <f>IF(AJ40&lt;=5,IF(AI40&lt;&gt;"",0.002*AD40,"")*(1-Info!$I$44),0)</f>
        <v>0</v>
      </c>
      <c r="Q40" s="25">
        <f>(1-Info!$F$44)*IF(AI40&lt;&gt;"",IF(Info!$C$32="بله",0.07*X40,0.07*AG40),"")</f>
        <v>0</v>
      </c>
      <c r="R40" s="25">
        <f>IF(X40&lt;&gt;0,S40*X40,0)*(1-Info!$F$48)</f>
        <v>0</v>
      </c>
      <c r="S40" s="25">
        <f>IF(Info!$I$30="خیر",0,IF(Info!$F$30="بله",IF(Info!$C$30=1,2.3,IF(Info!$C$30=2,3.3,4.3)),1))*IF(AND(AH40&lt;=Rates!$Z$8,AH40&gt;0),(1+Info!$C$34)*(1+LOOKUP(Info!$F$34,Rates!$O$2:$O$9,Rates!$L$2:$L$9)/100)*(LOOKUP(Info!$C$6,Rates!$U$2:$U$108,Rates!$R$2:$R$108)/100),0)</f>
        <v>0</v>
      </c>
      <c r="T40" s="25">
        <f>IF(AI40&lt;71,(1-Info!$F$46)*((AB40*0.0008*(1+(LOOKUP(Info!$I$34,Rates!$O$2:$O$9,Rates!$M$2:$M$9)/100)))),0)</f>
        <v>0</v>
      </c>
      <c r="U40" s="25">
        <f>IF(AI40&lt;71,(1-Info!$I$46)*(((AD40*0.0008*Info!$L$30))*(1+(LOOKUP(Info!$I$34,Rates!$O:$O,Rates!$N:$N)/100))),0)</f>
        <v>0</v>
      </c>
      <c r="V40" s="25">
        <f>((Z40*0.0008))*(1+(LOOKUP(Info!$I$34,Rates!$O$2:$O$9,Rates!$M$2:$M$9)/100))*(1-Info!$C$46)</f>
        <v>0</v>
      </c>
      <c r="W40" s="25">
        <f>IF(AND(AI40&lt;=Rates!$Z$2,AJ40&lt;=Info!$I$6,Info!$F$32="معمولی"),VLOOKUP(AI40,Rates!$U$1:$Y$108,5,0),IF(AND(AI40&lt;=Rates!$Z$2,AJ40&lt;=Info!$I$6,Info!$F$32="پایه"),VLOOKUP(AI40,Rates!$U$1:$Y$108,2,0),IF(AND(AI40&lt;=Rates!$Z$2,AJ40&lt;=Info!$I$6,Info!$F$32="آسایش "),VLOOKUP(AI40,Rates!$U$1:$Y$108,3,0),IF(AND(AI40&lt;=Rates!$Z$2,AJ40&lt;=Info!$I$6,Info!$F$32="ممتاز"),VLOOKUP(AI40,Rates!$U$1:$Y$108,4,0),0))))*AA40/1000000*(1+Info!$C$34)*(1-Info!$I$48)</f>
        <v>0</v>
      </c>
      <c r="X40" s="25">
        <f>IF(Info!$C$32="بله",(AG40-W40-U40-V40-T40)/(1+S40),AG40)</f>
        <v>0</v>
      </c>
      <c r="Y40" s="25">
        <f>IF(AI40&lt;&gt;0,(AD40*LOOKUP(AI40,Rates!$U$2:$U$108,Rates!$T$2:$T$108))/SQRT(1.1),0)</f>
        <v>0</v>
      </c>
      <c r="Z40" s="25">
        <f>IF(AND(AI40&lt;=Rates!$Z$10,AI40&gt;=0),Info!$C$28*(AC40-AD40),0)</f>
        <v>0</v>
      </c>
      <c r="AA40" s="25">
        <f>IF(AND(AI40&gt;=0,AI40&lt;=Rates!$Z$2,AG40&gt;0),MIN(AA39*(1+Info!$F$26),5000000000),0)</f>
        <v>0</v>
      </c>
      <c r="AB40" s="25">
        <f>IF(AND(AI40&gt;=0,AI40&lt;=65),AD40*Info!$L$32,0)</f>
        <v>0</v>
      </c>
      <c r="AC40" s="25">
        <f>IF(AND(AI40&gt;=0,AI40&lt;=Rates!$Z$3),AD40*(1+Info!$L$30),AD40)</f>
        <v>0</v>
      </c>
      <c r="AD40" s="25">
        <f>IF(AI40&lt;&gt;0,AD39*(1+Info!$F$26),0)</f>
        <v>0</v>
      </c>
      <c r="AE40" s="25">
        <f t="shared" si="5"/>
        <v>0</v>
      </c>
      <c r="AF40" s="25">
        <f>IF(AI40&gt;=0,IF(Info!$C$32="بله",AG40,AG40+L40),"")</f>
        <v>0</v>
      </c>
      <c r="AG40" s="145">
        <f>IF(AI40&lt;&gt;0,AG39*(1+Info!$F$24),0)</f>
        <v>0</v>
      </c>
      <c r="AH40" s="150">
        <f>IF(AJ40&lt;&gt;"",Info!$C$6+AJ40-1,0)</f>
        <v>0</v>
      </c>
      <c r="AI40" s="28">
        <f>IF(AJ40&lt;&gt;"",IF(Info!$F$6+AJ40-1&lt;=Rates!$Z$11,Info!$F$6+AJ40-1,0),0)</f>
        <v>0</v>
      </c>
      <c r="AJ40" s="29" t="str">
        <f>IF(AI39&lt;&gt;"",IF(AND(AJ39&lt;&gt;"",AI39+1&lt;=Rates!$Z$11),IF(AJ39&lt;&gt;0,IF(AJ39+1&lt;=Info!$I$6,AJ39+1,""),0),""),"")</f>
        <v/>
      </c>
    </row>
    <row r="41" spans="1:36" s="243" customFormat="1" ht="18.75" x14ac:dyDescent="0.45">
      <c r="A41" s="24">
        <f>IF(B41&gt;0,IF(Info!$C$32="بله",AG41/B41,(AG41+L41)/B41),0)</f>
        <v>0</v>
      </c>
      <c r="B41" s="24">
        <f>IF(AND(AI41&gt;=0,AJ41&lt;=Info!$I$6),LOOKUP(Info!$C$24,Rates!$I$2:$I$7,Rates!$F$2:$F$7),0)</f>
        <v>0</v>
      </c>
      <c r="C41" s="24">
        <f>IF(AG41&lt;&gt;0,(C40+F41)*(1+VLOOKUP(Info!$C$26,Rates!$D$3:$E$7,2,FALSE)),0)</f>
        <v>0</v>
      </c>
      <c r="D41" s="24">
        <f t="shared" si="9"/>
        <v>0</v>
      </c>
      <c r="E41" s="24">
        <f>IF(AI41&lt;&gt;0,(E40+F41)*(1+VLOOKUP(Info!$C$26,Rates!$A$14:$B$19,2,FALSE)),0)</f>
        <v>0</v>
      </c>
      <c r="F41" s="24">
        <f>IF(AI41&lt;&gt;"",IF(Info!$C$32="بله",IF(AND(AJ41&lt;=Info!$F$36,AJ41&gt;=Info!$I$36),Info!$C$36,0)+(AG41-Y41-L41-K41-J41-I41-H41-G41),IF(AND(AJ41&lt;=Info!$F$36,AJ41&gt;=Info!$I$36),Info!$C$36,0)+(AG41-Y41-K41-J41-I41-H41-G41)),"")</f>
        <v>0</v>
      </c>
      <c r="G41" s="24">
        <f>IF(AI41&lt;&gt;"",Rates!$AB$11*(L41),"")</f>
        <v>0</v>
      </c>
      <c r="H41" s="24">
        <f>IF(AI41&lt;&gt;"",(Rates!$AD$11+Rates!$AC$11)*(L41),"")</f>
        <v>0</v>
      </c>
      <c r="I41" s="24">
        <f>IF(AI41&lt;&gt;"",LOOKUP(Info!$C$24,Rates!$I$2:$I$7,Rates!$H$2:$H$7)*(J41+K41+L41+Y41),"")</f>
        <v>0</v>
      </c>
      <c r="J41" s="24">
        <f t="shared" si="3"/>
        <v>0</v>
      </c>
      <c r="K41" s="24">
        <f>IF(Y41&lt;&gt;"",Info!$C$34*Y41,"")</f>
        <v>0</v>
      </c>
      <c r="L41" s="24">
        <f t="shared" si="1"/>
        <v>0</v>
      </c>
      <c r="M41" s="24"/>
      <c r="N41" s="24">
        <v>0</v>
      </c>
      <c r="O41" s="24" t="str">
        <f>IF(AJ41&lt;=10,(1-Info!$C$44)*IF(OR(Info!$F$24&gt;0,Info!$F$26&gt;0),IF(0.75*$X$4&lt;=0.03*$AD$4,0.75*(X41-X40),0.03*(AD41-AD40)),0),"")</f>
        <v/>
      </c>
      <c r="P41" s="24">
        <f>IF(AJ41&lt;=5,IF(AI41&lt;&gt;"",0.002*AD41,"")*(1-Info!$I$44),0)</f>
        <v>0</v>
      </c>
      <c r="Q41" s="24">
        <f>(1-Info!$F$44)*IF(AI41&lt;&gt;"",IF(Info!$C$32="بله",0.07*X41,0.07*AG41),"")</f>
        <v>0</v>
      </c>
      <c r="R41" s="24">
        <f>IF(X41&lt;&gt;0,S41*X41,0)*(1-Info!$F$48)</f>
        <v>0</v>
      </c>
      <c r="S41" s="24">
        <f>IF(Info!$I$30="خیر",0,IF(Info!$F$30="بله",IF(Info!$C$30=1,2.3,IF(Info!$C$30=2,3.3,4.3)),1))*IF(AND(AH41&lt;=Rates!$Z$8,AH41&gt;0),(1+Info!$C$34)*(1+LOOKUP(Info!$F$34,Rates!$O$2:$O$9,Rates!$L$2:$L$9)/100)*(LOOKUP(Info!$C$6,Rates!$U$2:$U$108,Rates!$R$2:$R$108)/100),0)</f>
        <v>0</v>
      </c>
      <c r="T41" s="24">
        <f>IF(AI41&lt;71,(1-Info!$F$46)*((AB41*0.0008*(1+(LOOKUP(Info!$I$34,Rates!$O$2:$O$9,Rates!$M$2:$M$9)/100)))),0)</f>
        <v>0</v>
      </c>
      <c r="U41" s="24">
        <f>IF(AI41&lt;71,(1-Info!$I$46)*(((AD41*0.0008*Info!$L$30))*(1+(LOOKUP(Info!$I$34,Rates!$O:$O,Rates!$N:$N)/100))),0)</f>
        <v>0</v>
      </c>
      <c r="V41" s="24">
        <f>((Z41*0.0008))*(1+(LOOKUP(Info!$I$34,Rates!$O$2:$O$9,Rates!$M$2:$M$9)/100))*(1-Info!$C$46)</f>
        <v>0</v>
      </c>
      <c r="W41" s="24">
        <f>IF(AND(AI41&lt;=Rates!$Z$2,AJ41&lt;=Info!$I$6,Info!$F$32="معمولی"),VLOOKUP(AI41,Rates!$U$1:$Y$108,5,0),IF(AND(AI41&lt;=Rates!$Z$2,AJ41&lt;=Info!$I$6,Info!$F$32="پایه"),VLOOKUP(AI41,Rates!$U$1:$Y$108,2,0),IF(AND(AI41&lt;=Rates!$Z$2,AJ41&lt;=Info!$I$6,Info!$F$32="آسایش "),VLOOKUP(AI41,Rates!$U$1:$Y$108,3,0),IF(AND(AI41&lt;=Rates!$Z$2,AJ41&lt;=Info!$I$6,Info!$F$32="ممتاز"),VLOOKUP(AI41,Rates!$U$1:$Y$108,4,0),0))))*AA41/1000000*(1+Info!$C$34)*(1-Info!$I$48)</f>
        <v>0</v>
      </c>
      <c r="X41" s="24">
        <f>IF(Info!$C$32="بله",(AG41-W41-U41-V41-T41)/(1+S41),AG41)</f>
        <v>0</v>
      </c>
      <c r="Y41" s="24">
        <f>IF(AI41&lt;&gt;0,(AD41*LOOKUP(AI41,Rates!$U$2:$U$108,Rates!$T$2:$T$108))/SQRT(1.1),0)</f>
        <v>0</v>
      </c>
      <c r="Z41" s="24">
        <f>IF(AND(AI41&lt;=Rates!$Z$10,AI41&gt;=0),Info!$C$28*(AC41-AD41),0)</f>
        <v>0</v>
      </c>
      <c r="AA41" s="24">
        <f>IF(AND(AI41&gt;=0,AI41&lt;=Rates!$Z$2,AG41&gt;0),MIN(AA40*(1+Info!$F$26),5000000000),0)</f>
        <v>0</v>
      </c>
      <c r="AB41" s="24">
        <f>IF(AND(AI41&gt;=0,AI41&lt;=65),AD41*Info!$L$32,0)</f>
        <v>0</v>
      </c>
      <c r="AC41" s="24">
        <f>IF(AND(AI41&gt;=0,AI41&lt;=Rates!$Z$3),AD41*(1+Info!$L$30),AD41)</f>
        <v>0</v>
      </c>
      <c r="AD41" s="24">
        <f>IF(AI41&lt;&gt;0,AD40*(1+Info!$F$26),0)</f>
        <v>0</v>
      </c>
      <c r="AE41" s="24">
        <f t="shared" si="5"/>
        <v>0</v>
      </c>
      <c r="AF41" s="24">
        <f>IF(AI41&gt;=0,IF(Info!$C$32="بله",AG41,AG41+L41),"")</f>
        <v>0</v>
      </c>
      <c r="AG41" s="146">
        <f>IF(AI41&lt;&gt;0,AG40*(1+Info!$F$24),0)</f>
        <v>0</v>
      </c>
      <c r="AH41" s="149">
        <f>IF(AJ41&lt;&gt;"",Info!$C$6+AJ41-1,0)</f>
        <v>0</v>
      </c>
      <c r="AI41" s="26">
        <f>IF(AJ41&lt;&gt;"",IF(Info!$F$6+AJ41-1&lt;=Rates!$Z$11,Info!$F$6+AJ41-1,0),0)</f>
        <v>0</v>
      </c>
      <c r="AJ41" s="27" t="str">
        <f>IF(AI40&lt;&gt;"",IF(AND(AJ40&lt;&gt;"",AI40+1&lt;=Rates!$Z$11),IF(AJ40&lt;&gt;0,IF(AJ40+1&lt;=Info!$I$6,AJ40+1,""),0),""),"")</f>
        <v/>
      </c>
    </row>
    <row r="42" spans="1:36" s="243" customFormat="1" ht="18.75" x14ac:dyDescent="0.45">
      <c r="A42" s="25">
        <f>IF(B42&gt;0,IF(Info!$C$32="بله",AG42/B42,(AG42+L42)/B42),0)</f>
        <v>0</v>
      </c>
      <c r="B42" s="25">
        <f>IF(AND(AI42&gt;=0,AJ42&lt;=Info!$I$6),LOOKUP(Info!$C$24,Rates!$I$2:$I$7,Rates!$F$2:$F$7),0)</f>
        <v>0</v>
      </c>
      <c r="C42" s="25">
        <f>IF(AG42&lt;&gt;0,(C41+F42)*(1+VLOOKUP(Info!$C$26,Rates!$D$3:$E$7,2,FALSE)),0)</f>
        <v>0</v>
      </c>
      <c r="D42" s="25">
        <f t="shared" si="9"/>
        <v>0</v>
      </c>
      <c r="E42" s="25">
        <f>IF(AI42&lt;&gt;0,(E41+F42)*(1+VLOOKUP(Info!$C$26,Rates!$A$14:$B$19,2,FALSE)),0)</f>
        <v>0</v>
      </c>
      <c r="F42" s="25">
        <f>IF(AI42&lt;&gt;"",IF(Info!$C$32="بله",IF(AND(AJ42&lt;=Info!$F$36,AJ42&gt;=Info!$I$36),Info!$C$36,0)+(AG42-Y42-L42-K42-J42-I42-H42-G42),IF(AND(AJ42&lt;=Info!$F$36,AJ42&gt;=Info!$I$36),Info!$C$36,0)+(AG42-Y42-K42-J42-I42-H42-G42)),"")</f>
        <v>0</v>
      </c>
      <c r="G42" s="25">
        <f>IF(AI42&lt;&gt;"",Rates!$AB$11*(L42),"")</f>
        <v>0</v>
      </c>
      <c r="H42" s="25">
        <f>IF(AI42&lt;&gt;"",(Rates!$AD$11+Rates!$AC$11)*(L42),"")</f>
        <v>0</v>
      </c>
      <c r="I42" s="25">
        <f>IF(AI42&lt;&gt;"",LOOKUP(Info!$C$24,Rates!$I$2:$I$7,Rates!$H$2:$H$7)*(J42+K42+L42+Y42),"")</f>
        <v>0</v>
      </c>
      <c r="J42" s="25">
        <f t="shared" si="3"/>
        <v>0</v>
      </c>
      <c r="K42" s="25">
        <f>IF(Y42&lt;&gt;"",Info!$C$34*Y42,"")</f>
        <v>0</v>
      </c>
      <c r="L42" s="25">
        <f t="shared" si="1"/>
        <v>0</v>
      </c>
      <c r="M42" s="25"/>
      <c r="N42" s="25">
        <v>0</v>
      </c>
      <c r="O42" s="25" t="str">
        <f>IF(AJ42&lt;=10,(1-Info!$C$44)*IF(OR(Info!$F$24&gt;0,Info!$F$26&gt;0),IF(0.75*$X$4&lt;=0.03*$AD$4,0.75*(X42-X41),0.03*(AD42-AD41)),0),"")</f>
        <v/>
      </c>
      <c r="P42" s="25">
        <f>IF(AJ42&lt;=5,IF(AI42&lt;&gt;"",0.002*AD42,"")*(1-Info!$I$44),0)</f>
        <v>0</v>
      </c>
      <c r="Q42" s="25">
        <f>(1-Info!$F$44)*IF(AI42&lt;&gt;"",IF(Info!$C$32="بله",0.07*X42,0.07*AG42),"")</f>
        <v>0</v>
      </c>
      <c r="R42" s="25">
        <f>IF(X42&lt;&gt;0,S42*X42,0)*(1-Info!$F$48)</f>
        <v>0</v>
      </c>
      <c r="S42" s="25">
        <f>IF(Info!$I$30="خیر",0,IF(Info!$F$30="بله",IF(Info!$C$30=1,2.3,IF(Info!$C$30=2,3.3,4.3)),1))*IF(AND(AH42&lt;=Rates!$Z$8,AH42&gt;0),(1+Info!$C$34)*(1+LOOKUP(Info!$F$34,Rates!$O$2:$O$9,Rates!$L$2:$L$9)/100)*(LOOKUP(Info!$C$6,Rates!$U$2:$U$108,Rates!$R$2:$R$108)/100),0)</f>
        <v>0</v>
      </c>
      <c r="T42" s="25">
        <f>IF(AI42&lt;71,(1-Info!$F$46)*((AB42*0.0008*(1+(LOOKUP(Info!$I$34,Rates!$O$2:$O$9,Rates!$M$2:$M$9)/100)))),0)</f>
        <v>0</v>
      </c>
      <c r="U42" s="25">
        <f>IF(AI42&lt;71,(1-Info!$I$46)*(((AD42*0.0008*Info!$L$30))*(1+(LOOKUP(Info!$I$34,Rates!$O:$O,Rates!$N:$N)/100))),0)</f>
        <v>0</v>
      </c>
      <c r="V42" s="25">
        <f>((Z42*0.0008))*(1+(LOOKUP(Info!$I$34,Rates!$O$2:$O$9,Rates!$M$2:$M$9)/100))*(1-Info!$C$46)</f>
        <v>0</v>
      </c>
      <c r="W42" s="25">
        <f>IF(AND(AI42&lt;=Rates!$Z$2,AJ42&lt;=Info!$I$6,Info!$F$32="معمولی"),VLOOKUP(AI42,Rates!$U$1:$Y$108,5,0),IF(AND(AI42&lt;=Rates!$Z$2,AJ42&lt;=Info!$I$6,Info!$F$32="پایه"),VLOOKUP(AI42,Rates!$U$1:$Y$108,2,0),IF(AND(AI42&lt;=Rates!$Z$2,AJ42&lt;=Info!$I$6,Info!$F$32="آسایش "),VLOOKUP(AI42,Rates!$U$1:$Y$108,3,0),IF(AND(AI42&lt;=Rates!$Z$2,AJ42&lt;=Info!$I$6,Info!$F$32="ممتاز"),VLOOKUP(AI42,Rates!$U$1:$Y$108,4,0),0))))*AA42/1000000*(1+Info!$C$34)*(1-Info!$I$48)</f>
        <v>0</v>
      </c>
      <c r="X42" s="25">
        <f>IF(Info!$C$32="بله",(AG42-W42-U42-V42-T42)/(1+S42),AG42)</f>
        <v>0</v>
      </c>
      <c r="Y42" s="25">
        <f>IF(AI42&lt;&gt;0,(AD42*LOOKUP(AI42,Rates!$U$2:$U$108,Rates!$T$2:$T$108))/SQRT(1.1),0)</f>
        <v>0</v>
      </c>
      <c r="Z42" s="25">
        <f>IF(AND(AI42&lt;=Rates!$Z$10,AI42&gt;=0),Info!$C$28*(AC42-AD42),0)</f>
        <v>0</v>
      </c>
      <c r="AA42" s="25">
        <f>IF(AND(AI42&gt;=0,AI42&lt;=Rates!$Z$2,AG42&gt;0),MIN(AA41*(1+Info!$F$26),5000000000),0)</f>
        <v>0</v>
      </c>
      <c r="AB42" s="25">
        <f>IF(AND(AI42&gt;=0,AI42&lt;=65),AD42*Info!$L$32,0)</f>
        <v>0</v>
      </c>
      <c r="AC42" s="25">
        <f>IF(AND(AI42&gt;=0,AI42&lt;=Rates!$Z$3),AD42*(1+Info!$L$30),AD42)</f>
        <v>0</v>
      </c>
      <c r="AD42" s="25">
        <f>IF(AI42&lt;&gt;0,AD41*(1+Info!$F$26),0)</f>
        <v>0</v>
      </c>
      <c r="AE42" s="25">
        <f t="shared" si="5"/>
        <v>0</v>
      </c>
      <c r="AF42" s="25">
        <f>IF(AI42&gt;=0,IF(Info!$C$32="بله",AG42,AG42+L42),"")</f>
        <v>0</v>
      </c>
      <c r="AG42" s="145">
        <f>IF(AI42&lt;&gt;0,AG41*(1+Info!$F$24),0)</f>
        <v>0</v>
      </c>
      <c r="AH42" s="150">
        <f>IF(AJ42&lt;&gt;"",Info!$C$6+AJ42-1,0)</f>
        <v>0</v>
      </c>
      <c r="AI42" s="28">
        <f>IF(AJ42&lt;&gt;"",IF(Info!$F$6+AJ42-1&lt;=Rates!$Z$11,Info!$F$6+AJ42-1,0),0)</f>
        <v>0</v>
      </c>
      <c r="AJ42" s="29" t="str">
        <f>IF(AI41&lt;&gt;"",IF(AND(AJ41&lt;&gt;"",AI41+1&lt;=Rates!$Z$11),IF(AJ41&lt;&gt;0,IF(AJ41+1&lt;=Info!$I$6,AJ41+1,""),0),""),"")</f>
        <v/>
      </c>
    </row>
    <row r="43" spans="1:36" s="243" customFormat="1" ht="18.75" x14ac:dyDescent="0.45">
      <c r="A43" s="24">
        <f>IF(B43&gt;0,IF(Info!$C$32="بله",AG43/B43,(AG43+L43)/B43),0)</f>
        <v>0</v>
      </c>
      <c r="B43" s="24">
        <f>IF(AND(AI43&gt;=0,AJ43&lt;=Info!$I$6),LOOKUP(Info!$C$24,Rates!$I$2:$I$7,Rates!$F$2:$F$7),0)</f>
        <v>0</v>
      </c>
      <c r="C43" s="24">
        <f>IF(AG43&lt;&gt;0,(C42+F43)*(1+VLOOKUP(Info!$C$26,Rates!$D$3:$E$7,2,FALSE)),0)</f>
        <v>0</v>
      </c>
      <c r="D43" s="24">
        <f t="shared" si="9"/>
        <v>0</v>
      </c>
      <c r="E43" s="24">
        <f>IF(AI43&lt;&gt;0,(E42+F43)*(1+VLOOKUP(Info!$C$26,Rates!$A$14:$B$19,2,FALSE)),0)</f>
        <v>0</v>
      </c>
      <c r="F43" s="24">
        <f>IF(AI43&lt;&gt;"",IF(Info!$C$32="بله",IF(AND(AJ43&lt;=Info!$F$36,AJ43&gt;=Info!$I$36),Info!$C$36,0)+(AG43-Y43-L43-K43-J43-I43-H43-G43),IF(AND(AJ43&lt;=Info!$F$36,AJ43&gt;=Info!$I$36),Info!$C$36,0)+(AG43-Y43-K43-J43-I43-H43-G43)),"")</f>
        <v>0</v>
      </c>
      <c r="G43" s="24">
        <f>IF(AI43&lt;&gt;"",Rates!$AB$11*(L43),"")</f>
        <v>0</v>
      </c>
      <c r="H43" s="24">
        <f>IF(AI43&lt;&gt;"",(Rates!$AD$11+Rates!$AC$11)*(L43),"")</f>
        <v>0</v>
      </c>
      <c r="I43" s="24">
        <f>IF(AI43&lt;&gt;"",LOOKUP(Info!$C$24,Rates!$I$2:$I$7,Rates!$H$2:$H$7)*(J43+K43+L43+Y43),"")</f>
        <v>0</v>
      </c>
      <c r="J43" s="24">
        <f t="shared" si="3"/>
        <v>0</v>
      </c>
      <c r="K43" s="24">
        <f>IF(Y43&lt;&gt;"",Info!$C$34*Y43,"")</f>
        <v>0</v>
      </c>
      <c r="L43" s="24">
        <f t="shared" si="1"/>
        <v>0</v>
      </c>
      <c r="M43" s="24"/>
      <c r="N43" s="24">
        <v>0</v>
      </c>
      <c r="O43" s="24" t="str">
        <f>IF(AJ43&lt;=10,(1-Info!$C$44)*IF(OR(Info!$F$24&gt;0,Info!$F$26&gt;0),IF(0.75*$X$4&lt;=0.03*$AD$4,0.75*(X43-X42),0.03*(AD43-AD42)),0),"")</f>
        <v/>
      </c>
      <c r="P43" s="24">
        <f>IF(AJ43&lt;=5,IF(AI43&lt;&gt;"",0.002*AD43,"")*(1-Info!$I$44),0)</f>
        <v>0</v>
      </c>
      <c r="Q43" s="24">
        <f>(1-Info!$F$44)*IF(AI43&lt;&gt;"",IF(Info!$C$32="بله",0.07*X43,0.07*AG43),"")</f>
        <v>0</v>
      </c>
      <c r="R43" s="24">
        <f>IF(X43&lt;&gt;0,S43*X43,0)*(1-Info!$F$48)</f>
        <v>0</v>
      </c>
      <c r="S43" s="24">
        <f>IF(Info!$I$30="خیر",0,IF(Info!$F$30="بله",IF(Info!$C$30=1,2.3,IF(Info!$C$30=2,3.3,4.3)),1))*IF(AND(AH43&lt;=Rates!$Z$8,AH43&gt;0),(1+Info!$C$34)*(1+LOOKUP(Info!$F$34,Rates!$O$2:$O$9,Rates!$L$2:$L$9)/100)*(LOOKUP(Info!$C$6,Rates!$U$2:$U$108,Rates!$R$2:$R$108)/100),0)</f>
        <v>0</v>
      </c>
      <c r="T43" s="24">
        <f>IF(AI43&lt;71,(1-Info!$F$46)*((AB43*0.0008*(1+(LOOKUP(Info!$I$34,Rates!$O$2:$O$9,Rates!$M$2:$M$9)/100)))),0)</f>
        <v>0</v>
      </c>
      <c r="U43" s="24">
        <f>IF(AI43&lt;71,(1-Info!$I$46)*(((AD43*0.0008*Info!$L$30))*(1+(LOOKUP(Info!$I$34,Rates!$O:$O,Rates!$N:$N)/100))),0)</f>
        <v>0</v>
      </c>
      <c r="V43" s="24">
        <f>((Z43*0.0008))*(1+(LOOKUP(Info!$I$34,Rates!$O$2:$O$9,Rates!$M$2:$M$9)/100))*(1-Info!$C$46)</f>
        <v>0</v>
      </c>
      <c r="W43" s="24">
        <f>IF(AND(AI43&lt;=Rates!$Z$2,AJ43&lt;=Info!$I$6,Info!$F$32="معمولی"),VLOOKUP(AI43,Rates!$U$1:$Y$108,5,0),IF(AND(AI43&lt;=Rates!$Z$2,AJ43&lt;=Info!$I$6,Info!$F$32="پایه"),VLOOKUP(AI43,Rates!$U$1:$Y$108,2,0),IF(AND(AI43&lt;=Rates!$Z$2,AJ43&lt;=Info!$I$6,Info!$F$32="آسایش "),VLOOKUP(AI43,Rates!$U$1:$Y$108,3,0),IF(AND(AI43&lt;=Rates!$Z$2,AJ43&lt;=Info!$I$6,Info!$F$32="ممتاز"),VLOOKUP(AI43,Rates!$U$1:$Y$108,4,0),0))))*AA43/1000000*(1+Info!$C$34)*(1-Info!$I$48)</f>
        <v>0</v>
      </c>
      <c r="X43" s="24">
        <f>IF(Info!$C$32="بله",(AG43-W43-U43-V43-T43)/(1+S43),AG43)</f>
        <v>0</v>
      </c>
      <c r="Y43" s="24">
        <f>IF(AI43&lt;&gt;0,(AD43*LOOKUP(AI43,Rates!$U$2:$U$108,Rates!$T$2:$T$108))/SQRT(1.1),0)</f>
        <v>0</v>
      </c>
      <c r="Z43" s="24">
        <f>IF(AND(AI43&lt;=Rates!$Z$10,AI43&gt;=0),Info!$C$28*(AC43-AD43),0)</f>
        <v>0</v>
      </c>
      <c r="AA43" s="24">
        <f>IF(AND(AI43&gt;=0,AI43&lt;=Rates!$Z$2,AG43&gt;0),MIN(AA42*(1+Info!$F$26),5000000000),0)</f>
        <v>0</v>
      </c>
      <c r="AB43" s="24">
        <f>IF(AND(AI43&gt;=0,AI43&lt;=65),AD43*Info!$L$32,0)</f>
        <v>0</v>
      </c>
      <c r="AC43" s="24">
        <f>IF(AND(AI43&gt;=0,AI43&lt;=Rates!$Z$3),AD43*(1+Info!$L$30),AD43)</f>
        <v>0</v>
      </c>
      <c r="AD43" s="24">
        <f>IF(AI43&lt;&gt;0,AD42*(1+Info!$F$26),0)</f>
        <v>0</v>
      </c>
      <c r="AE43" s="24">
        <f t="shared" si="5"/>
        <v>0</v>
      </c>
      <c r="AF43" s="24">
        <f>IF(AI43&gt;=0,IF(Info!$C$32="بله",AG43,AG43+L43),"")</f>
        <v>0</v>
      </c>
      <c r="AG43" s="146">
        <f>IF(AI43&lt;&gt;0,AG42*(1+Info!$F$24),0)</f>
        <v>0</v>
      </c>
      <c r="AH43" s="149">
        <f>IF(AJ43&lt;&gt;"",Info!$C$6+AJ43-1,0)</f>
        <v>0</v>
      </c>
      <c r="AI43" s="26">
        <f>IF(AJ43&lt;&gt;"",IF(Info!$F$6+AJ43-1&lt;=Rates!$Z$11,Info!$F$6+AJ43-1,0),0)</f>
        <v>0</v>
      </c>
      <c r="AJ43" s="27" t="str">
        <f>IF(AI42&lt;&gt;"",IF(AND(AJ42&lt;&gt;"",AI42+1&lt;=Rates!$Z$11),IF(AJ42&lt;&gt;0,IF(AJ42+1&lt;=Info!$I$6,AJ42+1,""),0),""),"")</f>
        <v/>
      </c>
    </row>
    <row r="44" spans="1:36" s="243" customFormat="1" ht="18.75" x14ac:dyDescent="0.45">
      <c r="A44" s="25">
        <f>IF(B44&gt;0,IF(Info!$C$32="بله",AG44/B44,(AG44+L44)/B44),0)</f>
        <v>0</v>
      </c>
      <c r="B44" s="25">
        <f>IF(AND(AI44&gt;=0,AJ44&lt;=Info!$I$6),LOOKUP(Info!$C$24,Rates!$I$2:$I$7,Rates!$F$2:$F$7),0)</f>
        <v>0</v>
      </c>
      <c r="C44" s="25">
        <f>IF(AG44&lt;&gt;0,(C43+F44)*(1+VLOOKUP(Info!$C$26,Rates!$D$3:$E$7,2,FALSE)),0)</f>
        <v>0</v>
      </c>
      <c r="D44" s="25">
        <f t="shared" si="9"/>
        <v>0</v>
      </c>
      <c r="E44" s="25">
        <f>IF(AI44&lt;&gt;0,(E43+F44)*(1+VLOOKUP(Info!$C$26,Rates!$A$14:$B$19,2,FALSE)),0)</f>
        <v>0</v>
      </c>
      <c r="F44" s="25">
        <f>IF(AI44&lt;&gt;"",IF(Info!$C$32="بله",IF(AND(AJ44&lt;=Info!$F$36,AJ44&gt;=Info!$I$36),Info!$C$36,0)+(AG44-Y44-L44-K44-J44-I44-H44-G44),IF(AND(AJ44&lt;=Info!$F$36,AJ44&gt;=Info!$I$36),Info!$C$36,0)+(AG44-Y44-K44-J44-I44-H44-G44)),"")</f>
        <v>0</v>
      </c>
      <c r="G44" s="25">
        <f>IF(AI44&lt;&gt;"",Rates!$AB$11*(L44),"")</f>
        <v>0</v>
      </c>
      <c r="H44" s="25">
        <f>IF(AI44&lt;&gt;"",(Rates!$AD$11+Rates!$AC$11)*(L44),"")</f>
        <v>0</v>
      </c>
      <c r="I44" s="25">
        <f>IF(AI44&lt;&gt;"",LOOKUP(Info!$C$24,Rates!$I$2:$I$7,Rates!$H$2:$H$7)*(J44+K44+L44+Y44),"")</f>
        <v>0</v>
      </c>
      <c r="J44" s="25">
        <f t="shared" si="3"/>
        <v>0</v>
      </c>
      <c r="K44" s="25">
        <f>IF(Y44&lt;&gt;"",Info!$C$34*Y44,"")</f>
        <v>0</v>
      </c>
      <c r="L44" s="25">
        <f t="shared" si="1"/>
        <v>0</v>
      </c>
      <c r="M44" s="25"/>
      <c r="N44" s="25">
        <v>0</v>
      </c>
      <c r="O44" s="25" t="str">
        <f>IF(AJ44&lt;=10,(1-Info!$C$44)*IF(OR(Info!$F$24&gt;0,Info!$F$26&gt;0),IF(0.75*$X$4&lt;=0.03*$AD$4,0.75*(X44-X43),0.03*(AD44-AD43)),0),"")</f>
        <v/>
      </c>
      <c r="P44" s="25">
        <f>IF(AJ44&lt;=5,IF(AI44&lt;&gt;"",0.002*AD44,"")*(1-Info!$I$44),0)</f>
        <v>0</v>
      </c>
      <c r="Q44" s="25">
        <f>(1-Info!$F$44)*IF(AI44&lt;&gt;"",IF(Info!$C$32="بله",0.07*X44,0.07*AG44),"")</f>
        <v>0</v>
      </c>
      <c r="R44" s="25">
        <f>IF(X44&lt;&gt;0,S44*X44,0)*(1-Info!$F$48)</f>
        <v>0</v>
      </c>
      <c r="S44" s="25">
        <f>IF(Info!$I$30="خیر",0,IF(Info!$F$30="بله",IF(Info!$C$30=1,2.3,IF(Info!$C$30=2,3.3,4.3)),1))*IF(AND(AH44&lt;=Rates!$Z$8,AH44&gt;0),(1+Info!$C$34)*(1+LOOKUP(Info!$F$34,Rates!$O$2:$O$9,Rates!$L$2:$L$9)/100)*(LOOKUP(Info!$C$6,Rates!$U$2:$U$108,Rates!$R$2:$R$108)/100),0)</f>
        <v>0</v>
      </c>
      <c r="T44" s="25">
        <f>IF(AI44&lt;71,(1-Info!$F$46)*((AB44*0.0008*(1+(LOOKUP(Info!$I$34,Rates!$O$2:$O$9,Rates!$M$2:$M$9)/100)))),0)</f>
        <v>0</v>
      </c>
      <c r="U44" s="25">
        <f>IF(AI44&lt;71,(1-Info!$I$46)*(((AD44*0.0008*Info!$L$30))*(1+(LOOKUP(Info!$I$34,Rates!$O:$O,Rates!$N:$N)/100))),0)</f>
        <v>0</v>
      </c>
      <c r="V44" s="25">
        <f>((Z44*0.0008))*(1+(LOOKUP(Info!$I$34,Rates!$O$2:$O$9,Rates!$M$2:$M$9)/100))*(1-Info!$C$46)</f>
        <v>0</v>
      </c>
      <c r="W44" s="25">
        <f>IF(AND(AI44&lt;=Rates!$Z$2,AJ44&lt;=Info!$I$6,Info!$F$32="معمولی"),VLOOKUP(AI44,Rates!$U$1:$Y$108,5,0),IF(AND(AI44&lt;=Rates!$Z$2,AJ44&lt;=Info!$I$6,Info!$F$32="پایه"),VLOOKUP(AI44,Rates!$U$1:$Y$108,2,0),IF(AND(AI44&lt;=Rates!$Z$2,AJ44&lt;=Info!$I$6,Info!$F$32="آسایش "),VLOOKUP(AI44,Rates!$U$1:$Y$108,3,0),IF(AND(AI44&lt;=Rates!$Z$2,AJ44&lt;=Info!$I$6,Info!$F$32="ممتاز"),VLOOKUP(AI44,Rates!$U$1:$Y$108,4,0),0))))*AA44/1000000*(1+Info!$C$34)*(1-Info!$I$48)</f>
        <v>0</v>
      </c>
      <c r="X44" s="25">
        <f>IF(Info!$C$32="بله",(AG44-W44-U44-V44-T44)/(1+S44),AG44)</f>
        <v>0</v>
      </c>
      <c r="Y44" s="25">
        <f>IF(AI44&lt;&gt;0,(AD44*LOOKUP(AI44,Rates!$U$2:$U$108,Rates!$T$2:$T$108))/SQRT(1.1),0)</f>
        <v>0</v>
      </c>
      <c r="Z44" s="25">
        <f>IF(AND(AI44&lt;=Rates!$Z$10,AI44&gt;=0),Info!$C$28*(AC44-AD44),0)</f>
        <v>0</v>
      </c>
      <c r="AA44" s="25">
        <f>IF(AND(AI44&gt;=0,AI44&lt;=Rates!$Z$2,AG44&gt;0),MIN(AA43*(1+Info!$F$26),5000000000),0)</f>
        <v>0</v>
      </c>
      <c r="AB44" s="25">
        <f>IF(AND(AI44&gt;=0,AI44&lt;=65),AD44*Info!$L$32,0)</f>
        <v>0</v>
      </c>
      <c r="AC44" s="25">
        <f>IF(AND(AI44&gt;=0,AI44&lt;=Rates!$Z$3),AD44*(1+Info!$L$30),AD44)</f>
        <v>0</v>
      </c>
      <c r="AD44" s="25">
        <f>IF(AI44&lt;&gt;0,AD43*(1+Info!$F$26),0)</f>
        <v>0</v>
      </c>
      <c r="AE44" s="25">
        <f t="shared" si="5"/>
        <v>0</v>
      </c>
      <c r="AF44" s="25">
        <f>IF(AI44&gt;=0,IF(Info!$C$32="بله",AG44,AG44+L44),"")</f>
        <v>0</v>
      </c>
      <c r="AG44" s="145">
        <f>IF(AI44&lt;&gt;0,AG43*(1+Info!$F$24),0)</f>
        <v>0</v>
      </c>
      <c r="AH44" s="150">
        <f>IF(AJ44&lt;&gt;"",Info!$C$6+AJ44-1,0)</f>
        <v>0</v>
      </c>
      <c r="AI44" s="28">
        <f>IF(AJ44&lt;&gt;"",IF(Info!$F$6+AJ44-1&lt;=Rates!$Z$11,Info!$F$6+AJ44-1,0),0)</f>
        <v>0</v>
      </c>
      <c r="AJ44" s="29" t="str">
        <f>IF(AI43&lt;&gt;"",IF(AND(AJ43&lt;&gt;"",AI43+1&lt;=Rates!$Z$11),IF(AJ43&lt;&gt;0,IF(AJ43+1&lt;=Info!$I$6,AJ43+1,""),0),""),"")</f>
        <v/>
      </c>
    </row>
    <row r="45" spans="1:36" s="243" customFormat="1" ht="18.75" x14ac:dyDescent="0.45">
      <c r="A45" s="24">
        <f>IF(B45&gt;0,IF(Info!$C$32="بله",AG45/B45,(AG45+L45)/B45),0)</f>
        <v>0</v>
      </c>
      <c r="B45" s="24">
        <f>IF(AND(AI45&gt;=0,AJ45&lt;=Info!$I$6),LOOKUP(Info!$C$24,Rates!$I$2:$I$7,Rates!$F$2:$F$7),0)</f>
        <v>0</v>
      </c>
      <c r="C45" s="24">
        <f>IF(AG45&lt;&gt;0,(C44+F45)*(1+VLOOKUP(Info!$C$26,Rates!$D$3:$E$7,2,FALSE)),0)</f>
        <v>0</v>
      </c>
      <c r="D45" s="24">
        <f t="shared" si="9"/>
        <v>0</v>
      </c>
      <c r="E45" s="24">
        <f>IF(AI45&lt;&gt;0,(E44+F45)*(1+VLOOKUP(Info!$C$26,Rates!$A$14:$B$19,2,FALSE)),0)</f>
        <v>0</v>
      </c>
      <c r="F45" s="24">
        <f>IF(AI45&lt;&gt;"",IF(Info!$C$32="بله",IF(AND(AJ45&lt;=Info!$F$36,AJ45&gt;=Info!$I$36),Info!$C$36,0)+(AG45-Y45-L45-K45-J45-I45-H45-G45),IF(AND(AJ45&lt;=Info!$F$36,AJ45&gt;=Info!$I$36),Info!$C$36,0)+(AG45-Y45-K45-J45-I45-H45-G45)),"")</f>
        <v>0</v>
      </c>
      <c r="G45" s="24">
        <f>IF(AI45&lt;&gt;"",Rates!$AB$11*(L45),"")</f>
        <v>0</v>
      </c>
      <c r="H45" s="24">
        <f>IF(AI45&lt;&gt;"",(Rates!$AD$11+Rates!$AC$11)*(L45),"")</f>
        <v>0</v>
      </c>
      <c r="I45" s="24">
        <f>IF(AI45&lt;&gt;"",LOOKUP(Info!$C$24,Rates!$I$2:$I$7,Rates!$H$2:$H$7)*(J45+K45+L45+Y45),"")</f>
        <v>0</v>
      </c>
      <c r="J45" s="24">
        <f t="shared" si="3"/>
        <v>0</v>
      </c>
      <c r="K45" s="24">
        <f>IF(Y45&lt;&gt;"",Info!$C$34*Y45,"")</f>
        <v>0</v>
      </c>
      <c r="L45" s="24">
        <f t="shared" si="1"/>
        <v>0</v>
      </c>
      <c r="M45" s="24"/>
      <c r="N45" s="24">
        <v>0</v>
      </c>
      <c r="O45" s="24" t="str">
        <f>IF(AJ45&lt;=10,(1-Info!$C$44)*IF(OR(Info!$F$24&gt;0,Info!$F$26&gt;0),IF(0.75*$X$4&lt;=0.03*$AD$4,0.75*(X45-X44),0.03*(AD45-AD44)),0),"")</f>
        <v/>
      </c>
      <c r="P45" s="24">
        <f>IF(AJ45&lt;=5,IF(AI45&lt;&gt;"",0.002*AD45,"")*(1-Info!$I$44),0)</f>
        <v>0</v>
      </c>
      <c r="Q45" s="24">
        <f>(1-Info!$F$44)*IF(AI45&lt;&gt;"",IF(Info!$C$32="بله",0.07*X45,0.07*AG45),"")</f>
        <v>0</v>
      </c>
      <c r="R45" s="24">
        <f>IF(X45&lt;&gt;0,S45*X45,0)*(1-Info!$F$48)</f>
        <v>0</v>
      </c>
      <c r="S45" s="24">
        <f>IF(Info!$I$30="خیر",0,IF(Info!$F$30="بله",IF(Info!$C$30=1,2.3,IF(Info!$C$30=2,3.3,4.3)),1))*IF(AND(AH45&lt;=Rates!$Z$8,AH45&gt;0),(1+Info!$C$34)*(1+LOOKUP(Info!$F$34,Rates!$O$2:$O$9,Rates!$L$2:$L$9)/100)*(LOOKUP(Info!$C$6,Rates!$U$2:$U$108,Rates!$R$2:$R$108)/100),0)</f>
        <v>0</v>
      </c>
      <c r="T45" s="24">
        <f>IF(AI45&lt;71,(1-Info!$F$46)*((AB45*0.0008*(1+(LOOKUP(Info!$I$34,Rates!$O$2:$O$9,Rates!$M$2:$M$9)/100)))),0)</f>
        <v>0</v>
      </c>
      <c r="U45" s="24">
        <f>IF(AI45&lt;71,(1-Info!$I$46)*(((AD45*0.0008*Info!$L$30))*(1+(LOOKUP(Info!$I$34,Rates!$O:$O,Rates!$N:$N)/100))),0)</f>
        <v>0</v>
      </c>
      <c r="V45" s="24">
        <f>((Z45*0.0008))*(1+(LOOKUP(Info!$I$34,Rates!$O$2:$O$9,Rates!$M$2:$M$9)/100))*(1-Info!$C$46)</f>
        <v>0</v>
      </c>
      <c r="W45" s="24">
        <f>IF(AND(AI45&lt;=Rates!$Z$2,AJ45&lt;=Info!$I$6,Info!$F$32="معمولی"),VLOOKUP(AI45,Rates!$U$1:$Y$108,5,0),IF(AND(AI45&lt;=Rates!$Z$2,AJ45&lt;=Info!$I$6,Info!$F$32="پایه"),VLOOKUP(AI45,Rates!$U$1:$Y$108,2,0),IF(AND(AI45&lt;=Rates!$Z$2,AJ45&lt;=Info!$I$6,Info!$F$32="آسایش "),VLOOKUP(AI45,Rates!$U$1:$Y$108,3,0),IF(AND(AI45&lt;=Rates!$Z$2,AJ45&lt;=Info!$I$6,Info!$F$32="ممتاز"),VLOOKUP(AI45,Rates!$U$1:$Y$108,4,0),0))))*AA45/1000000*(1+Info!$C$34)*(1-Info!$I$48)</f>
        <v>0</v>
      </c>
      <c r="X45" s="24">
        <f>IF(Info!$C$32="بله",(AG45-W45-U45-V45-T45)/(1+S45),AG45)</f>
        <v>0</v>
      </c>
      <c r="Y45" s="24">
        <f>IF(AI45&lt;&gt;0,(AD45*LOOKUP(AI45,Rates!$U$2:$U$108,Rates!$T$2:$T$108))/SQRT(1.1),0)</f>
        <v>0</v>
      </c>
      <c r="Z45" s="24">
        <f>IF(AND(AI45&lt;=Rates!$Z$10,AI45&gt;=0),Info!$C$28*(AC45-AD45),0)</f>
        <v>0</v>
      </c>
      <c r="AA45" s="24">
        <f>IF(AND(AI45&gt;=0,AI45&lt;=Rates!$Z$2,AG45&gt;0),MIN(AA44*(1+Info!$F$26),5000000000),0)</f>
        <v>0</v>
      </c>
      <c r="AB45" s="24">
        <f>IF(AND(AI45&gt;=0,AI45&lt;=65),AD45*Info!$L$32,0)</f>
        <v>0</v>
      </c>
      <c r="AC45" s="24">
        <f>IF(AND(AI45&gt;=0,AI45&lt;=Rates!$Z$3),AD45*(1+Info!$L$30),AD45)</f>
        <v>0</v>
      </c>
      <c r="AD45" s="24">
        <f>IF(AI45&lt;&gt;0,AD44*(1+Info!$F$26),0)</f>
        <v>0</v>
      </c>
      <c r="AE45" s="24">
        <f t="shared" si="5"/>
        <v>0</v>
      </c>
      <c r="AF45" s="24">
        <f>IF(AI45&gt;=0,IF(Info!$C$32="بله",AG45,AG45+L45),"")</f>
        <v>0</v>
      </c>
      <c r="AG45" s="146">
        <f>IF(AI45&lt;&gt;0,AG44*(1+Info!$F$24),0)</f>
        <v>0</v>
      </c>
      <c r="AH45" s="149">
        <f>IF(AJ45&lt;&gt;"",Info!$C$6+AJ45-1,0)</f>
        <v>0</v>
      </c>
      <c r="AI45" s="26">
        <f>IF(AJ45&lt;&gt;"",IF(Info!$F$6+AJ45-1&lt;=Rates!$Z$11,Info!$F$6+AJ45-1,0),0)</f>
        <v>0</v>
      </c>
      <c r="AJ45" s="27" t="str">
        <f>IF(AI44&lt;&gt;"",IF(AND(AJ44&lt;&gt;"",AI44+1&lt;=Rates!$Z$11),IF(AJ44&lt;&gt;0,IF(AJ44+1&lt;=Info!$I$6,AJ44+1,""),0),""),"")</f>
        <v/>
      </c>
    </row>
    <row r="46" spans="1:36" s="243" customFormat="1" ht="18.75" x14ac:dyDescent="0.45">
      <c r="A46" s="25">
        <f>IF(B46&gt;0,IF(Info!$C$32="بله",AG46/B46,(AG46+L46)/B46),0)</f>
        <v>0</v>
      </c>
      <c r="B46" s="25">
        <f>IF(AND(AI46&gt;=0,AJ46&lt;=Info!$I$6),LOOKUP(Info!$C$24,Rates!$I$2:$I$7,Rates!$F$2:$F$7),0)</f>
        <v>0</v>
      </c>
      <c r="C46" s="25">
        <f>IF(AG46&lt;&gt;0,(C45+F46)*(1+VLOOKUP(Info!$C$26,Rates!$D$3:$E$7,2,FALSE)),0)</f>
        <v>0</v>
      </c>
      <c r="D46" s="25">
        <f t="shared" si="9"/>
        <v>0</v>
      </c>
      <c r="E46" s="25">
        <f>IF(AI46&lt;&gt;0,(E45+F46)*(1+VLOOKUP(Info!$C$26,Rates!$A$14:$B$19,2,FALSE)),0)</f>
        <v>0</v>
      </c>
      <c r="F46" s="25">
        <f>IF(AI46&lt;&gt;"",IF(Info!$C$32="بله",IF(AND(AJ46&lt;=Info!$F$36,AJ46&gt;=Info!$I$36),Info!$C$36,0)+(AG46-Y46-L46-K46-J46-I46-H46-G46),IF(AND(AJ46&lt;=Info!$F$36,AJ46&gt;=Info!$I$36),Info!$C$36,0)+(AG46-Y46-K46-J46-I46-H46-G46)),"")</f>
        <v>0</v>
      </c>
      <c r="G46" s="25">
        <f>IF(AI46&lt;&gt;"",Rates!$AB$11*(L46),"")</f>
        <v>0</v>
      </c>
      <c r="H46" s="25">
        <f>IF(AI46&lt;&gt;"",(Rates!$AD$11+Rates!$AC$11)*(L46),"")</f>
        <v>0</v>
      </c>
      <c r="I46" s="25">
        <f>IF(AI46&lt;&gt;"",LOOKUP(Info!$C$24,Rates!$I$2:$I$7,Rates!$H$2:$H$7)*(J46+K46+L46+Y46),"")</f>
        <v>0</v>
      </c>
      <c r="J46" s="25">
        <f t="shared" si="3"/>
        <v>0</v>
      </c>
      <c r="K46" s="25">
        <f>IF(Y46&lt;&gt;"",Info!$C$34*Y46,"")</f>
        <v>0</v>
      </c>
      <c r="L46" s="25">
        <f t="shared" si="1"/>
        <v>0</v>
      </c>
      <c r="M46" s="25"/>
      <c r="N46" s="25">
        <v>0</v>
      </c>
      <c r="O46" s="25" t="str">
        <f>IF(AJ46&lt;=10,(1-Info!$C$44)*IF(OR(Info!$F$24&gt;0,Info!$F$26&gt;0),IF(0.75*$X$4&lt;=0.03*$AD$4,0.75*(X46-X45),0.03*(AD46-AD45)),0),"")</f>
        <v/>
      </c>
      <c r="P46" s="25">
        <f>IF(AJ46&lt;=5,IF(AI46&lt;&gt;"",0.002*AD46,"")*(1-Info!$I$44),0)</f>
        <v>0</v>
      </c>
      <c r="Q46" s="25">
        <f>(1-Info!$F$44)*IF(AI46&lt;&gt;"",IF(Info!$C$32="بله",0.07*X46,0.07*AG46),"")</f>
        <v>0</v>
      </c>
      <c r="R46" s="25">
        <f>IF(X46&lt;&gt;0,S46*X46,0)*(1-Info!$F$48)</f>
        <v>0</v>
      </c>
      <c r="S46" s="25">
        <f>IF(Info!$I$30="خیر",0,IF(Info!$F$30="بله",IF(Info!$C$30=1,2.3,IF(Info!$C$30=2,3.3,4.3)),1))*IF(AND(AH46&lt;=Rates!$Z$8,AH46&gt;0),(1+Info!$C$34)*(1+LOOKUP(Info!$F$34,Rates!$O$2:$O$9,Rates!$L$2:$L$9)/100)*(LOOKUP(Info!$C$6,Rates!$U$2:$U$108,Rates!$R$2:$R$108)/100),0)</f>
        <v>0</v>
      </c>
      <c r="T46" s="25">
        <f>IF(AI46&lt;71,(1-Info!$F$46)*((AB46*0.0008*(1+(LOOKUP(Info!$I$34,Rates!$O$2:$O$9,Rates!$M$2:$M$9)/100)))),0)</f>
        <v>0</v>
      </c>
      <c r="U46" s="25">
        <f>IF(AI46&lt;71,(1-Info!$I$46)*(((AD46*0.0008*Info!$L$30))*(1+(LOOKUP(Info!$I$34,Rates!$O:$O,Rates!$N:$N)/100))),0)</f>
        <v>0</v>
      </c>
      <c r="V46" s="25">
        <f>((Z46*0.0008))*(1+(LOOKUP(Info!$I$34,Rates!$O$2:$O$9,Rates!$M$2:$M$9)/100))*(1-Info!$C$46)</f>
        <v>0</v>
      </c>
      <c r="W46" s="25">
        <f>IF(AND(AI46&lt;=Rates!$Z$2,AJ46&lt;=Info!$I$6,Info!$F$32="معمولی"),VLOOKUP(AI46,Rates!$U$1:$Y$108,5,0),IF(AND(AI46&lt;=Rates!$Z$2,AJ46&lt;=Info!$I$6,Info!$F$32="پایه"),VLOOKUP(AI46,Rates!$U$1:$Y$108,2,0),IF(AND(AI46&lt;=Rates!$Z$2,AJ46&lt;=Info!$I$6,Info!$F$32="آسایش "),VLOOKUP(AI46,Rates!$U$1:$Y$108,3,0),IF(AND(AI46&lt;=Rates!$Z$2,AJ46&lt;=Info!$I$6,Info!$F$32="ممتاز"),VLOOKUP(AI46,Rates!$U$1:$Y$108,4,0),0))))*AA46/1000000*(1+Info!$C$34)*(1-Info!$I$48)</f>
        <v>0</v>
      </c>
      <c r="X46" s="25">
        <f>IF(Info!$C$32="بله",(AG46-W46-U46-V46-T46)/(1+S46),AG46)</f>
        <v>0</v>
      </c>
      <c r="Y46" s="25">
        <f>IF(AI46&lt;&gt;0,(AD46*LOOKUP(AI46,Rates!$U$2:$U$108,Rates!$T$2:$T$108))/SQRT(1.1),0)</f>
        <v>0</v>
      </c>
      <c r="Z46" s="25">
        <f>IF(AND(AI46&lt;=Rates!$Z$10,AI46&gt;=0),Info!$C$28*(AC46-AD46),0)</f>
        <v>0</v>
      </c>
      <c r="AA46" s="25">
        <f>IF(AND(AI46&gt;=0,AI46&lt;=Rates!$Z$2,AG46&gt;0),MIN(AA45*(1+Info!$F$26),5000000000),0)</f>
        <v>0</v>
      </c>
      <c r="AB46" s="25">
        <f>IF(AND(AI46&gt;=0,AI46&lt;=65),AD46*Info!$L$32,0)</f>
        <v>0</v>
      </c>
      <c r="AC46" s="25">
        <f>IF(AND(AI46&gt;=0,AI46&lt;=Rates!$Z$3),AD46*(1+Info!$L$30),AD46)</f>
        <v>0</v>
      </c>
      <c r="AD46" s="25">
        <f>IF(AI46&lt;&gt;0,AD45*(1+Info!$F$26),0)</f>
        <v>0</v>
      </c>
      <c r="AE46" s="25">
        <f t="shared" si="5"/>
        <v>0</v>
      </c>
      <c r="AF46" s="25">
        <f>IF(AI46&gt;=0,IF(Info!$C$32="بله",AG46,AG46+L46),"")</f>
        <v>0</v>
      </c>
      <c r="AG46" s="145">
        <f>IF(AI46&lt;&gt;0,AG45*(1+Info!$F$24),0)</f>
        <v>0</v>
      </c>
      <c r="AH46" s="150">
        <f>IF(AJ46&lt;&gt;"",Info!$C$6+AJ46-1,0)</f>
        <v>0</v>
      </c>
      <c r="AI46" s="28">
        <f>IF(AJ46&lt;&gt;"",IF(Info!$F$6+AJ46-1&lt;=Rates!$Z$11,Info!$F$6+AJ46-1,0),0)</f>
        <v>0</v>
      </c>
      <c r="AJ46" s="29" t="str">
        <f>IF(AI45&lt;&gt;"",IF(AND(AJ45&lt;&gt;"",AI45+1&lt;=Rates!$Z$11),IF(AJ45&lt;&gt;0,IF(AJ45+1&lt;=Info!$I$6,AJ45+1,""),0),""),"")</f>
        <v/>
      </c>
    </row>
    <row r="47" spans="1:36" s="243" customFormat="1" ht="18.75" x14ac:dyDescent="0.45">
      <c r="A47" s="24">
        <f>IF(B47&gt;0,IF(Info!$C$32="بله",AG47/B47,(AG47+L47)/B47),0)</f>
        <v>0</v>
      </c>
      <c r="B47" s="24">
        <f>IF(AND(AI47&gt;=0,AJ47&lt;=Info!$I$6),LOOKUP(Info!$C$24,Rates!$I$2:$I$7,Rates!$F$2:$F$7),0)</f>
        <v>0</v>
      </c>
      <c r="C47" s="24">
        <f>IF(AG47&lt;&gt;0,(C46+F47)*(1+VLOOKUP(Info!$C$26,Rates!$D$3:$E$7,2,FALSE)),0)</f>
        <v>0</v>
      </c>
      <c r="D47" s="24">
        <f t="shared" si="9"/>
        <v>0</v>
      </c>
      <c r="E47" s="24">
        <f>IF(AI47&lt;&gt;0,(E46+F47)*(1+VLOOKUP(Info!$C$26,Rates!$A$14:$B$19,2,FALSE)),0)</f>
        <v>0</v>
      </c>
      <c r="F47" s="24">
        <f>IF(AI47&lt;&gt;"",IF(Info!$C$32="بله",IF(AND(AJ47&lt;=Info!$F$36,AJ47&gt;=Info!$I$36),Info!$C$36,0)+(AG47-Y47-L47-K47-J47-I47-H47-G47),IF(AND(AJ47&lt;=Info!$F$36,AJ47&gt;=Info!$I$36),Info!$C$36,0)+(AG47-Y47-K47-J47-I47-H47-G47)),"")</f>
        <v>0</v>
      </c>
      <c r="G47" s="24">
        <f>IF(AI47&lt;&gt;"",Rates!$AB$11*(L47),"")</f>
        <v>0</v>
      </c>
      <c r="H47" s="24">
        <f>IF(AI47&lt;&gt;"",(Rates!$AD$11+Rates!$AC$11)*(L47),"")</f>
        <v>0</v>
      </c>
      <c r="I47" s="24">
        <f>IF(AI47&lt;&gt;"",LOOKUP(Info!$C$24,Rates!$I$2:$I$7,Rates!$H$2:$H$7)*(J47+K47+L47+Y47),"")</f>
        <v>0</v>
      </c>
      <c r="J47" s="24">
        <f t="shared" si="3"/>
        <v>0</v>
      </c>
      <c r="K47" s="24">
        <f>IF(Y47&lt;&gt;"",Info!$C$34*Y47,"")</f>
        <v>0</v>
      </c>
      <c r="L47" s="24">
        <f t="shared" si="1"/>
        <v>0</v>
      </c>
      <c r="M47" s="24"/>
      <c r="N47" s="24">
        <v>0</v>
      </c>
      <c r="O47" s="24" t="str">
        <f>IF(AJ47&lt;=10,(1-Info!$C$44)*IF(OR(Info!$F$24&gt;0,Info!$F$26&gt;0),IF(0.75*$X$4&lt;=0.03*$AD$4,0.75*(X47-X46),0.03*(AD47-AD46)),0),"")</f>
        <v/>
      </c>
      <c r="P47" s="24">
        <f>IF(AJ47&lt;=5,IF(AI47&lt;&gt;"",0.002*AD47,"")*(1-Info!$I$44),0)</f>
        <v>0</v>
      </c>
      <c r="Q47" s="24">
        <f>(1-Info!$F$44)*IF(AI47&lt;&gt;"",IF(Info!$C$32="بله",0.07*X47,0.07*AG47),"")</f>
        <v>0</v>
      </c>
      <c r="R47" s="24">
        <f>IF(X47&lt;&gt;0,S47*X47,0)*(1-Info!$F$48)</f>
        <v>0</v>
      </c>
      <c r="S47" s="24">
        <f>IF(Info!$I$30="خیر",0,IF(Info!$F$30="بله",IF(Info!$C$30=1,2.3,IF(Info!$C$30=2,3.3,4.3)),1))*IF(AND(AH47&lt;=Rates!$Z$8,AH47&gt;0),(1+Info!$C$34)*(1+LOOKUP(Info!$F$34,Rates!$O$2:$O$9,Rates!$L$2:$L$9)/100)*(LOOKUP(Info!$C$6,Rates!$U$2:$U$108,Rates!$R$2:$R$108)/100),0)</f>
        <v>0</v>
      </c>
      <c r="T47" s="24">
        <f>IF(AI47&lt;71,(1-Info!$F$46)*((AB47*0.0008*(1+(LOOKUP(Info!$I$34,Rates!$O$2:$O$9,Rates!$M$2:$M$9)/100)))),0)</f>
        <v>0</v>
      </c>
      <c r="U47" s="24">
        <f>IF(AI47&lt;71,(1-Info!$I$46)*(((AD47*0.0008*Info!$L$30))*(1+(LOOKUP(Info!$I$34,Rates!$O:$O,Rates!$N:$N)/100))),0)</f>
        <v>0</v>
      </c>
      <c r="V47" s="24">
        <f>((Z47*0.0008))*(1+(LOOKUP(Info!$I$34,Rates!$O$2:$O$9,Rates!$M$2:$M$9)/100))*(1-Info!$C$46)</f>
        <v>0</v>
      </c>
      <c r="W47" s="24">
        <f>IF(AND(AI47&lt;=Rates!$Z$2,AJ47&lt;=Info!$I$6,Info!$F$32="معمولی"),VLOOKUP(AI47,Rates!$U$1:$Y$108,5,0),IF(AND(AI47&lt;=Rates!$Z$2,AJ47&lt;=Info!$I$6,Info!$F$32="پایه"),VLOOKUP(AI47,Rates!$U$1:$Y$108,2,0),IF(AND(AI47&lt;=Rates!$Z$2,AJ47&lt;=Info!$I$6,Info!$F$32="آسایش "),VLOOKUP(AI47,Rates!$U$1:$Y$108,3,0),IF(AND(AI47&lt;=Rates!$Z$2,AJ47&lt;=Info!$I$6,Info!$F$32="ممتاز"),VLOOKUP(AI47,Rates!$U$1:$Y$108,4,0),0))))*AA47/1000000*(1+Info!$C$34)*(1-Info!$I$48)</f>
        <v>0</v>
      </c>
      <c r="X47" s="24">
        <f>IF(Info!$C$32="بله",(AG47-W47-U47-V47-T47)/(1+S47),AG47)</f>
        <v>0</v>
      </c>
      <c r="Y47" s="24">
        <f>IF(AI47&lt;&gt;0,(AD47*LOOKUP(AI47,Rates!$U$2:$U$108,Rates!$T$2:$T$108))/SQRT(1.1),0)</f>
        <v>0</v>
      </c>
      <c r="Z47" s="24">
        <f>IF(AND(AI47&lt;=Rates!$Z$10,AI47&gt;=0),Info!$C$28*(AC47-AD47),0)</f>
        <v>0</v>
      </c>
      <c r="AA47" s="24">
        <f>IF(AND(AI47&gt;=0,AI47&lt;=Rates!$Z$2,AG47&gt;0),MIN(AA46*(1+Info!$F$26),5000000000),0)</f>
        <v>0</v>
      </c>
      <c r="AB47" s="24">
        <f>IF(AND(AI47&gt;=0,AI47&lt;=65),AD47*Info!$L$32,0)</f>
        <v>0</v>
      </c>
      <c r="AC47" s="24">
        <f>IF(AND(AI47&gt;=0,AI47&lt;=Rates!$Z$3),AD47*(1+Info!$L$30),AD47)</f>
        <v>0</v>
      </c>
      <c r="AD47" s="24">
        <f>IF(AI47&lt;&gt;0,AD46*(1+Info!$F$26),0)</f>
        <v>0</v>
      </c>
      <c r="AE47" s="24">
        <f t="shared" si="5"/>
        <v>0</v>
      </c>
      <c r="AF47" s="24">
        <f>IF(AI47&gt;=0,IF(Info!$C$32="بله",AG47,AG47+L47),"")</f>
        <v>0</v>
      </c>
      <c r="AG47" s="146">
        <f>IF(AI47&lt;&gt;0,AG46*(1+Info!$F$24),0)</f>
        <v>0</v>
      </c>
      <c r="AH47" s="149">
        <f>IF(AJ47&lt;&gt;"",Info!$C$6+AJ47-1,0)</f>
        <v>0</v>
      </c>
      <c r="AI47" s="26">
        <f>IF(AJ47&lt;&gt;"",IF(Info!$F$6+AJ47-1&lt;=Rates!$Z$11,Info!$F$6+AJ47-1,0),0)</f>
        <v>0</v>
      </c>
      <c r="AJ47" s="27" t="str">
        <f>IF(AI46&lt;&gt;"",IF(AND(AJ46&lt;&gt;"",AI46+1&lt;=Rates!$Z$11),IF(AJ46&lt;&gt;0,IF(AJ46+1&lt;=Info!$I$6,AJ46+1,""),0),""),"")</f>
        <v/>
      </c>
    </row>
    <row r="48" spans="1:36" s="243" customFormat="1" ht="18.75" x14ac:dyDescent="0.45">
      <c r="A48" s="25">
        <f>IF(B48&gt;0,IF(Info!$C$32="بله",AG48/B48,(AG48+L48)/B48),0)</f>
        <v>0</v>
      </c>
      <c r="B48" s="25">
        <f>IF(AND(AI48&gt;=0,AJ48&lt;=Info!$I$6),LOOKUP(Info!$C$24,Rates!$I$2:$I$7,Rates!$F$2:$F$7),0)</f>
        <v>0</v>
      </c>
      <c r="C48" s="25">
        <f>IF(AG48&lt;&gt;0,(C47+F48)*(1+VLOOKUP(Info!$C$26,Rates!$D$3:$E$7,2,FALSE)),0)</f>
        <v>0</v>
      </c>
      <c r="D48" s="25">
        <f t="shared" si="9"/>
        <v>0</v>
      </c>
      <c r="E48" s="25">
        <f>IF(AI48&lt;&gt;0,(E47+F48)*(1+VLOOKUP(Info!$C$26,Rates!$A$14:$B$19,2,FALSE)),0)</f>
        <v>0</v>
      </c>
      <c r="F48" s="25">
        <f>IF(AI48&lt;&gt;"",IF(Info!$C$32="بله",IF(AND(AJ48&lt;=Info!$F$36,AJ48&gt;=Info!$I$36),Info!$C$36,0)+(AG48-Y48-L48-K48-J48-I48-H48-G48),IF(AND(AJ48&lt;=Info!$F$36,AJ48&gt;=Info!$I$36),Info!$C$36,0)+(AG48-Y48-K48-J48-I48-H48-G48)),"")</f>
        <v>0</v>
      </c>
      <c r="G48" s="25">
        <f>IF(AI48&lt;&gt;"",Rates!$AB$11*(L48),"")</f>
        <v>0</v>
      </c>
      <c r="H48" s="25">
        <f>IF(AI48&lt;&gt;"",(Rates!$AD$11+Rates!$AC$11)*(L48),"")</f>
        <v>0</v>
      </c>
      <c r="I48" s="25">
        <f>IF(AI48&lt;&gt;"",LOOKUP(Info!$C$24,Rates!$I$2:$I$7,Rates!$H$2:$H$7)*(J48+K48+L48+Y48),"")</f>
        <v>0</v>
      </c>
      <c r="J48" s="25">
        <f t="shared" ref="J48:J108" si="10">IF(N48="",0,N48)+IF(P48="",0,P48)+IF(Q48="",0,Q48)</f>
        <v>0</v>
      </c>
      <c r="K48" s="25">
        <f>IF(Y48&lt;&gt;"",Info!$C$34*Y48,"")</f>
        <v>0</v>
      </c>
      <c r="L48" s="25">
        <f t="shared" si="1"/>
        <v>0</v>
      </c>
      <c r="M48" s="25"/>
      <c r="N48" s="25">
        <v>0</v>
      </c>
      <c r="O48" s="25" t="str">
        <f>IF(AJ48&lt;=10,(1-Info!$C$44)*IF(OR(Info!$F$24&gt;0,Info!$F$26&gt;0),IF(0.75*$X$4&lt;=0.03*$AD$4,0.75*(X48-X47),0.03*(AD48-AD47)),0),"")</f>
        <v/>
      </c>
      <c r="P48" s="25">
        <f>IF(AJ48&lt;=5,IF(AI48&lt;&gt;"",0.002*AD48,"")*(1-Info!$I$44),0)</f>
        <v>0</v>
      </c>
      <c r="Q48" s="25">
        <f>(1-Info!$F$44)*IF(AI48&lt;&gt;"",IF(Info!$C$32="بله",0.07*X48,0.07*AG48),"")</f>
        <v>0</v>
      </c>
      <c r="R48" s="25">
        <f>IF(X48&lt;&gt;0,S48*X48,0)*(1-Info!$F$48)</f>
        <v>0</v>
      </c>
      <c r="S48" s="25">
        <f>IF(Info!$I$30="خیر",0,IF(Info!$F$30="بله",IF(Info!$C$30=1,2.3,IF(Info!$C$30=2,3.3,4.3)),1))*IF(AND(AH48&lt;=Rates!$Z$8,AH48&gt;0),(1+Info!$C$34)*(1+LOOKUP(Info!$F$34,Rates!$O$2:$O$9,Rates!$L$2:$L$9)/100)*(LOOKUP(Info!$C$6,Rates!$U$2:$U$108,Rates!$R$2:$R$108)/100),0)</f>
        <v>0</v>
      </c>
      <c r="T48" s="25">
        <f>IF(AI48&lt;71,(1-Info!$F$46)*((AB48*0.0008*(1+(LOOKUP(Info!$I$34,Rates!$O$2:$O$9,Rates!$M$2:$M$9)/100)))),0)</f>
        <v>0</v>
      </c>
      <c r="U48" s="25">
        <f>IF(AI48&lt;71,(1-Info!$I$46)*(((AD48*0.0008*Info!$L$30))*(1+(LOOKUP(Info!$I$34,Rates!$O:$O,Rates!$N:$N)/100))),0)</f>
        <v>0</v>
      </c>
      <c r="V48" s="25">
        <f>((Z48*0.0008))*(1+(LOOKUP(Info!$I$34,Rates!$O$2:$O$9,Rates!$M$2:$M$9)/100))*(1-Info!$C$46)</f>
        <v>0</v>
      </c>
      <c r="W48" s="25">
        <f>IF(AND(AI48&lt;=Rates!$Z$2,AJ48&lt;=Info!$I$6,Info!$F$32="معمولی"),VLOOKUP(AI48,Rates!$U$1:$Y$108,5,0),IF(AND(AI48&lt;=Rates!$Z$2,AJ48&lt;=Info!$I$6,Info!$F$32="پایه"),VLOOKUP(AI48,Rates!$U$1:$Y$108,2,0),IF(AND(AI48&lt;=Rates!$Z$2,AJ48&lt;=Info!$I$6,Info!$F$32="آسایش "),VLOOKUP(AI48,Rates!$U$1:$Y$108,3,0),IF(AND(AI48&lt;=Rates!$Z$2,AJ48&lt;=Info!$I$6,Info!$F$32="ممتاز"),VLOOKUP(AI48,Rates!$U$1:$Y$108,4,0),0))))*AA48/1000000*(1+Info!$C$34)*(1-Info!$I$48)</f>
        <v>0</v>
      </c>
      <c r="X48" s="25">
        <f>IF(Info!$C$32="بله",(AG48-W48-U48-V48-T48)/(1+S48),AG48)</f>
        <v>0</v>
      </c>
      <c r="Y48" s="25">
        <f>IF(AI48&lt;&gt;0,(AD48*LOOKUP(AI48,Rates!$U$2:$U$108,Rates!$T$2:$T$108))/SQRT(1.1),0)</f>
        <v>0</v>
      </c>
      <c r="Z48" s="25">
        <f>IF(AND(AI48&lt;=Rates!$Z$10,AI48&gt;=0),Info!$C$28*(AC48-AD48),0)</f>
        <v>0</v>
      </c>
      <c r="AA48" s="25">
        <f>IF(AND(AI48&gt;=0,AI48&lt;=Rates!$Z$2,AG48&gt;0),MIN(AA47*(1+Info!$F$26),5000000000),0)</f>
        <v>0</v>
      </c>
      <c r="AB48" s="25">
        <f>IF(AND(AI48&gt;=0,AI48&lt;=65),AD48*Info!$L$32,0)</f>
        <v>0</v>
      </c>
      <c r="AC48" s="25">
        <f>IF(AND(AI48&gt;=0,AI48&lt;=Rates!$Z$3),AD48*(1+Info!$L$30),AD48)</f>
        <v>0</v>
      </c>
      <c r="AD48" s="25">
        <f>IF(AI48&lt;&gt;0,AD47*(1+Info!$F$26),0)</f>
        <v>0</v>
      </c>
      <c r="AE48" s="25">
        <f t="shared" ref="AE48:AE108" si="11">IF(AI48&lt;&gt;0,AF48+AE47,0)</f>
        <v>0</v>
      </c>
      <c r="AF48" s="25">
        <f>IF(AI48&gt;=0,IF(Info!$C$32="بله",AG48,AG48+L48),"")</f>
        <v>0</v>
      </c>
      <c r="AG48" s="145">
        <f>IF(AI48&lt;&gt;0,AG47*(1+Info!$F$24),0)</f>
        <v>0</v>
      </c>
      <c r="AH48" s="150">
        <f>IF(AJ48&lt;&gt;"",Info!$C$6+AJ48-1,0)</f>
        <v>0</v>
      </c>
      <c r="AI48" s="28">
        <f>IF(AJ48&lt;&gt;"",IF(Info!$F$6+AJ48-1&lt;=Rates!$Z$11,Info!$F$6+AJ48-1,0),0)</f>
        <v>0</v>
      </c>
      <c r="AJ48" s="29" t="str">
        <f>IF(AI47&lt;&gt;"",IF(AND(AJ47&lt;&gt;"",AI47+1&lt;=Rates!$Z$11),IF(AJ47&lt;&gt;0,IF(AJ47+1&lt;=Info!$I$6,AJ47+1,""),0),""),"")</f>
        <v/>
      </c>
    </row>
    <row r="49" spans="1:36" s="243" customFormat="1" ht="18.75" x14ac:dyDescent="0.45">
      <c r="A49" s="24">
        <f>IF(B49&gt;0,IF(Info!$C$32="بله",AG49/B49,(AG49+L49)/B49),0)</f>
        <v>0</v>
      </c>
      <c r="B49" s="24">
        <f>IF(AND(AI49&gt;=0,AJ49&lt;=Info!$I$6),LOOKUP(Info!$C$24,Rates!$I$2:$I$7,Rates!$F$2:$F$7),0)</f>
        <v>0</v>
      </c>
      <c r="C49" s="24">
        <f>IF(AG49&lt;&gt;0,(C48+F49)*(1+VLOOKUP(Info!$C$26,Rates!$D$3:$E$7,2,FALSE)),0)</f>
        <v>0</v>
      </c>
      <c r="D49" s="24">
        <f t="shared" si="9"/>
        <v>0</v>
      </c>
      <c r="E49" s="24">
        <f>IF(AI49&lt;&gt;0,(E48+F49)*(1+VLOOKUP(Info!$C$26,Rates!$A$14:$B$19,2,FALSE)),0)</f>
        <v>0</v>
      </c>
      <c r="F49" s="24">
        <f>IF(AI49&lt;&gt;"",IF(Info!$C$32="بله",IF(AND(AJ49&lt;=Info!$F$36,AJ49&gt;=Info!$I$36),Info!$C$36,0)+(AG49-Y49-L49-K49-J49-I49-H49-G49),IF(AND(AJ49&lt;=Info!$F$36,AJ49&gt;=Info!$I$36),Info!$C$36,0)+(AG49-Y49-K49-J49-I49-H49-G49)),"")</f>
        <v>0</v>
      </c>
      <c r="G49" s="24">
        <f>IF(AI49&lt;&gt;"",Rates!$AB$11*(L49),"")</f>
        <v>0</v>
      </c>
      <c r="H49" s="24">
        <f>IF(AI49&lt;&gt;"",(Rates!$AD$11+Rates!$AC$11)*(L49),"")</f>
        <v>0</v>
      </c>
      <c r="I49" s="24">
        <f>IF(AI49&lt;&gt;"",LOOKUP(Info!$C$24,Rates!$I$2:$I$7,Rates!$H$2:$H$7)*(J49+K49+L49+Y49),"")</f>
        <v>0</v>
      </c>
      <c r="J49" s="24">
        <f t="shared" si="10"/>
        <v>0</v>
      </c>
      <c r="K49" s="24">
        <f>IF(Y49&lt;&gt;"",Info!$C$34*Y49,"")</f>
        <v>0</v>
      </c>
      <c r="L49" s="24">
        <f t="shared" si="1"/>
        <v>0</v>
      </c>
      <c r="M49" s="24"/>
      <c r="N49" s="24">
        <v>0</v>
      </c>
      <c r="O49" s="24" t="str">
        <f>IF(AJ49&lt;=10,(1-Info!$C$44)*IF(OR(Info!$F$24&gt;0,Info!$F$26&gt;0),IF(0.75*$X$4&lt;=0.03*$AD$4,0.75*(X49-X48),0.03*(AD49-AD48)),0),"")</f>
        <v/>
      </c>
      <c r="P49" s="24">
        <f>IF(AJ49&lt;=5,IF(AI49&lt;&gt;"",0.002*AD49,"")*(1-Info!$I$44),0)</f>
        <v>0</v>
      </c>
      <c r="Q49" s="24">
        <f>(1-Info!$F$44)*IF(AI49&lt;&gt;"",IF(Info!$C$32="بله",0.07*X49,0.07*AG49),"")</f>
        <v>0</v>
      </c>
      <c r="R49" s="24">
        <f>IF(X49&lt;&gt;0,S49*X49,0)*(1-Info!$F$48)</f>
        <v>0</v>
      </c>
      <c r="S49" s="24">
        <f>IF(Info!$I$30="خیر",0,IF(Info!$F$30="بله",IF(Info!$C$30=1,2.3,IF(Info!$C$30=2,3.3,4.3)),1))*IF(AND(AH49&lt;=Rates!$Z$8,AH49&gt;0),(1+Info!$C$34)*(1+LOOKUP(Info!$F$34,Rates!$O$2:$O$9,Rates!$L$2:$L$9)/100)*(LOOKUP(Info!$C$6,Rates!$U$2:$U$108,Rates!$R$2:$R$108)/100),0)</f>
        <v>0</v>
      </c>
      <c r="T49" s="24">
        <f>IF(AI49&lt;71,(1-Info!$F$46)*((AB49*0.0008*(1+(LOOKUP(Info!$I$34,Rates!$O$2:$O$9,Rates!$M$2:$M$9)/100)))),0)</f>
        <v>0</v>
      </c>
      <c r="U49" s="24">
        <f>IF(AI49&lt;71,(1-Info!$I$46)*(((AD49*0.0008*Info!$L$30))*(1+(LOOKUP(Info!$I$34,Rates!$O:$O,Rates!$N:$N)/100))),0)</f>
        <v>0</v>
      </c>
      <c r="V49" s="24">
        <f>((Z49*0.0008))*(1+(LOOKUP(Info!$I$34,Rates!$O$2:$O$9,Rates!$M$2:$M$9)/100))*(1-Info!$C$46)</f>
        <v>0</v>
      </c>
      <c r="W49" s="24">
        <f>IF(AND(AI49&lt;=Rates!$Z$2,AJ49&lt;=Info!$I$6,Info!$F$32="معمولی"),VLOOKUP(AI49,Rates!$U$1:$Y$108,5,0),IF(AND(AI49&lt;=Rates!$Z$2,AJ49&lt;=Info!$I$6,Info!$F$32="پایه"),VLOOKUP(AI49,Rates!$U$1:$Y$108,2,0),IF(AND(AI49&lt;=Rates!$Z$2,AJ49&lt;=Info!$I$6,Info!$F$32="آسایش "),VLOOKUP(AI49,Rates!$U$1:$Y$108,3,0),IF(AND(AI49&lt;=Rates!$Z$2,AJ49&lt;=Info!$I$6,Info!$F$32="ممتاز"),VLOOKUP(AI49,Rates!$U$1:$Y$108,4,0),0))))*AA49/1000000*(1+Info!$C$34)*(1-Info!$I$48)</f>
        <v>0</v>
      </c>
      <c r="X49" s="24">
        <f>IF(Info!$C$32="بله",(AG49-W49-U49-V49-T49)/(1+S49),AG49)</f>
        <v>0</v>
      </c>
      <c r="Y49" s="24">
        <f>IF(AI49&lt;&gt;0,(AD49*LOOKUP(AI49,Rates!$U$2:$U$108,Rates!$T$2:$T$108))/SQRT(1.1),0)</f>
        <v>0</v>
      </c>
      <c r="Z49" s="24">
        <f>IF(AND(AI49&lt;=Rates!$Z$10,AI49&gt;=0),Info!$C$28*(AC49-AD49),0)</f>
        <v>0</v>
      </c>
      <c r="AA49" s="24">
        <f>IF(AND(AI49&gt;=0,AI49&lt;=Rates!$Z$2,AG49&gt;0),MIN(AA48*(1+Info!$F$26),5000000000),0)</f>
        <v>0</v>
      </c>
      <c r="AB49" s="24">
        <f>IF(AND(AI49&gt;=0,AI49&lt;=65),AD49*Info!$L$32,0)</f>
        <v>0</v>
      </c>
      <c r="AC49" s="24">
        <f>IF(AND(AI49&gt;=0,AI49&lt;=Rates!$Z$3),AD49*(1+Info!$L$30),AD49)</f>
        <v>0</v>
      </c>
      <c r="AD49" s="24">
        <f>IF(AI49&lt;&gt;0,AD48*(1+Info!$F$26),0)</f>
        <v>0</v>
      </c>
      <c r="AE49" s="24">
        <f t="shared" si="11"/>
        <v>0</v>
      </c>
      <c r="AF49" s="24">
        <f>IF(AI49&gt;=0,IF(Info!$C$32="بله",AG49,AG49+L49),"")</f>
        <v>0</v>
      </c>
      <c r="AG49" s="146">
        <f>IF(AI49&lt;&gt;0,AG48*(1+Info!$F$24),0)</f>
        <v>0</v>
      </c>
      <c r="AH49" s="149">
        <f>IF(AJ49&lt;&gt;"",Info!$C$6+AJ49-1,0)</f>
        <v>0</v>
      </c>
      <c r="AI49" s="26">
        <f>IF(AJ49&lt;&gt;"",IF(Info!$F$6+AJ49-1&lt;=Rates!$Z$11,Info!$F$6+AJ49-1,0),0)</f>
        <v>0</v>
      </c>
      <c r="AJ49" s="27" t="str">
        <f>IF(AI48&lt;&gt;"",IF(AND(AJ48&lt;&gt;"",AI48+1&lt;=Rates!$Z$11),IF(AJ48&lt;&gt;0,IF(AJ48+1&lt;=Info!$I$6,AJ48+1,""),0),""),"")</f>
        <v/>
      </c>
    </row>
    <row r="50" spans="1:36" s="243" customFormat="1" ht="18.75" x14ac:dyDescent="0.45">
      <c r="A50" s="25">
        <f>IF(B50&gt;0,IF(Info!$C$32="بله",AG50/B50,(AG50+L50)/B50),0)</f>
        <v>0</v>
      </c>
      <c r="B50" s="25">
        <f>IF(AND(AI50&gt;=0,AJ50&lt;=Info!$I$6),LOOKUP(Info!$C$24,Rates!$I$2:$I$7,Rates!$F$2:$F$7),0)</f>
        <v>0</v>
      </c>
      <c r="C50" s="25">
        <f>IF(AG50&lt;&gt;0,(C49+F50)*(1+VLOOKUP(Info!$C$26,Rates!$D$3:$E$7,2,FALSE)),0)</f>
        <v>0</v>
      </c>
      <c r="D50" s="25">
        <f t="shared" si="9"/>
        <v>0</v>
      </c>
      <c r="E50" s="25">
        <f>IF(AI50&lt;&gt;0,(E49+F50)*(1+VLOOKUP(Info!$C$26,Rates!$A$14:$B$19,2,FALSE)),0)</f>
        <v>0</v>
      </c>
      <c r="F50" s="25">
        <f>IF(AI50&lt;&gt;"",IF(Info!$C$32="بله",IF(AND(AJ50&lt;=Info!$F$36,AJ50&gt;=Info!$I$36),Info!$C$36,0)+(AG50-Y50-L50-K50-J50-I50-H50-G50),IF(AND(AJ50&lt;=Info!$F$36,AJ50&gt;=Info!$I$36),Info!$C$36,0)+(AG50-Y50-K50-J50-I50-H50-G50)),"")</f>
        <v>0</v>
      </c>
      <c r="G50" s="25">
        <f>IF(AI50&lt;&gt;"",Rates!$AB$11*(L50),"")</f>
        <v>0</v>
      </c>
      <c r="H50" s="25">
        <f>IF(AI50&lt;&gt;"",(Rates!$AD$11+Rates!$AC$11)*(L50),"")</f>
        <v>0</v>
      </c>
      <c r="I50" s="25">
        <f>IF(AI50&lt;&gt;"",LOOKUP(Info!$C$24,Rates!$I$2:$I$7,Rates!$H$2:$H$7)*(J50+K50+L50+Y50),"")</f>
        <v>0</v>
      </c>
      <c r="J50" s="25">
        <f t="shared" si="10"/>
        <v>0</v>
      </c>
      <c r="K50" s="25">
        <f>IF(Y50&lt;&gt;"",Info!$C$34*Y50,"")</f>
        <v>0</v>
      </c>
      <c r="L50" s="25">
        <f t="shared" si="1"/>
        <v>0</v>
      </c>
      <c r="M50" s="25"/>
      <c r="N50" s="25">
        <v>0</v>
      </c>
      <c r="O50" s="25" t="str">
        <f>IF(AJ50&lt;=10,(1-Info!$C$44)*IF(OR(Info!$F$24&gt;0,Info!$F$26&gt;0),IF(0.75*$X$4&lt;=0.03*$AD$4,0.75*(X50-X49),0.03*(AD50-AD49)),0),"")</f>
        <v/>
      </c>
      <c r="P50" s="25">
        <f>IF(AJ50&lt;=5,IF(AI50&lt;&gt;"",0.002*AD50,"")*(1-Info!$I$44),0)</f>
        <v>0</v>
      </c>
      <c r="Q50" s="25">
        <f>(1-Info!$F$44)*IF(AI50&lt;&gt;"",IF(Info!$C$32="بله",0.07*X50,0.07*AG50),"")</f>
        <v>0</v>
      </c>
      <c r="R50" s="25">
        <f>IF(X50&lt;&gt;0,S50*X50,0)*(1-Info!$F$48)</f>
        <v>0</v>
      </c>
      <c r="S50" s="25">
        <f>IF(Info!$I$30="خیر",0,IF(Info!$F$30="بله",IF(Info!$C$30=1,2.3,IF(Info!$C$30=2,3.3,4.3)),1))*IF(AND(AH50&lt;=Rates!$Z$8,AH50&gt;0),(1+Info!$C$34)*(1+LOOKUP(Info!$F$34,Rates!$O$2:$O$9,Rates!$L$2:$L$9)/100)*(LOOKUP(Info!$C$6,Rates!$U$2:$U$108,Rates!$R$2:$R$108)/100),0)</f>
        <v>0</v>
      </c>
      <c r="T50" s="25">
        <f>IF(AI50&lt;71,(1-Info!$F$46)*((AB50*0.0008*(1+(LOOKUP(Info!$I$34,Rates!$O$2:$O$9,Rates!$M$2:$M$9)/100)))),0)</f>
        <v>0</v>
      </c>
      <c r="U50" s="25">
        <f>IF(AI50&lt;71,(1-Info!$I$46)*(((AD50*0.0008*Info!$L$30))*(1+(LOOKUP(Info!$I$34,Rates!$O:$O,Rates!$N:$N)/100))),0)</f>
        <v>0</v>
      </c>
      <c r="V50" s="25">
        <f>((Z50*0.0008))*(1+(LOOKUP(Info!$I$34,Rates!$O$2:$O$9,Rates!$M$2:$M$9)/100))*(1-Info!$C$46)</f>
        <v>0</v>
      </c>
      <c r="W50" s="25">
        <f>IF(AND(AI50&lt;=Rates!$Z$2,AJ50&lt;=Info!$I$6,Info!$F$32="معمولی"),VLOOKUP(AI50,Rates!$U$1:$Y$108,5,0),IF(AND(AI50&lt;=Rates!$Z$2,AJ50&lt;=Info!$I$6,Info!$F$32="پایه"),VLOOKUP(AI50,Rates!$U$1:$Y$108,2,0),IF(AND(AI50&lt;=Rates!$Z$2,AJ50&lt;=Info!$I$6,Info!$F$32="آسایش "),VLOOKUP(AI50,Rates!$U$1:$Y$108,3,0),IF(AND(AI50&lt;=Rates!$Z$2,AJ50&lt;=Info!$I$6,Info!$F$32="ممتاز"),VLOOKUP(AI50,Rates!$U$1:$Y$108,4,0),0))))*AA50/1000000*(1+Info!$C$34)*(1-Info!$I$48)</f>
        <v>0</v>
      </c>
      <c r="X50" s="25">
        <f>IF(Info!$C$32="بله",(AG50-W50-U50-V50-T50)/(1+S50),AG50)</f>
        <v>0</v>
      </c>
      <c r="Y50" s="25">
        <f>IF(AI50&lt;&gt;0,(AD50*LOOKUP(AI50,Rates!$U$2:$U$108,Rates!$T$2:$T$108))/SQRT(1.1),0)</f>
        <v>0</v>
      </c>
      <c r="Z50" s="25">
        <f>IF(AND(AI50&lt;=Rates!$Z$10,AI50&gt;=0),Info!$C$28*(AC50-AD50),0)</f>
        <v>0</v>
      </c>
      <c r="AA50" s="25">
        <f>IF(AND(AI50&gt;=0,AI50&lt;=Rates!$Z$2,AG50&gt;0),MIN(AA49*(1+Info!$F$26),5000000000),0)</f>
        <v>0</v>
      </c>
      <c r="AB50" s="25">
        <f>IF(AND(AI50&gt;=0,AI50&lt;=65),AD50*Info!$L$32,0)</f>
        <v>0</v>
      </c>
      <c r="AC50" s="25">
        <f>IF(AND(AI50&gt;=0,AI50&lt;=Rates!$Z$3),AD50*(1+Info!$L$30),AD50)</f>
        <v>0</v>
      </c>
      <c r="AD50" s="25">
        <f>IF(AI50&lt;&gt;0,AD49*(1+Info!$F$26),0)</f>
        <v>0</v>
      </c>
      <c r="AE50" s="25">
        <f t="shared" si="11"/>
        <v>0</v>
      </c>
      <c r="AF50" s="25">
        <f>IF(AI50&gt;=0,IF(Info!$C$32="بله",AG50,AG50+L50),"")</f>
        <v>0</v>
      </c>
      <c r="AG50" s="145">
        <f>IF(AI50&lt;&gt;0,AG49*(1+Info!$F$24),0)</f>
        <v>0</v>
      </c>
      <c r="AH50" s="150">
        <f>IF(AJ50&lt;&gt;"",Info!$C$6+AJ50-1,0)</f>
        <v>0</v>
      </c>
      <c r="AI50" s="28">
        <f>IF(AJ50&lt;&gt;"",IF(Info!$F$6+AJ50-1&lt;=Rates!$Z$11,Info!$F$6+AJ50-1,0),0)</f>
        <v>0</v>
      </c>
      <c r="AJ50" s="29" t="str">
        <f>IF(AI49&lt;&gt;"",IF(AND(AJ49&lt;&gt;"",AI49+1&lt;=Rates!$Z$11),IF(AJ49&lt;&gt;0,IF(AJ49+1&lt;=Info!$I$6,AJ49+1,""),0),""),"")</f>
        <v/>
      </c>
    </row>
    <row r="51" spans="1:36" s="243" customFormat="1" ht="18.75" x14ac:dyDescent="0.45">
      <c r="A51" s="24">
        <f>IF(B51&gt;0,IF(Info!$C$32="بله",AG51/B51,(AG51+L51)/B51),0)</f>
        <v>0</v>
      </c>
      <c r="B51" s="24">
        <f>IF(AND(AI51&gt;=0,AJ51&lt;=Info!$I$6),LOOKUP(Info!$C$24,Rates!$I$2:$I$7,Rates!$F$2:$F$7),0)</f>
        <v>0</v>
      </c>
      <c r="C51" s="24">
        <f>IF(AG51&lt;&gt;0,(C50+F51)*(1+VLOOKUP(Info!$C$26,Rates!$D$3:$E$7,2,FALSE)),0)</f>
        <v>0</v>
      </c>
      <c r="D51" s="24">
        <f t="shared" si="9"/>
        <v>0</v>
      </c>
      <c r="E51" s="24">
        <f>IF(AI51&lt;&gt;0,(E50+F51)*(1+VLOOKUP(Info!$C$26,Rates!$A$14:$B$19,2,FALSE)),0)</f>
        <v>0</v>
      </c>
      <c r="F51" s="24">
        <f>IF(AI51&lt;&gt;"",IF(Info!$C$32="بله",IF(AND(AJ51&lt;=Info!$F$36,AJ51&gt;=Info!$I$36),Info!$C$36,0)+(AG51-Y51-L51-K51-J51-I51-H51-G51),IF(AND(AJ51&lt;=Info!$F$36,AJ51&gt;=Info!$I$36),Info!$C$36,0)+(AG51-Y51-K51-J51-I51-H51-G51)),"")</f>
        <v>0</v>
      </c>
      <c r="G51" s="24">
        <f>IF(AI51&lt;&gt;"",Rates!$AB$11*(L51),"")</f>
        <v>0</v>
      </c>
      <c r="H51" s="24">
        <f>IF(AI51&lt;&gt;"",(Rates!$AD$11+Rates!$AC$11)*(L51),"")</f>
        <v>0</v>
      </c>
      <c r="I51" s="24">
        <f>IF(AI51&lt;&gt;"",LOOKUP(Info!$C$24,Rates!$I$2:$I$7,Rates!$H$2:$H$7)*(J51+K51+L51+Y51),"")</f>
        <v>0</v>
      </c>
      <c r="J51" s="24">
        <f t="shared" si="10"/>
        <v>0</v>
      </c>
      <c r="K51" s="24">
        <f>IF(Y51&lt;&gt;"",Info!$C$34*Y51,"")</f>
        <v>0</v>
      </c>
      <c r="L51" s="24">
        <f t="shared" si="1"/>
        <v>0</v>
      </c>
      <c r="M51" s="24"/>
      <c r="N51" s="24">
        <v>0</v>
      </c>
      <c r="O51" s="24" t="str">
        <f>IF(AJ51&lt;=10,(1-Info!$C$44)*IF(OR(Info!$F$24&gt;0,Info!$F$26&gt;0),IF(0.75*$X$4&lt;=0.03*$AD$4,0.75*(X51-X50),0.03*(AD51-AD50)),0),"")</f>
        <v/>
      </c>
      <c r="P51" s="24">
        <f>IF(AJ51&lt;=5,IF(AI51&lt;&gt;"",0.002*AD51,"")*(1-Info!$I$44),0)</f>
        <v>0</v>
      </c>
      <c r="Q51" s="24">
        <f>(1-Info!$F$44)*IF(AI51&lt;&gt;"",IF(Info!$C$32="بله",0.07*X51,0.07*AG51),"")</f>
        <v>0</v>
      </c>
      <c r="R51" s="24">
        <f>IF(X51&lt;&gt;0,S51*X51,0)*(1-Info!$F$48)</f>
        <v>0</v>
      </c>
      <c r="S51" s="24">
        <f>IF(Info!$I$30="خیر",0,IF(Info!$F$30="بله",IF(Info!$C$30=1,2.3,IF(Info!$C$30=2,3.3,4.3)),1))*IF(AND(AH51&lt;=Rates!$Z$8,AH51&gt;0),(1+Info!$C$34)*(1+LOOKUP(Info!$F$34,Rates!$O$2:$O$9,Rates!$L$2:$L$9)/100)*(LOOKUP(Info!$C$6,Rates!$U$2:$U$108,Rates!$R$2:$R$108)/100),0)</f>
        <v>0</v>
      </c>
      <c r="T51" s="24">
        <f>IF(AI51&lt;71,(1-Info!$F$46)*((AB51*0.0008*(1+(LOOKUP(Info!$I$34,Rates!$O$2:$O$9,Rates!$M$2:$M$9)/100)))),0)</f>
        <v>0</v>
      </c>
      <c r="U51" s="24">
        <f>IF(AI51&lt;71,(1-Info!$I$46)*(((AD51*0.0008*Info!$L$30))*(1+(LOOKUP(Info!$I$34,Rates!$O:$O,Rates!$N:$N)/100))),0)</f>
        <v>0</v>
      </c>
      <c r="V51" s="24">
        <f>((Z51*0.0008))*(1+(LOOKUP(Info!$I$34,Rates!$O$2:$O$9,Rates!$M$2:$M$9)/100))*(1-Info!$C$46)</f>
        <v>0</v>
      </c>
      <c r="W51" s="24">
        <f>IF(AND(AI51&lt;=Rates!$Z$2,AJ51&lt;=Info!$I$6,Info!$F$32="معمولی"),VLOOKUP(AI51,Rates!$U$1:$Y$108,5,0),IF(AND(AI51&lt;=Rates!$Z$2,AJ51&lt;=Info!$I$6,Info!$F$32="پایه"),VLOOKUP(AI51,Rates!$U$1:$Y$108,2,0),IF(AND(AI51&lt;=Rates!$Z$2,AJ51&lt;=Info!$I$6,Info!$F$32="آسایش "),VLOOKUP(AI51,Rates!$U$1:$Y$108,3,0),IF(AND(AI51&lt;=Rates!$Z$2,AJ51&lt;=Info!$I$6,Info!$F$32="ممتاز"),VLOOKUP(AI51,Rates!$U$1:$Y$108,4,0),0))))*AA51/1000000*(1+Info!$C$34)*(1-Info!$I$48)</f>
        <v>0</v>
      </c>
      <c r="X51" s="24">
        <f>IF(Info!$C$32="بله",(AG51-W51-U51-V51-T51)/(1+S51),AG51)</f>
        <v>0</v>
      </c>
      <c r="Y51" s="24">
        <f>IF(AI51&lt;&gt;0,(AD51*LOOKUP(AI51,Rates!$U$2:$U$108,Rates!$T$2:$T$108))/SQRT(1.1),0)</f>
        <v>0</v>
      </c>
      <c r="Z51" s="24">
        <f>IF(AND(AI51&lt;=Rates!$Z$10,AI51&gt;=0),Info!$C$28*(AC51-AD51),0)</f>
        <v>0</v>
      </c>
      <c r="AA51" s="24">
        <f>IF(AND(AI51&gt;=0,AI51&lt;=Rates!$Z$2,AG51&gt;0),MIN(AA50*(1+Info!$F$26),5000000000),0)</f>
        <v>0</v>
      </c>
      <c r="AB51" s="24">
        <f>IF(AND(AI51&gt;=0,AI51&lt;=65),AD51*Info!$L$32,0)</f>
        <v>0</v>
      </c>
      <c r="AC51" s="24">
        <f>IF(AND(AI51&gt;=0,AI51&lt;=Rates!$Z$3),AD51*(1+Info!$L$30),AD51)</f>
        <v>0</v>
      </c>
      <c r="AD51" s="24">
        <f>IF(AI51&lt;&gt;0,AD50*(1+Info!$F$26),0)</f>
        <v>0</v>
      </c>
      <c r="AE51" s="24">
        <f t="shared" si="11"/>
        <v>0</v>
      </c>
      <c r="AF51" s="24">
        <f>IF(AI51&gt;=0,IF(Info!$C$32="بله",AG51,AG51+L51),"")</f>
        <v>0</v>
      </c>
      <c r="AG51" s="146">
        <f>IF(AI51&lt;&gt;0,AG50*(1+Info!$F$24),0)</f>
        <v>0</v>
      </c>
      <c r="AH51" s="149">
        <f>IF(AJ51&lt;&gt;"",Info!$C$6+AJ51-1,0)</f>
        <v>0</v>
      </c>
      <c r="AI51" s="26">
        <f>IF(AJ51&lt;&gt;"",IF(Info!$F$6+AJ51-1&lt;=Rates!$Z$11,Info!$F$6+AJ51-1,0),0)</f>
        <v>0</v>
      </c>
      <c r="AJ51" s="27" t="str">
        <f>IF(AI50&lt;&gt;"",IF(AND(AJ50&lt;&gt;"",AI50+1&lt;=Rates!$Z$11),IF(AJ50&lt;&gt;0,IF(AJ50+1&lt;=Info!$I$6,AJ50+1,""),0),""),"")</f>
        <v/>
      </c>
    </row>
    <row r="52" spans="1:36" s="243" customFormat="1" ht="18.75" x14ac:dyDescent="0.45">
      <c r="A52" s="25">
        <f>IF(B52&gt;0,IF(Info!$C$32="بله",AG52/B52,(AG52+L52)/B52),0)</f>
        <v>0</v>
      </c>
      <c r="B52" s="25">
        <f>IF(AND(AI52&gt;=0,AJ52&lt;=Info!$I$6),LOOKUP(Info!$C$24,Rates!$I$2:$I$7,Rates!$F$2:$F$7),0)</f>
        <v>0</v>
      </c>
      <c r="C52" s="25">
        <f>IF(AG52&lt;&gt;0,(C51+F52)*(1+VLOOKUP(Info!$C$26,Rates!$D$3:$E$7,2,FALSE)),0)</f>
        <v>0</v>
      </c>
      <c r="D52" s="25">
        <f t="shared" si="9"/>
        <v>0</v>
      </c>
      <c r="E52" s="25">
        <f>IF(AI52&lt;&gt;0,(E51+F52)*(1+VLOOKUP(Info!$C$26,Rates!$A$14:$B$19,2,FALSE)),0)</f>
        <v>0</v>
      </c>
      <c r="F52" s="25">
        <f>IF(AI52&lt;&gt;"",IF(Info!$C$32="بله",IF(AND(AJ52&lt;=Info!$F$36,AJ52&gt;=Info!$I$36),Info!$C$36,0)+(AG52-Y52-L52-K52-J52-I52-H52-G52),IF(AND(AJ52&lt;=Info!$F$36,AJ52&gt;=Info!$I$36),Info!$C$36,0)+(AG52-Y52-K52-J52-I52-H52-G52)),"")</f>
        <v>0</v>
      </c>
      <c r="G52" s="25">
        <f>IF(AI52&lt;&gt;"",Rates!$AB$11*(L52),"")</f>
        <v>0</v>
      </c>
      <c r="H52" s="25">
        <f>IF(AI52&lt;&gt;"",(Rates!$AD$11+Rates!$AC$11)*(L52),"")</f>
        <v>0</v>
      </c>
      <c r="I52" s="25">
        <f>IF(AI52&lt;&gt;"",LOOKUP(Info!$C$24,Rates!$I$2:$I$7,Rates!$H$2:$H$7)*(J52+K52+L52+Y52),"")</f>
        <v>0</v>
      </c>
      <c r="J52" s="25">
        <f t="shared" si="10"/>
        <v>0</v>
      </c>
      <c r="K52" s="25">
        <f>IF(Y52&lt;&gt;"",Info!$C$34*Y52,"")</f>
        <v>0</v>
      </c>
      <c r="L52" s="25">
        <f t="shared" si="1"/>
        <v>0</v>
      </c>
      <c r="M52" s="25"/>
      <c r="N52" s="25">
        <v>0</v>
      </c>
      <c r="O52" s="25" t="str">
        <f>IF(AJ52&lt;=10,(1-Info!$C$44)*IF(OR(Info!$F$24&gt;0,Info!$F$26&gt;0),IF(0.75*$X$4&lt;=0.03*$AD$4,0.75*(X52-X51),0.03*(AD52-AD51)),0),"")</f>
        <v/>
      </c>
      <c r="P52" s="25">
        <f>IF(AJ52&lt;=5,IF(AI52&lt;&gt;"",0.002*AD52,"")*(1-Info!$I$44),0)</f>
        <v>0</v>
      </c>
      <c r="Q52" s="25">
        <f>(1-Info!$F$44)*IF(AI52&lt;&gt;"",IF(Info!$C$32="بله",0.07*X52,0.07*AG52),"")</f>
        <v>0</v>
      </c>
      <c r="R52" s="25">
        <f>IF(X52&lt;&gt;0,S52*X52,0)*(1-Info!$F$48)</f>
        <v>0</v>
      </c>
      <c r="S52" s="25">
        <f>IF(Info!$I$30="خیر",0,IF(Info!$F$30="بله",IF(Info!$C$30=1,2.3,IF(Info!$C$30=2,3.3,4.3)),1))*IF(AND(AH52&lt;=Rates!$Z$8,AH52&gt;0),(1+Info!$C$34)*(1+LOOKUP(Info!$F$34,Rates!$O$2:$O$9,Rates!$L$2:$L$9)/100)*(LOOKUP(Info!$C$6,Rates!$U$2:$U$108,Rates!$R$2:$R$108)/100),0)</f>
        <v>0</v>
      </c>
      <c r="T52" s="25">
        <f>IF(AI52&lt;71,(1-Info!$F$46)*((AB52*0.0008*(1+(LOOKUP(Info!$I$34,Rates!$O$2:$O$9,Rates!$M$2:$M$9)/100)))),0)</f>
        <v>0</v>
      </c>
      <c r="U52" s="25">
        <f>IF(AI52&lt;71,(1-Info!$I$46)*(((AD52*0.0008*Info!$L$30))*(1+(LOOKUP(Info!$I$34,Rates!$O:$O,Rates!$N:$N)/100))),0)</f>
        <v>0</v>
      </c>
      <c r="V52" s="25">
        <f>((Z52*0.0008))*(1+(LOOKUP(Info!$I$34,Rates!$O$2:$O$9,Rates!$M$2:$M$9)/100))*(1-Info!$C$46)</f>
        <v>0</v>
      </c>
      <c r="W52" s="25">
        <f>IF(AND(AI52&lt;=Rates!$Z$2,AJ52&lt;=Info!$I$6,Info!$F$32="معمولی"),VLOOKUP(AI52,Rates!$U$1:$Y$108,5,0),IF(AND(AI52&lt;=Rates!$Z$2,AJ52&lt;=Info!$I$6,Info!$F$32="پایه"),VLOOKUP(AI52,Rates!$U$1:$Y$108,2,0),IF(AND(AI52&lt;=Rates!$Z$2,AJ52&lt;=Info!$I$6,Info!$F$32="آسایش "),VLOOKUP(AI52,Rates!$U$1:$Y$108,3,0),IF(AND(AI52&lt;=Rates!$Z$2,AJ52&lt;=Info!$I$6,Info!$F$32="ممتاز"),VLOOKUP(AI52,Rates!$U$1:$Y$108,4,0),0))))*AA52/1000000*(1+Info!$C$34)*(1-Info!$I$48)</f>
        <v>0</v>
      </c>
      <c r="X52" s="25">
        <f>IF(Info!$C$32="بله",(AG52-W52-U52-V52-T52)/(1+S52),AG52)</f>
        <v>0</v>
      </c>
      <c r="Y52" s="25">
        <f>IF(AI52&lt;&gt;0,(AD52*LOOKUP(AI52,Rates!$U$2:$U$108,Rates!$T$2:$T$108))/SQRT(1.1),0)</f>
        <v>0</v>
      </c>
      <c r="Z52" s="25">
        <f>IF(AND(AI52&lt;=Rates!$Z$10,AI52&gt;=0),Info!$C$28*(AC52-AD52),0)</f>
        <v>0</v>
      </c>
      <c r="AA52" s="25">
        <f>IF(AND(AI52&gt;=0,AI52&lt;=Rates!$Z$2,AG52&gt;0),MIN(AA51*(1+Info!$F$26),5000000000),0)</f>
        <v>0</v>
      </c>
      <c r="AB52" s="25">
        <f>IF(AND(AI52&gt;=0,AI52&lt;=65),AD52*Info!$L$32,0)</f>
        <v>0</v>
      </c>
      <c r="AC52" s="25">
        <f>IF(AND(AI52&gt;=0,AI52&lt;=Rates!$Z$3),AD52*(1+Info!$L$30),AD52)</f>
        <v>0</v>
      </c>
      <c r="AD52" s="25">
        <f>IF(AI52&lt;&gt;0,AD51*(1+Info!$F$26),0)</f>
        <v>0</v>
      </c>
      <c r="AE52" s="25">
        <f t="shared" si="11"/>
        <v>0</v>
      </c>
      <c r="AF52" s="25">
        <f>IF(AI52&gt;=0,IF(Info!$C$32="بله",AG52,AG52+L52),"")</f>
        <v>0</v>
      </c>
      <c r="AG52" s="145">
        <f>IF(AI52&lt;&gt;0,AG51*(1+Info!$F$24),0)</f>
        <v>0</v>
      </c>
      <c r="AH52" s="150">
        <f>IF(AJ52&lt;&gt;"",Info!$C$6+AJ52-1,0)</f>
        <v>0</v>
      </c>
      <c r="AI52" s="28">
        <f>IF(AJ52&lt;&gt;"",IF(Info!$F$6+AJ52-1&lt;=Rates!$Z$11,Info!$F$6+AJ52-1,0),0)</f>
        <v>0</v>
      </c>
      <c r="AJ52" s="29" t="str">
        <f>IF(AI51&lt;&gt;"",IF(AND(AJ51&lt;&gt;"",AI51+1&lt;=Rates!$Z$11),IF(AJ51&lt;&gt;0,IF(AJ51+1&lt;=Info!$I$6,AJ51+1,""),0),""),"")</f>
        <v/>
      </c>
    </row>
    <row r="53" spans="1:36" s="243" customFormat="1" ht="18.75" x14ac:dyDescent="0.45">
      <c r="A53" s="24">
        <f>IF(B53&gt;0,IF(Info!$C$32="بله",AG53/B53,(AG53+L53)/B53),0)</f>
        <v>0</v>
      </c>
      <c r="B53" s="24">
        <f>IF(AND(AI53&gt;=0,AJ53&lt;=Info!$I$6),LOOKUP(Info!$C$24,Rates!$I$2:$I$7,Rates!$F$2:$F$7),0)</f>
        <v>0</v>
      </c>
      <c r="C53" s="24">
        <f>IF(AG53&lt;&gt;0,(C52+F53)*(1+VLOOKUP(Info!$C$26,Rates!$D$3:$E$7,2,FALSE)),0)</f>
        <v>0</v>
      </c>
      <c r="D53" s="24">
        <f t="shared" si="9"/>
        <v>0</v>
      </c>
      <c r="E53" s="24">
        <f>IF(AI53&lt;&gt;0,(E52+F53)*(1+VLOOKUP(Info!$C$26,Rates!$A$14:$B$19,2,FALSE)),0)</f>
        <v>0</v>
      </c>
      <c r="F53" s="24">
        <f>IF(AI53&lt;&gt;"",IF(Info!$C$32="بله",IF(AND(AJ53&lt;=Info!$F$36,AJ53&gt;=Info!$I$36),Info!$C$36,0)+(AG53-Y53-L53-K53-J53-I53-H53-G53),IF(AND(AJ53&lt;=Info!$F$36,AJ53&gt;=Info!$I$36),Info!$C$36,0)+(AG53-Y53-K53-J53-I53-H53-G53)),"")</f>
        <v>0</v>
      </c>
      <c r="G53" s="24">
        <f>IF(AI53&lt;&gt;"",Rates!$AB$11*(L53),"")</f>
        <v>0</v>
      </c>
      <c r="H53" s="24">
        <f>IF(AI53&lt;&gt;"",(Rates!$AD$11+Rates!$AC$11)*(L53),"")</f>
        <v>0</v>
      </c>
      <c r="I53" s="24">
        <f>IF(AI53&lt;&gt;"",LOOKUP(Info!$C$24,Rates!$I$2:$I$7,Rates!$H$2:$H$7)*(J53+K53+L53+Y53),"")</f>
        <v>0</v>
      </c>
      <c r="J53" s="24">
        <f t="shared" si="10"/>
        <v>0</v>
      </c>
      <c r="K53" s="24">
        <f>IF(Y53&lt;&gt;"",Info!$C$34*Y53,"")</f>
        <v>0</v>
      </c>
      <c r="L53" s="24">
        <f t="shared" si="1"/>
        <v>0</v>
      </c>
      <c r="M53" s="24"/>
      <c r="N53" s="24">
        <v>0</v>
      </c>
      <c r="O53" s="24" t="str">
        <f>IF(AJ53&lt;=10,(1-Info!$C$44)*IF(OR(Info!$F$24&gt;0,Info!$F$26&gt;0),IF(0.75*$X$4&lt;=0.03*$AD$4,0.75*(X53-X52),0.03*(AD53-AD52)),0),"")</f>
        <v/>
      </c>
      <c r="P53" s="24">
        <f>IF(AJ53&lt;=5,IF(AI53&lt;&gt;"",0.002*AD53,"")*(1-Info!$I$44),0)</f>
        <v>0</v>
      </c>
      <c r="Q53" s="24">
        <f>(1-Info!$F$44)*IF(AI53&lt;&gt;"",IF(Info!$C$32="بله",0.07*X53,0.07*AG53),"")</f>
        <v>0</v>
      </c>
      <c r="R53" s="24">
        <f>IF(X53&lt;&gt;0,S53*X53,0)*(1-Info!$F$48)</f>
        <v>0</v>
      </c>
      <c r="S53" s="24">
        <f>IF(Info!$I$30="خیر",0,IF(Info!$F$30="بله",IF(Info!$C$30=1,2.3,IF(Info!$C$30=2,3.3,4.3)),1))*IF(AND(AH53&lt;=Rates!$Z$8,AH53&gt;0),(1+Info!$C$34)*(1+LOOKUP(Info!$F$34,Rates!$O$2:$O$9,Rates!$L$2:$L$9)/100)*(LOOKUP(Info!$C$6,Rates!$U$2:$U$108,Rates!$R$2:$R$108)/100),0)</f>
        <v>0</v>
      </c>
      <c r="T53" s="24">
        <f>IF(AI53&lt;71,(1-Info!$F$46)*((AB53*0.0008*(1+(LOOKUP(Info!$I$34,Rates!$O$2:$O$9,Rates!$M$2:$M$9)/100)))),0)</f>
        <v>0</v>
      </c>
      <c r="U53" s="24">
        <f>IF(AI53&lt;71,(1-Info!$I$46)*(((AD53*0.0008*Info!$L$30))*(1+(LOOKUP(Info!$I$34,Rates!$O:$O,Rates!$N:$N)/100))),0)</f>
        <v>0</v>
      </c>
      <c r="V53" s="24">
        <f>((Z53*0.0008))*(1+(LOOKUP(Info!$I$34,Rates!$O$2:$O$9,Rates!$M$2:$M$9)/100))*(1-Info!$C$46)</f>
        <v>0</v>
      </c>
      <c r="W53" s="24">
        <f>IF(AND(AI53&lt;=Rates!$Z$2,AJ53&lt;=Info!$I$6,Info!$F$32="معمولی"),VLOOKUP(AI53,Rates!$U$1:$Y$108,5,0),IF(AND(AI53&lt;=Rates!$Z$2,AJ53&lt;=Info!$I$6,Info!$F$32="پایه"),VLOOKUP(AI53,Rates!$U$1:$Y$108,2,0),IF(AND(AI53&lt;=Rates!$Z$2,AJ53&lt;=Info!$I$6,Info!$F$32="آسایش "),VLOOKUP(AI53,Rates!$U$1:$Y$108,3,0),IF(AND(AI53&lt;=Rates!$Z$2,AJ53&lt;=Info!$I$6,Info!$F$32="ممتاز"),VLOOKUP(AI53,Rates!$U$1:$Y$108,4,0),0))))*AA53/1000000*(1+Info!$C$34)*(1-Info!$I$48)</f>
        <v>0</v>
      </c>
      <c r="X53" s="24">
        <f>IF(Info!$C$32="بله",(AG53-W53-U53-V53-T53)/(1+S53),AG53)</f>
        <v>0</v>
      </c>
      <c r="Y53" s="24">
        <f>IF(AI53&lt;&gt;0,(AD53*LOOKUP(AI53,Rates!$U$2:$U$108,Rates!$T$2:$T$108))/SQRT(1.1),0)</f>
        <v>0</v>
      </c>
      <c r="Z53" s="24">
        <f>IF(AND(AI53&lt;=Rates!$Z$10,AI53&gt;=0),Info!$C$28*(AC53-AD53),0)</f>
        <v>0</v>
      </c>
      <c r="AA53" s="24">
        <f>IF(AND(AI53&gt;=0,AI53&lt;=Rates!$Z$2,AG53&gt;0),MIN(AA52*(1+Info!$F$26),5000000000),0)</f>
        <v>0</v>
      </c>
      <c r="AB53" s="24">
        <f>IF(AND(AI53&gt;=0,AI53&lt;=65),AD53*Info!$L$32,0)</f>
        <v>0</v>
      </c>
      <c r="AC53" s="24">
        <f>IF(AND(AI53&gt;=0,AI53&lt;=Rates!$Z$3),AD53*(1+Info!$L$30),AD53)</f>
        <v>0</v>
      </c>
      <c r="AD53" s="24">
        <f>IF(AI53&lt;&gt;0,AD52*(1+Info!$F$26),0)</f>
        <v>0</v>
      </c>
      <c r="AE53" s="24">
        <f t="shared" si="11"/>
        <v>0</v>
      </c>
      <c r="AF53" s="24">
        <f>IF(AI53&gt;=0,IF(Info!$C$32="بله",AG53,AG53+L53),"")</f>
        <v>0</v>
      </c>
      <c r="AG53" s="146">
        <f>IF(AI53&lt;&gt;0,AG52*(1+Info!$F$24),0)</f>
        <v>0</v>
      </c>
      <c r="AH53" s="149">
        <f>IF(AJ53&lt;&gt;"",Info!$C$6+AJ53-1,0)</f>
        <v>0</v>
      </c>
      <c r="AI53" s="26">
        <f>IF(AJ53&lt;&gt;"",IF(Info!$F$6+AJ53-1&lt;=Rates!$Z$11,Info!$F$6+AJ53-1,0),0)</f>
        <v>0</v>
      </c>
      <c r="AJ53" s="27" t="str">
        <f>IF(AI52&lt;&gt;"",IF(AND(AJ52&lt;&gt;"",AI52+1&lt;=Rates!$Z$11),IF(AJ52&lt;&gt;0,IF(AJ52+1&lt;=Info!$I$6,AJ52+1,""),0),""),"")</f>
        <v/>
      </c>
    </row>
    <row r="54" spans="1:36" s="243" customFormat="1" ht="18.75" x14ac:dyDescent="0.45">
      <c r="A54" s="25">
        <f>IF(B54&gt;0,IF(Info!$C$32="بله",AG54/B54,(AG54+L54)/B54),0)</f>
        <v>0</v>
      </c>
      <c r="B54" s="25">
        <f>IF(AND(AI54&gt;=0,AJ54&lt;=Info!$I$6),LOOKUP(Info!$C$24,Rates!$I$2:$I$7,Rates!$F$2:$F$7),0)</f>
        <v>0</v>
      </c>
      <c r="C54" s="25">
        <f>IF(AG54&lt;&gt;0,(C53+F54)*(1+VLOOKUP(Info!$C$26,Rates!$D$3:$E$7,2,FALSE)),0)</f>
        <v>0</v>
      </c>
      <c r="D54" s="25">
        <f t="shared" si="9"/>
        <v>0</v>
      </c>
      <c r="E54" s="25">
        <f>IF(AI54&lt;&gt;0,(E53+F54)*(1+VLOOKUP(Info!$C$26,Rates!$A$14:$B$19,2,FALSE)),0)</f>
        <v>0</v>
      </c>
      <c r="F54" s="25">
        <f>IF(AI54&lt;&gt;"",IF(Info!$C$32="بله",IF(AND(AJ54&lt;=Info!$F$36,AJ54&gt;=Info!$I$36),Info!$C$36,0)+(AG54-Y54-L54-K54-J54-I54-H54-G54),IF(AND(AJ54&lt;=Info!$F$36,AJ54&gt;=Info!$I$36),Info!$C$36,0)+(AG54-Y54-K54-J54-I54-H54-G54)),"")</f>
        <v>0</v>
      </c>
      <c r="G54" s="25">
        <f>IF(AI54&lt;&gt;"",Rates!$AB$11*(L54),"")</f>
        <v>0</v>
      </c>
      <c r="H54" s="25">
        <f>IF(AI54&lt;&gt;"",(Rates!$AD$11+Rates!$AC$11)*(L54),"")</f>
        <v>0</v>
      </c>
      <c r="I54" s="25">
        <f>IF(AI54&lt;&gt;"",LOOKUP(Info!$C$24,Rates!$I$2:$I$7,Rates!$H$2:$H$7)*(J54+K54+L54+Y54),"")</f>
        <v>0</v>
      </c>
      <c r="J54" s="25">
        <f t="shared" si="10"/>
        <v>0</v>
      </c>
      <c r="K54" s="25">
        <f>IF(Y54&lt;&gt;"",Info!$C$34*Y54,"")</f>
        <v>0</v>
      </c>
      <c r="L54" s="25">
        <f t="shared" si="1"/>
        <v>0</v>
      </c>
      <c r="M54" s="25"/>
      <c r="N54" s="25">
        <v>0</v>
      </c>
      <c r="O54" s="25" t="str">
        <f>IF(AJ54&lt;=10,(1-Info!$C$44)*IF(OR(Info!$F$24&gt;0,Info!$F$26&gt;0),IF(0.75*$X$4&lt;=0.03*$AD$4,0.75*(X54-X53),0.03*(AD54-AD53)),0),"")</f>
        <v/>
      </c>
      <c r="P54" s="25">
        <f>IF(AJ54&lt;=5,IF(AI54&lt;&gt;"",0.002*AD54,"")*(1-Info!$I$44),0)</f>
        <v>0</v>
      </c>
      <c r="Q54" s="25">
        <f>(1-Info!$F$44)*IF(AI54&lt;&gt;"",IF(Info!$C$32="بله",0.07*X54,0.07*AG54),"")</f>
        <v>0</v>
      </c>
      <c r="R54" s="25">
        <f>IF(X54&lt;&gt;0,S54*X54,0)*(1-Info!$F$48)</f>
        <v>0</v>
      </c>
      <c r="S54" s="25">
        <f>IF(Info!$I$30="خیر",0,IF(Info!$F$30="بله",IF(Info!$C$30=1,2.3,IF(Info!$C$30=2,3.3,4.3)),1))*IF(AND(AH54&lt;=Rates!$Z$8,AH54&gt;0),(1+Info!$C$34)*(1+LOOKUP(Info!$F$34,Rates!$O$2:$O$9,Rates!$L$2:$L$9)/100)*(LOOKUP(Info!$C$6,Rates!$U$2:$U$108,Rates!$R$2:$R$108)/100),0)</f>
        <v>0</v>
      </c>
      <c r="T54" s="25">
        <f>IF(AI54&lt;71,(1-Info!$F$46)*((AB54*0.0008*(1+(LOOKUP(Info!$I$34,Rates!$O$2:$O$9,Rates!$M$2:$M$9)/100)))),0)</f>
        <v>0</v>
      </c>
      <c r="U54" s="25">
        <f>IF(AI54&lt;71,(1-Info!$I$46)*(((AD54*0.0008*Info!$L$30))*(1+(LOOKUP(Info!$I$34,Rates!$O:$O,Rates!$N:$N)/100))),0)</f>
        <v>0</v>
      </c>
      <c r="V54" s="25">
        <f>((Z54*0.0008))*(1+(LOOKUP(Info!$I$34,Rates!$O$2:$O$9,Rates!$M$2:$M$9)/100))*(1-Info!$C$46)</f>
        <v>0</v>
      </c>
      <c r="W54" s="25">
        <f>IF(AND(AI54&lt;=Rates!$Z$2,AJ54&lt;=Info!$I$6,Info!$F$32="معمولی"),VLOOKUP(AI54,Rates!$U$1:$Y$108,5,0),IF(AND(AI54&lt;=Rates!$Z$2,AJ54&lt;=Info!$I$6,Info!$F$32="پایه"),VLOOKUP(AI54,Rates!$U$1:$Y$108,2,0),IF(AND(AI54&lt;=Rates!$Z$2,AJ54&lt;=Info!$I$6,Info!$F$32="آسایش "),VLOOKUP(AI54,Rates!$U$1:$Y$108,3,0),IF(AND(AI54&lt;=Rates!$Z$2,AJ54&lt;=Info!$I$6,Info!$F$32="ممتاز"),VLOOKUP(AI54,Rates!$U$1:$Y$108,4,0),0))))*AA54/1000000*(1+Info!$C$34)*(1-Info!$I$48)</f>
        <v>0</v>
      </c>
      <c r="X54" s="25">
        <f>IF(Info!$C$32="بله",(AG54-W54-U54-V54-T54)/(1+S54),AG54)</f>
        <v>0</v>
      </c>
      <c r="Y54" s="25">
        <f>IF(AI54&lt;&gt;0,(AD54*LOOKUP(AI54,Rates!$U$2:$U$108,Rates!$T$2:$T$108))/SQRT(1.1),0)</f>
        <v>0</v>
      </c>
      <c r="Z54" s="25">
        <f>IF(AND(AI54&lt;=Rates!$Z$10,AI54&gt;=0),Info!$C$28*(AC54-AD54),0)</f>
        <v>0</v>
      </c>
      <c r="AA54" s="25">
        <f>IF(AND(AI54&gt;=0,AI54&lt;=Rates!$Z$2,AG54&gt;0),MIN(AA53*(1+Info!$F$26),5000000000),0)</f>
        <v>0</v>
      </c>
      <c r="AB54" s="25">
        <f>IF(AND(AI54&gt;=0,AI54&lt;=65),AD54*Info!$L$32,0)</f>
        <v>0</v>
      </c>
      <c r="AC54" s="25">
        <f>IF(AND(AI54&gt;=0,AI54&lt;=Rates!$Z$3),AD54*(1+Info!$L$30),AD54)</f>
        <v>0</v>
      </c>
      <c r="AD54" s="25">
        <f>IF(AI54&lt;&gt;0,AD53*(1+Info!$F$26),0)</f>
        <v>0</v>
      </c>
      <c r="AE54" s="25">
        <f t="shared" si="11"/>
        <v>0</v>
      </c>
      <c r="AF54" s="25">
        <f>IF(AI54&gt;=0,IF(Info!$C$32="بله",AG54,AG54+L54),"")</f>
        <v>0</v>
      </c>
      <c r="AG54" s="145">
        <f>IF(AI54&lt;&gt;0,AG53*(1+Info!$F$24),0)</f>
        <v>0</v>
      </c>
      <c r="AH54" s="150">
        <f>IF(AJ54&lt;&gt;"",Info!$C$6+AJ54-1,0)</f>
        <v>0</v>
      </c>
      <c r="AI54" s="28">
        <f>IF(AJ54&lt;&gt;"",IF(Info!$F$6+AJ54-1&lt;=Rates!$Z$11,Info!$F$6+AJ54-1,0),0)</f>
        <v>0</v>
      </c>
      <c r="AJ54" s="29" t="str">
        <f>IF(AI53&lt;&gt;"",IF(AND(AJ53&lt;&gt;"",AI53+1&lt;=Rates!$Z$11),IF(AJ53&lt;&gt;0,IF(AJ53+1&lt;=Info!$I$6,AJ53+1,""),0),""),"")</f>
        <v/>
      </c>
    </row>
    <row r="55" spans="1:36" s="243" customFormat="1" ht="18.75" x14ac:dyDescent="0.45">
      <c r="A55" s="24">
        <f>IF(B55&gt;0,IF(Info!$C$32="بله",AG55/B55,(AG55+L55)/B55),0)</f>
        <v>0</v>
      </c>
      <c r="B55" s="24">
        <f>IF(AND(AI55&gt;=0,AJ55&lt;=Info!$I$6),LOOKUP(Info!$C$24,Rates!$I$2:$I$7,Rates!$F$2:$F$7),0)</f>
        <v>0</v>
      </c>
      <c r="C55" s="24">
        <f>IF(AG55&lt;&gt;0,(C54+F55)*(1+VLOOKUP(Info!$C$26,Rates!$D$3:$E$7,2,FALSE)),0)</f>
        <v>0</v>
      </c>
      <c r="D55" s="24">
        <f t="shared" si="9"/>
        <v>0</v>
      </c>
      <c r="E55" s="24">
        <f>IF(AI55&lt;&gt;0,(E54+F55)*(1+VLOOKUP(Info!$C$26,Rates!$A$14:$B$19,2,FALSE)),0)</f>
        <v>0</v>
      </c>
      <c r="F55" s="24">
        <f>IF(AI55&lt;&gt;"",IF(Info!$C$32="بله",IF(AND(AJ55&lt;=Info!$F$36,AJ55&gt;=Info!$I$36),Info!$C$36,0)+(AG55-Y55-L55-K55-J55-I55-H55-G55),IF(AND(AJ55&lt;=Info!$F$36,AJ55&gt;=Info!$I$36),Info!$C$36,0)+(AG55-Y55-K55-J55-I55-H55-G55)),"")</f>
        <v>0</v>
      </c>
      <c r="G55" s="24">
        <f>IF(AI55&lt;&gt;"",Rates!$AB$11*(L55),"")</f>
        <v>0</v>
      </c>
      <c r="H55" s="24">
        <f>IF(AI55&lt;&gt;"",(Rates!$AD$11+Rates!$AC$11)*(L55),"")</f>
        <v>0</v>
      </c>
      <c r="I55" s="24">
        <f>IF(AI55&lt;&gt;"",LOOKUP(Info!$C$24,Rates!$I$2:$I$7,Rates!$H$2:$H$7)*(J55+K55+L55+Y55),"")</f>
        <v>0</v>
      </c>
      <c r="J55" s="24">
        <f t="shared" si="10"/>
        <v>0</v>
      </c>
      <c r="K55" s="24">
        <f>IF(Y55&lt;&gt;"",Info!$C$34*Y55,"")</f>
        <v>0</v>
      </c>
      <c r="L55" s="24">
        <f t="shared" si="1"/>
        <v>0</v>
      </c>
      <c r="M55" s="24"/>
      <c r="N55" s="24">
        <v>0</v>
      </c>
      <c r="O55" s="24" t="str">
        <f>IF(AJ55&lt;=10,(1-Info!$C$44)*IF(OR(Info!$F$24&gt;0,Info!$F$26&gt;0),IF(0.75*$X$4&lt;=0.03*$AD$4,0.75*(X55-X54),0.03*(AD55-AD54)),0),"")</f>
        <v/>
      </c>
      <c r="P55" s="24">
        <f>IF(AJ55&lt;=5,IF(AI55&lt;&gt;"",0.002*AD55,"")*(1-Info!$I$44),0)</f>
        <v>0</v>
      </c>
      <c r="Q55" s="24">
        <f>(1-Info!$F$44)*IF(AI55&lt;&gt;"",IF(Info!$C$32="بله",0.07*X55,0.07*AG55),"")</f>
        <v>0</v>
      </c>
      <c r="R55" s="24">
        <f>IF(X55&lt;&gt;0,S55*X55,0)*(1-Info!$F$48)</f>
        <v>0</v>
      </c>
      <c r="S55" s="24">
        <f>IF(Info!$I$30="خیر",0,IF(Info!$F$30="بله",IF(Info!$C$30=1,2.3,IF(Info!$C$30=2,3.3,4.3)),1))*IF(AND(AH55&lt;=Rates!$Z$8,AH55&gt;0),(1+Info!$C$34)*(1+LOOKUP(Info!$F$34,Rates!$O$2:$O$9,Rates!$L$2:$L$9)/100)*(LOOKUP(Info!$C$6,Rates!$U$2:$U$108,Rates!$R$2:$R$108)/100),0)</f>
        <v>0</v>
      </c>
      <c r="T55" s="24">
        <f>IF(AI55&lt;71,(1-Info!$F$46)*((AB55*0.0008*(1+(LOOKUP(Info!$I$34,Rates!$O$2:$O$9,Rates!$M$2:$M$9)/100)))),0)</f>
        <v>0</v>
      </c>
      <c r="U55" s="24">
        <f>IF(AI55&lt;71,(1-Info!$I$46)*(((AD55*0.0008*Info!$L$30))*(1+(LOOKUP(Info!$I$34,Rates!$O:$O,Rates!$N:$N)/100))),0)</f>
        <v>0</v>
      </c>
      <c r="V55" s="24">
        <f>((Z55*0.0008))*(1+(LOOKUP(Info!$I$34,Rates!$O$2:$O$9,Rates!$M$2:$M$9)/100))*(1-Info!$C$46)</f>
        <v>0</v>
      </c>
      <c r="W55" s="24">
        <f>IF(AND(AI55&lt;=Rates!$Z$2,AJ55&lt;=Info!$I$6,Info!$F$32="معمولی"),VLOOKUP(AI55,Rates!$U$1:$Y$108,5,0),IF(AND(AI55&lt;=Rates!$Z$2,AJ55&lt;=Info!$I$6,Info!$F$32="پایه"),VLOOKUP(AI55,Rates!$U$1:$Y$108,2,0),IF(AND(AI55&lt;=Rates!$Z$2,AJ55&lt;=Info!$I$6,Info!$F$32="آسایش "),VLOOKUP(AI55,Rates!$U$1:$Y$108,3,0),IF(AND(AI55&lt;=Rates!$Z$2,AJ55&lt;=Info!$I$6,Info!$F$32="ممتاز"),VLOOKUP(AI55,Rates!$U$1:$Y$108,4,0),0))))*AA55/1000000*(1+Info!$C$34)*(1-Info!$I$48)</f>
        <v>0</v>
      </c>
      <c r="X55" s="24">
        <f>IF(Info!$C$32="بله",(AG55-W55-U55-V55-T55)/(1+S55),AG55)</f>
        <v>0</v>
      </c>
      <c r="Y55" s="24">
        <f>IF(AI55&lt;&gt;0,(AD55*LOOKUP(AI55,Rates!$U$2:$U$108,Rates!$T$2:$T$108))/SQRT(1.1),0)</f>
        <v>0</v>
      </c>
      <c r="Z55" s="24">
        <f>IF(AND(AI55&lt;=Rates!$Z$10,AI55&gt;=0),Info!$C$28*(AC55-AD55),0)</f>
        <v>0</v>
      </c>
      <c r="AA55" s="24">
        <f>IF(AND(AI55&gt;=0,AI55&lt;=Rates!$Z$2,AG55&gt;0),MIN(AA54*(1+Info!$F$26),5000000000),0)</f>
        <v>0</v>
      </c>
      <c r="AB55" s="24">
        <f>IF(AND(AI55&gt;=0,AI55&lt;=65),AD55*Info!$L$32,0)</f>
        <v>0</v>
      </c>
      <c r="AC55" s="24">
        <f>IF(AND(AI55&gt;=0,AI55&lt;=Rates!$Z$3),AD55*(1+Info!$L$30),AD55)</f>
        <v>0</v>
      </c>
      <c r="AD55" s="24">
        <f>IF(AI55&lt;&gt;0,AD54*(1+Info!$F$26),0)</f>
        <v>0</v>
      </c>
      <c r="AE55" s="24">
        <f t="shared" si="11"/>
        <v>0</v>
      </c>
      <c r="AF55" s="24">
        <f>IF(AI55&gt;=0,IF(Info!$C$32="بله",AG55,AG55+L55),"")</f>
        <v>0</v>
      </c>
      <c r="AG55" s="146">
        <f>IF(AI55&lt;&gt;0,AG54*(1+Info!$F$24),0)</f>
        <v>0</v>
      </c>
      <c r="AH55" s="149">
        <f>IF(AJ55&lt;&gt;"",Info!$C$6+AJ55-1,0)</f>
        <v>0</v>
      </c>
      <c r="AI55" s="26">
        <f>IF(AJ55&lt;&gt;"",IF(Info!$F$6+AJ55-1&lt;=Rates!$Z$11,Info!$F$6+AJ55-1,0),0)</f>
        <v>0</v>
      </c>
      <c r="AJ55" s="27" t="str">
        <f>IF(AI54&lt;&gt;"",IF(AND(AJ54&lt;&gt;"",AI54+1&lt;=Rates!$Z$11),IF(AJ54&lt;&gt;0,IF(AJ54+1&lt;=Info!$I$6,AJ54+1,""),0),""),"")</f>
        <v/>
      </c>
    </row>
    <row r="56" spans="1:36" s="243" customFormat="1" ht="18.75" x14ac:dyDescent="0.45">
      <c r="A56" s="25">
        <f>IF(B56&gt;0,IF(Info!$C$32="بله",AG56/B56,(AG56+L56)/B56),0)</f>
        <v>0</v>
      </c>
      <c r="B56" s="25">
        <f>IF(AND(AI56&gt;=0,AJ56&lt;=Info!$I$6),LOOKUP(Info!$C$24,Rates!$I$2:$I$7,Rates!$F$2:$F$7),0)</f>
        <v>0</v>
      </c>
      <c r="C56" s="25">
        <f>IF(AG56&lt;&gt;0,(C55+F56)*(1+VLOOKUP(Info!$C$26,Rates!$D$3:$E$7,2,FALSE)),0)</f>
        <v>0</v>
      </c>
      <c r="D56" s="25">
        <f t="shared" si="9"/>
        <v>0</v>
      </c>
      <c r="E56" s="25">
        <f>IF(AI56&lt;&gt;0,(E55+F56)*(1+VLOOKUP(Info!$C$26,Rates!$A$14:$B$19,2,FALSE)),0)</f>
        <v>0</v>
      </c>
      <c r="F56" s="25">
        <f>IF(AI56&lt;&gt;"",IF(Info!$C$32="بله",IF(AND(AJ56&lt;=Info!$F$36,AJ56&gt;=Info!$I$36),Info!$C$36,0)+(AG56-Y56-L56-K56-J56-I56-H56-G56),IF(AND(AJ56&lt;=Info!$F$36,AJ56&gt;=Info!$I$36),Info!$C$36,0)+(AG56-Y56-K56-J56-I56-H56-G56)),"")</f>
        <v>0</v>
      </c>
      <c r="G56" s="25">
        <f>IF(AI56&lt;&gt;"",Rates!$AB$11*(L56),"")</f>
        <v>0</v>
      </c>
      <c r="H56" s="25">
        <f>IF(AI56&lt;&gt;"",(Rates!$AD$11+Rates!$AC$11)*(L56),"")</f>
        <v>0</v>
      </c>
      <c r="I56" s="25">
        <f>IF(AI56&lt;&gt;"",LOOKUP(Info!$C$24,Rates!$I$2:$I$7,Rates!$H$2:$H$7)*(J56+K56+L56+Y56),"")</f>
        <v>0</v>
      </c>
      <c r="J56" s="25">
        <f t="shared" si="10"/>
        <v>0</v>
      </c>
      <c r="K56" s="25">
        <f>IF(Y56&lt;&gt;"",Info!$C$34*Y56,"")</f>
        <v>0</v>
      </c>
      <c r="L56" s="25">
        <f t="shared" si="1"/>
        <v>0</v>
      </c>
      <c r="M56" s="25"/>
      <c r="N56" s="25">
        <v>0</v>
      </c>
      <c r="O56" s="25" t="str">
        <f>IF(AJ56&lt;=10,(1-Info!$C$44)*IF(OR(Info!$F$24&gt;0,Info!$F$26&gt;0),IF(0.75*$X$4&lt;=0.03*$AD$4,0.75*(X56-X55),0.03*(AD56-AD55)),0),"")</f>
        <v/>
      </c>
      <c r="P56" s="25">
        <f>IF(AJ56&lt;=5,IF(AI56&lt;&gt;"",0.002*AD56,"")*(1-Info!$I$44),0)</f>
        <v>0</v>
      </c>
      <c r="Q56" s="25">
        <f>(1-Info!$F$44)*IF(AI56&lt;&gt;"",IF(Info!$C$32="بله",0.07*X56,0.07*AG56),"")</f>
        <v>0</v>
      </c>
      <c r="R56" s="25">
        <f>IF(X56&lt;&gt;0,S56*X56,0)*(1-Info!$F$48)</f>
        <v>0</v>
      </c>
      <c r="S56" s="25">
        <f>IF(Info!$I$30="خیر",0,IF(Info!$F$30="بله",IF(Info!$C$30=1,2.3,IF(Info!$C$30=2,3.3,4.3)),1))*IF(AND(AH56&lt;=Rates!$Z$8,AH56&gt;0),(1+Info!$C$34)*(1+LOOKUP(Info!$F$34,Rates!$O$2:$O$9,Rates!$L$2:$L$9)/100)*(LOOKUP(Info!$C$6,Rates!$U$2:$U$108,Rates!$R$2:$R$108)/100),0)</f>
        <v>0</v>
      </c>
      <c r="T56" s="25">
        <f>IF(AI56&lt;71,(1-Info!$F$46)*((AB56*0.0008*(1+(LOOKUP(Info!$I$34,Rates!$O$2:$O$9,Rates!$M$2:$M$9)/100)))),0)</f>
        <v>0</v>
      </c>
      <c r="U56" s="25">
        <f>IF(AI56&lt;71,(1-Info!$I$46)*(((AD56*0.0008*Info!$L$30))*(1+(LOOKUP(Info!$I$34,Rates!$O:$O,Rates!$N:$N)/100))),0)</f>
        <v>0</v>
      </c>
      <c r="V56" s="25">
        <f>((Z56*0.0008))*(1+(LOOKUP(Info!$I$34,Rates!$O$2:$O$9,Rates!$M$2:$M$9)/100))*(1-Info!$C$46)</f>
        <v>0</v>
      </c>
      <c r="W56" s="25">
        <f>IF(AND(AI56&lt;=Rates!$Z$2,AJ56&lt;=Info!$I$6,Info!$F$32="معمولی"),VLOOKUP(AI56,Rates!$U$1:$Y$108,5,0),IF(AND(AI56&lt;=Rates!$Z$2,AJ56&lt;=Info!$I$6,Info!$F$32="پایه"),VLOOKUP(AI56,Rates!$U$1:$Y$108,2,0),IF(AND(AI56&lt;=Rates!$Z$2,AJ56&lt;=Info!$I$6,Info!$F$32="آسایش "),VLOOKUP(AI56,Rates!$U$1:$Y$108,3,0),IF(AND(AI56&lt;=Rates!$Z$2,AJ56&lt;=Info!$I$6,Info!$F$32="ممتاز"),VLOOKUP(AI56,Rates!$U$1:$Y$108,4,0),0))))*AA56/1000000*(1+Info!$C$34)*(1-Info!$I$48)</f>
        <v>0</v>
      </c>
      <c r="X56" s="25">
        <f>IF(Info!$C$32="بله",(AG56-W56-U56-V56-T56)/(1+S56),AG56)</f>
        <v>0</v>
      </c>
      <c r="Y56" s="25">
        <f>IF(AI56&lt;&gt;0,(AD56*LOOKUP(AI56,Rates!$U$2:$U$108,Rates!$T$2:$T$108))/SQRT(1.1),0)</f>
        <v>0</v>
      </c>
      <c r="Z56" s="25">
        <f>IF(AND(AI56&lt;=Rates!$Z$10,AI56&gt;=0),Info!$C$28*(AC56-AD56),0)</f>
        <v>0</v>
      </c>
      <c r="AA56" s="25">
        <f>IF(AND(AI56&gt;=0,AI56&lt;=Rates!$Z$2,AG56&gt;0),MIN(AA55*(1+Info!$F$26),5000000000),0)</f>
        <v>0</v>
      </c>
      <c r="AB56" s="25">
        <f>IF(AND(AI56&gt;=0,AI56&lt;=65),AD56*Info!$L$32,0)</f>
        <v>0</v>
      </c>
      <c r="AC56" s="25">
        <f>IF(AND(AI56&gt;=0,AI56&lt;=Rates!$Z$3),AD56*(1+Info!$L$30),AD56)</f>
        <v>0</v>
      </c>
      <c r="AD56" s="25">
        <f>IF(AI56&lt;&gt;0,AD55*(1+Info!$F$26),0)</f>
        <v>0</v>
      </c>
      <c r="AE56" s="25">
        <f t="shared" si="11"/>
        <v>0</v>
      </c>
      <c r="AF56" s="25">
        <f>IF(AI56&gt;=0,IF(Info!$C$32="بله",AG56,AG56+L56),"")</f>
        <v>0</v>
      </c>
      <c r="AG56" s="145">
        <f>IF(AI56&lt;&gt;0,AG55*(1+Info!$F$24),0)</f>
        <v>0</v>
      </c>
      <c r="AH56" s="150">
        <f>IF(AJ56&lt;&gt;"",Info!$C$6+AJ56-1,0)</f>
        <v>0</v>
      </c>
      <c r="AI56" s="28">
        <f>IF(AJ56&lt;&gt;"",IF(Info!$F$6+AJ56-1&lt;=Rates!$Z$11,Info!$F$6+AJ56-1,0),0)</f>
        <v>0</v>
      </c>
      <c r="AJ56" s="29" t="str">
        <f>IF(AI55&lt;&gt;"",IF(AND(AJ55&lt;&gt;"",AI55+1&lt;=Rates!$Z$11),IF(AJ55&lt;&gt;0,IF(AJ55+1&lt;=Info!$I$6,AJ55+1,""),0),""),"")</f>
        <v/>
      </c>
    </row>
    <row r="57" spans="1:36" s="243" customFormat="1" ht="18.75" x14ac:dyDescent="0.45">
      <c r="A57" s="24">
        <f>IF(B57&gt;0,IF(Info!$C$32="بله",AG57/B57,(AG57+L57)/B57),0)</f>
        <v>0</v>
      </c>
      <c r="B57" s="24">
        <f>IF(AND(AI57&gt;=0,AJ57&lt;=Info!$I$6),LOOKUP(Info!$C$24,Rates!$I$2:$I$7,Rates!$F$2:$F$7),0)</f>
        <v>0</v>
      </c>
      <c r="C57" s="24">
        <f>IF(AG57&lt;&gt;0,(C56+F57)*(1+VLOOKUP(Info!$C$26,Rates!$D$3:$E$7,2,FALSE)),0)</f>
        <v>0</v>
      </c>
      <c r="D57" s="24">
        <f t="shared" si="9"/>
        <v>0</v>
      </c>
      <c r="E57" s="24">
        <f>IF(AI57&lt;&gt;0,(E56+F57)*(1+VLOOKUP(Info!$C$26,Rates!$A$14:$B$19,2,FALSE)),0)</f>
        <v>0</v>
      </c>
      <c r="F57" s="24">
        <f>IF(AI57&lt;&gt;"",IF(Info!$C$32="بله",IF(AND(AJ57&lt;=Info!$F$36,AJ57&gt;=Info!$I$36),Info!$C$36,0)+(AG57-Y57-L57-K57-J57-I57-H57-G57),IF(AND(AJ57&lt;=Info!$F$36,AJ57&gt;=Info!$I$36),Info!$C$36,0)+(AG57-Y57-K57-J57-I57-H57-G57)),"")</f>
        <v>0</v>
      </c>
      <c r="G57" s="24">
        <f>IF(AI57&lt;&gt;"",Rates!$AB$11*(L57),"")</f>
        <v>0</v>
      </c>
      <c r="H57" s="24">
        <f>IF(AI57&lt;&gt;"",(Rates!$AD$11+Rates!$AC$11)*(L57),"")</f>
        <v>0</v>
      </c>
      <c r="I57" s="24">
        <f>IF(AI57&lt;&gt;"",LOOKUP(Info!$C$24,Rates!$I$2:$I$7,Rates!$H$2:$H$7)*(J57+K57+L57+Y57),"")</f>
        <v>0</v>
      </c>
      <c r="J57" s="24">
        <f t="shared" si="10"/>
        <v>0</v>
      </c>
      <c r="K57" s="24">
        <f>IF(Y57&lt;&gt;"",Info!$C$34*Y57,"")</f>
        <v>0</v>
      </c>
      <c r="L57" s="24">
        <f t="shared" si="1"/>
        <v>0</v>
      </c>
      <c r="M57" s="24"/>
      <c r="N57" s="24">
        <v>0</v>
      </c>
      <c r="O57" s="24" t="str">
        <f>IF(AJ57&lt;=10,(1-Info!$C$44)*IF(OR(Info!$F$24&gt;0,Info!$F$26&gt;0),IF(0.75*$X$4&lt;=0.03*$AD$4,0.75*(X57-X56),0.03*(AD57-AD56)),0),"")</f>
        <v/>
      </c>
      <c r="P57" s="24">
        <f>IF(AJ57&lt;=5,IF(AI57&lt;&gt;"",0.002*AD57,"")*(1-Info!$I$44),0)</f>
        <v>0</v>
      </c>
      <c r="Q57" s="24">
        <f>(1-Info!$F$44)*IF(AI57&lt;&gt;"",IF(Info!$C$32="بله",0.07*X57,0.07*AG57),"")</f>
        <v>0</v>
      </c>
      <c r="R57" s="24">
        <f>IF(X57&lt;&gt;0,S57*X57,0)*(1-Info!$F$48)</f>
        <v>0</v>
      </c>
      <c r="S57" s="24">
        <f>IF(Info!$I$30="خیر",0,IF(Info!$F$30="بله",IF(Info!$C$30=1,2.3,IF(Info!$C$30=2,3.3,4.3)),1))*IF(AND(AH57&lt;=Rates!$Z$8,AH57&gt;0),(1+Info!$C$34)*(1+LOOKUP(Info!$F$34,Rates!$O$2:$O$9,Rates!$L$2:$L$9)/100)*(LOOKUP(Info!$C$6,Rates!$U$2:$U$108,Rates!$R$2:$R$108)/100),0)</f>
        <v>0</v>
      </c>
      <c r="T57" s="24">
        <f>IF(AI57&lt;71,(1-Info!$F$46)*((AB57*0.0008*(1+(LOOKUP(Info!$I$34,Rates!$O$2:$O$9,Rates!$M$2:$M$9)/100)))),0)</f>
        <v>0</v>
      </c>
      <c r="U57" s="24">
        <f>IF(AI57&lt;71,(1-Info!$I$46)*(((AD57*0.0008*Info!$L$30))*(1+(LOOKUP(Info!$I$34,Rates!$O:$O,Rates!$N:$N)/100))),0)</f>
        <v>0</v>
      </c>
      <c r="V57" s="24">
        <f>((Z57*0.0008))*(1+(LOOKUP(Info!$I$34,Rates!$O$2:$O$9,Rates!$M$2:$M$9)/100))*(1-Info!$C$46)</f>
        <v>0</v>
      </c>
      <c r="W57" s="24">
        <f>IF(AND(AI57&lt;=Rates!$Z$2,AJ57&lt;=Info!$I$6,Info!$F$32="معمولی"),VLOOKUP(AI57,Rates!$U$1:$Y$108,5,0),IF(AND(AI57&lt;=Rates!$Z$2,AJ57&lt;=Info!$I$6,Info!$F$32="پایه"),VLOOKUP(AI57,Rates!$U$1:$Y$108,2,0),IF(AND(AI57&lt;=Rates!$Z$2,AJ57&lt;=Info!$I$6,Info!$F$32="آسایش "),VLOOKUP(AI57,Rates!$U$1:$Y$108,3,0),IF(AND(AI57&lt;=Rates!$Z$2,AJ57&lt;=Info!$I$6,Info!$F$32="ممتاز"),VLOOKUP(AI57,Rates!$U$1:$Y$108,4,0),0))))*AA57/1000000*(1+Info!$C$34)*(1-Info!$I$48)</f>
        <v>0</v>
      </c>
      <c r="X57" s="24">
        <f>IF(Info!$C$32="بله",(AG57-W57-U57-V57-T57)/(1+S57),AG57)</f>
        <v>0</v>
      </c>
      <c r="Y57" s="24">
        <f>IF(AI57&lt;&gt;0,(AD57*LOOKUP(AI57,Rates!$U$2:$U$108,Rates!$T$2:$T$108))/SQRT(1.1),0)</f>
        <v>0</v>
      </c>
      <c r="Z57" s="24">
        <f>IF(AND(AI57&lt;=Rates!$Z$10,AI57&gt;=0),Info!$C$28*(AC57-AD57),0)</f>
        <v>0</v>
      </c>
      <c r="AA57" s="24">
        <f>IF(AND(AI57&gt;=0,AI57&lt;=Rates!$Z$2,AG57&gt;0),MIN(AA56*(1+Info!$F$26),5000000000),0)</f>
        <v>0</v>
      </c>
      <c r="AB57" s="24">
        <f>IF(AND(AI57&gt;=0,AI57&lt;=65),AD57*Info!$L$32,0)</f>
        <v>0</v>
      </c>
      <c r="AC57" s="24">
        <f>IF(AND(AI57&gt;=0,AI57&lt;=Rates!$Z$3),AD57*(1+Info!$L$30),AD57)</f>
        <v>0</v>
      </c>
      <c r="AD57" s="24">
        <f>IF(AI57&lt;&gt;0,AD56*(1+Info!$F$26),0)</f>
        <v>0</v>
      </c>
      <c r="AE57" s="24">
        <f t="shared" si="11"/>
        <v>0</v>
      </c>
      <c r="AF57" s="24">
        <f>IF(AI57&gt;=0,IF(Info!$C$32="بله",AG57,AG57+L57),"")</f>
        <v>0</v>
      </c>
      <c r="AG57" s="146">
        <f>IF(AI57&lt;&gt;0,AG56*(1+Info!$F$24),0)</f>
        <v>0</v>
      </c>
      <c r="AH57" s="149">
        <f>IF(AJ57&lt;&gt;"",Info!$C$6+AJ57-1,0)</f>
        <v>0</v>
      </c>
      <c r="AI57" s="26">
        <f>IF(AJ57&lt;&gt;"",IF(Info!$F$6+AJ57-1&lt;=Rates!$Z$11,Info!$F$6+AJ57-1,0),0)</f>
        <v>0</v>
      </c>
      <c r="AJ57" s="27" t="str">
        <f>IF(AI56&lt;&gt;"",IF(AND(AJ56&lt;&gt;"",AI56+1&lt;=Rates!$Z$11),IF(AJ56&lt;&gt;0,IF(AJ56+1&lt;=Info!$I$6,AJ56+1,""),0),""),"")</f>
        <v/>
      </c>
    </row>
    <row r="58" spans="1:36" s="243" customFormat="1" ht="18.75" x14ac:dyDescent="0.45">
      <c r="A58" s="25">
        <f>IF(B58&gt;0,IF(Info!$C$32="بله",AG58/B58,(AG58+L58)/B58),0)</f>
        <v>0</v>
      </c>
      <c r="B58" s="25">
        <f>IF(AND(AI58&gt;=0,AJ58&lt;=Info!$I$6),LOOKUP(Info!$C$24,Rates!$I$2:$I$7,Rates!$F$2:$F$7),0)</f>
        <v>0</v>
      </c>
      <c r="C58" s="25">
        <f>IF(AG58&lt;&gt;0,(C57+F58)*(1+VLOOKUP(Info!$C$26,Rates!$D$3:$E$7,2,FALSE)),0)</f>
        <v>0</v>
      </c>
      <c r="D58" s="25">
        <f t="shared" si="9"/>
        <v>0</v>
      </c>
      <c r="E58" s="25">
        <f>IF(AI58&lt;&gt;0,(E57+F58)*(1+VLOOKUP(Info!$C$26,Rates!$A$14:$B$19,2,FALSE)),0)</f>
        <v>0</v>
      </c>
      <c r="F58" s="25">
        <f>IF(AI58&lt;&gt;"",IF(Info!$C$32="بله",IF(AND(AJ58&lt;=Info!$F$36,AJ58&gt;=Info!$I$36),Info!$C$36,0)+(AG58-Y58-L58-K58-J58-I58-H58-G58),IF(AND(AJ58&lt;=Info!$F$36,AJ58&gt;=Info!$I$36),Info!$C$36,0)+(AG58-Y58-K58-J58-I58-H58-G58)),"")</f>
        <v>0</v>
      </c>
      <c r="G58" s="25">
        <f>IF(AI58&lt;&gt;"",Rates!$AB$11*(L58),"")</f>
        <v>0</v>
      </c>
      <c r="H58" s="25">
        <f>IF(AI58&lt;&gt;"",(Rates!$AD$11+Rates!$AC$11)*(L58),"")</f>
        <v>0</v>
      </c>
      <c r="I58" s="25">
        <f>IF(AI58&lt;&gt;"",LOOKUP(Info!$C$24,Rates!$I$2:$I$7,Rates!$H$2:$H$7)*(J58+K58+L58+Y58),"")</f>
        <v>0</v>
      </c>
      <c r="J58" s="25">
        <f t="shared" si="10"/>
        <v>0</v>
      </c>
      <c r="K58" s="25">
        <f>IF(Y58&lt;&gt;"",Info!$C$34*Y58,"")</f>
        <v>0</v>
      </c>
      <c r="L58" s="25">
        <f t="shared" si="1"/>
        <v>0</v>
      </c>
      <c r="M58" s="25"/>
      <c r="N58" s="25">
        <v>0</v>
      </c>
      <c r="O58" s="25" t="str">
        <f>IF(AJ58&lt;=10,(1-Info!$C$44)*IF(OR(Info!$F$24&gt;0,Info!$F$26&gt;0),IF(0.75*$X$4&lt;=0.03*$AD$4,0.75*(X58-X57),0.03*(AD58-AD57)),0),"")</f>
        <v/>
      </c>
      <c r="P58" s="25">
        <f>IF(AJ58&lt;=5,IF(AI58&lt;&gt;"",0.002*AD58,"")*(1-Info!$I$44),0)</f>
        <v>0</v>
      </c>
      <c r="Q58" s="25">
        <f>(1-Info!$F$44)*IF(AI58&lt;&gt;"",IF(Info!$C$32="بله",0.07*X58,0.07*AG58),"")</f>
        <v>0</v>
      </c>
      <c r="R58" s="25">
        <f>IF(X58&lt;&gt;0,S58*X58,0)*(1-Info!$F$48)</f>
        <v>0</v>
      </c>
      <c r="S58" s="25">
        <f>IF(Info!$I$30="خیر",0,IF(Info!$F$30="بله",IF(Info!$C$30=1,2.3,IF(Info!$C$30=2,3.3,4.3)),1))*IF(AND(AH58&lt;=Rates!$Z$8,AH58&gt;0),(1+Info!$C$34)*(1+LOOKUP(Info!$F$34,Rates!$O$2:$O$9,Rates!$L$2:$L$9)/100)*(LOOKUP(Info!$C$6,Rates!$U$2:$U$108,Rates!$R$2:$R$108)/100),0)</f>
        <v>0</v>
      </c>
      <c r="T58" s="25">
        <f>IF(AI58&lt;71,(1-Info!$F$46)*((AB58*0.0008*(1+(LOOKUP(Info!$I$34,Rates!$O$2:$O$9,Rates!$M$2:$M$9)/100)))),0)</f>
        <v>0</v>
      </c>
      <c r="U58" s="25">
        <f>IF(AI58&lt;71,(1-Info!$I$46)*(((AD58*0.0008*Info!$L$30))*(1+(LOOKUP(Info!$I$34,Rates!$O:$O,Rates!$N:$N)/100))),0)</f>
        <v>0</v>
      </c>
      <c r="V58" s="25">
        <f>((Z58*0.0008))*(1+(LOOKUP(Info!$I$34,Rates!$O$2:$O$9,Rates!$M$2:$M$9)/100))*(1-Info!$C$46)</f>
        <v>0</v>
      </c>
      <c r="W58" s="25">
        <f>IF(AND(AI58&lt;=Rates!$Z$2,AJ58&lt;=Info!$I$6,Info!$F$32="معمولی"),VLOOKUP(AI58,Rates!$U$1:$Y$108,5,0),IF(AND(AI58&lt;=Rates!$Z$2,AJ58&lt;=Info!$I$6,Info!$F$32="پایه"),VLOOKUP(AI58,Rates!$U$1:$Y$108,2,0),IF(AND(AI58&lt;=Rates!$Z$2,AJ58&lt;=Info!$I$6,Info!$F$32="آسایش "),VLOOKUP(AI58,Rates!$U$1:$Y$108,3,0),IF(AND(AI58&lt;=Rates!$Z$2,AJ58&lt;=Info!$I$6,Info!$F$32="ممتاز"),VLOOKUP(AI58,Rates!$U$1:$Y$108,4,0),0))))*AA58/1000000*(1+Info!$C$34)*(1-Info!$I$48)</f>
        <v>0</v>
      </c>
      <c r="X58" s="25">
        <f>IF(Info!$C$32="بله",(AG58-W58-U58-V58-T58)/(1+S58),AG58)</f>
        <v>0</v>
      </c>
      <c r="Y58" s="25">
        <f>IF(AI58&lt;&gt;0,(AD58*LOOKUP(AI58,Rates!$U$2:$U$108,Rates!$T$2:$T$108))/SQRT(1.1),0)</f>
        <v>0</v>
      </c>
      <c r="Z58" s="25">
        <f>IF(AND(AI58&lt;=Rates!$Z$10,AI58&gt;=0),Info!$C$28*(AC58-AD58),0)</f>
        <v>0</v>
      </c>
      <c r="AA58" s="25">
        <f>IF(AND(AI58&gt;=0,AI58&lt;=Rates!$Z$2,AG58&gt;0),MIN(AA57*(1+Info!$F$26),5000000000),0)</f>
        <v>0</v>
      </c>
      <c r="AB58" s="25">
        <f>IF(AND(AI58&gt;=0,AI58&lt;=65),AD58*Info!$L$32,0)</f>
        <v>0</v>
      </c>
      <c r="AC58" s="25">
        <f>IF(AND(AI58&gt;=0,AI58&lt;=Rates!$Z$3),AD58*(1+Info!$L$30),AD58)</f>
        <v>0</v>
      </c>
      <c r="AD58" s="25">
        <f>IF(AI58&lt;&gt;0,AD57*(1+Info!$F$26),0)</f>
        <v>0</v>
      </c>
      <c r="AE58" s="25">
        <f t="shared" si="11"/>
        <v>0</v>
      </c>
      <c r="AF58" s="25">
        <f>IF(AI58&gt;=0,IF(Info!$C$32="بله",AG58,AG58+L58),"")</f>
        <v>0</v>
      </c>
      <c r="AG58" s="145">
        <f>IF(AI58&lt;&gt;0,AG57*(1+Info!$F$24),0)</f>
        <v>0</v>
      </c>
      <c r="AH58" s="150">
        <f>IF(AJ58&lt;&gt;"",Info!$C$6+AJ58-1,0)</f>
        <v>0</v>
      </c>
      <c r="AI58" s="28">
        <f>IF(AJ58&lt;&gt;"",IF(Info!$F$6+AJ58-1&lt;=Rates!$Z$11,Info!$F$6+AJ58-1,0),0)</f>
        <v>0</v>
      </c>
      <c r="AJ58" s="29" t="str">
        <f>IF(AI57&lt;&gt;"",IF(AND(AJ57&lt;&gt;"",AI57+1&lt;=Rates!$Z$11),IF(AJ57&lt;&gt;0,IF(AJ57+1&lt;=Info!$I$6,AJ57+1,""),0),""),"")</f>
        <v/>
      </c>
    </row>
    <row r="59" spans="1:36" s="243" customFormat="1" ht="18.75" x14ac:dyDescent="0.45">
      <c r="A59" s="24">
        <f>IF(B59&gt;0,IF(Info!$C$32="بله",AG59/B59,(AG59+L59)/B59),0)</f>
        <v>0</v>
      </c>
      <c r="B59" s="24">
        <f>IF(AND(AI59&gt;=0,AJ59&lt;=Info!$I$6),LOOKUP(Info!$C$24,Rates!$I$2:$I$7,Rates!$F$2:$F$7),0)</f>
        <v>0</v>
      </c>
      <c r="C59" s="24">
        <f>IF(AG59&lt;&gt;0,(C58+F59)*(1+VLOOKUP(Info!$C$26,Rates!$D$3:$E$7,2,FALSE)),0)</f>
        <v>0</v>
      </c>
      <c r="D59" s="24">
        <f t="shared" si="9"/>
        <v>0</v>
      </c>
      <c r="E59" s="24">
        <f>IF(AI59&lt;&gt;0,(E58+F59)*(1+VLOOKUP(Info!$C$26,Rates!$A$14:$B$19,2,FALSE)),0)</f>
        <v>0</v>
      </c>
      <c r="F59" s="24">
        <f>IF(AI59&lt;&gt;"",IF(Info!$C$32="بله",IF(AND(AJ59&lt;=Info!$F$36,AJ59&gt;=Info!$I$36),Info!$C$36,0)+(AG59-Y59-L59-K59-J59-I59-H59-G59),IF(AND(AJ59&lt;=Info!$F$36,AJ59&gt;=Info!$I$36),Info!$C$36,0)+(AG59-Y59-K59-J59-I59-H59-G59)),"")</f>
        <v>0</v>
      </c>
      <c r="G59" s="24">
        <f>IF(AI59&lt;&gt;"",Rates!$AB$11*(L59),"")</f>
        <v>0</v>
      </c>
      <c r="H59" s="24">
        <f>IF(AI59&lt;&gt;"",(Rates!$AD$11+Rates!$AC$11)*(L59),"")</f>
        <v>0</v>
      </c>
      <c r="I59" s="24">
        <f>IF(AI59&lt;&gt;"",LOOKUP(Info!$C$24,Rates!$I$2:$I$7,Rates!$H$2:$H$7)*(J59+K59+L59+Y59),"")</f>
        <v>0</v>
      </c>
      <c r="J59" s="24">
        <f t="shared" si="10"/>
        <v>0</v>
      </c>
      <c r="K59" s="24">
        <f>IF(Y59&lt;&gt;"",Info!$C$34*Y59,"")</f>
        <v>0</v>
      </c>
      <c r="L59" s="24">
        <f t="shared" si="1"/>
        <v>0</v>
      </c>
      <c r="M59" s="24"/>
      <c r="N59" s="24">
        <v>0</v>
      </c>
      <c r="O59" s="24" t="str">
        <f>IF(AJ59&lt;=10,(1-Info!$C$44)*IF(OR(Info!$F$24&gt;0,Info!$F$26&gt;0),IF(0.75*$X$4&lt;=0.03*$AD$4,0.75*(X59-X58),0.03*(AD59-AD58)),0),"")</f>
        <v/>
      </c>
      <c r="P59" s="24">
        <f>IF(AJ59&lt;=5,IF(AI59&lt;&gt;"",0.002*AD59,"")*(1-Info!$I$44),0)</f>
        <v>0</v>
      </c>
      <c r="Q59" s="24">
        <f>(1-Info!$F$44)*IF(AI59&lt;&gt;"",IF(Info!$C$32="بله",0.07*X59,0.07*AG59),"")</f>
        <v>0</v>
      </c>
      <c r="R59" s="24">
        <f>IF(X59&lt;&gt;0,S59*X59,0)*(1-Info!$F$48)</f>
        <v>0</v>
      </c>
      <c r="S59" s="24">
        <f>IF(Info!$I$30="خیر",0,IF(Info!$F$30="بله",IF(Info!$C$30=1,2.3,IF(Info!$C$30=2,3.3,4.3)),1))*IF(AND(AH59&lt;=Rates!$Z$8,AH59&gt;0),(1+Info!$C$34)*(1+LOOKUP(Info!$F$34,Rates!$O$2:$O$9,Rates!$L$2:$L$9)/100)*(LOOKUP(Info!$C$6,Rates!$U$2:$U$108,Rates!$R$2:$R$108)/100),0)</f>
        <v>0</v>
      </c>
      <c r="T59" s="24">
        <f>IF(AI59&lt;71,(1-Info!$F$46)*((AB59*0.0008*(1+(LOOKUP(Info!$I$34,Rates!$O$2:$O$9,Rates!$M$2:$M$9)/100)))),0)</f>
        <v>0</v>
      </c>
      <c r="U59" s="24">
        <f>IF(AI59&lt;71,(1-Info!$I$46)*(((AD59*0.0008*Info!$L$30))*(1+(LOOKUP(Info!$I$34,Rates!$O:$O,Rates!$N:$N)/100))),0)</f>
        <v>0</v>
      </c>
      <c r="V59" s="24">
        <f>((Z59*0.0008))*(1+(LOOKUP(Info!$I$34,Rates!$O$2:$O$9,Rates!$M$2:$M$9)/100))*(1-Info!$C$46)</f>
        <v>0</v>
      </c>
      <c r="W59" s="24">
        <f>IF(AND(AI59&lt;=Rates!$Z$2,AJ59&lt;=Info!$I$6,Info!$F$32="معمولی"),VLOOKUP(AI59,Rates!$U$1:$Y$108,5,0),IF(AND(AI59&lt;=Rates!$Z$2,AJ59&lt;=Info!$I$6,Info!$F$32="پایه"),VLOOKUP(AI59,Rates!$U$1:$Y$108,2,0),IF(AND(AI59&lt;=Rates!$Z$2,AJ59&lt;=Info!$I$6,Info!$F$32="آسایش "),VLOOKUP(AI59,Rates!$U$1:$Y$108,3,0),IF(AND(AI59&lt;=Rates!$Z$2,AJ59&lt;=Info!$I$6,Info!$F$32="ممتاز"),VLOOKUP(AI59,Rates!$U$1:$Y$108,4,0),0))))*AA59/1000000*(1+Info!$C$34)*(1-Info!$I$48)</f>
        <v>0</v>
      </c>
      <c r="X59" s="24">
        <f>IF(Info!$C$32="بله",(AG59-W59-U59-V59-T59)/(1+S59),AG59)</f>
        <v>0</v>
      </c>
      <c r="Y59" s="24">
        <f>IF(AI59&lt;&gt;0,(AD59*LOOKUP(AI59,Rates!$U$2:$U$108,Rates!$T$2:$T$108))/SQRT(1.1),0)</f>
        <v>0</v>
      </c>
      <c r="Z59" s="24">
        <f>IF(AND(AI59&lt;=Rates!$Z$10,AI59&gt;=0),Info!$C$28*(AC59-AD59),0)</f>
        <v>0</v>
      </c>
      <c r="AA59" s="24">
        <f>IF(AND(AI59&gt;=0,AI59&lt;=Rates!$Z$2,AG59&gt;0),MIN(AA58*(1+Info!$F$26),5000000000),0)</f>
        <v>0</v>
      </c>
      <c r="AB59" s="24">
        <f>IF(AND(AI59&gt;=0,AI59&lt;=65),AD59*Info!$L$32,0)</f>
        <v>0</v>
      </c>
      <c r="AC59" s="24">
        <f>IF(AND(AI59&gt;=0,AI59&lt;=Rates!$Z$3),AD59*(1+Info!$L$30),AD59)</f>
        <v>0</v>
      </c>
      <c r="AD59" s="24">
        <f>IF(AI59&lt;&gt;0,AD58*(1+Info!$F$26),0)</f>
        <v>0</v>
      </c>
      <c r="AE59" s="24">
        <f t="shared" si="11"/>
        <v>0</v>
      </c>
      <c r="AF59" s="24">
        <f>IF(AI59&gt;=0,IF(Info!$C$32="بله",AG59,AG59+L59),"")</f>
        <v>0</v>
      </c>
      <c r="AG59" s="146">
        <f>IF(AI59&lt;&gt;0,AG58*(1+Info!$F$24),0)</f>
        <v>0</v>
      </c>
      <c r="AH59" s="149">
        <f>IF(AJ59&lt;&gt;"",Info!$C$6+AJ59-1,0)</f>
        <v>0</v>
      </c>
      <c r="AI59" s="26">
        <f>IF(AJ59&lt;&gt;"",IF(Info!$F$6+AJ59-1&lt;=Rates!$Z$11,Info!$F$6+AJ59-1,0),0)</f>
        <v>0</v>
      </c>
      <c r="AJ59" s="27" t="str">
        <f>IF(AI58&lt;&gt;"",IF(AND(AJ58&lt;&gt;"",AI58+1&lt;=Rates!$Z$11),IF(AJ58&lt;&gt;0,IF(AJ58+1&lt;=Info!$I$6,AJ58+1,""),0),""),"")</f>
        <v/>
      </c>
    </row>
    <row r="60" spans="1:36" s="243" customFormat="1" ht="18.75" x14ac:dyDescent="0.45">
      <c r="A60" s="25">
        <f>IF(B60&gt;0,IF(Info!$C$32="بله",AG60/B60,(AG60+L60)/B60),0)</f>
        <v>0</v>
      </c>
      <c r="B60" s="25">
        <f>IF(AND(AI60&gt;=0,AJ60&lt;=Info!$I$6),LOOKUP(Info!$C$24,Rates!$I$2:$I$7,Rates!$F$2:$F$7),0)</f>
        <v>0</v>
      </c>
      <c r="C60" s="25">
        <f>IF(AG60&lt;&gt;0,(C59+F60)*(1+VLOOKUP(Info!$C$26,Rates!$D$3:$E$7,2,FALSE)),0)</f>
        <v>0</v>
      </c>
      <c r="D60" s="25">
        <f t="shared" si="9"/>
        <v>0</v>
      </c>
      <c r="E60" s="25">
        <f>IF(AI60&lt;&gt;0,(E59+F60)*(1+VLOOKUP(Info!$C$26,Rates!$A$14:$B$19,2,FALSE)),0)</f>
        <v>0</v>
      </c>
      <c r="F60" s="25">
        <f>IF(AI60&lt;&gt;"",IF(Info!$C$32="بله",IF(AND(AJ60&lt;=Info!$F$36,AJ60&gt;=Info!$I$36),Info!$C$36,0)+(AG60-Y60-L60-K60-J60-I60-H60-G60),IF(AND(AJ60&lt;=Info!$F$36,AJ60&gt;=Info!$I$36),Info!$C$36,0)+(AG60-Y60-K60-J60-I60-H60-G60)),"")</f>
        <v>0</v>
      </c>
      <c r="G60" s="25">
        <f>IF(AI60&lt;&gt;"",Rates!$AB$11*(L60),"")</f>
        <v>0</v>
      </c>
      <c r="H60" s="25">
        <f>IF(AI60&lt;&gt;"",(Rates!$AD$11+Rates!$AC$11)*(L60),"")</f>
        <v>0</v>
      </c>
      <c r="I60" s="25">
        <f>IF(AI60&lt;&gt;"",LOOKUP(Info!$C$24,Rates!$I$2:$I$7,Rates!$H$2:$H$7)*(J60+K60+L60+Y60),"")</f>
        <v>0</v>
      </c>
      <c r="J60" s="25">
        <f t="shared" si="10"/>
        <v>0</v>
      </c>
      <c r="K60" s="25">
        <f>IF(Y60&lt;&gt;"",Info!$C$34*Y60,"")</f>
        <v>0</v>
      </c>
      <c r="L60" s="25">
        <f t="shared" si="1"/>
        <v>0</v>
      </c>
      <c r="M60" s="25"/>
      <c r="N60" s="25">
        <v>0</v>
      </c>
      <c r="O60" s="25" t="str">
        <f>IF(AJ60&lt;=10,(1-Info!$C$44)*IF(OR(Info!$F$24&gt;0,Info!$F$26&gt;0),IF(0.75*$X$4&lt;=0.03*$AD$4,0.75*(X60-X59),0.03*(AD60-AD59)),0),"")</f>
        <v/>
      </c>
      <c r="P60" s="25">
        <f>IF(AJ60&lt;=5,IF(AI60&lt;&gt;"",0.002*AD60,"")*(1-Info!$I$44),0)</f>
        <v>0</v>
      </c>
      <c r="Q60" s="25">
        <f>(1-Info!$F$44)*IF(AI60&lt;&gt;"",IF(Info!$C$32="بله",0.07*X60,0.07*AG60),"")</f>
        <v>0</v>
      </c>
      <c r="R60" s="25">
        <f>IF(X60&lt;&gt;0,S60*X60,0)*(1-Info!$F$48)</f>
        <v>0</v>
      </c>
      <c r="S60" s="25">
        <f>IF(Info!$I$30="خیر",0,IF(Info!$F$30="بله",IF(Info!$C$30=1,2.3,IF(Info!$C$30=2,3.3,4.3)),1))*IF(AND(AH60&lt;=Rates!$Z$8,AH60&gt;0),(1+Info!$C$34)*(1+LOOKUP(Info!$F$34,Rates!$O$2:$O$9,Rates!$L$2:$L$9)/100)*(LOOKUP(Info!$C$6,Rates!$U$2:$U$108,Rates!$R$2:$R$108)/100),0)</f>
        <v>0</v>
      </c>
      <c r="T60" s="25">
        <f>IF(AI60&lt;71,(1-Info!$F$46)*((AB60*0.0008*(1+(LOOKUP(Info!$I$34,Rates!$O$2:$O$9,Rates!$M$2:$M$9)/100)))),0)</f>
        <v>0</v>
      </c>
      <c r="U60" s="25">
        <f>IF(AI60&lt;71,(1-Info!$I$46)*(((AD60*0.0008*Info!$L$30))*(1+(LOOKUP(Info!$I$34,Rates!$O:$O,Rates!$N:$N)/100))),0)</f>
        <v>0</v>
      </c>
      <c r="V60" s="25">
        <f>((Z60*0.0008))*(1+(LOOKUP(Info!$I$34,Rates!$O$2:$O$9,Rates!$M$2:$M$9)/100))*(1-Info!$C$46)</f>
        <v>0</v>
      </c>
      <c r="W60" s="25">
        <f>IF(AND(AI60&lt;=Rates!$Z$2,AJ60&lt;=Info!$I$6,Info!$F$32="معمولی"),VLOOKUP(AI60,Rates!$U$1:$Y$108,5,0),IF(AND(AI60&lt;=Rates!$Z$2,AJ60&lt;=Info!$I$6,Info!$F$32="پایه"),VLOOKUP(AI60,Rates!$U$1:$Y$108,2,0),IF(AND(AI60&lt;=Rates!$Z$2,AJ60&lt;=Info!$I$6,Info!$F$32="آسایش "),VLOOKUP(AI60,Rates!$U$1:$Y$108,3,0),IF(AND(AI60&lt;=Rates!$Z$2,AJ60&lt;=Info!$I$6,Info!$F$32="ممتاز"),VLOOKUP(AI60,Rates!$U$1:$Y$108,4,0),0))))*AA60/1000000*(1+Info!$C$34)*(1-Info!$I$48)</f>
        <v>0</v>
      </c>
      <c r="X60" s="25">
        <f>IF(Info!$C$32="بله",(AG60-W60-U60-V60-T60)/(1+S60),AG60)</f>
        <v>0</v>
      </c>
      <c r="Y60" s="25">
        <f>IF(AI60&lt;&gt;0,(AD60*LOOKUP(AI60,Rates!$U$2:$U$108,Rates!$T$2:$T$108))/SQRT(1.1),0)</f>
        <v>0</v>
      </c>
      <c r="Z60" s="25">
        <f>IF(AND(AI60&lt;=Rates!$Z$10,AI60&gt;=0),Info!$C$28*(AC60-AD60),0)</f>
        <v>0</v>
      </c>
      <c r="AA60" s="25">
        <f>IF(AND(AI60&gt;=0,AI60&lt;=Rates!$Z$2,AG60&gt;0),MIN(AA59*(1+Info!$F$26),5000000000),0)</f>
        <v>0</v>
      </c>
      <c r="AB60" s="25">
        <f>IF(AND(AI60&gt;=0,AI60&lt;=65),AD60*Info!$L$32,0)</f>
        <v>0</v>
      </c>
      <c r="AC60" s="25">
        <f>IF(AND(AI60&gt;=0,AI60&lt;=Rates!$Z$3),AD60*(1+Info!$L$30),AD60)</f>
        <v>0</v>
      </c>
      <c r="AD60" s="25">
        <f>IF(AI60&lt;&gt;0,AD59*(1+Info!$F$26),0)</f>
        <v>0</v>
      </c>
      <c r="AE60" s="25">
        <f t="shared" si="11"/>
        <v>0</v>
      </c>
      <c r="AF60" s="25">
        <f>IF(AI60&gt;=0,IF(Info!$C$32="بله",AG60,AG60+L60),"")</f>
        <v>0</v>
      </c>
      <c r="AG60" s="145">
        <f>IF(AI60&lt;&gt;0,AG59*(1+Info!$F$24),0)</f>
        <v>0</v>
      </c>
      <c r="AH60" s="150">
        <f>IF(AJ60&lt;&gt;"",Info!$C$6+AJ60-1,0)</f>
        <v>0</v>
      </c>
      <c r="AI60" s="28">
        <f>IF(AJ60&lt;&gt;"",IF(Info!$F$6+AJ60-1&lt;=Rates!$Z$11,Info!$F$6+AJ60-1,0),0)</f>
        <v>0</v>
      </c>
      <c r="AJ60" s="29" t="str">
        <f>IF(AI59&lt;&gt;"",IF(AND(AJ59&lt;&gt;"",AI59+1&lt;=Rates!$Z$11),IF(AJ59&lt;&gt;0,IF(AJ59+1&lt;=Info!$I$6,AJ59+1,""),0),""),"")</f>
        <v/>
      </c>
    </row>
    <row r="61" spans="1:36" s="243" customFormat="1" ht="18.75" x14ac:dyDescent="0.45">
      <c r="A61" s="24">
        <f>IF(B61&gt;0,IF(Info!$C$32="بله",AG61/B61,(AG61+L61)/B61),0)</f>
        <v>0</v>
      </c>
      <c r="B61" s="24">
        <f>IF(AND(AI61&gt;=0,AJ61&lt;=Info!$I$6),LOOKUP(Info!$C$24,Rates!$I$2:$I$7,Rates!$F$2:$F$7),0)</f>
        <v>0</v>
      </c>
      <c r="C61" s="24">
        <f>IF(AG61&lt;&gt;0,(C60+F61)*(1+VLOOKUP(Info!$C$26,Rates!$D$3:$E$7,2,FALSE)),0)</f>
        <v>0</v>
      </c>
      <c r="D61" s="24">
        <f t="shared" si="9"/>
        <v>0</v>
      </c>
      <c r="E61" s="24">
        <f>IF(AI61&lt;&gt;0,(E60+F61)*(1+VLOOKUP(Info!$C$26,Rates!$A$14:$B$19,2,FALSE)),0)</f>
        <v>0</v>
      </c>
      <c r="F61" s="24">
        <f>IF(AI61&lt;&gt;"",IF(Info!$C$32="بله",IF(AND(AJ61&lt;=Info!$F$36,AJ61&gt;=Info!$I$36),Info!$C$36,0)+(AG61-Y61-L61-K61-J61-I61-H61-G61),IF(AND(AJ61&lt;=Info!$F$36,AJ61&gt;=Info!$I$36),Info!$C$36,0)+(AG61-Y61-K61-J61-I61-H61-G61)),"")</f>
        <v>0</v>
      </c>
      <c r="G61" s="24">
        <f>IF(AI61&lt;&gt;"",Rates!$AB$11*(L61),"")</f>
        <v>0</v>
      </c>
      <c r="H61" s="24">
        <f>IF(AI61&lt;&gt;"",(Rates!$AD$11+Rates!$AC$11)*(L61),"")</f>
        <v>0</v>
      </c>
      <c r="I61" s="24">
        <f>IF(AI61&lt;&gt;"",LOOKUP(Info!$C$24,Rates!$I$2:$I$7,Rates!$H$2:$H$7)*(J61+K61+L61+Y61),"")</f>
        <v>0</v>
      </c>
      <c r="J61" s="24">
        <f t="shared" si="10"/>
        <v>0</v>
      </c>
      <c r="K61" s="24">
        <f>IF(Y61&lt;&gt;"",Info!$C$34*Y61,"")</f>
        <v>0</v>
      </c>
      <c r="L61" s="24">
        <f t="shared" si="1"/>
        <v>0</v>
      </c>
      <c r="M61" s="24"/>
      <c r="N61" s="24">
        <v>0</v>
      </c>
      <c r="O61" s="24" t="str">
        <f>IF(AJ61&lt;=10,(1-Info!$C$44)*IF(OR(Info!$F$24&gt;0,Info!$F$26&gt;0),IF(0.75*$X$4&lt;=0.03*$AD$4,0.75*(X61-X60),0.03*(AD61-AD60)),0),"")</f>
        <v/>
      </c>
      <c r="P61" s="24">
        <f>IF(AJ61&lt;=5,IF(AI61&lt;&gt;"",0.002*AD61,"")*(1-Info!$I$44),0)</f>
        <v>0</v>
      </c>
      <c r="Q61" s="24">
        <f>(1-Info!$F$44)*IF(AI61&lt;&gt;"",IF(Info!$C$32="بله",0.07*X61,0.07*AG61),"")</f>
        <v>0</v>
      </c>
      <c r="R61" s="24">
        <f>IF(X61&lt;&gt;0,S61*X61,0)*(1-Info!$F$48)</f>
        <v>0</v>
      </c>
      <c r="S61" s="24">
        <f>IF(Info!$I$30="خیر",0,IF(Info!$F$30="بله",IF(Info!$C$30=1,2.3,IF(Info!$C$30=2,3.3,4.3)),1))*IF(AND(AH61&lt;=Rates!$Z$8,AH61&gt;0),(1+Info!$C$34)*(1+LOOKUP(Info!$F$34,Rates!$O$2:$O$9,Rates!$L$2:$L$9)/100)*(LOOKUP(Info!$C$6,Rates!$U$2:$U$108,Rates!$R$2:$R$108)/100),0)</f>
        <v>0</v>
      </c>
      <c r="T61" s="24">
        <f>IF(AI61&lt;71,(1-Info!$F$46)*((AB61*0.0008*(1+(LOOKUP(Info!$I$34,Rates!$O$2:$O$9,Rates!$M$2:$M$9)/100)))),0)</f>
        <v>0</v>
      </c>
      <c r="U61" s="24">
        <f>IF(AI61&lt;71,(1-Info!$I$46)*(((AD61*0.0008*Info!$L$30))*(1+(LOOKUP(Info!$I$34,Rates!$O:$O,Rates!$N:$N)/100))),0)</f>
        <v>0</v>
      </c>
      <c r="V61" s="24">
        <f>((Z61*0.0008))*(1+(LOOKUP(Info!$I$34,Rates!$O$2:$O$9,Rates!$M$2:$M$9)/100))*(1-Info!$C$46)</f>
        <v>0</v>
      </c>
      <c r="W61" s="24">
        <f>IF(AND(AI61&lt;=Rates!$Z$2,AJ61&lt;=Info!$I$6,Info!$F$32="معمولی"),VLOOKUP(AI61,Rates!$U$1:$Y$108,5,0),IF(AND(AI61&lt;=Rates!$Z$2,AJ61&lt;=Info!$I$6,Info!$F$32="پایه"),VLOOKUP(AI61,Rates!$U$1:$Y$108,2,0),IF(AND(AI61&lt;=Rates!$Z$2,AJ61&lt;=Info!$I$6,Info!$F$32="آسایش "),VLOOKUP(AI61,Rates!$U$1:$Y$108,3,0),IF(AND(AI61&lt;=Rates!$Z$2,AJ61&lt;=Info!$I$6,Info!$F$32="ممتاز"),VLOOKUP(AI61,Rates!$U$1:$Y$108,4,0),0))))*AA61/1000000*(1+Info!$C$34)*(1-Info!$I$48)</f>
        <v>0</v>
      </c>
      <c r="X61" s="24">
        <f>IF(Info!$C$32="بله",(AG61-W61-U61-V61-T61)/(1+S61),AG61)</f>
        <v>0</v>
      </c>
      <c r="Y61" s="24">
        <f>IF(AI61&lt;&gt;0,(AD61*LOOKUP(AI61,Rates!$U$2:$U$108,Rates!$T$2:$T$108))/SQRT(1.1),0)</f>
        <v>0</v>
      </c>
      <c r="Z61" s="24">
        <f>IF(AND(AI61&lt;=Rates!$Z$10,AI61&gt;=0),Info!$C$28*(AC61-AD61),0)</f>
        <v>0</v>
      </c>
      <c r="AA61" s="24">
        <f>IF(AND(AI61&gt;=0,AI61&lt;=Rates!$Z$2,AG61&gt;0),MIN(AA60*(1+Info!$F$26),5000000000),0)</f>
        <v>0</v>
      </c>
      <c r="AB61" s="24">
        <f>IF(AND(AI61&gt;=0,AI61&lt;=65),AD61*Info!$L$32,0)</f>
        <v>0</v>
      </c>
      <c r="AC61" s="24">
        <f>IF(AND(AI61&gt;=0,AI61&lt;=Rates!$Z$3),AD61*(1+Info!$L$30),AD61)</f>
        <v>0</v>
      </c>
      <c r="AD61" s="24">
        <f>IF(AI61&lt;&gt;0,AD60*(1+Info!$F$26),0)</f>
        <v>0</v>
      </c>
      <c r="AE61" s="24">
        <f t="shared" si="11"/>
        <v>0</v>
      </c>
      <c r="AF61" s="24">
        <f>IF(AI61&gt;=0,IF(Info!$C$32="بله",AG61,AG61+L61),"")</f>
        <v>0</v>
      </c>
      <c r="AG61" s="146">
        <f>IF(AI61&lt;&gt;0,AG60*(1+Info!$F$24),0)</f>
        <v>0</v>
      </c>
      <c r="AH61" s="149">
        <f>IF(AJ61&lt;&gt;"",Info!$C$6+AJ61-1,0)</f>
        <v>0</v>
      </c>
      <c r="AI61" s="26">
        <f>IF(AJ61&lt;&gt;"",IF(Info!$F$6+AJ61-1&lt;=Rates!$Z$11,Info!$F$6+AJ61-1,0),0)</f>
        <v>0</v>
      </c>
      <c r="AJ61" s="27" t="str">
        <f>IF(AI60&lt;&gt;"",IF(AND(AJ60&lt;&gt;"",AI60+1&lt;=Rates!$Z$11),IF(AJ60&lt;&gt;0,IF(AJ60+1&lt;=Info!$I$6,AJ60+1,""),0),""),"")</f>
        <v/>
      </c>
    </row>
    <row r="62" spans="1:36" s="243" customFormat="1" ht="18.75" x14ac:dyDescent="0.45">
      <c r="A62" s="25">
        <f>IF(B62&gt;0,IF(Info!$C$32="بله",AG62/B62,(AG62+L62)/B62),0)</f>
        <v>0</v>
      </c>
      <c r="B62" s="25">
        <f>IF(AND(AI62&gt;=0,AJ62&lt;=Info!$I$6),LOOKUP(Info!$C$24,Rates!$I$2:$I$7,Rates!$F$2:$F$7),0)</f>
        <v>0</v>
      </c>
      <c r="C62" s="25">
        <f>IF(AG62&lt;&gt;0,(C61+F62)*(1+VLOOKUP(Info!$C$26,Rates!$D$3:$E$7,2,FALSE)),0)</f>
        <v>0</v>
      </c>
      <c r="D62" s="25">
        <f t="shared" si="9"/>
        <v>0</v>
      </c>
      <c r="E62" s="25">
        <f>IF(AI62&lt;&gt;0,(E61+F62)*(1+VLOOKUP(Info!$C$26,Rates!$A$14:$B$19,2,FALSE)),0)</f>
        <v>0</v>
      </c>
      <c r="F62" s="25">
        <f>IF(AI62&lt;&gt;"",IF(Info!$C$32="بله",IF(AND(AJ62&lt;=Info!$F$36,AJ62&gt;=Info!$I$36),Info!$C$36,0)+(AG62-Y62-L62-K62-J62-I62-H62-G62),IF(AND(AJ62&lt;=Info!$F$36,AJ62&gt;=Info!$I$36),Info!$C$36,0)+(AG62-Y62-K62-J62-I62-H62-G62)),"")</f>
        <v>0</v>
      </c>
      <c r="G62" s="25">
        <f>IF(AI62&lt;&gt;"",Rates!$AB$11*(L62),"")</f>
        <v>0</v>
      </c>
      <c r="H62" s="25">
        <f>IF(AI62&lt;&gt;"",(Rates!$AD$11+Rates!$AC$11)*(L62),"")</f>
        <v>0</v>
      </c>
      <c r="I62" s="25">
        <f>IF(AI62&lt;&gt;"",LOOKUP(Info!$C$24,Rates!$I$2:$I$7,Rates!$H$2:$H$7)*(J62+K62+L62+Y62),"")</f>
        <v>0</v>
      </c>
      <c r="J62" s="25">
        <f t="shared" si="10"/>
        <v>0</v>
      </c>
      <c r="K62" s="25">
        <f>IF(Y62&lt;&gt;"",Info!$C$34*Y62,"")</f>
        <v>0</v>
      </c>
      <c r="L62" s="25">
        <f t="shared" si="1"/>
        <v>0</v>
      </c>
      <c r="M62" s="25"/>
      <c r="N62" s="25">
        <v>0</v>
      </c>
      <c r="O62" s="25" t="str">
        <f>IF(AJ62&lt;=10,(1-Info!$C$44)*IF(OR(Info!$F$24&gt;0,Info!$F$26&gt;0),IF(0.75*$X$4&lt;=0.03*$AD$4,0.75*(X62-X61),0.03*(AD62-AD61)),0),"")</f>
        <v/>
      </c>
      <c r="P62" s="25">
        <f>IF(AJ62&lt;=5,IF(AI62&lt;&gt;"",0.002*AD62,"")*(1-Info!$I$44),0)</f>
        <v>0</v>
      </c>
      <c r="Q62" s="25">
        <f>(1-Info!$F$44)*IF(AI62&lt;&gt;"",IF(Info!$C$32="بله",0.07*X62,0.07*AG62),"")</f>
        <v>0</v>
      </c>
      <c r="R62" s="25">
        <f>IF(X62&lt;&gt;0,S62*X62,0)*(1-Info!$F$48)</f>
        <v>0</v>
      </c>
      <c r="S62" s="25">
        <f>IF(Info!$I$30="خیر",0,IF(Info!$F$30="بله",IF(Info!$C$30=1,2.3,IF(Info!$C$30=2,3.3,4.3)),1))*IF(AND(AH62&lt;=Rates!$Z$8,AH62&gt;0),(1+Info!$C$34)*(1+LOOKUP(Info!$F$34,Rates!$O$2:$O$9,Rates!$L$2:$L$9)/100)*(LOOKUP(Info!$C$6,Rates!$U$2:$U$108,Rates!$R$2:$R$108)/100),0)</f>
        <v>0</v>
      </c>
      <c r="T62" s="25">
        <f>IF(AI62&lt;71,(1-Info!$F$46)*((AB62*0.0008*(1+(LOOKUP(Info!$I$34,Rates!$O$2:$O$9,Rates!$M$2:$M$9)/100)))),0)</f>
        <v>0</v>
      </c>
      <c r="U62" s="25">
        <f>IF(AI62&lt;71,(1-Info!$I$46)*(((AD62*0.0008*Info!$L$30))*(1+(LOOKUP(Info!$I$34,Rates!$O:$O,Rates!$N:$N)/100))),0)</f>
        <v>0</v>
      </c>
      <c r="V62" s="25">
        <f>((Z62*0.0008))*(1+(LOOKUP(Info!$I$34,Rates!$O$2:$O$9,Rates!$M$2:$M$9)/100))*(1-Info!$C$46)</f>
        <v>0</v>
      </c>
      <c r="W62" s="25">
        <f>IF(AND(AI62&lt;=Rates!$Z$2,AJ62&lt;=Info!$I$6,Info!$F$32="معمولی"),VLOOKUP(AI62,Rates!$U$1:$Y$108,5,0),IF(AND(AI62&lt;=Rates!$Z$2,AJ62&lt;=Info!$I$6,Info!$F$32="پایه"),VLOOKUP(AI62,Rates!$U$1:$Y$108,2,0),IF(AND(AI62&lt;=Rates!$Z$2,AJ62&lt;=Info!$I$6,Info!$F$32="آسایش "),VLOOKUP(AI62,Rates!$U$1:$Y$108,3,0),IF(AND(AI62&lt;=Rates!$Z$2,AJ62&lt;=Info!$I$6,Info!$F$32="ممتاز"),VLOOKUP(AI62,Rates!$U$1:$Y$108,4,0),0))))*AA62/1000000*(1+Info!$C$34)*(1-Info!$I$48)</f>
        <v>0</v>
      </c>
      <c r="X62" s="25">
        <f>IF(Info!$C$32="بله",(AG62-W62-U62-V62-T62)/(1+S62),AG62)</f>
        <v>0</v>
      </c>
      <c r="Y62" s="25">
        <f>IF(AI62&lt;&gt;0,(AD62*LOOKUP(AI62,Rates!$U$2:$U$108,Rates!$T$2:$T$108))/SQRT(1.1),0)</f>
        <v>0</v>
      </c>
      <c r="Z62" s="25">
        <f>IF(AND(AI62&lt;=Rates!$Z$10,AI62&gt;=0),Info!$C$28*(AC62-AD62),0)</f>
        <v>0</v>
      </c>
      <c r="AA62" s="25">
        <f>IF(AND(AI62&gt;=0,AI62&lt;=Rates!$Z$2,AG62&gt;0),MIN(AA61*(1+Info!$F$26),5000000000),0)</f>
        <v>0</v>
      </c>
      <c r="AB62" s="25">
        <f>IF(AND(AI62&gt;=0,AI62&lt;=65),AD62*Info!$L$32,0)</f>
        <v>0</v>
      </c>
      <c r="AC62" s="25">
        <f>IF(AND(AI62&gt;=0,AI62&lt;=Rates!$Z$3),AD62*(1+Info!$L$30),AD62)</f>
        <v>0</v>
      </c>
      <c r="AD62" s="25">
        <f>IF(AI62&lt;&gt;0,AD61*(1+Info!$F$26),0)</f>
        <v>0</v>
      </c>
      <c r="AE62" s="25">
        <f t="shared" si="11"/>
        <v>0</v>
      </c>
      <c r="AF62" s="25">
        <f>IF(AI62&gt;=0,IF(Info!$C$32="بله",AG62,AG62+L62),"")</f>
        <v>0</v>
      </c>
      <c r="AG62" s="145">
        <f>IF(AI62&lt;&gt;0,AG61*(1+Info!$F$24),0)</f>
        <v>0</v>
      </c>
      <c r="AH62" s="150">
        <f>IF(AJ62&lt;&gt;"",Info!$C$6+AJ62-1,0)</f>
        <v>0</v>
      </c>
      <c r="AI62" s="28">
        <f>IF(AJ62&lt;&gt;"",IF(Info!$F$6+AJ62-1&lt;=Rates!$Z$11,Info!$F$6+AJ62-1,0),0)</f>
        <v>0</v>
      </c>
      <c r="AJ62" s="29" t="str">
        <f>IF(AI61&lt;&gt;"",IF(AND(AJ61&lt;&gt;"",AI61+1&lt;=Rates!$Z$11),IF(AJ61&lt;&gt;0,IF(AJ61+1&lt;=Info!$I$6,AJ61+1,""),0),""),"")</f>
        <v/>
      </c>
    </row>
    <row r="63" spans="1:36" s="243" customFormat="1" ht="18.75" x14ac:dyDescent="0.45">
      <c r="A63" s="24">
        <f>IF(B63&gt;0,IF(Info!$C$32="بله",AG63/B63,(AG63+L63)/B63),0)</f>
        <v>0</v>
      </c>
      <c r="B63" s="24">
        <f>IF(AND(AI63&gt;=0,AJ63&lt;=Info!$I$6),LOOKUP(Info!$C$24,Rates!$I$2:$I$7,Rates!$F$2:$F$7),0)</f>
        <v>0</v>
      </c>
      <c r="C63" s="24">
        <f>IF(AG63&lt;&gt;0,(C62+F63)*(1+VLOOKUP(Info!$C$26,Rates!$D$3:$E$7,2,FALSE)),0)</f>
        <v>0</v>
      </c>
      <c r="D63" s="24">
        <f t="shared" si="9"/>
        <v>0</v>
      </c>
      <c r="E63" s="24">
        <f>IF(AI63&lt;&gt;0,(E62+F63)*(1+VLOOKUP(Info!$C$26,Rates!$A$14:$B$19,2,FALSE)),0)</f>
        <v>0</v>
      </c>
      <c r="F63" s="24">
        <f>IF(AI63&lt;&gt;"",IF(Info!$C$32="بله",IF(AND(AJ63&lt;=Info!$F$36,AJ63&gt;=Info!$I$36),Info!$C$36,0)+(AG63-Y63-L63-K63-J63-I63-H63-G63),IF(AND(AJ63&lt;=Info!$F$36,AJ63&gt;=Info!$I$36),Info!$C$36,0)+(AG63-Y63-K63-J63-I63-H63-G63)),"")</f>
        <v>0</v>
      </c>
      <c r="G63" s="24">
        <f>IF(AI63&lt;&gt;"",Rates!$AB$11*(L63),"")</f>
        <v>0</v>
      </c>
      <c r="H63" s="24">
        <f>IF(AI63&lt;&gt;"",(Rates!$AD$11+Rates!$AC$11)*(L63),"")</f>
        <v>0</v>
      </c>
      <c r="I63" s="24">
        <f>IF(AI63&lt;&gt;"",LOOKUP(Info!$C$24,Rates!$I$2:$I$7,Rates!$H$2:$H$7)*(J63+K63+L63+Y63),"")</f>
        <v>0</v>
      </c>
      <c r="J63" s="24">
        <f t="shared" si="10"/>
        <v>0</v>
      </c>
      <c r="K63" s="24">
        <f>IF(Y63&lt;&gt;"",Info!$C$34*Y63,"")</f>
        <v>0</v>
      </c>
      <c r="L63" s="24">
        <f t="shared" si="1"/>
        <v>0</v>
      </c>
      <c r="M63" s="24"/>
      <c r="N63" s="24">
        <v>0</v>
      </c>
      <c r="O63" s="24" t="str">
        <f>IF(AJ63&lt;=10,(1-Info!$C$44)*IF(OR(Info!$F$24&gt;0,Info!$F$26&gt;0),IF(0.75*$X$4&lt;=0.03*$AD$4,0.75*(X63-X62),0.03*(AD63-AD62)),0),"")</f>
        <v/>
      </c>
      <c r="P63" s="24">
        <f>IF(AJ63&lt;=5,IF(AI63&lt;&gt;"",0.002*AD63,"")*(1-Info!$I$44),0)</f>
        <v>0</v>
      </c>
      <c r="Q63" s="24">
        <f>(1-Info!$F$44)*IF(AI63&lt;&gt;"",IF(Info!$C$32="بله",0.07*X63,0.07*AG63),"")</f>
        <v>0</v>
      </c>
      <c r="R63" s="24">
        <f>IF(X63&lt;&gt;0,S63*X63,0)*(1-Info!$F$48)</f>
        <v>0</v>
      </c>
      <c r="S63" s="24">
        <f>IF(Info!$I$30="خیر",0,IF(Info!$F$30="بله",IF(Info!$C$30=1,2.3,IF(Info!$C$30=2,3.3,4.3)),1))*IF(AND(AH63&lt;=Rates!$Z$8,AH63&gt;0),(1+Info!$C$34)*(1+LOOKUP(Info!$F$34,Rates!$O$2:$O$9,Rates!$L$2:$L$9)/100)*(LOOKUP(Info!$C$6,Rates!$U$2:$U$108,Rates!$R$2:$R$108)/100),0)</f>
        <v>0</v>
      </c>
      <c r="T63" s="24">
        <f>IF(AI63&lt;71,(1-Info!$F$46)*((AB63*0.0008*(1+(LOOKUP(Info!$I$34,Rates!$O$2:$O$9,Rates!$M$2:$M$9)/100)))),0)</f>
        <v>0</v>
      </c>
      <c r="U63" s="24">
        <f>IF(AI63&lt;71,(1-Info!$I$46)*(((AD63*0.0008*Info!$L$30))*(1+(LOOKUP(Info!$I$34,Rates!$O:$O,Rates!$N:$N)/100))),0)</f>
        <v>0</v>
      </c>
      <c r="V63" s="24">
        <f>((Z63*0.0008))*(1+(LOOKUP(Info!$I$34,Rates!$O$2:$O$9,Rates!$M$2:$M$9)/100))*(1-Info!$C$46)</f>
        <v>0</v>
      </c>
      <c r="W63" s="24">
        <f>IF(AND(AI63&lt;=Rates!$Z$2,AJ63&lt;=Info!$I$6,Info!$F$32="معمولی"),VLOOKUP(AI63,Rates!$U$1:$Y$108,5,0),IF(AND(AI63&lt;=Rates!$Z$2,AJ63&lt;=Info!$I$6,Info!$F$32="پایه"),VLOOKUP(AI63,Rates!$U$1:$Y$108,2,0),IF(AND(AI63&lt;=Rates!$Z$2,AJ63&lt;=Info!$I$6,Info!$F$32="آسایش "),VLOOKUP(AI63,Rates!$U$1:$Y$108,3,0),IF(AND(AI63&lt;=Rates!$Z$2,AJ63&lt;=Info!$I$6,Info!$F$32="ممتاز"),VLOOKUP(AI63,Rates!$U$1:$Y$108,4,0),0))))*AA63/1000000*(1+Info!$C$34)*(1-Info!$I$48)</f>
        <v>0</v>
      </c>
      <c r="X63" s="24">
        <f>IF(Info!$C$32="بله",(AG63-W63-U63-V63-T63)/(1+S63),AG63)</f>
        <v>0</v>
      </c>
      <c r="Y63" s="24">
        <f>IF(AI63&lt;&gt;0,(AD63*LOOKUP(AI63,Rates!$U$2:$U$108,Rates!$T$2:$T$108))/SQRT(1.1),0)</f>
        <v>0</v>
      </c>
      <c r="Z63" s="24">
        <f>IF(AND(AI63&lt;=Rates!$Z$10,AI63&gt;=0),Info!$C$28*(AC63-AD63),0)</f>
        <v>0</v>
      </c>
      <c r="AA63" s="24">
        <f>IF(AND(AI63&gt;=0,AI63&lt;=Rates!$Z$2,AG63&gt;0),MIN(AA62*(1+Info!$F$26),5000000000),0)</f>
        <v>0</v>
      </c>
      <c r="AB63" s="24">
        <f>IF(AND(AI63&gt;=0,AI63&lt;=65),AD63*Info!$L$32,0)</f>
        <v>0</v>
      </c>
      <c r="AC63" s="24">
        <f>IF(AND(AI63&gt;=0,AI63&lt;=Rates!$Z$3),AD63*(1+Info!$L$30),AD63)</f>
        <v>0</v>
      </c>
      <c r="AD63" s="24">
        <f>IF(AI63&lt;&gt;0,AD62*(1+Info!$F$26),0)</f>
        <v>0</v>
      </c>
      <c r="AE63" s="24">
        <f t="shared" si="11"/>
        <v>0</v>
      </c>
      <c r="AF63" s="24">
        <f>IF(AI63&gt;=0,IF(Info!$C$32="بله",AG63,AG63+L63),"")</f>
        <v>0</v>
      </c>
      <c r="AG63" s="146">
        <f>IF(AI63&lt;&gt;0,AG62*(1+Info!$F$24),0)</f>
        <v>0</v>
      </c>
      <c r="AH63" s="149">
        <f>IF(AJ63&lt;&gt;"",Info!$C$6+AJ63-1,0)</f>
        <v>0</v>
      </c>
      <c r="AI63" s="26">
        <f>IF(AJ63&lt;&gt;"",IF(Info!$F$6+AJ63-1&lt;=Rates!$Z$11,Info!$F$6+AJ63-1,0),0)</f>
        <v>0</v>
      </c>
      <c r="AJ63" s="27" t="str">
        <f>IF(AI62&lt;&gt;"",IF(AND(AJ62&lt;&gt;"",AI62+1&lt;=Rates!$Z$11),IF(AJ62&lt;&gt;0,IF(AJ62+1&lt;=Info!$I$6,AJ62+1,""),0),""),"")</f>
        <v/>
      </c>
    </row>
    <row r="64" spans="1:36" s="243" customFormat="1" ht="18.75" x14ac:dyDescent="0.45">
      <c r="A64" s="25">
        <f>IF(B64&gt;0,IF(Info!$C$32="بله",AG64/B64,(AG64+L64)/B64),0)</f>
        <v>0</v>
      </c>
      <c r="B64" s="25">
        <f>IF(AND(AI64&gt;=0,AJ64&lt;=Info!$I$6),LOOKUP(Info!$C$24,Rates!$I$2:$I$7,Rates!$F$2:$F$7),0)</f>
        <v>0</v>
      </c>
      <c r="C64" s="25">
        <f>IF(AG64&lt;&gt;0,(C63+F64)*(1+VLOOKUP(Info!$C$26,Rates!$D$3:$E$7,2,FALSE)),0)</f>
        <v>0</v>
      </c>
      <c r="D64" s="25">
        <f t="shared" si="9"/>
        <v>0</v>
      </c>
      <c r="E64" s="25">
        <f>IF(AI64&lt;&gt;0,(E63+F64)*(1+VLOOKUP(Info!$C$26,Rates!$A$14:$B$19,2,FALSE)),0)</f>
        <v>0</v>
      </c>
      <c r="F64" s="25">
        <f>IF(AI64&lt;&gt;"",IF(Info!$C$32="بله",IF(AND(AJ64&lt;=Info!$F$36,AJ64&gt;=Info!$I$36),Info!$C$36,0)+(AG64-Y64-L64-K64-J64-I64-H64-G64),IF(AND(AJ64&lt;=Info!$F$36,AJ64&gt;=Info!$I$36),Info!$C$36,0)+(AG64-Y64-K64-J64-I64-H64-G64)),"")</f>
        <v>0</v>
      </c>
      <c r="G64" s="25">
        <f>IF(AI64&lt;&gt;"",Rates!$AB$11*(L64),"")</f>
        <v>0</v>
      </c>
      <c r="H64" s="25">
        <f>IF(AI64&lt;&gt;"",(Rates!$AD$11+Rates!$AC$11)*(L64),"")</f>
        <v>0</v>
      </c>
      <c r="I64" s="25">
        <f>IF(AI64&lt;&gt;"",LOOKUP(Info!$C$24,Rates!$I$2:$I$7,Rates!$H$2:$H$7)*(J64+K64+L64+Y64),"")</f>
        <v>0</v>
      </c>
      <c r="J64" s="25">
        <f t="shared" si="10"/>
        <v>0</v>
      </c>
      <c r="K64" s="25">
        <f>IF(Y64&lt;&gt;"",Info!$C$34*Y64,"")</f>
        <v>0</v>
      </c>
      <c r="L64" s="25">
        <f t="shared" si="1"/>
        <v>0</v>
      </c>
      <c r="M64" s="25"/>
      <c r="N64" s="25">
        <v>0</v>
      </c>
      <c r="O64" s="25" t="str">
        <f>IF(AJ64&lt;=10,(1-Info!$C$44)*IF(OR(Info!$F$24&gt;0,Info!$F$26&gt;0),IF(0.75*$X$4&lt;=0.03*$AD$4,0.75*(X64-X63),0.03*(AD64-AD63)),0),"")</f>
        <v/>
      </c>
      <c r="P64" s="25">
        <f>IF(AJ64&lt;=5,IF(AI64&lt;&gt;"",0.002*AD64,"")*(1-Info!$I$44),0)</f>
        <v>0</v>
      </c>
      <c r="Q64" s="25">
        <f>(1-Info!$F$44)*IF(AI64&lt;&gt;"",IF(Info!$C$32="بله",0.07*X64,0.07*AG64),"")</f>
        <v>0</v>
      </c>
      <c r="R64" s="25">
        <f>IF(X64&lt;&gt;0,S64*X64,0)*(1-Info!$F$48)</f>
        <v>0</v>
      </c>
      <c r="S64" s="25">
        <f>IF(Info!$I$30="خیر",0,IF(Info!$F$30="بله",IF(Info!$C$30=1,2.3,IF(Info!$C$30=2,3.3,4.3)),1))*IF(AND(AH64&lt;=Rates!$Z$8,AH64&gt;0),(1+Info!$C$34)*(1+LOOKUP(Info!$F$34,Rates!$O$2:$O$9,Rates!$L$2:$L$9)/100)*(LOOKUP(Info!$C$6,Rates!$U$2:$U$108,Rates!$R$2:$R$108)/100),0)</f>
        <v>0</v>
      </c>
      <c r="T64" s="25">
        <f>IF(AI64&lt;71,(1-Info!$F$46)*((AB64*0.0008*(1+(LOOKUP(Info!$I$34,Rates!$O$2:$O$9,Rates!$M$2:$M$9)/100)))),0)</f>
        <v>0</v>
      </c>
      <c r="U64" s="25">
        <f>IF(AI64&lt;71,(1-Info!$I$46)*(((AD64*0.0008*Info!$L$30))*(1+(LOOKUP(Info!$I$34,Rates!$O:$O,Rates!$N:$N)/100))),0)</f>
        <v>0</v>
      </c>
      <c r="V64" s="25">
        <f>((Z64*0.0008))*(1+(LOOKUP(Info!$I$34,Rates!$O$2:$O$9,Rates!$M$2:$M$9)/100))*(1-Info!$C$46)</f>
        <v>0</v>
      </c>
      <c r="W64" s="25">
        <f>IF(AND(AI64&lt;=Rates!$Z$2,AJ64&lt;=Info!$I$6,Info!$F$32="معمولی"),VLOOKUP(AI64,Rates!$U$1:$Y$108,5,0),IF(AND(AI64&lt;=Rates!$Z$2,AJ64&lt;=Info!$I$6,Info!$F$32="پایه"),VLOOKUP(AI64,Rates!$U$1:$Y$108,2,0),IF(AND(AI64&lt;=Rates!$Z$2,AJ64&lt;=Info!$I$6,Info!$F$32="آسایش "),VLOOKUP(AI64,Rates!$U$1:$Y$108,3,0),IF(AND(AI64&lt;=Rates!$Z$2,AJ64&lt;=Info!$I$6,Info!$F$32="ممتاز"),VLOOKUP(AI64,Rates!$U$1:$Y$108,4,0),0))))*AA64/1000000*(1+Info!$C$34)*(1-Info!$I$48)</f>
        <v>0</v>
      </c>
      <c r="X64" s="25">
        <f>IF(Info!$C$32="بله",(AG64-W64-U64-V64-T64)/(1+S64),AG64)</f>
        <v>0</v>
      </c>
      <c r="Y64" s="25">
        <f>IF(AI64&lt;&gt;0,(AD64*LOOKUP(AI64,Rates!$U$2:$U$108,Rates!$T$2:$T$108))/SQRT(1.1),0)</f>
        <v>0</v>
      </c>
      <c r="Z64" s="25">
        <f>IF(AND(AI64&lt;=Rates!$Z$10,AI64&gt;=0),Info!$C$28*(AC64-AD64),0)</f>
        <v>0</v>
      </c>
      <c r="AA64" s="25">
        <f>IF(AND(AI64&gt;=0,AI64&lt;=Rates!$Z$2,AG64&gt;0),MIN(AA63*(1+Info!$F$26),5000000000),0)</f>
        <v>0</v>
      </c>
      <c r="AB64" s="25">
        <f>IF(AND(AI64&gt;=0,AI64&lt;=65),AD64*Info!$L$32,0)</f>
        <v>0</v>
      </c>
      <c r="AC64" s="25">
        <f>IF(AND(AI64&gt;=0,AI64&lt;=Rates!$Z$3),AD64*(1+Info!$L$30),AD64)</f>
        <v>0</v>
      </c>
      <c r="AD64" s="25">
        <f>IF(AI64&lt;&gt;0,AD63*(1+Info!$F$26),0)</f>
        <v>0</v>
      </c>
      <c r="AE64" s="25">
        <f t="shared" si="11"/>
        <v>0</v>
      </c>
      <c r="AF64" s="25">
        <f>IF(AI64&gt;=0,IF(Info!$C$32="بله",AG64,AG64+L64),"")</f>
        <v>0</v>
      </c>
      <c r="AG64" s="145">
        <f>IF(AI64&lt;&gt;0,AG63*(1+Info!$F$24),0)</f>
        <v>0</v>
      </c>
      <c r="AH64" s="150">
        <f>IF(AJ64&lt;&gt;"",Info!$C$6+AJ64-1,0)</f>
        <v>0</v>
      </c>
      <c r="AI64" s="28">
        <f>IF(AJ64&lt;&gt;"",IF(Info!$F$6+AJ64-1&lt;=Rates!$Z$11,Info!$F$6+AJ64-1,0),0)</f>
        <v>0</v>
      </c>
      <c r="AJ64" s="29" t="str">
        <f>IF(AI63&lt;&gt;"",IF(AND(AJ63&lt;&gt;"",AI63+1&lt;=Rates!$Z$11),IF(AJ63&lt;&gt;0,IF(AJ63+1&lt;=Info!$I$6,AJ63+1,""),0),""),"")</f>
        <v/>
      </c>
    </row>
    <row r="65" spans="1:36" s="243" customFormat="1" ht="18.75" x14ac:dyDescent="0.45">
      <c r="A65" s="24">
        <f>IF(B65&gt;0,IF(Info!$C$32="بله",AG65/B65,(AG65+L65)/B65),0)</f>
        <v>0</v>
      </c>
      <c r="B65" s="24">
        <f>IF(AND(AI65&gt;=0,AJ65&lt;=Info!$I$6),LOOKUP(Info!$C$24,Rates!$I$2:$I$7,Rates!$F$2:$F$7),0)</f>
        <v>0</v>
      </c>
      <c r="C65" s="24">
        <f>IF(AG65&lt;&gt;0,(C64+F65)*(1+VLOOKUP(Info!$C$26,Rates!$D$3:$E$7,2,FALSE)),0)</f>
        <v>0</v>
      </c>
      <c r="D65" s="24">
        <f t="shared" si="9"/>
        <v>0</v>
      </c>
      <c r="E65" s="24">
        <f>IF(AI65&lt;&gt;0,(E64+F65)*(1+VLOOKUP(Info!$C$26,Rates!$A$14:$B$19,2,FALSE)),0)</f>
        <v>0</v>
      </c>
      <c r="F65" s="24">
        <f>IF(AI65&lt;&gt;"",IF(Info!$C$32="بله",IF(AND(AJ65&lt;=Info!$F$36,AJ65&gt;=Info!$I$36),Info!$C$36,0)+(AG65-Y65-L65-K65-J65-I65-H65-G65),IF(AND(AJ65&lt;=Info!$F$36,AJ65&gt;=Info!$I$36),Info!$C$36,0)+(AG65-Y65-K65-J65-I65-H65-G65)),"")</f>
        <v>0</v>
      </c>
      <c r="G65" s="24">
        <f>IF(AI65&lt;&gt;"",Rates!$AB$11*(L65),"")</f>
        <v>0</v>
      </c>
      <c r="H65" s="24">
        <f>IF(AI65&lt;&gt;"",(Rates!$AD$11+Rates!$AC$11)*(L65),"")</f>
        <v>0</v>
      </c>
      <c r="I65" s="24">
        <f>IF(AI65&lt;&gt;"",LOOKUP(Info!$C$24,Rates!$I$2:$I$7,Rates!$H$2:$H$7)*(J65+K65+L65+Y65),"")</f>
        <v>0</v>
      </c>
      <c r="J65" s="24">
        <f t="shared" si="10"/>
        <v>0</v>
      </c>
      <c r="K65" s="24">
        <f>IF(Y65&lt;&gt;"",Info!$C$34*Y65,"")</f>
        <v>0</v>
      </c>
      <c r="L65" s="24">
        <f t="shared" si="1"/>
        <v>0</v>
      </c>
      <c r="M65" s="24"/>
      <c r="N65" s="24">
        <v>0</v>
      </c>
      <c r="O65" s="24" t="str">
        <f>IF(AJ65&lt;=10,(1-Info!$C$44)*IF(OR(Info!$F$24&gt;0,Info!$F$26&gt;0),IF(0.75*$X$4&lt;=0.03*$AD$4,0.75*(X65-X64),0.03*(AD65-AD64)),0),"")</f>
        <v/>
      </c>
      <c r="P65" s="24">
        <f>IF(AJ65&lt;=5,IF(AI65&lt;&gt;"",0.002*AD65,"")*(1-Info!$I$44),0)</f>
        <v>0</v>
      </c>
      <c r="Q65" s="24">
        <f>(1-Info!$F$44)*IF(AI65&lt;&gt;"",IF(Info!$C$32="بله",0.07*X65,0.07*AG65),"")</f>
        <v>0</v>
      </c>
      <c r="R65" s="24">
        <f>IF(X65&lt;&gt;0,S65*X65,0)*(1-Info!$F$48)</f>
        <v>0</v>
      </c>
      <c r="S65" s="24">
        <f>IF(Info!$I$30="خیر",0,IF(Info!$F$30="بله",IF(Info!$C$30=1,2.3,IF(Info!$C$30=2,3.3,4.3)),1))*IF(AND(AH65&lt;=Rates!$Z$8,AH65&gt;0),(1+Info!$C$34)*(1+LOOKUP(Info!$F$34,Rates!$O$2:$O$9,Rates!$L$2:$L$9)/100)*(LOOKUP(Info!$C$6,Rates!$U$2:$U$108,Rates!$R$2:$R$108)/100),0)</f>
        <v>0</v>
      </c>
      <c r="T65" s="24">
        <f>IF(AI65&lt;71,(1-Info!$F$46)*((AB65*0.0008*(1+(LOOKUP(Info!$I$34,Rates!$O$2:$O$9,Rates!$M$2:$M$9)/100)))),0)</f>
        <v>0</v>
      </c>
      <c r="U65" s="24">
        <f>IF(AI65&lt;71,(1-Info!$I$46)*(((AD65*0.0008*Info!$L$30))*(1+(LOOKUP(Info!$I$34,Rates!$O:$O,Rates!$N:$N)/100))),0)</f>
        <v>0</v>
      </c>
      <c r="V65" s="24">
        <f>((Z65*0.0008))*(1+(LOOKUP(Info!$I$34,Rates!$O$2:$O$9,Rates!$M$2:$M$9)/100))*(1-Info!$C$46)</f>
        <v>0</v>
      </c>
      <c r="W65" s="24">
        <f>IF(AND(AI65&lt;=Rates!$Z$2,AJ65&lt;=Info!$I$6,Info!$F$32="معمولی"),VLOOKUP(AI65,Rates!$U$1:$Y$108,5,0),IF(AND(AI65&lt;=Rates!$Z$2,AJ65&lt;=Info!$I$6,Info!$F$32="پایه"),VLOOKUP(AI65,Rates!$U$1:$Y$108,2,0),IF(AND(AI65&lt;=Rates!$Z$2,AJ65&lt;=Info!$I$6,Info!$F$32="آسایش "),VLOOKUP(AI65,Rates!$U$1:$Y$108,3,0),IF(AND(AI65&lt;=Rates!$Z$2,AJ65&lt;=Info!$I$6,Info!$F$32="ممتاز"),VLOOKUP(AI65,Rates!$U$1:$Y$108,4,0),0))))*AA65/1000000*(1+Info!$C$34)*(1-Info!$I$48)</f>
        <v>0</v>
      </c>
      <c r="X65" s="24">
        <f>IF(Info!$C$32="بله",(AG65-W65-U65-V65-T65)/(1+S65),AG65)</f>
        <v>0</v>
      </c>
      <c r="Y65" s="24">
        <f>IF(AI65&lt;&gt;0,(AD65*LOOKUP(AI65,Rates!$U$2:$U$108,Rates!$T$2:$T$108))/SQRT(1.1),0)</f>
        <v>0</v>
      </c>
      <c r="Z65" s="24">
        <f>IF(AND(AI65&lt;=Rates!$Z$10,AI65&gt;=0),Info!$C$28*(AC65-AD65),0)</f>
        <v>0</v>
      </c>
      <c r="AA65" s="24">
        <f>IF(AND(AI65&gt;=0,AI65&lt;=Rates!$Z$2,AG65&gt;0),MIN(AA64*(1+Info!$F$26),5000000000),0)</f>
        <v>0</v>
      </c>
      <c r="AB65" s="24">
        <f>IF(AND(AI65&gt;=0,AI65&lt;=65),AD65*Info!$L$32,0)</f>
        <v>0</v>
      </c>
      <c r="AC65" s="24">
        <f>IF(AND(AI65&gt;=0,AI65&lt;=Rates!$Z$3),AD65*(1+Info!$L$30),AD65)</f>
        <v>0</v>
      </c>
      <c r="AD65" s="24">
        <f>IF(AI65&lt;&gt;0,AD64*(1+Info!$F$26),0)</f>
        <v>0</v>
      </c>
      <c r="AE65" s="24">
        <f t="shared" si="11"/>
        <v>0</v>
      </c>
      <c r="AF65" s="24">
        <f>IF(AI65&gt;=0,IF(Info!$C$32="بله",AG65,AG65+L65),"")</f>
        <v>0</v>
      </c>
      <c r="AG65" s="146">
        <f>IF(AI65&lt;&gt;0,AG64*(1+Info!$F$24),0)</f>
        <v>0</v>
      </c>
      <c r="AH65" s="149">
        <f>IF(AJ65&lt;&gt;"",Info!$C$6+AJ65-1,0)</f>
        <v>0</v>
      </c>
      <c r="AI65" s="26">
        <f>IF(AJ65&lt;&gt;"",IF(Info!$F$6+AJ65-1&lt;=Rates!$Z$11,Info!$F$6+AJ65-1,0),0)</f>
        <v>0</v>
      </c>
      <c r="AJ65" s="27" t="str">
        <f>IF(AI64&lt;&gt;"",IF(AND(AJ64&lt;&gt;"",AI64+1&lt;=Rates!$Z$11),IF(AJ64&lt;&gt;0,IF(AJ64+1&lt;=Info!$I$6,AJ64+1,""),0),""),"")</f>
        <v/>
      </c>
    </row>
    <row r="66" spans="1:36" s="243" customFormat="1" ht="18.75" x14ac:dyDescent="0.45">
      <c r="A66" s="25">
        <f>IF(B66&gt;0,IF(Info!$C$32="بله",AG66/B66,(AG66+L66)/B66),0)</f>
        <v>0</v>
      </c>
      <c r="B66" s="25">
        <f>IF(AND(AI66&gt;=0,AJ66&lt;=Info!$I$6),LOOKUP(Info!$C$24,Rates!$I$2:$I$7,Rates!$F$2:$F$7),0)</f>
        <v>0</v>
      </c>
      <c r="C66" s="25">
        <f>IF(AG66&lt;&gt;0,(C65+F66)*(1+VLOOKUP(Info!$C$26,Rates!$D$3:$E$7,2,FALSE)),0)</f>
        <v>0</v>
      </c>
      <c r="D66" s="25">
        <f t="shared" si="9"/>
        <v>0</v>
      </c>
      <c r="E66" s="25">
        <f>IF(AI66&lt;&gt;0,(E65+F66)*(1+VLOOKUP(Info!$C$26,Rates!$A$14:$B$19,2,FALSE)),0)</f>
        <v>0</v>
      </c>
      <c r="F66" s="25">
        <f>IF(AI66&lt;&gt;"",IF(Info!$C$32="بله",IF(AND(AJ66&lt;=Info!$F$36,AJ66&gt;=Info!$I$36),Info!$C$36,0)+(AG66-Y66-L66-K66-J66-I66-H66-G66),IF(AND(AJ66&lt;=Info!$F$36,AJ66&gt;=Info!$I$36),Info!$C$36,0)+(AG66-Y66-K66-J66-I66-H66-G66)),"")</f>
        <v>0</v>
      </c>
      <c r="G66" s="25">
        <f>IF(AI66&lt;&gt;"",Rates!$AB$11*(L66),"")</f>
        <v>0</v>
      </c>
      <c r="H66" s="25">
        <f>IF(AI66&lt;&gt;"",(Rates!$AD$11+Rates!$AC$11)*(L66),"")</f>
        <v>0</v>
      </c>
      <c r="I66" s="25">
        <f>IF(AI66&lt;&gt;"",LOOKUP(Info!$C$24,Rates!$I$2:$I$7,Rates!$H$2:$H$7)*(J66+K66+L66+Y66),"")</f>
        <v>0</v>
      </c>
      <c r="J66" s="25">
        <f t="shared" si="10"/>
        <v>0</v>
      </c>
      <c r="K66" s="25">
        <f>IF(Y66&lt;&gt;"",Info!$C$34*Y66,"")</f>
        <v>0</v>
      </c>
      <c r="L66" s="25">
        <f t="shared" si="1"/>
        <v>0</v>
      </c>
      <c r="M66" s="25"/>
      <c r="N66" s="25">
        <v>0</v>
      </c>
      <c r="O66" s="25" t="str">
        <f>IF(AJ66&lt;=10,(1-Info!$C$44)*IF(OR(Info!$F$24&gt;0,Info!$F$26&gt;0),IF(0.75*$X$4&lt;=0.03*$AD$4,0.75*(X66-X65),0.03*(AD66-AD65)),0),"")</f>
        <v/>
      </c>
      <c r="P66" s="25">
        <f>IF(AJ66&lt;=5,IF(AI66&lt;&gt;"",0.002*AD66,"")*(1-Info!$I$44),0)</f>
        <v>0</v>
      </c>
      <c r="Q66" s="25">
        <f>(1-Info!$F$44)*IF(AI66&lt;&gt;"",IF(Info!$C$32="بله",0.07*X66,0.07*AG66),"")</f>
        <v>0</v>
      </c>
      <c r="R66" s="25">
        <f>IF(X66&lt;&gt;0,S66*X66,0)*(1-Info!$F$48)</f>
        <v>0</v>
      </c>
      <c r="S66" s="25">
        <f>IF(Info!$I$30="خیر",0,IF(Info!$F$30="بله",IF(Info!$C$30=1,2.3,IF(Info!$C$30=2,3.3,4.3)),1))*IF(AND(AH66&lt;=Rates!$Z$8,AH66&gt;0),(1+Info!$C$34)*(1+LOOKUP(Info!$F$34,Rates!$O$2:$O$9,Rates!$L$2:$L$9)/100)*(LOOKUP(Info!$C$6,Rates!$U$2:$U$108,Rates!$R$2:$R$108)/100),0)</f>
        <v>0</v>
      </c>
      <c r="T66" s="25">
        <f>IF(AI66&lt;71,(1-Info!$F$46)*((AB66*0.0008*(1+(LOOKUP(Info!$I$34,Rates!$O$2:$O$9,Rates!$M$2:$M$9)/100)))),0)</f>
        <v>0</v>
      </c>
      <c r="U66" s="25">
        <f>IF(AI66&lt;71,(1-Info!$I$46)*(((AD66*0.0008*Info!$L$30))*(1+(LOOKUP(Info!$I$34,Rates!$O:$O,Rates!$N:$N)/100))),0)</f>
        <v>0</v>
      </c>
      <c r="V66" s="25">
        <f>((Z66*0.0008))*(1+(LOOKUP(Info!$I$34,Rates!$O$2:$O$9,Rates!$M$2:$M$9)/100))*(1-Info!$C$46)</f>
        <v>0</v>
      </c>
      <c r="W66" s="25">
        <f>IF(AND(AI66&lt;=Rates!$Z$2,AJ66&lt;=Info!$I$6,Info!$F$32="معمولی"),VLOOKUP(AI66,Rates!$U$1:$Y$108,5,0),IF(AND(AI66&lt;=Rates!$Z$2,AJ66&lt;=Info!$I$6,Info!$F$32="پایه"),VLOOKUP(AI66,Rates!$U$1:$Y$108,2,0),IF(AND(AI66&lt;=Rates!$Z$2,AJ66&lt;=Info!$I$6,Info!$F$32="آسایش "),VLOOKUP(AI66,Rates!$U$1:$Y$108,3,0),IF(AND(AI66&lt;=Rates!$Z$2,AJ66&lt;=Info!$I$6,Info!$F$32="ممتاز"),VLOOKUP(AI66,Rates!$U$1:$Y$108,4,0),0))))*AA66/1000000*(1+Info!$C$34)*(1-Info!$I$48)</f>
        <v>0</v>
      </c>
      <c r="X66" s="25">
        <f>IF(Info!$C$32="بله",(AG66-W66-U66-V66-T66)/(1+S66),AG66)</f>
        <v>0</v>
      </c>
      <c r="Y66" s="25">
        <f>IF(AI66&lt;&gt;0,(AD66*LOOKUP(AI66,Rates!$U$2:$U$108,Rates!$T$2:$T$108))/SQRT(1.1),0)</f>
        <v>0</v>
      </c>
      <c r="Z66" s="25">
        <f>IF(AND(AI66&lt;=Rates!$Z$10,AI66&gt;=0),Info!$C$28*(AC66-AD66),0)</f>
        <v>0</v>
      </c>
      <c r="AA66" s="25">
        <f>IF(AND(AI66&gt;=0,AI66&lt;=Rates!$Z$2,AG66&gt;0),MIN(AA65*(1+Info!$F$26),5000000000),0)</f>
        <v>0</v>
      </c>
      <c r="AB66" s="25">
        <f>IF(AND(AI66&gt;=0,AI66&lt;=65),AD66*Info!$L$32,0)</f>
        <v>0</v>
      </c>
      <c r="AC66" s="25">
        <f>IF(AND(AI66&gt;=0,AI66&lt;=Rates!$Z$3),AD66*(1+Info!$L$30),AD66)</f>
        <v>0</v>
      </c>
      <c r="AD66" s="25">
        <f>IF(AI66&lt;&gt;0,AD65*(1+Info!$F$26),0)</f>
        <v>0</v>
      </c>
      <c r="AE66" s="25">
        <f t="shared" si="11"/>
        <v>0</v>
      </c>
      <c r="AF66" s="25">
        <f>IF(AI66&gt;=0,IF(Info!$C$32="بله",AG66,AG66+L66),"")</f>
        <v>0</v>
      </c>
      <c r="AG66" s="145">
        <f>IF(AI66&lt;&gt;0,AG65*(1+Info!$F$24),0)</f>
        <v>0</v>
      </c>
      <c r="AH66" s="150">
        <f>IF(AJ66&lt;&gt;"",Info!$C$6+AJ66-1,0)</f>
        <v>0</v>
      </c>
      <c r="AI66" s="28">
        <f>IF(AJ66&lt;&gt;"",IF(Info!$F$6+AJ66-1&lt;=Rates!$Z$11,Info!$F$6+AJ66-1,0),0)</f>
        <v>0</v>
      </c>
      <c r="AJ66" s="29" t="str">
        <f>IF(AI65&lt;&gt;"",IF(AND(AJ65&lt;&gt;"",AI65+1&lt;=Rates!$Z$11),IF(AJ65&lt;&gt;0,IF(AJ65+1&lt;=Info!$I$6,AJ65+1,""),0),""),"")</f>
        <v/>
      </c>
    </row>
    <row r="67" spans="1:36" s="243" customFormat="1" ht="18.75" x14ac:dyDescent="0.45">
      <c r="A67" s="24">
        <f>IF(B67&gt;0,IF(Info!$C$32="بله",AG67/B67,(AG67+L67)/B67),0)</f>
        <v>0</v>
      </c>
      <c r="B67" s="24">
        <f>IF(AND(AI67&gt;=0,AJ67&lt;=Info!$I$6),LOOKUP(Info!$C$24,Rates!$I$2:$I$7,Rates!$F$2:$F$7),0)</f>
        <v>0</v>
      </c>
      <c r="C67" s="24">
        <f>IF(AG67&lt;&gt;0,(C66+F67)*(1+VLOOKUP(Info!$C$26,Rates!$D$3:$E$7,2,FALSE)),0)</f>
        <v>0</v>
      </c>
      <c r="D67" s="24">
        <f t="shared" si="9"/>
        <v>0</v>
      </c>
      <c r="E67" s="24">
        <f>IF(AI67&lt;&gt;0,(E66+F67)*(1+VLOOKUP(Info!$C$26,Rates!$A$14:$B$19,2,FALSE)),0)</f>
        <v>0</v>
      </c>
      <c r="F67" s="24">
        <f>IF(AI67&lt;&gt;"",IF(Info!$C$32="بله",IF(AND(AJ67&lt;=Info!$F$36,AJ67&gt;=Info!$I$36),Info!$C$36,0)+(AG67-Y67-L67-K67-J67-I67-H67-G67),IF(AND(AJ67&lt;=Info!$F$36,AJ67&gt;=Info!$I$36),Info!$C$36,0)+(AG67-Y67-K67-J67-I67-H67-G67)),"")</f>
        <v>0</v>
      </c>
      <c r="G67" s="24">
        <f>IF(AI67&lt;&gt;"",Rates!$AB$11*(L67),"")</f>
        <v>0</v>
      </c>
      <c r="H67" s="24">
        <f>IF(AI67&lt;&gt;"",(Rates!$AD$11+Rates!$AC$11)*(L67),"")</f>
        <v>0</v>
      </c>
      <c r="I67" s="24">
        <f>IF(AI67&lt;&gt;"",LOOKUP(Info!$C$24,Rates!$I$2:$I$7,Rates!$H$2:$H$7)*(J67+K67+L67+Y67),"")</f>
        <v>0</v>
      </c>
      <c r="J67" s="24">
        <f t="shared" si="10"/>
        <v>0</v>
      </c>
      <c r="K67" s="24">
        <f>IF(Y67&lt;&gt;"",Info!$C$34*Y67,"")</f>
        <v>0</v>
      </c>
      <c r="L67" s="24">
        <f t="shared" si="1"/>
        <v>0</v>
      </c>
      <c r="M67" s="24"/>
      <c r="N67" s="24">
        <v>0</v>
      </c>
      <c r="O67" s="24" t="str">
        <f>IF(AJ67&lt;=10,(1-Info!$C$44)*IF(OR(Info!$F$24&gt;0,Info!$F$26&gt;0),IF(0.75*$X$4&lt;=0.03*$AD$4,0.75*(X67-X66),0.03*(AD67-AD66)),0),"")</f>
        <v/>
      </c>
      <c r="P67" s="24">
        <f>IF(AJ67&lt;=5,IF(AI67&lt;&gt;"",0.002*AD67,"")*(1-Info!$I$44),0)</f>
        <v>0</v>
      </c>
      <c r="Q67" s="24">
        <f>(1-Info!$F$44)*IF(AI67&lt;&gt;"",IF(Info!$C$32="بله",0.07*X67,0.07*AG67),"")</f>
        <v>0</v>
      </c>
      <c r="R67" s="24">
        <f>IF(X67&lt;&gt;0,S67*X67,0)*(1-Info!$F$48)</f>
        <v>0</v>
      </c>
      <c r="S67" s="24">
        <f>IF(Info!$I$30="خیر",0,IF(Info!$F$30="بله",IF(Info!$C$30=1,2.3,IF(Info!$C$30=2,3.3,4.3)),1))*IF(AND(AH67&lt;=Rates!$Z$8,AH67&gt;0),(1+Info!$C$34)*(1+LOOKUP(Info!$F$34,Rates!$O$2:$O$9,Rates!$L$2:$L$9)/100)*(LOOKUP(Info!$C$6,Rates!$U$2:$U$108,Rates!$R$2:$R$108)/100),0)</f>
        <v>0</v>
      </c>
      <c r="T67" s="24">
        <f>IF(AI67&lt;71,(1-Info!$F$46)*((AB67*0.0008*(1+(LOOKUP(Info!$I$34,Rates!$O$2:$O$9,Rates!$M$2:$M$9)/100)))),0)</f>
        <v>0</v>
      </c>
      <c r="U67" s="24">
        <f>IF(AI67&lt;71,(1-Info!$I$46)*(((AD67*0.0008*Info!$L$30))*(1+(LOOKUP(Info!$I$34,Rates!$O:$O,Rates!$N:$N)/100))),0)</f>
        <v>0</v>
      </c>
      <c r="V67" s="24">
        <f>((Z67*0.0008))*(1+(LOOKUP(Info!$I$34,Rates!$O$2:$O$9,Rates!$M$2:$M$9)/100))*(1-Info!$C$46)</f>
        <v>0</v>
      </c>
      <c r="W67" s="24">
        <f>IF(AND(AI67&lt;=Rates!$Z$2,AJ67&lt;=Info!$I$6,Info!$F$32="معمولی"),VLOOKUP(AI67,Rates!$U$1:$Y$108,5,0),IF(AND(AI67&lt;=Rates!$Z$2,AJ67&lt;=Info!$I$6,Info!$F$32="پایه"),VLOOKUP(AI67,Rates!$U$1:$Y$108,2,0),IF(AND(AI67&lt;=Rates!$Z$2,AJ67&lt;=Info!$I$6,Info!$F$32="آسایش "),VLOOKUP(AI67,Rates!$U$1:$Y$108,3,0),IF(AND(AI67&lt;=Rates!$Z$2,AJ67&lt;=Info!$I$6,Info!$F$32="ممتاز"),VLOOKUP(AI67,Rates!$U$1:$Y$108,4,0),0))))*AA67/1000000*(1+Info!$C$34)*(1-Info!$I$48)</f>
        <v>0</v>
      </c>
      <c r="X67" s="24">
        <f>IF(Info!$C$32="بله",(AG67-W67-U67-V67-T67)/(1+S67),AG67)</f>
        <v>0</v>
      </c>
      <c r="Y67" s="24">
        <f>IF(AI67&lt;&gt;0,(AD67*LOOKUP(AI67,Rates!$U$2:$U$108,Rates!$T$2:$T$108))/SQRT(1.1),0)</f>
        <v>0</v>
      </c>
      <c r="Z67" s="24">
        <f>IF(AND(AI67&lt;=Rates!$Z$10,AI67&gt;=0),Info!$C$28*(AC67-AD67),0)</f>
        <v>0</v>
      </c>
      <c r="AA67" s="24">
        <f>IF(AND(AI67&gt;=0,AI67&lt;=Rates!$Z$2,AG67&gt;0),MIN(AA66*(1+Info!$F$26),5000000000),0)</f>
        <v>0</v>
      </c>
      <c r="AB67" s="24">
        <f>IF(AND(AI67&gt;=0,AI67&lt;=65),AD67*Info!$L$32,0)</f>
        <v>0</v>
      </c>
      <c r="AC67" s="24">
        <f>IF(AND(AI67&gt;=0,AI67&lt;=Rates!$Z$3),AD67*(1+Info!$L$30),AD67)</f>
        <v>0</v>
      </c>
      <c r="AD67" s="24">
        <f>IF(AI67&lt;&gt;0,AD66*(1+Info!$F$26),0)</f>
        <v>0</v>
      </c>
      <c r="AE67" s="24">
        <f t="shared" si="11"/>
        <v>0</v>
      </c>
      <c r="AF67" s="24">
        <f>IF(AI67&gt;=0,IF(Info!$C$32="بله",AG67,AG67+L67),"")</f>
        <v>0</v>
      </c>
      <c r="AG67" s="146">
        <f>IF(AI67&lt;&gt;0,AG66*(1+Info!$F$24),0)</f>
        <v>0</v>
      </c>
      <c r="AH67" s="149">
        <f>IF(AJ67&lt;&gt;"",Info!$C$6+AJ67-1,0)</f>
        <v>0</v>
      </c>
      <c r="AI67" s="26">
        <f>IF(AJ67&lt;&gt;"",IF(Info!$F$6+AJ67-1&lt;=Rates!$Z$11,Info!$F$6+AJ67-1,0),0)</f>
        <v>0</v>
      </c>
      <c r="AJ67" s="27" t="str">
        <f>IF(AI66&lt;&gt;"",IF(AND(AJ66&lt;&gt;"",AI66+1&lt;=Rates!$Z$11),IF(AJ66&lt;&gt;0,IF(AJ66+1&lt;=Info!$I$6,AJ66+1,""),0),""),"")</f>
        <v/>
      </c>
    </row>
    <row r="68" spans="1:36" s="243" customFormat="1" ht="18.75" x14ac:dyDescent="0.45">
      <c r="A68" s="25">
        <f>IF(B68&gt;0,IF(Info!$C$32="بله",AG68/B68,(AG68+L68)/B68),0)</f>
        <v>0</v>
      </c>
      <c r="B68" s="25">
        <f>IF(AND(AI68&gt;=0,AJ68&lt;=Info!$I$6),LOOKUP(Info!$C$24,Rates!$I$2:$I$7,Rates!$F$2:$F$7),0)</f>
        <v>0</v>
      </c>
      <c r="C68" s="25">
        <f>IF(AG68&lt;&gt;0,(C67+F68)*(1+VLOOKUP(Info!$C$26,Rates!$D$3:$E$7,2,FALSE)),0)</f>
        <v>0</v>
      </c>
      <c r="D68" s="25">
        <f t="shared" si="9"/>
        <v>0</v>
      </c>
      <c r="E68" s="25">
        <f>IF(AI68&lt;&gt;0,(E67+F68)*(1+VLOOKUP(Info!$C$26,Rates!$A$14:$B$19,2,FALSE)),0)</f>
        <v>0</v>
      </c>
      <c r="F68" s="25">
        <f>IF(AI68&lt;&gt;"",IF(Info!$C$32="بله",IF(AND(AJ68&lt;=Info!$F$36,AJ68&gt;=Info!$I$36),Info!$C$36,0)+(AG68-Y68-L68-K68-J68-I68-H68-G68),IF(AND(AJ68&lt;=Info!$F$36,AJ68&gt;=Info!$I$36),Info!$C$36,0)+(AG68-Y68-K68-J68-I68-H68-G68)),"")</f>
        <v>0</v>
      </c>
      <c r="G68" s="25">
        <f>IF(AI68&lt;&gt;"",Rates!$AB$11*(L68),"")</f>
        <v>0</v>
      </c>
      <c r="H68" s="25">
        <f>IF(AI68&lt;&gt;"",(Rates!$AD$11+Rates!$AC$11)*(L68),"")</f>
        <v>0</v>
      </c>
      <c r="I68" s="25">
        <f>IF(AI68&lt;&gt;"",LOOKUP(Info!$C$24,Rates!$I$2:$I$7,Rates!$H$2:$H$7)*(J68+K68+L68+Y68),"")</f>
        <v>0</v>
      </c>
      <c r="J68" s="25">
        <f t="shared" si="10"/>
        <v>0</v>
      </c>
      <c r="K68" s="25">
        <f>IF(Y68&lt;&gt;"",Info!$C$34*Y68,"")</f>
        <v>0</v>
      </c>
      <c r="L68" s="25">
        <f t="shared" si="1"/>
        <v>0</v>
      </c>
      <c r="M68" s="25"/>
      <c r="N68" s="25">
        <v>0</v>
      </c>
      <c r="O68" s="25" t="str">
        <f>IF(AJ68&lt;=10,(1-Info!$C$44)*IF(OR(Info!$F$24&gt;0,Info!$F$26&gt;0),IF(0.75*$X$4&lt;=0.03*$AD$4,0.75*(X68-X67),0.03*(AD68-AD67)),0),"")</f>
        <v/>
      </c>
      <c r="P68" s="25">
        <f>IF(AJ68&lt;=5,IF(AI68&lt;&gt;"",0.002*AD68,"")*(1-Info!$I$44),0)</f>
        <v>0</v>
      </c>
      <c r="Q68" s="25">
        <f>(1-Info!$F$44)*IF(AI68&lt;&gt;"",IF(Info!$C$32="بله",0.07*X68,0.07*AG68),"")</f>
        <v>0</v>
      </c>
      <c r="R68" s="25">
        <f>IF(X68&lt;&gt;0,S68*X68,0)*(1-Info!$F$48)</f>
        <v>0</v>
      </c>
      <c r="S68" s="25">
        <f>IF(Info!$I$30="خیر",0,IF(Info!$F$30="بله",IF(Info!$C$30=1,2.3,IF(Info!$C$30=2,3.3,4.3)),1))*IF(AND(AH68&lt;=Rates!$Z$8,AH68&gt;0),(1+Info!$C$34)*(1+LOOKUP(Info!$F$34,Rates!$O$2:$O$9,Rates!$L$2:$L$9)/100)*(LOOKUP(Info!$C$6,Rates!$U$2:$U$108,Rates!$R$2:$R$108)/100),0)</f>
        <v>0</v>
      </c>
      <c r="T68" s="25">
        <f>IF(AI68&lt;71,(1-Info!$F$46)*((AB68*0.0008*(1+(LOOKUP(Info!$I$34,Rates!$O$2:$O$9,Rates!$M$2:$M$9)/100)))),0)</f>
        <v>0</v>
      </c>
      <c r="U68" s="25">
        <f>IF(AI68&lt;71,(1-Info!$I$46)*(((AD68*0.0008*Info!$L$30))*(1+(LOOKUP(Info!$I$34,Rates!$O:$O,Rates!$N:$N)/100))),0)</f>
        <v>0</v>
      </c>
      <c r="V68" s="25">
        <f>((Z68*0.0008))*(1+(LOOKUP(Info!$I$34,Rates!$O$2:$O$9,Rates!$M$2:$M$9)/100))*(1-Info!$C$46)</f>
        <v>0</v>
      </c>
      <c r="W68" s="25">
        <f>IF(AND(AI68&lt;=Rates!$Z$2,AJ68&lt;=Info!$I$6,Info!$F$32="معمولی"),VLOOKUP(AI68,Rates!$U$1:$Y$108,5,0),IF(AND(AI68&lt;=Rates!$Z$2,AJ68&lt;=Info!$I$6,Info!$F$32="پایه"),VLOOKUP(AI68,Rates!$U$1:$Y$108,2,0),IF(AND(AI68&lt;=Rates!$Z$2,AJ68&lt;=Info!$I$6,Info!$F$32="آسایش "),VLOOKUP(AI68,Rates!$U$1:$Y$108,3,0),IF(AND(AI68&lt;=Rates!$Z$2,AJ68&lt;=Info!$I$6,Info!$F$32="ممتاز"),VLOOKUP(AI68,Rates!$U$1:$Y$108,4,0),0))))*AA68/1000000*(1+Info!$C$34)*(1-Info!$I$48)</f>
        <v>0</v>
      </c>
      <c r="X68" s="25">
        <f>IF(Info!$C$32="بله",(AG68-W68-U68-V68-T68)/(1+S68),AG68)</f>
        <v>0</v>
      </c>
      <c r="Y68" s="25">
        <f>IF(AI68&lt;&gt;0,(AD68*LOOKUP(AI68,Rates!$U$2:$U$108,Rates!$T$2:$T$108))/SQRT(1.1),0)</f>
        <v>0</v>
      </c>
      <c r="Z68" s="25">
        <f>IF(AND(AI68&lt;=Rates!$Z$10,AI68&gt;=0),Info!$C$28*(AC68-AD68),0)</f>
        <v>0</v>
      </c>
      <c r="AA68" s="25">
        <f>IF(AND(AI68&gt;=0,AI68&lt;=Rates!$Z$2,AG68&gt;0),MIN(AA67*(1+Info!$F$26),5000000000),0)</f>
        <v>0</v>
      </c>
      <c r="AB68" s="25">
        <f>IF(AND(AI68&gt;=0,AI68&lt;=65),AD68*Info!$L$32,0)</f>
        <v>0</v>
      </c>
      <c r="AC68" s="25">
        <f>IF(AND(AI68&gt;=0,AI68&lt;=Rates!$Z$3),AD68*(1+Info!$L$30),AD68)</f>
        <v>0</v>
      </c>
      <c r="AD68" s="25">
        <f>IF(AI68&lt;&gt;0,AD67*(1+Info!$F$26),0)</f>
        <v>0</v>
      </c>
      <c r="AE68" s="25">
        <f t="shared" si="11"/>
        <v>0</v>
      </c>
      <c r="AF68" s="25">
        <f>IF(AI68&gt;=0,IF(Info!$C$32="بله",AG68,AG68+L68),"")</f>
        <v>0</v>
      </c>
      <c r="AG68" s="145">
        <f>IF(AI68&lt;&gt;0,AG67*(1+Info!$F$24),0)</f>
        <v>0</v>
      </c>
      <c r="AH68" s="150">
        <f>IF(AJ68&lt;&gt;"",Info!$C$6+AJ68-1,0)</f>
        <v>0</v>
      </c>
      <c r="AI68" s="28">
        <f>IF(AJ68&lt;&gt;"",IF(Info!$F$6+AJ68-1&lt;=Rates!$Z$11,Info!$F$6+AJ68-1,0),0)</f>
        <v>0</v>
      </c>
      <c r="AJ68" s="29" t="str">
        <f>IF(AI67&lt;&gt;"",IF(AND(AJ67&lt;&gt;"",AI67+1&lt;=Rates!$Z$11),IF(AJ67&lt;&gt;0,IF(AJ67+1&lt;=Info!$I$6,AJ67+1,""),0),""),"")</f>
        <v/>
      </c>
    </row>
    <row r="69" spans="1:36" s="243" customFormat="1" ht="18.75" x14ac:dyDescent="0.45">
      <c r="A69" s="24">
        <f>IF(B69&gt;0,IF(Info!$C$32="بله",AG69/B69,(AG69+L69)/B69),0)</f>
        <v>0</v>
      </c>
      <c r="B69" s="24">
        <f>IF(AND(AI69&gt;=0,AJ69&lt;=Info!$I$6),LOOKUP(Info!$C$24,Rates!$I$2:$I$7,Rates!$F$2:$F$7),0)</f>
        <v>0</v>
      </c>
      <c r="C69" s="24">
        <f>IF(AG69&lt;&gt;0,(C68+F69)*(1+VLOOKUP(Info!$C$26,Rates!$D$3:$E$7,2,FALSE)),0)</f>
        <v>0</v>
      </c>
      <c r="D69" s="24">
        <f t="shared" si="9"/>
        <v>0</v>
      </c>
      <c r="E69" s="24">
        <f>IF(AI69&lt;&gt;0,(E68+F69)*(1+VLOOKUP(Info!$C$26,Rates!$A$14:$B$19,2,FALSE)),0)</f>
        <v>0</v>
      </c>
      <c r="F69" s="24">
        <f>IF(AI69&lt;&gt;"",IF(Info!$C$32="بله",IF(AND(AJ69&lt;=Info!$F$36,AJ69&gt;=Info!$I$36),Info!$C$36,0)+(AG69-Y69-L69-K69-J69-I69-H69-G69),IF(AND(AJ69&lt;=Info!$F$36,AJ69&gt;=Info!$I$36),Info!$C$36,0)+(AG69-Y69-K69-J69-I69-H69-G69)),"")</f>
        <v>0</v>
      </c>
      <c r="G69" s="24">
        <f>IF(AI69&lt;&gt;"",Rates!$AB$11*(L69),"")</f>
        <v>0</v>
      </c>
      <c r="H69" s="24">
        <f>IF(AI69&lt;&gt;"",(Rates!$AD$11+Rates!$AC$11)*(L69),"")</f>
        <v>0</v>
      </c>
      <c r="I69" s="24">
        <f>IF(AI69&lt;&gt;"",LOOKUP(Info!$C$24,Rates!$I$2:$I$7,Rates!$H$2:$H$7)*(J69+K69+L69+Y69),"")</f>
        <v>0</v>
      </c>
      <c r="J69" s="24">
        <f t="shared" si="10"/>
        <v>0</v>
      </c>
      <c r="K69" s="24">
        <f>IF(Y69&lt;&gt;"",Info!$C$34*Y69,"")</f>
        <v>0</v>
      </c>
      <c r="L69" s="24">
        <f t="shared" ref="L69:L108" si="12">IF(R69="",0,R69)+IF(U69="",0,U69)+IF(W69="",0,W69)+IF(V69="",0,V69)+IF(T69="",0,T69)</f>
        <v>0</v>
      </c>
      <c r="M69" s="24"/>
      <c r="N69" s="24">
        <v>0</v>
      </c>
      <c r="O69" s="24" t="str">
        <f>IF(AJ69&lt;=10,(1-Info!$C$44)*IF(OR(Info!$F$24&gt;0,Info!$F$26&gt;0),IF(0.75*$X$4&lt;=0.03*$AD$4,0.75*(X69-X68),0.03*(AD69-AD68)),0),"")</f>
        <v/>
      </c>
      <c r="P69" s="24">
        <f>IF(AJ69&lt;=5,IF(AI69&lt;&gt;"",0.002*AD69,"")*(1-Info!$I$44),0)</f>
        <v>0</v>
      </c>
      <c r="Q69" s="24">
        <f>(1-Info!$F$44)*IF(AI69&lt;&gt;"",IF(Info!$C$32="بله",0.07*X69,0.07*AG69),"")</f>
        <v>0</v>
      </c>
      <c r="R69" s="24">
        <f>IF(X69&lt;&gt;0,S69*X69,0)*(1-Info!$F$48)</f>
        <v>0</v>
      </c>
      <c r="S69" s="24">
        <f>IF(Info!$I$30="خیر",0,IF(Info!$F$30="بله",IF(Info!$C$30=1,2.3,IF(Info!$C$30=2,3.3,4.3)),1))*IF(AND(AH69&lt;=Rates!$Z$8,AH69&gt;0),(1+Info!$C$34)*(1+LOOKUP(Info!$F$34,Rates!$O$2:$O$9,Rates!$L$2:$L$9)/100)*(LOOKUP(Info!$C$6,Rates!$U$2:$U$108,Rates!$R$2:$R$108)/100),0)</f>
        <v>0</v>
      </c>
      <c r="T69" s="24">
        <f>IF(AI69&lt;71,(1-Info!$F$46)*((AB69*0.0008*(1+(LOOKUP(Info!$I$34,Rates!$O$2:$O$9,Rates!$M$2:$M$9)/100)))),0)</f>
        <v>0</v>
      </c>
      <c r="U69" s="24">
        <f>IF(AI69&lt;71,(1-Info!$I$46)*(((AD69*0.0008*Info!$L$30))*(1+(LOOKUP(Info!$I$34,Rates!$O:$O,Rates!$N:$N)/100))),0)</f>
        <v>0</v>
      </c>
      <c r="V69" s="24">
        <f>((Z69*0.0008))*(1+(LOOKUP(Info!$I$34,Rates!$O$2:$O$9,Rates!$M$2:$M$9)/100))*(1-Info!$C$46)</f>
        <v>0</v>
      </c>
      <c r="W69" s="24">
        <f>IF(AND(AI69&lt;=Rates!$Z$2,AJ69&lt;=Info!$I$6,Info!$F$32="معمولی"),VLOOKUP(AI69,Rates!$U$1:$Y$108,5,0),IF(AND(AI69&lt;=Rates!$Z$2,AJ69&lt;=Info!$I$6,Info!$F$32="پایه"),VLOOKUP(AI69,Rates!$U$1:$Y$108,2,0),IF(AND(AI69&lt;=Rates!$Z$2,AJ69&lt;=Info!$I$6,Info!$F$32="آسایش "),VLOOKUP(AI69,Rates!$U$1:$Y$108,3,0),IF(AND(AI69&lt;=Rates!$Z$2,AJ69&lt;=Info!$I$6,Info!$F$32="ممتاز"),VLOOKUP(AI69,Rates!$U$1:$Y$108,4,0),0))))*AA69/1000000*(1+Info!$C$34)*(1-Info!$I$48)</f>
        <v>0</v>
      </c>
      <c r="X69" s="24">
        <f>IF(Info!$C$32="بله",(AG69-W69-U69-V69-T69)/(1+S69),AG69)</f>
        <v>0</v>
      </c>
      <c r="Y69" s="24">
        <f>IF(AI69&lt;&gt;0,(AD69*LOOKUP(AI69,Rates!$U$2:$U$108,Rates!$T$2:$T$108))/SQRT(1.1),0)</f>
        <v>0</v>
      </c>
      <c r="Z69" s="24">
        <f>IF(AND(AI69&lt;=Rates!$Z$10,AI69&gt;=0),Info!$C$28*(AC69-AD69),0)</f>
        <v>0</v>
      </c>
      <c r="AA69" s="24">
        <f>IF(AND(AI69&gt;=0,AI69&lt;=Rates!$Z$2,AG69&gt;0),MIN(AA68*(1+Info!$F$26),5000000000),0)</f>
        <v>0</v>
      </c>
      <c r="AB69" s="24">
        <f>IF(AND(AI69&gt;=0,AI69&lt;=65),AD69*Info!$L$32,0)</f>
        <v>0</v>
      </c>
      <c r="AC69" s="24">
        <f>IF(AND(AI69&gt;=0,AI69&lt;=Rates!$Z$3),AD69*(1+Info!$L$30),AD69)</f>
        <v>0</v>
      </c>
      <c r="AD69" s="24">
        <f>IF(AI69&lt;&gt;0,AD68*(1+Info!$F$26),0)</f>
        <v>0</v>
      </c>
      <c r="AE69" s="24">
        <f t="shared" si="11"/>
        <v>0</v>
      </c>
      <c r="AF69" s="24">
        <f>IF(AI69&gt;=0,IF(Info!$C$32="بله",AG69,AG69+L69),"")</f>
        <v>0</v>
      </c>
      <c r="AG69" s="146">
        <f>IF(AI69&lt;&gt;0,AG68*(1+Info!$F$24),0)</f>
        <v>0</v>
      </c>
      <c r="AH69" s="149">
        <f>IF(AJ69&lt;&gt;"",Info!$C$6+AJ69-1,0)</f>
        <v>0</v>
      </c>
      <c r="AI69" s="26">
        <f>IF(AJ69&lt;&gt;"",IF(Info!$F$6+AJ69-1&lt;=Rates!$Z$11,Info!$F$6+AJ69-1,0),0)</f>
        <v>0</v>
      </c>
      <c r="AJ69" s="27" t="str">
        <f>IF(AI68&lt;&gt;"",IF(AND(AJ68&lt;&gt;"",AI68+1&lt;=Rates!$Z$11),IF(AJ68&lt;&gt;0,IF(AJ68+1&lt;=Info!$I$6,AJ68+1,""),0),""),"")</f>
        <v/>
      </c>
    </row>
    <row r="70" spans="1:36" s="243" customFormat="1" ht="18.75" x14ac:dyDescent="0.45">
      <c r="A70" s="25">
        <f>IF(B70&gt;0,IF(Info!$C$32="بله",AG70/B70,(AG70+L70)/B70),0)</f>
        <v>0</v>
      </c>
      <c r="B70" s="25">
        <f>IF(AND(AI70&gt;=0,AJ70&lt;=Info!$I$6),LOOKUP(Info!$C$24,Rates!$I$2:$I$7,Rates!$F$2:$F$7),0)</f>
        <v>0</v>
      </c>
      <c r="C70" s="25">
        <f>IF(AG70&lt;&gt;0,(C69+F70)*(1+VLOOKUP(Info!$C$26,Rates!$D$3:$E$7,2,FALSE)),0)</f>
        <v>0</v>
      </c>
      <c r="D70" s="25">
        <f t="shared" si="9"/>
        <v>0</v>
      </c>
      <c r="E70" s="25">
        <f>IF(AI70&lt;&gt;0,(E69+F70)*(1+VLOOKUP(Info!$C$26,Rates!$A$14:$B$19,2,FALSE)),0)</f>
        <v>0</v>
      </c>
      <c r="F70" s="25">
        <f>IF(AI70&lt;&gt;"",IF(Info!$C$32="بله",IF(AND(AJ70&lt;=Info!$F$36,AJ70&gt;=Info!$I$36),Info!$C$36,0)+(AG70-Y70-L70-K70-J70-I70-H70-G70),IF(AND(AJ70&lt;=Info!$F$36,AJ70&gt;=Info!$I$36),Info!$C$36,0)+(AG70-Y70-K70-J70-I70-H70-G70)),"")</f>
        <v>0</v>
      </c>
      <c r="G70" s="25">
        <f>IF(AI70&lt;&gt;"",Rates!$AB$11*(L70),"")</f>
        <v>0</v>
      </c>
      <c r="H70" s="25">
        <f>IF(AI70&lt;&gt;"",(Rates!$AD$11+Rates!$AC$11)*(L70),"")</f>
        <v>0</v>
      </c>
      <c r="I70" s="25">
        <f>IF(AI70&lt;&gt;"",LOOKUP(Info!$C$24,Rates!$I$2:$I$7,Rates!$H$2:$H$7)*(J70+K70+L70+Y70),"")</f>
        <v>0</v>
      </c>
      <c r="J70" s="25">
        <f t="shared" si="10"/>
        <v>0</v>
      </c>
      <c r="K70" s="25">
        <f>IF(Y70&lt;&gt;"",Info!$C$34*Y70,"")</f>
        <v>0</v>
      </c>
      <c r="L70" s="25">
        <f t="shared" si="12"/>
        <v>0</v>
      </c>
      <c r="M70" s="25"/>
      <c r="N70" s="25">
        <v>0</v>
      </c>
      <c r="O70" s="25" t="str">
        <f>IF(AJ70&lt;=10,(1-Info!$C$44)*IF(OR(Info!$F$24&gt;0,Info!$F$26&gt;0),IF(0.75*$X$4&lt;=0.03*$AD$4,0.75*(X70-X69),0.03*(AD70-AD69)),0),"")</f>
        <v/>
      </c>
      <c r="P70" s="25">
        <f>IF(AJ70&lt;=5,IF(AI70&lt;&gt;"",0.002*AD70,"")*(1-Info!$I$44),0)</f>
        <v>0</v>
      </c>
      <c r="Q70" s="25">
        <f>(1-Info!$F$44)*IF(AI70&lt;&gt;"",IF(Info!$C$32="بله",0.07*X70,0.07*AG70),"")</f>
        <v>0</v>
      </c>
      <c r="R70" s="25">
        <f>IF(X70&lt;&gt;0,S70*X70,0)*(1-Info!$F$48)</f>
        <v>0</v>
      </c>
      <c r="S70" s="25">
        <f>IF(Info!$I$30="خیر",0,IF(Info!$F$30="بله",IF(Info!$C$30=1,2.3,IF(Info!$C$30=2,3.3,4.3)),1))*IF(AND(AH70&lt;=Rates!$Z$8,AH70&gt;0),(1+Info!$C$34)*(1+LOOKUP(Info!$F$34,Rates!$O$2:$O$9,Rates!$L$2:$L$9)/100)*(LOOKUP(Info!$C$6,Rates!$U$2:$U$108,Rates!$R$2:$R$108)/100),0)</f>
        <v>0</v>
      </c>
      <c r="T70" s="25">
        <f>IF(AI70&lt;71,(1-Info!$F$46)*((AB70*0.0008*(1+(LOOKUP(Info!$I$34,Rates!$O$2:$O$9,Rates!$M$2:$M$9)/100)))),0)</f>
        <v>0</v>
      </c>
      <c r="U70" s="25">
        <f>IF(AI70&lt;71,(1-Info!$I$46)*(((AD70*0.0008*Info!$L$30))*(1+(LOOKUP(Info!$I$34,Rates!$O:$O,Rates!$N:$N)/100))),0)</f>
        <v>0</v>
      </c>
      <c r="V70" s="25">
        <f>((Z70*0.0008))*(1+(LOOKUP(Info!$I$34,Rates!$O$2:$O$9,Rates!$M$2:$M$9)/100))*(1-Info!$C$46)</f>
        <v>0</v>
      </c>
      <c r="W70" s="25">
        <f>IF(AND(AI70&lt;=Rates!$Z$2,AJ70&lt;=Info!$I$6,Info!$F$32="معمولی"),VLOOKUP(AI70,Rates!$U$1:$Y$108,5,0),IF(AND(AI70&lt;=Rates!$Z$2,AJ70&lt;=Info!$I$6,Info!$F$32="پایه"),VLOOKUP(AI70,Rates!$U$1:$Y$108,2,0),IF(AND(AI70&lt;=Rates!$Z$2,AJ70&lt;=Info!$I$6,Info!$F$32="آسایش "),VLOOKUP(AI70,Rates!$U$1:$Y$108,3,0),IF(AND(AI70&lt;=Rates!$Z$2,AJ70&lt;=Info!$I$6,Info!$F$32="ممتاز"),VLOOKUP(AI70,Rates!$U$1:$Y$108,4,0),0))))*AA70/1000000*(1+Info!$C$34)*(1-Info!$I$48)</f>
        <v>0</v>
      </c>
      <c r="X70" s="25">
        <f>IF(Info!$C$32="بله",(AG70-W70-U70-V70-T70)/(1+S70),AG70)</f>
        <v>0</v>
      </c>
      <c r="Y70" s="25">
        <f>IF(AI70&lt;&gt;0,(AD70*LOOKUP(AI70,Rates!$U$2:$U$108,Rates!$T$2:$T$108))/SQRT(1.1),0)</f>
        <v>0</v>
      </c>
      <c r="Z70" s="25">
        <f>IF(AND(AI70&lt;=Rates!$Z$10,AI70&gt;=0),Info!$C$28*(AC70-AD70),0)</f>
        <v>0</v>
      </c>
      <c r="AA70" s="25">
        <f>IF(AND(AI70&gt;=0,AI70&lt;=Rates!$Z$2,AG70&gt;0),MIN(AA69*(1+Info!$F$26),5000000000),0)</f>
        <v>0</v>
      </c>
      <c r="AB70" s="25">
        <f>IF(AND(AI70&gt;=0,AI70&lt;=65),AD70*Info!$L$32,0)</f>
        <v>0</v>
      </c>
      <c r="AC70" s="25">
        <f>IF(AND(AI70&gt;=0,AI70&lt;=Rates!$Z$3),AD70*(1+Info!$L$30),AD70)</f>
        <v>0</v>
      </c>
      <c r="AD70" s="25">
        <f>IF(AI70&lt;&gt;0,AD69*(1+Info!$F$26),0)</f>
        <v>0</v>
      </c>
      <c r="AE70" s="25">
        <f t="shared" si="11"/>
        <v>0</v>
      </c>
      <c r="AF70" s="25">
        <f>IF(AI70&gt;=0,IF(Info!$C$32="بله",AG70,AG70+L70),"")</f>
        <v>0</v>
      </c>
      <c r="AG70" s="145">
        <f>IF(AI70&lt;&gt;0,AG69*(1+Info!$F$24),0)</f>
        <v>0</v>
      </c>
      <c r="AH70" s="150">
        <f>IF(AJ70&lt;&gt;"",Info!$C$6+AJ70-1,0)</f>
        <v>0</v>
      </c>
      <c r="AI70" s="28">
        <f>IF(AJ70&lt;&gt;"",IF(Info!$F$6+AJ70-1&lt;=Rates!$Z$11,Info!$F$6+AJ70-1,0),0)</f>
        <v>0</v>
      </c>
      <c r="AJ70" s="29" t="str">
        <f>IF(AI69&lt;&gt;"",IF(AND(AJ69&lt;&gt;"",AI69+1&lt;=Rates!$Z$11),IF(AJ69&lt;&gt;0,IF(AJ69+1&lt;=Info!$I$6,AJ69+1,""),0),""),"")</f>
        <v/>
      </c>
    </row>
    <row r="71" spans="1:36" s="243" customFormat="1" ht="18.75" x14ac:dyDescent="0.45">
      <c r="A71" s="24">
        <f>IF(B71&gt;0,IF(Info!$C$32="بله",AG71/B71,(AG71+L71)/B71),0)</f>
        <v>0</v>
      </c>
      <c r="B71" s="24">
        <f>IF(AND(AI71&gt;=0,AJ71&lt;=Info!$I$6),LOOKUP(Info!$C$24,Rates!$I$2:$I$7,Rates!$F$2:$F$7),0)</f>
        <v>0</v>
      </c>
      <c r="C71" s="24">
        <f>IF(AG71&lt;&gt;0,(C70+F71)*(1+VLOOKUP(Info!$C$26,Rates!$D$3:$E$7,2,FALSE)),0)</f>
        <v>0</v>
      </c>
      <c r="D71" s="24">
        <f t="shared" ref="D71:D102" si="13">IF(AI71&lt;&gt;"",E71,"")</f>
        <v>0</v>
      </c>
      <c r="E71" s="24">
        <f>IF(AI71&lt;&gt;0,(E70+F71)*(1+VLOOKUP(Info!$C$26,Rates!$A$14:$B$19,2,FALSE)),0)</f>
        <v>0</v>
      </c>
      <c r="F71" s="24">
        <f>IF(AI71&lt;&gt;"",IF(Info!$C$32="بله",IF(AND(AJ71&lt;=Info!$F$36,AJ71&gt;=Info!$I$36),Info!$C$36,0)+(AG71-Y71-L71-K71-J71-I71-H71-G71),IF(AND(AJ71&lt;=Info!$F$36,AJ71&gt;=Info!$I$36),Info!$C$36,0)+(AG71-Y71-K71-J71-I71-H71-G71)),"")</f>
        <v>0</v>
      </c>
      <c r="G71" s="24">
        <f>IF(AI71&lt;&gt;"",Rates!$AB$11*(L71),"")</f>
        <v>0</v>
      </c>
      <c r="H71" s="24">
        <f>IF(AI71&lt;&gt;"",(Rates!$AD$11+Rates!$AC$11)*(L71),"")</f>
        <v>0</v>
      </c>
      <c r="I71" s="24">
        <f>IF(AI71&lt;&gt;"",LOOKUP(Info!$C$24,Rates!$I$2:$I$7,Rates!$H$2:$H$7)*(J71+K71+L71+Y71),"")</f>
        <v>0</v>
      </c>
      <c r="J71" s="24">
        <f t="shared" si="10"/>
        <v>0</v>
      </c>
      <c r="K71" s="24">
        <f>IF(Y71&lt;&gt;"",Info!$C$34*Y71,"")</f>
        <v>0</v>
      </c>
      <c r="L71" s="24">
        <f t="shared" si="12"/>
        <v>0</v>
      </c>
      <c r="M71" s="24"/>
      <c r="N71" s="24">
        <v>0</v>
      </c>
      <c r="O71" s="24" t="str">
        <f>IF(AJ71&lt;=10,(1-Info!$C$44)*IF(OR(Info!$F$24&gt;0,Info!$F$26&gt;0),IF(0.75*$X$4&lt;=0.03*$AD$4,0.75*(X71-X70),0.03*(AD71-AD70)),0),"")</f>
        <v/>
      </c>
      <c r="P71" s="24">
        <f>IF(AJ71&lt;=5,IF(AI71&lt;&gt;"",0.002*AD71,"")*(1-Info!$I$44),0)</f>
        <v>0</v>
      </c>
      <c r="Q71" s="24">
        <f>(1-Info!$F$44)*IF(AI71&lt;&gt;"",IF(Info!$C$32="بله",0.07*X71,0.07*AG71),"")</f>
        <v>0</v>
      </c>
      <c r="R71" s="24">
        <f>IF(X71&lt;&gt;0,S71*X71,0)*(1-Info!$F$48)</f>
        <v>0</v>
      </c>
      <c r="S71" s="24">
        <f>IF(Info!$I$30="خیر",0,IF(Info!$F$30="بله",IF(Info!$C$30=1,2.3,IF(Info!$C$30=2,3.3,4.3)),1))*IF(AND(AH71&lt;=Rates!$Z$8,AH71&gt;0),(1+Info!$C$34)*(1+LOOKUP(Info!$F$34,Rates!$O$2:$O$9,Rates!$L$2:$L$9)/100)*(LOOKUP(Info!$C$6,Rates!$U$2:$U$108,Rates!$R$2:$R$108)/100),0)</f>
        <v>0</v>
      </c>
      <c r="T71" s="24">
        <f>IF(AI71&lt;71,(1-Info!$F$46)*((AB71*0.0008*(1+(LOOKUP(Info!$I$34,Rates!$O$2:$O$9,Rates!$M$2:$M$9)/100)))),0)</f>
        <v>0</v>
      </c>
      <c r="U71" s="24">
        <f>IF(AI71&lt;71,(1-Info!$I$46)*(((AD71*0.0008*Info!$L$30))*(1+(LOOKUP(Info!$I$34,Rates!$O:$O,Rates!$N:$N)/100))),0)</f>
        <v>0</v>
      </c>
      <c r="V71" s="24">
        <f>((Z71*0.0008))*(1+(LOOKUP(Info!$I$34,Rates!$O$2:$O$9,Rates!$M$2:$M$9)/100))*(1-Info!$C$46)</f>
        <v>0</v>
      </c>
      <c r="W71" s="24">
        <f>IF(AND(AI71&lt;=Rates!$Z$2,AJ71&lt;=Info!$I$6,Info!$F$32="معمولی"),VLOOKUP(AI71,Rates!$U$1:$Y$108,5,0),IF(AND(AI71&lt;=Rates!$Z$2,AJ71&lt;=Info!$I$6,Info!$F$32="پایه"),VLOOKUP(AI71,Rates!$U$1:$Y$108,2,0),IF(AND(AI71&lt;=Rates!$Z$2,AJ71&lt;=Info!$I$6,Info!$F$32="آسایش "),VLOOKUP(AI71,Rates!$U$1:$Y$108,3,0),IF(AND(AI71&lt;=Rates!$Z$2,AJ71&lt;=Info!$I$6,Info!$F$32="ممتاز"),VLOOKUP(AI71,Rates!$U$1:$Y$108,4,0),0))))*AA71/1000000*(1+Info!$C$34)*(1-Info!$I$48)</f>
        <v>0</v>
      </c>
      <c r="X71" s="24">
        <f>IF(Info!$C$32="بله",(AG71-W71-U71-V71-T71)/(1+S71),AG71)</f>
        <v>0</v>
      </c>
      <c r="Y71" s="24">
        <f>IF(AI71&lt;&gt;0,(AD71*LOOKUP(AI71,Rates!$U$2:$U$108,Rates!$T$2:$T$108))/SQRT(1.1),0)</f>
        <v>0</v>
      </c>
      <c r="Z71" s="24">
        <f>IF(AND(AI71&lt;=Rates!$Z$10,AI71&gt;=0),Info!$C$28*(AC71-AD71),0)</f>
        <v>0</v>
      </c>
      <c r="AA71" s="24">
        <f>IF(AND(AI71&gt;=0,AI71&lt;=Rates!$Z$2,AG71&gt;0),MIN(AA70*(1+Info!$F$26),5000000000),0)</f>
        <v>0</v>
      </c>
      <c r="AB71" s="24">
        <f>IF(AND(AI71&gt;=0,AI71&lt;=65),AD71*Info!$L$32,0)</f>
        <v>0</v>
      </c>
      <c r="AC71" s="24">
        <f>IF(AND(AI71&gt;=0,AI71&lt;=Rates!$Z$3),AD71*(1+Info!$L$30),AD71)</f>
        <v>0</v>
      </c>
      <c r="AD71" s="24">
        <f>IF(AI71&lt;&gt;0,AD70*(1+Info!$F$26),0)</f>
        <v>0</v>
      </c>
      <c r="AE71" s="24">
        <f t="shared" si="11"/>
        <v>0</v>
      </c>
      <c r="AF71" s="24">
        <f>IF(AI71&gt;=0,IF(Info!$C$32="بله",AG71,AG71+L71),"")</f>
        <v>0</v>
      </c>
      <c r="AG71" s="146">
        <f>IF(AI71&lt;&gt;0,AG70*(1+Info!$F$24),0)</f>
        <v>0</v>
      </c>
      <c r="AH71" s="149">
        <f>IF(AJ71&lt;&gt;"",Info!$C$6+AJ71-1,0)</f>
        <v>0</v>
      </c>
      <c r="AI71" s="26">
        <f>IF(AJ71&lt;&gt;"",IF(Info!$F$6+AJ71-1&lt;=Rates!$Z$11,Info!$F$6+AJ71-1,0),0)</f>
        <v>0</v>
      </c>
      <c r="AJ71" s="27" t="str">
        <f>IF(AI70&lt;&gt;"",IF(AND(AJ70&lt;&gt;"",AI70+1&lt;=Rates!$Z$11),IF(AJ70&lt;&gt;0,IF(AJ70+1&lt;=Info!$I$6,AJ70+1,""),0),""),"")</f>
        <v/>
      </c>
    </row>
    <row r="72" spans="1:36" s="243" customFormat="1" ht="18.75" x14ac:dyDescent="0.45">
      <c r="A72" s="25">
        <f>IF(B72&gt;0,IF(Info!$C$32="بله",AG72/B72,(AG72+L72)/B72),0)</f>
        <v>0</v>
      </c>
      <c r="B72" s="25">
        <f>IF(AND(AI72&gt;=0,AJ72&lt;=Info!$I$6),LOOKUP(Info!$C$24,Rates!$I$2:$I$7,Rates!$F$2:$F$7),0)</f>
        <v>0</v>
      </c>
      <c r="C72" s="25">
        <f>IF(AG72&lt;&gt;0,(C71+F72)*(1+VLOOKUP(Info!$C$26,Rates!$D$3:$E$7,2,FALSE)),0)</f>
        <v>0</v>
      </c>
      <c r="D72" s="25">
        <f t="shared" si="13"/>
        <v>0</v>
      </c>
      <c r="E72" s="25">
        <f>IF(AI72&lt;&gt;0,(E71+F72)*(1+VLOOKUP(Info!$C$26,Rates!$A$14:$B$19,2,FALSE)),0)</f>
        <v>0</v>
      </c>
      <c r="F72" s="25">
        <f>IF(AI72&lt;&gt;"",IF(Info!$C$32="بله",IF(AND(AJ72&lt;=Info!$F$36,AJ72&gt;=Info!$I$36),Info!$C$36,0)+(AG72-Y72-L72-K72-J72-I72-H72-G72),IF(AND(AJ72&lt;=Info!$F$36,AJ72&gt;=Info!$I$36),Info!$C$36,0)+(AG72-Y72-K72-J72-I72-H72-G72)),"")</f>
        <v>0</v>
      </c>
      <c r="G72" s="25">
        <f>IF(AI72&lt;&gt;"",Rates!$AB$11*(L72),"")</f>
        <v>0</v>
      </c>
      <c r="H72" s="25">
        <f>IF(AI72&lt;&gt;"",(Rates!$AD$11+Rates!$AC$11)*(L72),"")</f>
        <v>0</v>
      </c>
      <c r="I72" s="25">
        <f>IF(AI72&lt;&gt;"",LOOKUP(Info!$C$24,Rates!$I$2:$I$7,Rates!$H$2:$H$7)*(J72+K72+L72+Y72),"")</f>
        <v>0</v>
      </c>
      <c r="J72" s="25">
        <f t="shared" si="10"/>
        <v>0</v>
      </c>
      <c r="K72" s="25">
        <f>IF(Y72&lt;&gt;"",Info!$C$34*Y72,"")</f>
        <v>0</v>
      </c>
      <c r="L72" s="25">
        <f t="shared" si="12"/>
        <v>0</v>
      </c>
      <c r="M72" s="25"/>
      <c r="N72" s="25">
        <v>0</v>
      </c>
      <c r="O72" s="25" t="str">
        <f>IF(AJ72&lt;=10,(1-Info!$C$44)*IF(OR(Info!$F$24&gt;0,Info!$F$26&gt;0),IF(0.75*$X$4&lt;=0.03*$AD$4,0.75*(X72-X71),0.03*(AD72-AD71)),0),"")</f>
        <v/>
      </c>
      <c r="P72" s="25">
        <f>IF(AJ72&lt;=5,IF(AI72&lt;&gt;"",0.002*AD72,"")*(1-Info!$I$44),0)</f>
        <v>0</v>
      </c>
      <c r="Q72" s="25">
        <f>(1-Info!$F$44)*IF(AI72&lt;&gt;"",IF(Info!$C$32="بله",0.07*X72,0.07*AG72),"")</f>
        <v>0</v>
      </c>
      <c r="R72" s="25">
        <f>IF(X72&lt;&gt;0,S72*X72,0)*(1-Info!$F$48)</f>
        <v>0</v>
      </c>
      <c r="S72" s="25">
        <f>IF(Info!$I$30="خیر",0,IF(Info!$F$30="بله",IF(Info!$C$30=1,2.3,IF(Info!$C$30=2,3.3,4.3)),1))*IF(AND(AH72&lt;=Rates!$Z$8,AH72&gt;0),(1+Info!$C$34)*(1+LOOKUP(Info!$F$34,Rates!$O$2:$O$9,Rates!$L$2:$L$9)/100)*(LOOKUP(Info!$C$6,Rates!$U$2:$U$108,Rates!$R$2:$R$108)/100),0)</f>
        <v>0</v>
      </c>
      <c r="T72" s="25">
        <f>IF(AI72&lt;71,(1-Info!$F$46)*((AB72*0.0008*(1+(LOOKUP(Info!$I$34,Rates!$O$2:$O$9,Rates!$M$2:$M$9)/100)))),0)</f>
        <v>0</v>
      </c>
      <c r="U72" s="25">
        <f>IF(AI72&lt;71,(1-Info!$I$46)*(((AD72*0.0008*Info!$L$30))*(1+(LOOKUP(Info!$I$34,Rates!$O:$O,Rates!$N:$N)/100))),0)</f>
        <v>0</v>
      </c>
      <c r="V72" s="25">
        <f>((Z72*0.0008))*(1+(LOOKUP(Info!$I$34,Rates!$O$2:$O$9,Rates!$M$2:$M$9)/100))*(1-Info!$C$46)</f>
        <v>0</v>
      </c>
      <c r="W72" s="25">
        <f>IF(AND(AI72&lt;=Rates!$Z$2,AJ72&lt;=Info!$I$6,Info!$F$32="معمولی"),VLOOKUP(AI72,Rates!$U$1:$Y$108,5,0),IF(AND(AI72&lt;=Rates!$Z$2,AJ72&lt;=Info!$I$6,Info!$F$32="پایه"),VLOOKUP(AI72,Rates!$U$1:$Y$108,2,0),IF(AND(AI72&lt;=Rates!$Z$2,AJ72&lt;=Info!$I$6,Info!$F$32="آسایش "),VLOOKUP(AI72,Rates!$U$1:$Y$108,3,0),IF(AND(AI72&lt;=Rates!$Z$2,AJ72&lt;=Info!$I$6,Info!$F$32="ممتاز"),VLOOKUP(AI72,Rates!$U$1:$Y$108,4,0),0))))*AA72/1000000*(1+Info!$C$34)*(1-Info!$I$48)</f>
        <v>0</v>
      </c>
      <c r="X72" s="25">
        <f>IF(Info!$C$32="بله",(AG72-W72-U72-V72-T72)/(1+S72),AG72)</f>
        <v>0</v>
      </c>
      <c r="Y72" s="25">
        <f>IF(AI72&lt;&gt;0,(AD72*LOOKUP(AI72,Rates!$U$2:$U$108,Rates!$T$2:$T$108))/SQRT(1.1),0)</f>
        <v>0</v>
      </c>
      <c r="Z72" s="25">
        <f>IF(AND(AI72&lt;=Rates!$Z$10,AI72&gt;=0),Info!$C$28*(AC72-AD72),0)</f>
        <v>0</v>
      </c>
      <c r="AA72" s="25">
        <f>IF(AND(AI72&gt;=0,AI72&lt;=Rates!$Z$2,AG72&gt;0),MIN(AA71*(1+Info!$F$26),5000000000),0)</f>
        <v>0</v>
      </c>
      <c r="AB72" s="25">
        <f>IF(AND(AI72&gt;=0,AI72&lt;=65),AD72*Info!$L$32,0)</f>
        <v>0</v>
      </c>
      <c r="AC72" s="25">
        <f>IF(AND(AI72&gt;=0,AI72&lt;=Rates!$Z$3),AD72*(1+Info!$L$30),AD72)</f>
        <v>0</v>
      </c>
      <c r="AD72" s="25">
        <f>IF(AI72&lt;&gt;0,AD71*(1+Info!$F$26),0)</f>
        <v>0</v>
      </c>
      <c r="AE72" s="25">
        <f t="shared" si="11"/>
        <v>0</v>
      </c>
      <c r="AF72" s="25">
        <f>IF(AI72&gt;=0,IF(Info!$C$32="بله",AG72,AG72+L72),"")</f>
        <v>0</v>
      </c>
      <c r="AG72" s="145">
        <f>IF(AI72&lt;&gt;0,AG71*(1+Info!$F$24),0)</f>
        <v>0</v>
      </c>
      <c r="AH72" s="150">
        <f>IF(AJ72&lt;&gt;"",Info!$C$6+AJ72-1,0)</f>
        <v>0</v>
      </c>
      <c r="AI72" s="28">
        <f>IF(AJ72&lt;&gt;"",IF(Info!$F$6+AJ72-1&lt;=Rates!$Z$11,Info!$F$6+AJ72-1,0),0)</f>
        <v>0</v>
      </c>
      <c r="AJ72" s="29" t="str">
        <f>IF(AI71&lt;&gt;"",IF(AND(AJ71&lt;&gt;"",AI71+1&lt;=Rates!$Z$11),IF(AJ71&lt;&gt;0,IF(AJ71+1&lt;=Info!$I$6,AJ71+1,""),0),""),"")</f>
        <v/>
      </c>
    </row>
    <row r="73" spans="1:36" s="243" customFormat="1" ht="18.75" x14ac:dyDescent="0.45">
      <c r="A73" s="24">
        <f>IF(B73&gt;0,IF(Info!$C$32="بله",AG73/B73,(AG73+L73)/B73),0)</f>
        <v>0</v>
      </c>
      <c r="B73" s="24">
        <f>IF(AND(AI73&gt;=0,AJ73&lt;=Info!$I$6),LOOKUP(Info!$C$24,Rates!$I$2:$I$7,Rates!$F$2:$F$7),0)</f>
        <v>0</v>
      </c>
      <c r="C73" s="24">
        <f>IF(AG73&lt;&gt;0,(C72+F73)*(1+VLOOKUP(Info!$C$26,Rates!$D$3:$E$7,2,FALSE)),0)</f>
        <v>0</v>
      </c>
      <c r="D73" s="24">
        <f t="shared" si="13"/>
        <v>0</v>
      </c>
      <c r="E73" s="24">
        <f>IF(AI73&lt;&gt;0,(E72+F73)*(1+VLOOKUP(Info!$C$26,Rates!$A$14:$B$19,2,FALSE)),0)</f>
        <v>0</v>
      </c>
      <c r="F73" s="24">
        <f>IF(AI73&lt;&gt;"",IF(Info!$C$32="بله",IF(AND(AJ73&lt;=Info!$F$36,AJ73&gt;=Info!$I$36),Info!$C$36,0)+(AG73-Y73-L73-K73-J73-I73-H73-G73),IF(AND(AJ73&lt;=Info!$F$36,AJ73&gt;=Info!$I$36),Info!$C$36,0)+(AG73-Y73-K73-J73-I73-H73-G73)),"")</f>
        <v>0</v>
      </c>
      <c r="G73" s="24">
        <f>IF(AI73&lt;&gt;"",Rates!$AB$11*(L73),"")</f>
        <v>0</v>
      </c>
      <c r="H73" s="24">
        <f>IF(AI73&lt;&gt;"",(Rates!$AD$11+Rates!$AC$11)*(L73),"")</f>
        <v>0</v>
      </c>
      <c r="I73" s="24">
        <f>IF(AI73&lt;&gt;"",LOOKUP(Info!$C$24,Rates!$I$2:$I$7,Rates!$H$2:$H$7)*(J73+K73+L73+Y73),"")</f>
        <v>0</v>
      </c>
      <c r="J73" s="24">
        <f t="shared" si="10"/>
        <v>0</v>
      </c>
      <c r="K73" s="24">
        <f>IF(Y73&lt;&gt;"",Info!$C$34*Y73,"")</f>
        <v>0</v>
      </c>
      <c r="L73" s="24">
        <f t="shared" si="12"/>
        <v>0</v>
      </c>
      <c r="M73" s="24"/>
      <c r="N73" s="24">
        <v>0</v>
      </c>
      <c r="O73" s="24" t="str">
        <f>IF(AJ73&lt;=10,(1-Info!$C$44)*IF(OR(Info!$F$24&gt;0,Info!$F$26&gt;0),IF(0.75*$X$4&lt;=0.03*$AD$4,0.75*(X73-X72),0.03*(AD73-AD72)),0),"")</f>
        <v/>
      </c>
      <c r="P73" s="24">
        <f>IF(AJ73&lt;=5,IF(AI73&lt;&gt;"",0.002*AD73,"")*(1-Info!$I$44),0)</f>
        <v>0</v>
      </c>
      <c r="Q73" s="24">
        <f>(1-Info!$F$44)*IF(AI73&lt;&gt;"",IF(Info!$C$32="بله",0.07*X73,0.07*AG73),"")</f>
        <v>0</v>
      </c>
      <c r="R73" s="24">
        <f>IF(X73&lt;&gt;0,S73*X73,0)*(1-Info!$F$48)</f>
        <v>0</v>
      </c>
      <c r="S73" s="24">
        <f>IF(Info!$I$30="خیر",0,IF(Info!$F$30="بله",IF(Info!$C$30=1,2.3,IF(Info!$C$30=2,3.3,4.3)),1))*IF(AND(AH73&lt;=Rates!$Z$8,AH73&gt;0),(1+Info!$C$34)*(1+LOOKUP(Info!$F$34,Rates!$O$2:$O$9,Rates!$L$2:$L$9)/100)*(LOOKUP(Info!$C$6,Rates!$U$2:$U$108,Rates!$R$2:$R$108)/100),0)</f>
        <v>0</v>
      </c>
      <c r="T73" s="24">
        <f>IF(AI73&lt;71,(1-Info!$F$46)*((AB73*0.0008*(1+(LOOKUP(Info!$I$34,Rates!$O$2:$O$9,Rates!$M$2:$M$9)/100)))),0)</f>
        <v>0</v>
      </c>
      <c r="U73" s="24">
        <f>IF(AI73&lt;71,(1-Info!$I$46)*(((AD73*0.0008*Info!$L$30))*(1+(LOOKUP(Info!$I$34,Rates!$O:$O,Rates!$N:$N)/100))),0)</f>
        <v>0</v>
      </c>
      <c r="V73" s="24">
        <f>((Z73*0.0008))*(1+(LOOKUP(Info!$I$34,Rates!$O$2:$O$9,Rates!$M$2:$M$9)/100))*(1-Info!$C$46)</f>
        <v>0</v>
      </c>
      <c r="W73" s="24">
        <f>IF(AND(AI73&lt;=Rates!$Z$2,AJ73&lt;=Info!$I$6,Info!$F$32="معمولی"),VLOOKUP(AI73,Rates!$U$1:$Y$108,5,0),IF(AND(AI73&lt;=Rates!$Z$2,AJ73&lt;=Info!$I$6,Info!$F$32="پایه"),VLOOKUP(AI73,Rates!$U$1:$Y$108,2,0),IF(AND(AI73&lt;=Rates!$Z$2,AJ73&lt;=Info!$I$6,Info!$F$32="آسایش "),VLOOKUP(AI73,Rates!$U$1:$Y$108,3,0),IF(AND(AI73&lt;=Rates!$Z$2,AJ73&lt;=Info!$I$6,Info!$F$32="ممتاز"),VLOOKUP(AI73,Rates!$U$1:$Y$108,4,0),0))))*AA73/1000000*(1+Info!$C$34)*(1-Info!$I$48)</f>
        <v>0</v>
      </c>
      <c r="X73" s="24">
        <f>IF(Info!$C$32="بله",(AG73-W73-U73-V73-T73)/(1+S73),AG73)</f>
        <v>0</v>
      </c>
      <c r="Y73" s="24">
        <f>IF(AI73&lt;&gt;0,(AD73*LOOKUP(AI73,Rates!$U$2:$U$108,Rates!$T$2:$T$108))/SQRT(1.1),0)</f>
        <v>0</v>
      </c>
      <c r="Z73" s="24">
        <f>IF(AND(AI73&lt;=Rates!$Z$10,AI73&gt;=0),Info!$C$28*(AC73-AD73),0)</f>
        <v>0</v>
      </c>
      <c r="AA73" s="24">
        <f>IF(AND(AI73&gt;=0,AI73&lt;=Rates!$Z$2,AG73&gt;0),MIN(AA72*(1+Info!$F$26),5000000000),0)</f>
        <v>0</v>
      </c>
      <c r="AB73" s="24">
        <f>IF(AND(AI73&gt;=0,AI73&lt;=65),AD73*Info!$L$32,0)</f>
        <v>0</v>
      </c>
      <c r="AC73" s="24">
        <f>IF(AND(AI73&gt;=0,AI73&lt;=Rates!$Z$3),AD73*(1+Info!$L$30),AD73)</f>
        <v>0</v>
      </c>
      <c r="AD73" s="24">
        <f>IF(AI73&lt;&gt;0,AD72*(1+Info!$F$26),0)</f>
        <v>0</v>
      </c>
      <c r="AE73" s="24">
        <f t="shared" si="11"/>
        <v>0</v>
      </c>
      <c r="AF73" s="24">
        <f>IF(AI73&gt;=0,IF(Info!$C$32="بله",AG73,AG73+L73),"")</f>
        <v>0</v>
      </c>
      <c r="AG73" s="146">
        <f>IF(AI73&lt;&gt;0,AG72*(1+Info!$F$24),0)</f>
        <v>0</v>
      </c>
      <c r="AH73" s="149">
        <f>IF(AJ73&lt;&gt;"",Info!$C$6+AJ73-1,0)</f>
        <v>0</v>
      </c>
      <c r="AI73" s="26">
        <f>IF(AJ73&lt;&gt;"",IF(Info!$F$6+AJ73-1&lt;=Rates!$Z$11,Info!$F$6+AJ73-1,0),0)</f>
        <v>0</v>
      </c>
      <c r="AJ73" s="27" t="str">
        <f>IF(AI72&lt;&gt;"",IF(AND(AJ72&lt;&gt;"",AI72+1&lt;=Rates!$Z$11),IF(AJ72&lt;&gt;0,IF(AJ72+1&lt;=Info!$I$6,AJ72+1,""),0),""),"")</f>
        <v/>
      </c>
    </row>
    <row r="74" spans="1:36" s="243" customFormat="1" ht="18.75" x14ac:dyDescent="0.45">
      <c r="A74" s="25">
        <f>IF(B74&gt;0,IF(Info!$C$32="بله",AG74/B74,(AG74+L74)/B74),0)</f>
        <v>0</v>
      </c>
      <c r="B74" s="25">
        <f>IF(AND(AI74&gt;=0,AJ74&lt;=Info!$I$6),LOOKUP(Info!$C$24,Rates!$I$2:$I$7,Rates!$F$2:$F$7),0)</f>
        <v>0</v>
      </c>
      <c r="C74" s="25">
        <f>IF(AG74&lt;&gt;0,(C73+F74)*(1+VLOOKUP(Info!$C$26,Rates!$D$3:$E$7,2,FALSE)),0)</f>
        <v>0</v>
      </c>
      <c r="D74" s="25">
        <f t="shared" si="13"/>
        <v>0</v>
      </c>
      <c r="E74" s="25">
        <f>IF(AI74&lt;&gt;0,(E73+F74)*(1+VLOOKUP(Info!$C$26,Rates!$A$14:$B$19,2,FALSE)),0)</f>
        <v>0</v>
      </c>
      <c r="F74" s="25">
        <f>IF(AI74&lt;&gt;"",IF(Info!$C$32="بله",IF(AND(AJ74&lt;=Info!$F$36,AJ74&gt;=Info!$I$36),Info!$C$36,0)+(AG74-Y74-L74-K74-J74-I74-H74-G74),IF(AND(AJ74&lt;=Info!$F$36,AJ74&gt;=Info!$I$36),Info!$C$36,0)+(AG74-Y74-K74-J74-I74-H74-G74)),"")</f>
        <v>0</v>
      </c>
      <c r="G74" s="25">
        <f>IF(AI74&lt;&gt;"",Rates!$AB$11*(L74),"")</f>
        <v>0</v>
      </c>
      <c r="H74" s="25">
        <f>IF(AI74&lt;&gt;"",(Rates!$AD$11+Rates!$AC$11)*(L74),"")</f>
        <v>0</v>
      </c>
      <c r="I74" s="25">
        <f>IF(AI74&lt;&gt;"",LOOKUP(Info!$C$24,Rates!$I$2:$I$7,Rates!$H$2:$H$7)*(J74+K74+L74+Y74),"")</f>
        <v>0</v>
      </c>
      <c r="J74" s="25">
        <f t="shared" si="10"/>
        <v>0</v>
      </c>
      <c r="K74" s="25">
        <f>IF(Y74&lt;&gt;"",Info!$C$34*Y74,"")</f>
        <v>0</v>
      </c>
      <c r="L74" s="25">
        <f t="shared" si="12"/>
        <v>0</v>
      </c>
      <c r="M74" s="25"/>
      <c r="N74" s="25">
        <v>0</v>
      </c>
      <c r="O74" s="25" t="str">
        <f>IF(AJ74&lt;=10,(1-Info!$C$44)*IF(OR(Info!$F$24&gt;0,Info!$F$26&gt;0),IF(0.75*$X$4&lt;=0.03*$AD$4,0.75*(X74-X73),0.03*(AD74-AD73)),0),"")</f>
        <v/>
      </c>
      <c r="P74" s="25">
        <f>IF(AJ74&lt;=5,IF(AI74&lt;&gt;"",0.002*AD74,"")*(1-Info!$I$44),0)</f>
        <v>0</v>
      </c>
      <c r="Q74" s="25">
        <f>(1-Info!$F$44)*IF(AI74&lt;&gt;"",IF(Info!$C$32="بله",0.07*X74,0.07*AG74),"")</f>
        <v>0</v>
      </c>
      <c r="R74" s="25">
        <f>IF(X74&lt;&gt;0,S74*X74,0)*(1-Info!$F$48)</f>
        <v>0</v>
      </c>
      <c r="S74" s="25">
        <f>IF(Info!$I$30="خیر",0,IF(Info!$F$30="بله",IF(Info!$C$30=1,2.3,IF(Info!$C$30=2,3.3,4.3)),1))*IF(AND(AH74&lt;=Rates!$Z$8,AH74&gt;0),(1+Info!$C$34)*(1+LOOKUP(Info!$F$34,Rates!$O$2:$O$9,Rates!$L$2:$L$9)/100)*(LOOKUP(Info!$C$6,Rates!$U$2:$U$108,Rates!$R$2:$R$108)/100),0)</f>
        <v>0</v>
      </c>
      <c r="T74" s="25">
        <f>IF(AI74&lt;71,(1-Info!$F$46)*((AB74*0.0008*(1+(LOOKUP(Info!$I$34,Rates!$O$2:$O$9,Rates!$M$2:$M$9)/100)))),0)</f>
        <v>0</v>
      </c>
      <c r="U74" s="25">
        <f>IF(AI74&lt;71,(1-Info!$I$46)*(((AD74*0.0008*Info!$L$30))*(1+(LOOKUP(Info!$I$34,Rates!$O:$O,Rates!$N:$N)/100))),0)</f>
        <v>0</v>
      </c>
      <c r="V74" s="25">
        <f>((Z74*0.0008))*(1+(LOOKUP(Info!$I$34,Rates!$O$2:$O$9,Rates!$M$2:$M$9)/100))*(1-Info!$C$46)</f>
        <v>0</v>
      </c>
      <c r="W74" s="25">
        <f>IF(AND(AI74&lt;=Rates!$Z$2,AJ74&lt;=Info!$I$6,Info!$F$32="معمولی"),VLOOKUP(AI74,Rates!$U$1:$Y$108,5,0),IF(AND(AI74&lt;=Rates!$Z$2,AJ74&lt;=Info!$I$6,Info!$F$32="پایه"),VLOOKUP(AI74,Rates!$U$1:$Y$108,2,0),IF(AND(AI74&lt;=Rates!$Z$2,AJ74&lt;=Info!$I$6,Info!$F$32="آسایش "),VLOOKUP(AI74,Rates!$U$1:$Y$108,3,0),IF(AND(AI74&lt;=Rates!$Z$2,AJ74&lt;=Info!$I$6,Info!$F$32="ممتاز"),VLOOKUP(AI74,Rates!$U$1:$Y$108,4,0),0))))*AA74/1000000*(1+Info!$C$34)*(1-Info!$I$48)</f>
        <v>0</v>
      </c>
      <c r="X74" s="25">
        <f>IF(Info!$C$32="بله",(AG74-W74-U74-V74-T74)/(1+S74),AG74)</f>
        <v>0</v>
      </c>
      <c r="Y74" s="25">
        <f>IF(AI74&lt;&gt;0,(AD74*LOOKUP(AI74,Rates!$U$2:$U$108,Rates!$T$2:$T$108))/SQRT(1.1),0)</f>
        <v>0</v>
      </c>
      <c r="Z74" s="25">
        <f>IF(AND(AI74&lt;=Rates!$Z$10,AI74&gt;=0),Info!$C$28*(AC74-AD74),0)</f>
        <v>0</v>
      </c>
      <c r="AA74" s="25">
        <f>IF(AND(AI74&gt;=0,AI74&lt;=Rates!$Z$2,AG74&gt;0),MIN(AA73*(1+Info!$F$26),5000000000),0)</f>
        <v>0</v>
      </c>
      <c r="AB74" s="25">
        <f>IF(AND(AI74&gt;=0,AI74&lt;=65),AD74*Info!$L$32,0)</f>
        <v>0</v>
      </c>
      <c r="AC74" s="25">
        <f>IF(AND(AI74&gt;=0,AI74&lt;=Rates!$Z$3),AD74*(1+Info!$L$30),AD74)</f>
        <v>0</v>
      </c>
      <c r="AD74" s="25">
        <f>IF(AI74&lt;&gt;0,AD73*(1+Info!$F$26),0)</f>
        <v>0</v>
      </c>
      <c r="AE74" s="25">
        <f t="shared" si="11"/>
        <v>0</v>
      </c>
      <c r="AF74" s="25">
        <f>IF(AI74&gt;=0,IF(Info!$C$32="بله",AG74,AG74+L74),"")</f>
        <v>0</v>
      </c>
      <c r="AG74" s="145">
        <f>IF(AI74&lt;&gt;0,AG73*(1+Info!$F$24),0)</f>
        <v>0</v>
      </c>
      <c r="AH74" s="150">
        <f>IF(AJ74&lt;&gt;"",Info!$C$6+AJ74-1,0)</f>
        <v>0</v>
      </c>
      <c r="AI74" s="28">
        <f>IF(AJ74&lt;&gt;"",IF(Info!$F$6+AJ74-1&lt;=Rates!$Z$11,Info!$F$6+AJ74-1,0),0)</f>
        <v>0</v>
      </c>
      <c r="AJ74" s="29" t="str">
        <f>IF(AI73&lt;&gt;"",IF(AND(AJ73&lt;&gt;"",AI73+1&lt;=Rates!$Z$11),IF(AJ73&lt;&gt;0,IF(AJ73+1&lt;=Info!$I$6,AJ73+1,""),0),""),"")</f>
        <v/>
      </c>
    </row>
    <row r="75" spans="1:36" s="243" customFormat="1" ht="18.75" x14ac:dyDescent="0.45">
      <c r="A75" s="24">
        <f>IF(B75&gt;0,IF(Info!$C$32="بله",AG75/B75,(AG75+L75)/B75),0)</f>
        <v>0</v>
      </c>
      <c r="B75" s="24">
        <f>IF(AND(AI75&gt;=0,AJ75&lt;=Info!$I$6),LOOKUP(Info!$C$24,Rates!$I$2:$I$7,Rates!$F$2:$F$7),0)</f>
        <v>0</v>
      </c>
      <c r="C75" s="24">
        <f>IF(AG75&lt;&gt;0,(C74+F75)*(1+VLOOKUP(Info!$C$26,Rates!$D$3:$E$7,2,FALSE)),0)</f>
        <v>0</v>
      </c>
      <c r="D75" s="24">
        <f t="shared" si="13"/>
        <v>0</v>
      </c>
      <c r="E75" s="24">
        <f>IF(AI75&lt;&gt;0,(E74+F75)*(1+VLOOKUP(Info!$C$26,Rates!$A$14:$B$19,2,FALSE)),0)</f>
        <v>0</v>
      </c>
      <c r="F75" s="24">
        <f>IF(AI75&lt;&gt;"",IF(Info!$C$32="بله",IF(AND(AJ75&lt;=Info!$F$36,AJ75&gt;=Info!$I$36),Info!$C$36,0)+(AG75-Y75-L75-K75-J75-I75-H75-G75),IF(AND(AJ75&lt;=Info!$F$36,AJ75&gt;=Info!$I$36),Info!$C$36,0)+(AG75-Y75-K75-J75-I75-H75-G75)),"")</f>
        <v>0</v>
      </c>
      <c r="G75" s="24">
        <f>IF(AI75&lt;&gt;"",Rates!$AB$11*(L75),"")</f>
        <v>0</v>
      </c>
      <c r="H75" s="24">
        <f>IF(AI75&lt;&gt;"",(Rates!$AD$11+Rates!$AC$11)*(L75),"")</f>
        <v>0</v>
      </c>
      <c r="I75" s="24">
        <f>IF(AI75&lt;&gt;"",LOOKUP(Info!$C$24,Rates!$I$2:$I$7,Rates!$H$2:$H$7)*(J75+K75+L75+Y75),"")</f>
        <v>0</v>
      </c>
      <c r="J75" s="24">
        <f t="shared" si="10"/>
        <v>0</v>
      </c>
      <c r="K75" s="24">
        <f>IF(Y75&lt;&gt;"",Info!$C$34*Y75,"")</f>
        <v>0</v>
      </c>
      <c r="L75" s="24">
        <f t="shared" si="12"/>
        <v>0</v>
      </c>
      <c r="M75" s="24"/>
      <c r="N75" s="24">
        <v>0</v>
      </c>
      <c r="O75" s="24" t="str">
        <f>IF(AJ75&lt;=10,(1-Info!$C$44)*IF(OR(Info!$F$24&gt;0,Info!$F$26&gt;0),IF(0.75*$X$4&lt;=0.03*$AD$4,0.75*(X75-X74),0.03*(AD75-AD74)),0),"")</f>
        <v/>
      </c>
      <c r="P75" s="24">
        <f>IF(AJ75&lt;=5,IF(AI75&lt;&gt;"",0.002*AD75,"")*(1-Info!$I$44),0)</f>
        <v>0</v>
      </c>
      <c r="Q75" s="24">
        <f>(1-Info!$F$44)*IF(AI75&lt;&gt;"",IF(Info!$C$32="بله",0.07*X75,0.07*AG75),"")</f>
        <v>0</v>
      </c>
      <c r="R75" s="24">
        <f>IF(X75&lt;&gt;0,S75*X75,0)*(1-Info!$F$48)</f>
        <v>0</v>
      </c>
      <c r="S75" s="24">
        <f>IF(Info!$I$30="خیر",0,IF(Info!$F$30="بله",IF(Info!$C$30=1,2.3,IF(Info!$C$30=2,3.3,4.3)),1))*IF(AND(AH75&lt;=Rates!$Z$8,AH75&gt;0),(1+Info!$C$34)*(1+LOOKUP(Info!$F$34,Rates!$O$2:$O$9,Rates!$L$2:$L$9)/100)*(LOOKUP(Info!$C$6,Rates!$U$2:$U$108,Rates!$R$2:$R$108)/100),0)</f>
        <v>0</v>
      </c>
      <c r="T75" s="24">
        <f>IF(AI75&lt;71,(1-Info!$F$46)*((AB75*0.0008*(1+(LOOKUP(Info!$I$34,Rates!$O$2:$O$9,Rates!$M$2:$M$9)/100)))),0)</f>
        <v>0</v>
      </c>
      <c r="U75" s="24">
        <f>IF(AI75&lt;71,(1-Info!$I$46)*(((AD75*0.0008*Info!$L$30))*(1+(LOOKUP(Info!$I$34,Rates!$O:$O,Rates!$N:$N)/100))),0)</f>
        <v>0</v>
      </c>
      <c r="V75" s="24">
        <f>((Z75*0.0008))*(1+(LOOKUP(Info!$I$34,Rates!$O$2:$O$9,Rates!$M$2:$M$9)/100))*(1-Info!$C$46)</f>
        <v>0</v>
      </c>
      <c r="W75" s="24">
        <f>IF(AND(AI75&lt;=Rates!$Z$2,AJ75&lt;=Info!$I$6,Info!$F$32="معمولی"),VLOOKUP(AI75,Rates!$U$1:$Y$108,5,0),IF(AND(AI75&lt;=Rates!$Z$2,AJ75&lt;=Info!$I$6,Info!$F$32="پایه"),VLOOKUP(AI75,Rates!$U$1:$Y$108,2,0),IF(AND(AI75&lt;=Rates!$Z$2,AJ75&lt;=Info!$I$6,Info!$F$32="آسایش "),VLOOKUP(AI75,Rates!$U$1:$Y$108,3,0),IF(AND(AI75&lt;=Rates!$Z$2,AJ75&lt;=Info!$I$6,Info!$F$32="ممتاز"),VLOOKUP(AI75,Rates!$U$1:$Y$108,4,0),0))))*AA75/1000000*(1+Info!$C$34)*(1-Info!$I$48)</f>
        <v>0</v>
      </c>
      <c r="X75" s="24">
        <f>IF(Info!$C$32="بله",(AG75-W75-U75-V75-T75)/(1+S75),AG75)</f>
        <v>0</v>
      </c>
      <c r="Y75" s="24">
        <f>IF(AI75&lt;&gt;0,(AD75*LOOKUP(AI75,Rates!$U$2:$U$108,Rates!$T$2:$T$108))/SQRT(1.1),0)</f>
        <v>0</v>
      </c>
      <c r="Z75" s="24">
        <f>IF(AND(AI75&lt;=Rates!$Z$10,AI75&gt;=0),Info!$C$28*(AC75-AD75),0)</f>
        <v>0</v>
      </c>
      <c r="AA75" s="24">
        <f>IF(AND(AI75&gt;=0,AI75&lt;=Rates!$Z$2,AG75&gt;0),MIN(AA74*(1+Info!$F$26),5000000000),0)</f>
        <v>0</v>
      </c>
      <c r="AB75" s="24">
        <f>IF(AND(AI75&gt;=0,AI75&lt;=65),AD75*Info!$L$32,0)</f>
        <v>0</v>
      </c>
      <c r="AC75" s="24">
        <f>IF(AND(AI75&gt;=0,AI75&lt;=Rates!$Z$3),AD75*(1+Info!$L$30),AD75)</f>
        <v>0</v>
      </c>
      <c r="AD75" s="24">
        <f>IF(AI75&lt;&gt;0,AD74*(1+Info!$F$26),0)</f>
        <v>0</v>
      </c>
      <c r="AE75" s="24">
        <f t="shared" si="11"/>
        <v>0</v>
      </c>
      <c r="AF75" s="24">
        <f>IF(AI75&gt;=0,IF(Info!$C$32="بله",AG75,AG75+L75),"")</f>
        <v>0</v>
      </c>
      <c r="AG75" s="146">
        <f>IF(AI75&lt;&gt;0,AG74*(1+Info!$F$24),0)</f>
        <v>0</v>
      </c>
      <c r="AH75" s="149">
        <f>IF(AJ75&lt;&gt;"",Info!$C$6+AJ75-1,0)</f>
        <v>0</v>
      </c>
      <c r="AI75" s="26">
        <f>IF(AJ75&lt;&gt;"",IF(Info!$F$6+AJ75-1&lt;=Rates!$Z$11,Info!$F$6+AJ75-1,0),0)</f>
        <v>0</v>
      </c>
      <c r="AJ75" s="27" t="str">
        <f>IF(AI74&lt;&gt;"",IF(AND(AJ74&lt;&gt;"",AI74+1&lt;=Rates!$Z$11),IF(AJ74&lt;&gt;0,IF(AJ74+1&lt;=Info!$I$6,AJ74+1,""),0),""),"")</f>
        <v/>
      </c>
    </row>
    <row r="76" spans="1:36" s="243" customFormat="1" ht="18.75" x14ac:dyDescent="0.45">
      <c r="A76" s="25">
        <f>IF(B76&gt;0,IF(Info!$C$32="بله",AG76/B76,(AG76+L76)/B76),0)</f>
        <v>0</v>
      </c>
      <c r="B76" s="25">
        <f>IF(AND(AI76&gt;=0,AJ76&lt;=Info!$I$6),LOOKUP(Info!$C$24,Rates!$I$2:$I$7,Rates!$F$2:$F$7),0)</f>
        <v>0</v>
      </c>
      <c r="C76" s="25">
        <f>IF(AG76&lt;&gt;0,(C75+F76)*(1+VLOOKUP(Info!$C$26,Rates!$D$3:$E$7,2,FALSE)),0)</f>
        <v>0</v>
      </c>
      <c r="D76" s="25">
        <f t="shared" si="13"/>
        <v>0</v>
      </c>
      <c r="E76" s="25">
        <f>IF(AI76&lt;&gt;0,(E75+F76)*(1+VLOOKUP(Info!$C$26,Rates!$A$14:$B$19,2,FALSE)),0)</f>
        <v>0</v>
      </c>
      <c r="F76" s="25">
        <f>IF(AI76&lt;&gt;"",IF(Info!$C$32="بله",IF(AND(AJ76&lt;=Info!$F$36,AJ76&gt;=Info!$I$36),Info!$C$36,0)+(AG76-Y76-L76-K76-J76-I76-H76-G76),IF(AND(AJ76&lt;=Info!$F$36,AJ76&gt;=Info!$I$36),Info!$C$36,0)+(AG76-Y76-K76-J76-I76-H76-G76)),"")</f>
        <v>0</v>
      </c>
      <c r="G76" s="25">
        <f>IF(AI76&lt;&gt;"",Rates!$AB$11*(L76),"")</f>
        <v>0</v>
      </c>
      <c r="H76" s="25">
        <f>IF(AI76&lt;&gt;"",(Rates!$AD$11+Rates!$AC$11)*(L76),"")</f>
        <v>0</v>
      </c>
      <c r="I76" s="25">
        <f>IF(AI76&lt;&gt;"",LOOKUP(Info!$C$24,Rates!$I$2:$I$7,Rates!$H$2:$H$7)*(J76+K76+L76+Y76),"")</f>
        <v>0</v>
      </c>
      <c r="J76" s="25">
        <f t="shared" si="10"/>
        <v>0</v>
      </c>
      <c r="K76" s="25">
        <f>IF(Y76&lt;&gt;"",Info!$C$34*Y76,"")</f>
        <v>0</v>
      </c>
      <c r="L76" s="25">
        <f t="shared" si="12"/>
        <v>0</v>
      </c>
      <c r="M76" s="25"/>
      <c r="N76" s="25">
        <v>0</v>
      </c>
      <c r="O76" s="25" t="str">
        <f>IF(AJ76&lt;=10,(1-Info!$C$44)*IF(OR(Info!$F$24&gt;0,Info!$F$26&gt;0),IF(0.75*$X$4&lt;=0.03*$AD$4,0.75*(X76-X75),0.03*(AD76-AD75)),0),"")</f>
        <v/>
      </c>
      <c r="P76" s="25">
        <f>IF(AJ76&lt;=5,IF(AI76&lt;&gt;"",0.002*AD76,"")*(1-Info!$I$44),0)</f>
        <v>0</v>
      </c>
      <c r="Q76" s="25">
        <f>(1-Info!$F$44)*IF(AI76&lt;&gt;"",IF(Info!$C$32="بله",0.07*X76,0.07*AG76),"")</f>
        <v>0</v>
      </c>
      <c r="R76" s="25">
        <f>IF(X76&lt;&gt;0,S76*X76,0)*(1-Info!$F$48)</f>
        <v>0</v>
      </c>
      <c r="S76" s="25">
        <f>IF(Info!$I$30="خیر",0,IF(Info!$F$30="بله",IF(Info!$C$30=1,2.3,IF(Info!$C$30=2,3.3,4.3)),1))*IF(AND(AH76&lt;=Rates!$Z$8,AH76&gt;0),(1+Info!$C$34)*(1+LOOKUP(Info!$F$34,Rates!$O$2:$O$9,Rates!$L$2:$L$9)/100)*(LOOKUP(Info!$C$6,Rates!$U$2:$U$108,Rates!$R$2:$R$108)/100),0)</f>
        <v>0</v>
      </c>
      <c r="T76" s="25">
        <f>IF(AI76&lt;71,(1-Info!$F$46)*((AB76*0.0008*(1+(LOOKUP(Info!$I$34,Rates!$O$2:$O$9,Rates!$M$2:$M$9)/100)))),0)</f>
        <v>0</v>
      </c>
      <c r="U76" s="25">
        <f>IF(AI76&lt;71,(1-Info!$I$46)*(((AD76*0.0008*Info!$L$30))*(1+(LOOKUP(Info!$I$34,Rates!$O:$O,Rates!$N:$N)/100))),0)</f>
        <v>0</v>
      </c>
      <c r="V76" s="25">
        <f>((Z76*0.0008))*(1+(LOOKUP(Info!$I$34,Rates!$O$2:$O$9,Rates!$M$2:$M$9)/100))*(1-Info!$C$46)</f>
        <v>0</v>
      </c>
      <c r="W76" s="25">
        <f>IF(AND(AI76&lt;=Rates!$Z$2,AJ76&lt;=Info!$I$6,Info!$F$32="معمولی"),VLOOKUP(AI76,Rates!$U$1:$Y$108,5,0),IF(AND(AI76&lt;=Rates!$Z$2,AJ76&lt;=Info!$I$6,Info!$F$32="پایه"),VLOOKUP(AI76,Rates!$U$1:$Y$108,2,0),IF(AND(AI76&lt;=Rates!$Z$2,AJ76&lt;=Info!$I$6,Info!$F$32="آسایش "),VLOOKUP(AI76,Rates!$U$1:$Y$108,3,0),IF(AND(AI76&lt;=Rates!$Z$2,AJ76&lt;=Info!$I$6,Info!$F$32="ممتاز"),VLOOKUP(AI76,Rates!$U$1:$Y$108,4,0),0))))*AA76/1000000*(1+Info!$C$34)*(1-Info!$I$48)</f>
        <v>0</v>
      </c>
      <c r="X76" s="25">
        <f>IF(Info!$C$32="بله",(AG76-W76-U76-V76-T76)/(1+S76),AG76)</f>
        <v>0</v>
      </c>
      <c r="Y76" s="25">
        <f>IF(AI76&lt;&gt;0,(AD76*LOOKUP(AI76,Rates!$U$2:$U$108,Rates!$T$2:$T$108))/SQRT(1.1),0)</f>
        <v>0</v>
      </c>
      <c r="Z76" s="25">
        <f>IF(AND(AI76&lt;=Rates!$Z$10,AI76&gt;=0),Info!$C$28*(AC76-AD76),0)</f>
        <v>0</v>
      </c>
      <c r="AA76" s="25">
        <f>IF(AND(AI76&gt;=0,AI76&lt;=Rates!$Z$2,AG76&gt;0),MIN(AA75*(1+Info!$F$26),5000000000),0)</f>
        <v>0</v>
      </c>
      <c r="AB76" s="25">
        <f>IF(AND(AI76&gt;=0,AI76&lt;=65),AD76*Info!$L$32,0)</f>
        <v>0</v>
      </c>
      <c r="AC76" s="25">
        <f>IF(AND(AI76&gt;=0,AI76&lt;=Rates!$Z$3),AD76*(1+Info!$L$30),AD76)</f>
        <v>0</v>
      </c>
      <c r="AD76" s="25">
        <f>IF(AI76&lt;&gt;0,AD75*(1+Info!$F$26),0)</f>
        <v>0</v>
      </c>
      <c r="AE76" s="25">
        <f t="shared" si="11"/>
        <v>0</v>
      </c>
      <c r="AF76" s="25">
        <f>IF(AI76&gt;=0,IF(Info!$C$32="بله",AG76,AG76+L76),"")</f>
        <v>0</v>
      </c>
      <c r="AG76" s="145">
        <f>IF(AI76&lt;&gt;0,AG75*(1+Info!$F$24),0)</f>
        <v>0</v>
      </c>
      <c r="AH76" s="150">
        <f>IF(AJ76&lt;&gt;"",Info!$C$6+AJ76-1,0)</f>
        <v>0</v>
      </c>
      <c r="AI76" s="28">
        <f>IF(AJ76&lt;&gt;"",IF(Info!$F$6+AJ76-1&lt;=Rates!$Z$11,Info!$F$6+AJ76-1,0),0)</f>
        <v>0</v>
      </c>
      <c r="AJ76" s="29" t="str">
        <f>IF(AI75&lt;&gt;"",IF(AND(AJ75&lt;&gt;"",AI75+1&lt;=Rates!$Z$11),IF(AJ75&lt;&gt;0,IF(AJ75+1&lt;=Info!$I$6,AJ75+1,""),0),""),"")</f>
        <v/>
      </c>
    </row>
    <row r="77" spans="1:36" s="243" customFormat="1" ht="18.75" x14ac:dyDescent="0.45">
      <c r="A77" s="24">
        <f>IF(B77&gt;0,IF(Info!$C$32="بله",AG77/B77,(AG77+L77)/B77),0)</f>
        <v>0</v>
      </c>
      <c r="B77" s="24">
        <f>IF(AND(AI77&gt;=0,AJ77&lt;=Info!$I$6),LOOKUP(Info!$C$24,Rates!$I$2:$I$7,Rates!$F$2:$F$7),0)</f>
        <v>0</v>
      </c>
      <c r="C77" s="24">
        <f>IF(AG77&lt;&gt;0,(C76+F77)*(1+VLOOKUP(Info!$C$26,Rates!$D$3:$E$7,2,FALSE)),0)</f>
        <v>0</v>
      </c>
      <c r="D77" s="24">
        <f t="shared" si="13"/>
        <v>0</v>
      </c>
      <c r="E77" s="24">
        <f>IF(AI77&lt;&gt;0,(E76+F77)*(1+VLOOKUP(Info!$C$26,Rates!$A$14:$B$19,2,FALSE)),0)</f>
        <v>0</v>
      </c>
      <c r="F77" s="24">
        <f>IF(AI77&lt;&gt;"",IF(Info!$C$32="بله",IF(AND(AJ77&lt;=Info!$F$36,AJ77&gt;=Info!$I$36),Info!$C$36,0)+(AG77-Y77-L77-K77-J77-I77-H77-G77),IF(AND(AJ77&lt;=Info!$F$36,AJ77&gt;=Info!$I$36),Info!$C$36,0)+(AG77-Y77-K77-J77-I77-H77-G77)),"")</f>
        <v>0</v>
      </c>
      <c r="G77" s="24">
        <f>IF(AI77&lt;&gt;"",Rates!$AB$11*(L77),"")</f>
        <v>0</v>
      </c>
      <c r="H77" s="24">
        <f>IF(AI77&lt;&gt;"",(Rates!$AD$11+Rates!$AC$11)*(L77),"")</f>
        <v>0</v>
      </c>
      <c r="I77" s="24">
        <f>IF(AI77&lt;&gt;"",LOOKUP(Info!$C$24,Rates!$I$2:$I$7,Rates!$H$2:$H$7)*(J77+K77+L77+Y77),"")</f>
        <v>0</v>
      </c>
      <c r="J77" s="24">
        <f t="shared" si="10"/>
        <v>0</v>
      </c>
      <c r="K77" s="24">
        <f>IF(Y77&lt;&gt;"",Info!$C$34*Y77,"")</f>
        <v>0</v>
      </c>
      <c r="L77" s="24">
        <f t="shared" si="12"/>
        <v>0</v>
      </c>
      <c r="M77" s="24"/>
      <c r="N77" s="24">
        <v>0</v>
      </c>
      <c r="O77" s="24" t="str">
        <f>IF(AJ77&lt;=10,(1-Info!$C$44)*IF(OR(Info!$F$24&gt;0,Info!$F$26&gt;0),IF(0.75*$X$4&lt;=0.03*$AD$4,0.75*(X77-X76),0.03*(AD77-AD76)),0),"")</f>
        <v/>
      </c>
      <c r="P77" s="24">
        <f>IF(AJ77&lt;=5,IF(AI77&lt;&gt;"",0.002*AD77,"")*(1-Info!$I$44),0)</f>
        <v>0</v>
      </c>
      <c r="Q77" s="24">
        <f>(1-Info!$F$44)*IF(AI77&lt;&gt;"",IF(Info!$C$32="بله",0.07*X77,0.07*AG77),"")</f>
        <v>0</v>
      </c>
      <c r="R77" s="24">
        <f>IF(X77&lt;&gt;0,S77*X77,0)*(1-Info!$F$48)</f>
        <v>0</v>
      </c>
      <c r="S77" s="24">
        <f>IF(Info!$I$30="خیر",0,IF(Info!$F$30="بله",IF(Info!$C$30=1,2.3,IF(Info!$C$30=2,3.3,4.3)),1))*IF(AND(AH77&lt;=Rates!$Z$8,AH77&gt;0),(1+Info!$C$34)*(1+LOOKUP(Info!$F$34,Rates!$O$2:$O$9,Rates!$L$2:$L$9)/100)*(LOOKUP(Info!$C$6,Rates!$U$2:$U$108,Rates!$R$2:$R$108)/100),0)</f>
        <v>0</v>
      </c>
      <c r="T77" s="24">
        <f>IF(AI77&lt;71,(1-Info!$F$46)*((AB77*0.0008*(1+(LOOKUP(Info!$I$34,Rates!$O$2:$O$9,Rates!$M$2:$M$9)/100)))),0)</f>
        <v>0</v>
      </c>
      <c r="U77" s="24">
        <f>IF(AI77&lt;71,(1-Info!$I$46)*(((AD77*0.0008*Info!$L$30))*(1+(LOOKUP(Info!$I$34,Rates!$O:$O,Rates!$N:$N)/100))),0)</f>
        <v>0</v>
      </c>
      <c r="V77" s="24">
        <f>((Z77*0.0008))*(1+(LOOKUP(Info!$I$34,Rates!$O$2:$O$9,Rates!$M$2:$M$9)/100))*(1-Info!$C$46)</f>
        <v>0</v>
      </c>
      <c r="W77" s="24">
        <f>IF(AND(AI77&lt;=Rates!$Z$2,AJ77&lt;=Info!$I$6,Info!$F$32="معمولی"),VLOOKUP(AI77,Rates!$U$1:$Y$108,5,0),IF(AND(AI77&lt;=Rates!$Z$2,AJ77&lt;=Info!$I$6,Info!$F$32="پایه"),VLOOKUP(AI77,Rates!$U$1:$Y$108,2,0),IF(AND(AI77&lt;=Rates!$Z$2,AJ77&lt;=Info!$I$6,Info!$F$32="آسایش "),VLOOKUP(AI77,Rates!$U$1:$Y$108,3,0),IF(AND(AI77&lt;=Rates!$Z$2,AJ77&lt;=Info!$I$6,Info!$F$32="ممتاز"),VLOOKUP(AI77,Rates!$U$1:$Y$108,4,0),0))))*AA77/1000000*(1+Info!$C$34)*(1-Info!$I$48)</f>
        <v>0</v>
      </c>
      <c r="X77" s="24">
        <f>IF(Info!$C$32="بله",(AG77-W77-U77-V77-T77)/(1+S77),AG77)</f>
        <v>0</v>
      </c>
      <c r="Y77" s="24">
        <f>IF(AI77&lt;&gt;0,(AD77*LOOKUP(AI77,Rates!$U$2:$U$108,Rates!$T$2:$T$108))/SQRT(1.1),0)</f>
        <v>0</v>
      </c>
      <c r="Z77" s="24">
        <f>IF(AND(AI77&lt;=Rates!$Z$10,AI77&gt;=0),Info!$C$28*(AC77-AD77),0)</f>
        <v>0</v>
      </c>
      <c r="AA77" s="24">
        <f>IF(AND(AI77&gt;=0,AI77&lt;=Rates!$Z$2,AG77&gt;0),MIN(AA76*(1+Info!$F$26),5000000000),0)</f>
        <v>0</v>
      </c>
      <c r="AB77" s="24">
        <f>IF(AND(AI77&gt;=0,AI77&lt;=65),AD77*Info!$L$32,0)</f>
        <v>0</v>
      </c>
      <c r="AC77" s="24">
        <f>IF(AND(AI77&gt;=0,AI77&lt;=Rates!$Z$3),AD77*(1+Info!$L$30),AD77)</f>
        <v>0</v>
      </c>
      <c r="AD77" s="24">
        <f>IF(AI77&lt;&gt;0,AD76*(1+Info!$F$26),0)</f>
        <v>0</v>
      </c>
      <c r="AE77" s="24">
        <f t="shared" si="11"/>
        <v>0</v>
      </c>
      <c r="AF77" s="24">
        <f>IF(AI77&gt;=0,IF(Info!$C$32="بله",AG77,AG77+L77),"")</f>
        <v>0</v>
      </c>
      <c r="AG77" s="146">
        <f>IF(AI77&lt;&gt;0,AG76*(1+Info!$F$24),0)</f>
        <v>0</v>
      </c>
      <c r="AH77" s="149">
        <f>IF(AJ77&lt;&gt;"",Info!$C$6+AJ77-1,0)</f>
        <v>0</v>
      </c>
      <c r="AI77" s="26">
        <f>IF(AJ77&lt;&gt;"",IF(Info!$F$6+AJ77-1&lt;=Rates!$Z$11,Info!$F$6+AJ77-1,0),0)</f>
        <v>0</v>
      </c>
      <c r="AJ77" s="27" t="str">
        <f>IF(AI76&lt;&gt;"",IF(AND(AJ76&lt;&gt;"",AI76+1&lt;=Rates!$Z$11),IF(AJ76&lt;&gt;0,IF(AJ76+1&lt;=Info!$I$6,AJ76+1,""),0),""),"")</f>
        <v/>
      </c>
    </row>
    <row r="78" spans="1:36" s="243" customFormat="1" ht="18.75" x14ac:dyDescent="0.45">
      <c r="A78" s="25">
        <f>IF(B78&gt;0,IF(Info!$C$32="بله",AG78/B78,(AG78+L78)/B78),0)</f>
        <v>0</v>
      </c>
      <c r="B78" s="25">
        <f>IF(AND(AI78&gt;=0,AJ78&lt;=Info!$I$6),LOOKUP(Info!$C$24,Rates!$I$2:$I$7,Rates!$F$2:$F$7),0)</f>
        <v>0</v>
      </c>
      <c r="C78" s="25">
        <f>IF(AG78&lt;&gt;0,(C77+F78)*(1+VLOOKUP(Info!$C$26,Rates!$D$3:$E$7,2,FALSE)),0)</f>
        <v>0</v>
      </c>
      <c r="D78" s="25">
        <f t="shared" si="13"/>
        <v>0</v>
      </c>
      <c r="E78" s="25">
        <f>IF(AI78&lt;&gt;0,(E77+F78)*(1+VLOOKUP(Info!$C$26,Rates!$A$14:$B$19,2,FALSE)),0)</f>
        <v>0</v>
      </c>
      <c r="F78" s="25">
        <f>IF(AI78&lt;&gt;"",IF(Info!$C$32="بله",IF(AND(AJ78&lt;=Info!$F$36,AJ78&gt;=Info!$I$36),Info!$C$36,0)+(AG78-Y78-L78-K78-J78-I78-H78-G78),IF(AND(AJ78&lt;=Info!$F$36,AJ78&gt;=Info!$I$36),Info!$C$36,0)+(AG78-Y78-K78-J78-I78-H78-G78)),"")</f>
        <v>0</v>
      </c>
      <c r="G78" s="25">
        <f>IF(AI78&lt;&gt;"",Rates!$AB$11*(L78),"")</f>
        <v>0</v>
      </c>
      <c r="H78" s="25">
        <f>IF(AI78&lt;&gt;"",(Rates!$AD$11+Rates!$AC$11)*(L78),"")</f>
        <v>0</v>
      </c>
      <c r="I78" s="25">
        <f>IF(AI78&lt;&gt;"",LOOKUP(Info!$C$24,Rates!$I$2:$I$7,Rates!$H$2:$H$7)*(J78+K78+L78+Y78),"")</f>
        <v>0</v>
      </c>
      <c r="J78" s="25">
        <f t="shared" si="10"/>
        <v>0</v>
      </c>
      <c r="K78" s="25">
        <f>IF(Y78&lt;&gt;"",Info!$C$34*Y78,"")</f>
        <v>0</v>
      </c>
      <c r="L78" s="25">
        <f t="shared" si="12"/>
        <v>0</v>
      </c>
      <c r="M78" s="25"/>
      <c r="N78" s="25">
        <v>0</v>
      </c>
      <c r="O78" s="25" t="str">
        <f>IF(AJ78&lt;=10,(1-Info!$C$44)*IF(OR(Info!$F$24&gt;0,Info!$F$26&gt;0),IF(0.75*$X$4&lt;=0.03*$AD$4,0.75*(X78-X77),0.03*(AD78-AD77)),0),"")</f>
        <v/>
      </c>
      <c r="P78" s="25">
        <f>IF(AJ78&lt;=5,IF(AI78&lt;&gt;"",0.002*AD78,"")*(1-Info!$I$44),0)</f>
        <v>0</v>
      </c>
      <c r="Q78" s="25">
        <f>(1-Info!$F$44)*IF(AI78&lt;&gt;"",IF(Info!$C$32="بله",0.07*X78,0.07*AG78),"")</f>
        <v>0</v>
      </c>
      <c r="R78" s="25">
        <f>IF(X78&lt;&gt;0,S78*X78,0)*(1-Info!$F$48)</f>
        <v>0</v>
      </c>
      <c r="S78" s="25">
        <f>IF(Info!$I$30="خیر",0,IF(Info!$F$30="بله",IF(Info!$C$30=1,2.3,IF(Info!$C$30=2,3.3,4.3)),1))*IF(AND(AH78&lt;=Rates!$Z$8,AH78&gt;0),(1+Info!$C$34)*(1+LOOKUP(Info!$F$34,Rates!$O$2:$O$9,Rates!$L$2:$L$9)/100)*(LOOKUP(Info!$C$6,Rates!$U$2:$U$108,Rates!$R$2:$R$108)/100),0)</f>
        <v>0</v>
      </c>
      <c r="T78" s="25">
        <f>IF(AI78&lt;71,(1-Info!$F$46)*((AB78*0.0008*(1+(LOOKUP(Info!$I$34,Rates!$O$2:$O$9,Rates!$M$2:$M$9)/100)))),0)</f>
        <v>0</v>
      </c>
      <c r="U78" s="25">
        <f>IF(AI78&lt;71,(1-Info!$I$46)*(((AD78*0.0008*Info!$L$30))*(1+(LOOKUP(Info!$I$34,Rates!$O:$O,Rates!$N:$N)/100))),0)</f>
        <v>0</v>
      </c>
      <c r="V78" s="25">
        <f>((Z78*0.0008))*(1+(LOOKUP(Info!$I$34,Rates!$O$2:$O$9,Rates!$M$2:$M$9)/100))*(1-Info!$C$46)</f>
        <v>0</v>
      </c>
      <c r="W78" s="25">
        <f>IF(AND(AI78&lt;=Rates!$Z$2,AJ78&lt;=Info!$I$6,Info!$F$32="معمولی"),VLOOKUP(AI78,Rates!$U$1:$Y$108,5,0),IF(AND(AI78&lt;=Rates!$Z$2,AJ78&lt;=Info!$I$6,Info!$F$32="پایه"),VLOOKUP(AI78,Rates!$U$1:$Y$108,2,0),IF(AND(AI78&lt;=Rates!$Z$2,AJ78&lt;=Info!$I$6,Info!$F$32="آسایش "),VLOOKUP(AI78,Rates!$U$1:$Y$108,3,0),IF(AND(AI78&lt;=Rates!$Z$2,AJ78&lt;=Info!$I$6,Info!$F$32="ممتاز"),VLOOKUP(AI78,Rates!$U$1:$Y$108,4,0),0))))*AA78/1000000*(1+Info!$C$34)*(1-Info!$I$48)</f>
        <v>0</v>
      </c>
      <c r="X78" s="25">
        <f>IF(Info!$C$32="بله",(AG78-W78-U78-V78-T78)/(1+S78),AG78)</f>
        <v>0</v>
      </c>
      <c r="Y78" s="25">
        <f>IF(AI78&lt;&gt;0,(AD78*LOOKUP(AI78,Rates!$U$2:$U$108,Rates!$T$2:$T$108))/SQRT(1.1),0)</f>
        <v>0</v>
      </c>
      <c r="Z78" s="25">
        <f>IF(AND(AI78&lt;=Rates!$Z$10,AI78&gt;=0),Info!$C$28*(AC78-AD78),0)</f>
        <v>0</v>
      </c>
      <c r="AA78" s="25">
        <f>IF(AND(AI78&gt;=0,AI78&lt;=Rates!$Z$2,AG78&gt;0),MIN(AA77*(1+Info!$F$26),5000000000),0)</f>
        <v>0</v>
      </c>
      <c r="AB78" s="25">
        <f>IF(AND(AI78&gt;=0,AI78&lt;=65),AD78*Info!$L$32,0)</f>
        <v>0</v>
      </c>
      <c r="AC78" s="25">
        <f>IF(AND(AI78&gt;=0,AI78&lt;=Rates!$Z$3),AD78*(1+Info!$L$30),AD78)</f>
        <v>0</v>
      </c>
      <c r="AD78" s="25">
        <f>IF(AI78&lt;&gt;0,AD77*(1+Info!$F$26),0)</f>
        <v>0</v>
      </c>
      <c r="AE78" s="25">
        <f t="shared" si="11"/>
        <v>0</v>
      </c>
      <c r="AF78" s="25">
        <f>IF(AI78&gt;=0,IF(Info!$C$32="بله",AG78,AG78+L78),"")</f>
        <v>0</v>
      </c>
      <c r="AG78" s="145">
        <f>IF(AI78&lt;&gt;0,AG77*(1+Info!$F$24),0)</f>
        <v>0</v>
      </c>
      <c r="AH78" s="150">
        <f>IF(AJ78&lt;&gt;"",Info!$C$6+AJ78-1,0)</f>
        <v>0</v>
      </c>
      <c r="AI78" s="28">
        <f>IF(AJ78&lt;&gt;"",IF(Info!$F$6+AJ78-1&lt;=Rates!$Z$11,Info!$F$6+AJ78-1,0),0)</f>
        <v>0</v>
      </c>
      <c r="AJ78" s="29" t="str">
        <f>IF(AI77&lt;&gt;"",IF(AND(AJ77&lt;&gt;"",AI77+1&lt;=Rates!$Z$11),IF(AJ77&lt;&gt;0,IF(AJ77+1&lt;=Info!$I$6,AJ77+1,""),0),""),"")</f>
        <v/>
      </c>
    </row>
    <row r="79" spans="1:36" s="243" customFormat="1" ht="18.75" x14ac:dyDescent="0.45">
      <c r="A79" s="24">
        <f>IF(B79&gt;0,IF(Info!$C$32="بله",AG79/B79,(AG79+L79)/B79),0)</f>
        <v>0</v>
      </c>
      <c r="B79" s="24">
        <f>IF(AND(AI79&gt;=0,AJ79&lt;=Info!$I$6),LOOKUP(Info!$C$24,Rates!$I$2:$I$7,Rates!$F$2:$F$7),0)</f>
        <v>0</v>
      </c>
      <c r="C79" s="24">
        <f>IF(AG79&lt;&gt;0,(C78+F79)*(1+VLOOKUP(Info!$C$26,Rates!$D$3:$E$7,2,FALSE)),0)</f>
        <v>0</v>
      </c>
      <c r="D79" s="24">
        <f t="shared" si="13"/>
        <v>0</v>
      </c>
      <c r="E79" s="24">
        <f>IF(AI79&lt;&gt;0,(E78+F79)*(1+VLOOKUP(Info!$C$26,Rates!$A$14:$B$19,2,FALSE)),0)</f>
        <v>0</v>
      </c>
      <c r="F79" s="24">
        <f>IF(AI79&lt;&gt;"",IF(Info!$C$32="بله",IF(AND(AJ79&lt;=Info!$F$36,AJ79&gt;=Info!$I$36),Info!$C$36,0)+(AG79-Y79-L79-K79-J79-I79-H79-G79),IF(AND(AJ79&lt;=Info!$F$36,AJ79&gt;=Info!$I$36),Info!$C$36,0)+(AG79-Y79-K79-J79-I79-H79-G79)),"")</f>
        <v>0</v>
      </c>
      <c r="G79" s="24">
        <f>IF(AI79&lt;&gt;"",Rates!$AB$11*(L79),"")</f>
        <v>0</v>
      </c>
      <c r="H79" s="24">
        <f>IF(AI79&lt;&gt;"",(Rates!$AD$11+Rates!$AC$11)*(L79),"")</f>
        <v>0</v>
      </c>
      <c r="I79" s="24">
        <f>IF(AI79&lt;&gt;"",LOOKUP(Info!$C$24,Rates!$I$2:$I$7,Rates!$H$2:$H$7)*(J79+K79+L79+Y79),"")</f>
        <v>0</v>
      </c>
      <c r="J79" s="24">
        <f t="shared" si="10"/>
        <v>0</v>
      </c>
      <c r="K79" s="24">
        <f>IF(Y79&lt;&gt;"",Info!$C$34*Y79,"")</f>
        <v>0</v>
      </c>
      <c r="L79" s="24">
        <f t="shared" si="12"/>
        <v>0</v>
      </c>
      <c r="M79" s="24"/>
      <c r="N79" s="24">
        <v>0</v>
      </c>
      <c r="O79" s="24" t="str">
        <f>IF(AJ79&lt;=10,(1-Info!$C$44)*IF(OR(Info!$F$24&gt;0,Info!$F$26&gt;0),IF(0.75*$X$4&lt;=0.03*$AD$4,0.75*(X79-X78),0.03*(AD79-AD78)),0),"")</f>
        <v/>
      </c>
      <c r="P79" s="24">
        <f>IF(AJ79&lt;=5,IF(AI79&lt;&gt;"",0.002*AD79,"")*(1-Info!$I$44),0)</f>
        <v>0</v>
      </c>
      <c r="Q79" s="24">
        <f>(1-Info!$F$44)*IF(AI79&lt;&gt;"",IF(Info!$C$32="بله",0.07*X79,0.07*AG79),"")</f>
        <v>0</v>
      </c>
      <c r="R79" s="24">
        <f>IF(X79&lt;&gt;0,S79*X79,0)*(1-Info!$F$48)</f>
        <v>0</v>
      </c>
      <c r="S79" s="24">
        <f>IF(Info!$I$30="خیر",0,IF(Info!$F$30="بله",IF(Info!$C$30=1,2.3,IF(Info!$C$30=2,3.3,4.3)),1))*IF(AND(AH79&lt;=Rates!$Z$8,AH79&gt;0),(1+Info!$C$34)*(1+LOOKUP(Info!$F$34,Rates!$O$2:$O$9,Rates!$L$2:$L$9)/100)*(LOOKUP(Info!$C$6,Rates!$U$2:$U$108,Rates!$R$2:$R$108)/100),0)</f>
        <v>0</v>
      </c>
      <c r="T79" s="24">
        <f>IF(AI79&lt;71,(1-Info!$F$46)*((AB79*0.0008*(1+(LOOKUP(Info!$I$34,Rates!$O$2:$O$9,Rates!$M$2:$M$9)/100)))),0)</f>
        <v>0</v>
      </c>
      <c r="U79" s="24">
        <f>IF(AI79&lt;71,(1-Info!$I$46)*(((AD79*0.0008*Info!$L$30))*(1+(LOOKUP(Info!$I$34,Rates!$O:$O,Rates!$N:$N)/100))),0)</f>
        <v>0</v>
      </c>
      <c r="V79" s="24">
        <f>((Z79*0.0008))*(1+(LOOKUP(Info!$I$34,Rates!$O$2:$O$9,Rates!$M$2:$M$9)/100))*(1-Info!$C$46)</f>
        <v>0</v>
      </c>
      <c r="W79" s="24">
        <f>IF(AND(AI79&lt;=Rates!$Z$2,AJ79&lt;=Info!$I$6,Info!$F$32="معمولی"),VLOOKUP(AI79,Rates!$U$1:$Y$108,5,0),IF(AND(AI79&lt;=Rates!$Z$2,AJ79&lt;=Info!$I$6,Info!$F$32="پایه"),VLOOKUP(AI79,Rates!$U$1:$Y$108,2,0),IF(AND(AI79&lt;=Rates!$Z$2,AJ79&lt;=Info!$I$6,Info!$F$32="آسایش "),VLOOKUP(AI79,Rates!$U$1:$Y$108,3,0),IF(AND(AI79&lt;=Rates!$Z$2,AJ79&lt;=Info!$I$6,Info!$F$32="ممتاز"),VLOOKUP(AI79,Rates!$U$1:$Y$108,4,0),0))))*AA79/1000000*(1+Info!$C$34)*(1-Info!$I$48)</f>
        <v>0</v>
      </c>
      <c r="X79" s="24">
        <f>IF(Info!$C$32="بله",(AG79-W79-U79-V79-T79)/(1+S79),AG79)</f>
        <v>0</v>
      </c>
      <c r="Y79" s="24">
        <f>IF(AI79&lt;&gt;0,(AD79*LOOKUP(AI79,Rates!$U$2:$U$108,Rates!$T$2:$T$108))/SQRT(1.1),0)</f>
        <v>0</v>
      </c>
      <c r="Z79" s="24">
        <f>IF(AND(AI79&lt;=Rates!$Z$10,AI79&gt;=0),Info!$C$28*(AC79-AD79),0)</f>
        <v>0</v>
      </c>
      <c r="AA79" s="24">
        <f>IF(AND(AI79&gt;=0,AI79&lt;=Rates!$Z$2,AG79&gt;0),MIN(AA78*(1+Info!$F$26),5000000000),0)</f>
        <v>0</v>
      </c>
      <c r="AB79" s="24">
        <f>IF(AND(AI79&gt;=0,AI79&lt;=65),AD79*Info!$L$32,0)</f>
        <v>0</v>
      </c>
      <c r="AC79" s="24">
        <f>IF(AND(AI79&gt;=0,AI79&lt;=Rates!$Z$3),AD79*(1+Info!$L$30),AD79)</f>
        <v>0</v>
      </c>
      <c r="AD79" s="24">
        <f>IF(AI79&lt;&gt;0,AD78*(1+Info!$F$26),0)</f>
        <v>0</v>
      </c>
      <c r="AE79" s="24">
        <f t="shared" si="11"/>
        <v>0</v>
      </c>
      <c r="AF79" s="24">
        <f>IF(AI79&gt;=0,IF(Info!$C$32="بله",AG79,AG79+L79),"")</f>
        <v>0</v>
      </c>
      <c r="AG79" s="146">
        <f>IF(AI79&lt;&gt;0,AG78*(1+Info!$F$24),0)</f>
        <v>0</v>
      </c>
      <c r="AH79" s="149">
        <f>IF(AJ79&lt;&gt;"",Info!$C$6+AJ79-1,0)</f>
        <v>0</v>
      </c>
      <c r="AI79" s="26">
        <f>IF(AJ79&lt;&gt;"",IF(Info!$F$6+AJ79-1&lt;=Rates!$Z$11,Info!$F$6+AJ79-1,0),0)</f>
        <v>0</v>
      </c>
      <c r="AJ79" s="27" t="str">
        <f>IF(AI78&lt;&gt;"",IF(AND(AJ78&lt;&gt;"",AI78+1&lt;=Rates!$Z$11),IF(AJ78&lt;&gt;0,IF(AJ78+1&lt;=Info!$I$6,AJ78+1,""),0),""),"")</f>
        <v/>
      </c>
    </row>
    <row r="80" spans="1:36" s="243" customFormat="1" ht="18.75" x14ac:dyDescent="0.45">
      <c r="A80" s="25">
        <f>IF(B80&gt;0,IF(Info!$C$32="بله",AG80/B80,(AG80+L80)/B80),0)</f>
        <v>0</v>
      </c>
      <c r="B80" s="25">
        <f>IF(AND(AI80&gt;=0,AJ80&lt;=Info!$I$6),LOOKUP(Info!$C$24,Rates!$I$2:$I$7,Rates!$F$2:$F$7),0)</f>
        <v>0</v>
      </c>
      <c r="C80" s="25">
        <f>IF(AG80&lt;&gt;0,(C79+F80)*(1+VLOOKUP(Info!$C$26,Rates!$D$3:$E$7,2,FALSE)),0)</f>
        <v>0</v>
      </c>
      <c r="D80" s="25">
        <f t="shared" si="13"/>
        <v>0</v>
      </c>
      <c r="E80" s="25">
        <f>IF(AI80&lt;&gt;0,(E79+F80)*(1+VLOOKUP(Info!$C$26,Rates!$A$14:$B$19,2,FALSE)),0)</f>
        <v>0</v>
      </c>
      <c r="F80" s="25">
        <f>IF(AI80&lt;&gt;"",IF(Info!$C$32="بله",IF(AND(AJ80&lt;=Info!$F$36,AJ80&gt;=Info!$I$36),Info!$C$36,0)+(AG80-Y80-L80-K80-J80-I80-H80-G80),IF(AND(AJ80&lt;=Info!$F$36,AJ80&gt;=Info!$I$36),Info!$C$36,0)+(AG80-Y80-K80-J80-I80-H80-G80)),"")</f>
        <v>0</v>
      </c>
      <c r="G80" s="25">
        <f>IF(AI80&lt;&gt;"",Rates!$AB$11*(L80),"")</f>
        <v>0</v>
      </c>
      <c r="H80" s="25">
        <f>IF(AI80&lt;&gt;"",(Rates!$AD$11+Rates!$AC$11)*(L80),"")</f>
        <v>0</v>
      </c>
      <c r="I80" s="25">
        <f>IF(AI80&lt;&gt;"",LOOKUP(Info!$C$24,Rates!$I$2:$I$7,Rates!$H$2:$H$7)*(J80+K80+L80+Y80),"")</f>
        <v>0</v>
      </c>
      <c r="J80" s="25">
        <f t="shared" si="10"/>
        <v>0</v>
      </c>
      <c r="K80" s="25">
        <f>IF(Y80&lt;&gt;"",Info!$C$34*Y80,"")</f>
        <v>0</v>
      </c>
      <c r="L80" s="25">
        <f t="shared" si="12"/>
        <v>0</v>
      </c>
      <c r="M80" s="25"/>
      <c r="N80" s="25">
        <v>0</v>
      </c>
      <c r="O80" s="25" t="str">
        <f>IF(AJ80&lt;=10,(1-Info!$C$44)*IF(OR(Info!$F$24&gt;0,Info!$F$26&gt;0),IF(0.75*$X$4&lt;=0.03*$AD$4,0.75*(X80-X79),0.03*(AD80-AD79)),0),"")</f>
        <v/>
      </c>
      <c r="P80" s="25">
        <f>IF(AJ80&lt;=5,IF(AI80&lt;&gt;"",0.002*AD80,"")*(1-Info!$I$44),0)</f>
        <v>0</v>
      </c>
      <c r="Q80" s="25">
        <f>(1-Info!$F$44)*IF(AI80&lt;&gt;"",IF(Info!$C$32="بله",0.07*X80,0.07*AG80),"")</f>
        <v>0</v>
      </c>
      <c r="R80" s="25">
        <f>IF(X80&lt;&gt;0,S80*X80,0)*(1-Info!$F$48)</f>
        <v>0</v>
      </c>
      <c r="S80" s="25">
        <f>IF(Info!$I$30="خیر",0,IF(Info!$F$30="بله",IF(Info!$C$30=1,2.3,IF(Info!$C$30=2,3.3,4.3)),1))*IF(AND(AH80&lt;=Rates!$Z$8,AH80&gt;0),(1+Info!$C$34)*(1+LOOKUP(Info!$F$34,Rates!$O$2:$O$9,Rates!$L$2:$L$9)/100)*(LOOKUP(Info!$C$6,Rates!$U$2:$U$108,Rates!$R$2:$R$108)/100),0)</f>
        <v>0</v>
      </c>
      <c r="T80" s="25">
        <f>IF(AI80&lt;71,(1-Info!$F$46)*((AB80*0.0008*(1+(LOOKUP(Info!$I$34,Rates!$O$2:$O$9,Rates!$M$2:$M$9)/100)))),0)</f>
        <v>0</v>
      </c>
      <c r="U80" s="25">
        <f>IF(AI80&lt;71,(1-Info!$I$46)*(((AD80*0.0008*Info!$L$30))*(1+(LOOKUP(Info!$I$34,Rates!$O:$O,Rates!$N:$N)/100))),0)</f>
        <v>0</v>
      </c>
      <c r="V80" s="25">
        <f>((Z80*0.0008))*(1+(LOOKUP(Info!$I$34,Rates!$O$2:$O$9,Rates!$M$2:$M$9)/100))*(1-Info!$C$46)</f>
        <v>0</v>
      </c>
      <c r="W80" s="25">
        <f>IF(AND(AI80&lt;=Rates!$Z$2,AJ80&lt;=Info!$I$6,Info!$F$32="معمولی"),VLOOKUP(AI80,Rates!$U$1:$Y$108,5,0),IF(AND(AI80&lt;=Rates!$Z$2,AJ80&lt;=Info!$I$6,Info!$F$32="پایه"),VLOOKUP(AI80,Rates!$U$1:$Y$108,2,0),IF(AND(AI80&lt;=Rates!$Z$2,AJ80&lt;=Info!$I$6,Info!$F$32="آسایش "),VLOOKUP(AI80,Rates!$U$1:$Y$108,3,0),IF(AND(AI80&lt;=Rates!$Z$2,AJ80&lt;=Info!$I$6,Info!$F$32="ممتاز"),VLOOKUP(AI80,Rates!$U$1:$Y$108,4,0),0))))*AA80/1000000*(1+Info!$C$34)*(1-Info!$I$48)</f>
        <v>0</v>
      </c>
      <c r="X80" s="25">
        <f>IF(Info!$C$32="بله",(AG80-W80-U80-V80-T80)/(1+S80),AG80)</f>
        <v>0</v>
      </c>
      <c r="Y80" s="25">
        <f>IF(AI80&lt;&gt;0,(AD80*LOOKUP(AI80,Rates!$U$2:$U$108,Rates!$T$2:$T$108))/SQRT(1.1),0)</f>
        <v>0</v>
      </c>
      <c r="Z80" s="25">
        <f>IF(AND(AI80&lt;=Rates!$Z$10,AI80&gt;=0),Info!$C$28*(AC80-AD80),0)</f>
        <v>0</v>
      </c>
      <c r="AA80" s="25">
        <f>IF(AND(AI80&gt;=0,AI80&lt;=Rates!$Z$2,AG80&gt;0),MIN(AA79*(1+Info!$F$26),5000000000),0)</f>
        <v>0</v>
      </c>
      <c r="AB80" s="25">
        <f>IF(AND(AI80&gt;=0,AI80&lt;=65),AD80*Info!$L$32,0)</f>
        <v>0</v>
      </c>
      <c r="AC80" s="25">
        <f>IF(AND(AI80&gt;=0,AI80&lt;=Rates!$Z$3),AD80*(1+Info!$L$30),AD80)</f>
        <v>0</v>
      </c>
      <c r="AD80" s="25">
        <f>IF(AI80&lt;&gt;0,AD79*(1+Info!$F$26),0)</f>
        <v>0</v>
      </c>
      <c r="AE80" s="25">
        <f t="shared" si="11"/>
        <v>0</v>
      </c>
      <c r="AF80" s="25">
        <f>IF(AI80&gt;=0,IF(Info!$C$32="بله",AG80,AG80+L80),"")</f>
        <v>0</v>
      </c>
      <c r="AG80" s="145">
        <f>IF(AI80&lt;&gt;0,AG79*(1+Info!$F$24),0)</f>
        <v>0</v>
      </c>
      <c r="AH80" s="150">
        <f>IF(AJ80&lt;&gt;"",Info!$C$6+AJ80-1,0)</f>
        <v>0</v>
      </c>
      <c r="AI80" s="28">
        <f>IF(AJ80&lt;&gt;"",IF(Info!$F$6+AJ80-1&lt;=Rates!$Z$11,Info!$F$6+AJ80-1,0),0)</f>
        <v>0</v>
      </c>
      <c r="AJ80" s="29" t="str">
        <f>IF(AI79&lt;&gt;"",IF(AND(AJ79&lt;&gt;"",AI79+1&lt;=Rates!$Z$11),IF(AJ79&lt;&gt;0,IF(AJ79+1&lt;=Info!$I$6,AJ79+1,""),0),""),"")</f>
        <v/>
      </c>
    </row>
    <row r="81" spans="1:36" s="243" customFormat="1" ht="18.75" x14ac:dyDescent="0.45">
      <c r="A81" s="24">
        <f>IF(B81&gt;0,IF(Info!$C$32="بله",AG81/B81,(AG81+L81)/B81),0)</f>
        <v>0</v>
      </c>
      <c r="B81" s="24">
        <f>IF(AND(AI81&gt;=0,AJ81&lt;=Info!$I$6),LOOKUP(Info!$C$24,Rates!$I$2:$I$7,Rates!$F$2:$F$7),0)</f>
        <v>0</v>
      </c>
      <c r="C81" s="24">
        <f>IF(AG81&lt;&gt;0,(C80+F81)*(1+VLOOKUP(Info!$C$26,Rates!$D$3:$E$7,2,FALSE)),0)</f>
        <v>0</v>
      </c>
      <c r="D81" s="24">
        <f t="shared" si="13"/>
        <v>0</v>
      </c>
      <c r="E81" s="24">
        <f>IF(AI81&lt;&gt;0,(E80+F81)*(1+VLOOKUP(Info!$C$26,Rates!$A$14:$B$19,2,FALSE)),0)</f>
        <v>0</v>
      </c>
      <c r="F81" s="24">
        <f>IF(AI81&lt;&gt;"",IF(Info!$C$32="بله",IF(AND(AJ81&lt;=Info!$F$36,AJ81&gt;=Info!$I$36),Info!$C$36,0)+(AG81-Y81-L81-K81-J81-I81-H81-G81),IF(AND(AJ81&lt;=Info!$F$36,AJ81&gt;=Info!$I$36),Info!$C$36,0)+(AG81-Y81-K81-J81-I81-H81-G81)),"")</f>
        <v>0</v>
      </c>
      <c r="G81" s="24">
        <f>IF(AI81&lt;&gt;"",Rates!$AB$11*(L81),"")</f>
        <v>0</v>
      </c>
      <c r="H81" s="24">
        <f>IF(AI81&lt;&gt;"",(Rates!$AD$11+Rates!$AC$11)*(L81),"")</f>
        <v>0</v>
      </c>
      <c r="I81" s="24">
        <f>IF(AI81&lt;&gt;"",LOOKUP(Info!$C$24,Rates!$I$2:$I$7,Rates!$H$2:$H$7)*(J81+K81+L81+Y81),"")</f>
        <v>0</v>
      </c>
      <c r="J81" s="24">
        <f t="shared" si="10"/>
        <v>0</v>
      </c>
      <c r="K81" s="24">
        <f>IF(Y81&lt;&gt;"",Info!$C$34*Y81,"")</f>
        <v>0</v>
      </c>
      <c r="L81" s="24">
        <f t="shared" si="12"/>
        <v>0</v>
      </c>
      <c r="M81" s="24"/>
      <c r="N81" s="24">
        <v>0</v>
      </c>
      <c r="O81" s="24" t="str">
        <f>IF(AJ81&lt;=10,(1-Info!$C$44)*IF(OR(Info!$F$24&gt;0,Info!$F$26&gt;0),IF(0.75*$X$4&lt;=0.03*$AD$4,0.75*(X81-X80),0.03*(AD81-AD80)),0),"")</f>
        <v/>
      </c>
      <c r="P81" s="24">
        <f>IF(AJ81&lt;=5,IF(AI81&lt;&gt;"",0.002*AD81,"")*(1-Info!$I$44),0)</f>
        <v>0</v>
      </c>
      <c r="Q81" s="24">
        <f>(1-Info!$F$44)*IF(AI81&lt;&gt;"",IF(Info!$C$32="بله",0.07*X81,0.07*AG81),"")</f>
        <v>0</v>
      </c>
      <c r="R81" s="24">
        <f>IF(X81&lt;&gt;0,S81*X81,0)*(1-Info!$F$48)</f>
        <v>0</v>
      </c>
      <c r="S81" s="24">
        <f>IF(Info!$I$30="خیر",0,IF(Info!$F$30="بله",IF(Info!$C$30=1,2.3,IF(Info!$C$30=2,3.3,4.3)),1))*IF(AND(AH81&lt;=Rates!$Z$8,AH81&gt;0),(1+Info!$C$34)*(1+LOOKUP(Info!$F$34,Rates!$O$2:$O$9,Rates!$L$2:$L$9)/100)*(LOOKUP(Info!$C$6,Rates!$U$2:$U$108,Rates!$R$2:$R$108)/100),0)</f>
        <v>0</v>
      </c>
      <c r="T81" s="24">
        <f>IF(AI81&lt;71,(1-Info!$F$46)*((AB81*0.0008*(1+(LOOKUP(Info!$I$34,Rates!$O$2:$O$9,Rates!$M$2:$M$9)/100)))),0)</f>
        <v>0</v>
      </c>
      <c r="U81" s="24">
        <f>IF(AI81&lt;71,(1-Info!$I$46)*(((AD81*0.0008*Info!$L$30))*(1+(LOOKUP(Info!$I$34,Rates!$O:$O,Rates!$N:$N)/100))),0)</f>
        <v>0</v>
      </c>
      <c r="V81" s="24">
        <f>((Z81*0.0008))*(1+(LOOKUP(Info!$I$34,Rates!$O$2:$O$9,Rates!$M$2:$M$9)/100))*(1-Info!$C$46)</f>
        <v>0</v>
      </c>
      <c r="W81" s="24">
        <f>IF(AND(AI81&lt;=Rates!$Z$2,AJ81&lt;=Info!$I$6,Info!$F$32="معمولی"),VLOOKUP(AI81,Rates!$U$1:$Y$108,5,0),IF(AND(AI81&lt;=Rates!$Z$2,AJ81&lt;=Info!$I$6,Info!$F$32="پایه"),VLOOKUP(AI81,Rates!$U$1:$Y$108,2,0),IF(AND(AI81&lt;=Rates!$Z$2,AJ81&lt;=Info!$I$6,Info!$F$32="آسایش "),VLOOKUP(AI81,Rates!$U$1:$Y$108,3,0),IF(AND(AI81&lt;=Rates!$Z$2,AJ81&lt;=Info!$I$6,Info!$F$32="ممتاز"),VLOOKUP(AI81,Rates!$U$1:$Y$108,4,0),0))))*AA81/1000000*(1+Info!$C$34)*(1-Info!$I$48)</f>
        <v>0</v>
      </c>
      <c r="X81" s="24">
        <f>IF(Info!$C$32="بله",(AG81-W81-U81-V81-T81)/(1+S81),AG81)</f>
        <v>0</v>
      </c>
      <c r="Y81" s="24">
        <f>IF(AI81&lt;&gt;0,(AD81*LOOKUP(AI81,Rates!$U$2:$U$108,Rates!$T$2:$T$108))/SQRT(1.1),0)</f>
        <v>0</v>
      </c>
      <c r="Z81" s="24">
        <f>IF(AND(AI81&lt;=Rates!$Z$10,AI81&gt;=0),Info!$C$28*(AC81-AD81),0)</f>
        <v>0</v>
      </c>
      <c r="AA81" s="24">
        <f>IF(AND(AI81&gt;=0,AI81&lt;=Rates!$Z$2,AG81&gt;0),MIN(AA80*(1+Info!$F$26),5000000000),0)</f>
        <v>0</v>
      </c>
      <c r="AB81" s="24">
        <f>IF(AND(AI81&gt;=0,AI81&lt;=65),AD81*Info!$L$32,0)</f>
        <v>0</v>
      </c>
      <c r="AC81" s="24">
        <f>IF(AND(AI81&gt;=0,AI81&lt;=Rates!$Z$3),AD81*(1+Info!$L$30),AD81)</f>
        <v>0</v>
      </c>
      <c r="AD81" s="24">
        <f>IF(AI81&lt;&gt;0,AD80*(1+Info!$F$26),0)</f>
        <v>0</v>
      </c>
      <c r="AE81" s="24">
        <f t="shared" si="11"/>
        <v>0</v>
      </c>
      <c r="AF81" s="24">
        <f>IF(AI81&gt;=0,IF(Info!$C$32="بله",AG81,AG81+L81),"")</f>
        <v>0</v>
      </c>
      <c r="AG81" s="146">
        <f>IF(AI81&lt;&gt;0,AG80*(1+Info!$F$24),0)</f>
        <v>0</v>
      </c>
      <c r="AH81" s="149">
        <f>IF(AJ81&lt;&gt;"",Info!$C$6+AJ81-1,0)</f>
        <v>0</v>
      </c>
      <c r="AI81" s="26">
        <f>IF(AJ81&lt;&gt;"",IF(Info!$F$6+AJ81-1&lt;=Rates!$Z$11,Info!$F$6+AJ81-1,0),0)</f>
        <v>0</v>
      </c>
      <c r="AJ81" s="27" t="str">
        <f>IF(AI80&lt;&gt;"",IF(AND(AJ80&lt;&gt;"",AI80+1&lt;=Rates!$Z$11),IF(AJ80&lt;&gt;0,IF(AJ80+1&lt;=Info!$I$6,AJ80+1,""),0),""),"")</f>
        <v/>
      </c>
    </row>
    <row r="82" spans="1:36" s="243" customFormat="1" ht="18.75" x14ac:dyDescent="0.45">
      <c r="A82" s="25">
        <f>IF(B82&gt;0,IF(Info!$C$32="بله",AG82/B82,(AG82+L82)/B82),0)</f>
        <v>0</v>
      </c>
      <c r="B82" s="25">
        <f>IF(AND(AI82&gt;=0,AJ82&lt;=Info!$I$6),LOOKUP(Info!$C$24,Rates!$I$2:$I$7,Rates!$F$2:$F$7),0)</f>
        <v>0</v>
      </c>
      <c r="C82" s="25">
        <f>IF(AG82&lt;&gt;0,(C81+F82)*(1+VLOOKUP(Info!$C$26,Rates!$D$3:$E$7,2,FALSE)),0)</f>
        <v>0</v>
      </c>
      <c r="D82" s="25">
        <f t="shared" si="13"/>
        <v>0</v>
      </c>
      <c r="E82" s="25">
        <f>IF(AI82&lt;&gt;0,(E81+F82)*(1+VLOOKUP(Info!$C$26,Rates!$A$14:$B$19,2,FALSE)),0)</f>
        <v>0</v>
      </c>
      <c r="F82" s="25">
        <f>IF(AI82&lt;&gt;"",IF(Info!$C$32="بله",IF(AND(AJ82&lt;=Info!$F$36,AJ82&gt;=Info!$I$36),Info!$C$36,0)+(AG82-Y82-L82-K82-J82-I82-H82-G82),IF(AND(AJ82&lt;=Info!$F$36,AJ82&gt;=Info!$I$36),Info!$C$36,0)+(AG82-Y82-K82-J82-I82-H82-G82)),"")</f>
        <v>0</v>
      </c>
      <c r="G82" s="25">
        <f>IF(AI82&lt;&gt;"",Rates!$AB$11*(L82),"")</f>
        <v>0</v>
      </c>
      <c r="H82" s="25">
        <f>IF(AI82&lt;&gt;"",(Rates!$AD$11+Rates!$AC$11)*(L82),"")</f>
        <v>0</v>
      </c>
      <c r="I82" s="25">
        <f>IF(AI82&lt;&gt;"",LOOKUP(Info!$C$24,Rates!$I$2:$I$7,Rates!$H$2:$H$7)*(J82+K82+L82+Y82),"")</f>
        <v>0</v>
      </c>
      <c r="J82" s="25">
        <f t="shared" si="10"/>
        <v>0</v>
      </c>
      <c r="K82" s="25">
        <f>IF(Y82&lt;&gt;"",Info!$C$34*Y82,"")</f>
        <v>0</v>
      </c>
      <c r="L82" s="25">
        <f t="shared" si="12"/>
        <v>0</v>
      </c>
      <c r="M82" s="25"/>
      <c r="N82" s="25">
        <v>0</v>
      </c>
      <c r="O82" s="25" t="str">
        <f>IF(AJ82&lt;=10,(1-Info!$C$44)*IF(OR(Info!$F$24&gt;0,Info!$F$26&gt;0),IF(0.75*$X$4&lt;=0.03*$AD$4,0.75*(X82-X81),0.03*(AD82-AD81)),0),"")</f>
        <v/>
      </c>
      <c r="P82" s="25">
        <f>IF(AJ82&lt;=5,IF(AI82&lt;&gt;"",0.002*AD82,"")*(1-Info!$I$44),0)</f>
        <v>0</v>
      </c>
      <c r="Q82" s="25">
        <f>(1-Info!$F$44)*IF(AI82&lt;&gt;"",IF(Info!$C$32="بله",0.07*X82,0.07*AG82),"")</f>
        <v>0</v>
      </c>
      <c r="R82" s="25">
        <f>IF(X82&lt;&gt;0,S82*X82,0)*(1-Info!$F$48)</f>
        <v>0</v>
      </c>
      <c r="S82" s="25">
        <f>IF(Info!$I$30="خیر",0,IF(Info!$F$30="بله",IF(Info!$C$30=1,2.3,IF(Info!$C$30=2,3.3,4.3)),1))*IF(AND(AH82&lt;=Rates!$Z$8,AH82&gt;0),(1+Info!$C$34)*(1+LOOKUP(Info!$F$34,Rates!$O$2:$O$9,Rates!$L$2:$L$9)/100)*(LOOKUP(Info!$C$6,Rates!$U$2:$U$108,Rates!$R$2:$R$108)/100),0)</f>
        <v>0</v>
      </c>
      <c r="T82" s="25">
        <f>IF(AI82&lt;71,(1-Info!$F$46)*((AB82*0.0008*(1+(LOOKUP(Info!$I$34,Rates!$O$2:$O$9,Rates!$M$2:$M$9)/100)))),0)</f>
        <v>0</v>
      </c>
      <c r="U82" s="25">
        <f>IF(AI82&lt;71,(1-Info!$I$46)*(((AD82*0.0008*Info!$L$30))*(1+(LOOKUP(Info!$I$34,Rates!$O:$O,Rates!$N:$N)/100))),0)</f>
        <v>0</v>
      </c>
      <c r="V82" s="25">
        <f>((Z82*0.0008))*(1+(LOOKUP(Info!$I$34,Rates!$O$2:$O$9,Rates!$M$2:$M$9)/100))*(1-Info!$C$46)</f>
        <v>0</v>
      </c>
      <c r="W82" s="25">
        <f>IF(AND(AI82&lt;=Rates!$Z$2,AJ82&lt;=Info!$I$6,Info!$F$32="معمولی"),VLOOKUP(AI82,Rates!$U$1:$Y$108,5,0),IF(AND(AI82&lt;=Rates!$Z$2,AJ82&lt;=Info!$I$6,Info!$F$32="پایه"),VLOOKUP(AI82,Rates!$U$1:$Y$108,2,0),IF(AND(AI82&lt;=Rates!$Z$2,AJ82&lt;=Info!$I$6,Info!$F$32="آسایش "),VLOOKUP(AI82,Rates!$U$1:$Y$108,3,0),IF(AND(AI82&lt;=Rates!$Z$2,AJ82&lt;=Info!$I$6,Info!$F$32="ممتاز"),VLOOKUP(AI82,Rates!$U$1:$Y$108,4,0),0))))*AA82/1000000*(1+Info!$C$34)*(1-Info!$I$48)</f>
        <v>0</v>
      </c>
      <c r="X82" s="25">
        <f>IF(Info!$C$32="بله",(AG82-W82-U82-V82-T82)/(1+S82),AG82)</f>
        <v>0</v>
      </c>
      <c r="Y82" s="25">
        <f>IF(AI82&lt;&gt;0,(AD82*LOOKUP(AI82,Rates!$U$2:$U$108,Rates!$T$2:$T$108))/SQRT(1.1),0)</f>
        <v>0</v>
      </c>
      <c r="Z82" s="25">
        <f>IF(AND(AI82&lt;=Rates!$Z$10,AI82&gt;=0),Info!$C$28*(AC82-AD82),0)</f>
        <v>0</v>
      </c>
      <c r="AA82" s="25">
        <f>IF(AND(AI82&gt;=0,AI82&lt;=Rates!$Z$2,AG82&gt;0),MIN(AA81*(1+Info!$F$26),5000000000),0)</f>
        <v>0</v>
      </c>
      <c r="AB82" s="25">
        <f>IF(AND(AI82&gt;=0,AI82&lt;=65),AD82*Info!$L$32,0)</f>
        <v>0</v>
      </c>
      <c r="AC82" s="25">
        <f>IF(AND(AI82&gt;=0,AI82&lt;=Rates!$Z$3),AD82*(1+Info!$L$30),AD82)</f>
        <v>0</v>
      </c>
      <c r="AD82" s="25">
        <f>IF(AI82&lt;&gt;0,AD81*(1+Info!$F$26),0)</f>
        <v>0</v>
      </c>
      <c r="AE82" s="25">
        <f t="shared" si="11"/>
        <v>0</v>
      </c>
      <c r="AF82" s="151">
        <f>IF(AI82&gt;=0,IF(Info!$C$32="بله",AG82,AG82+L82),"")</f>
        <v>0</v>
      </c>
      <c r="AG82" s="145">
        <f>IF(AI82&lt;&gt;0,AG81*(1+Info!$F$24),0)</f>
        <v>0</v>
      </c>
      <c r="AH82" s="150">
        <f>IF(AJ82&lt;&gt;"",Info!$C$6+AJ82-1,0)</f>
        <v>0</v>
      </c>
      <c r="AI82" s="28">
        <f>IF(AJ82&lt;&gt;"",IF(Info!$F$6+AJ82-1&lt;=Rates!$Z$11,Info!$F$6+AJ82-1,0),0)</f>
        <v>0</v>
      </c>
      <c r="AJ82" s="29" t="str">
        <f>IF(AI81&lt;&gt;"",IF(AND(AJ81&lt;&gt;"",AI81+1&lt;=Rates!$Z$11),IF(AJ81&lt;&gt;0,IF(AJ81+1&lt;=Info!$I$6,AJ81+1,""),0),""),"")</f>
        <v/>
      </c>
    </row>
    <row r="83" spans="1:36" s="243" customFormat="1" ht="18.75" x14ac:dyDescent="0.45">
      <c r="A83" s="24">
        <f>IF(B83&gt;0,IF(Info!$C$32="بله",AG83/B83,(AG83+L83)/B83),0)</f>
        <v>0</v>
      </c>
      <c r="B83" s="24">
        <f>IF(AND(AI83&gt;=0,AJ83&lt;=Info!$I$6),LOOKUP(Info!$C$24,Rates!$I$2:$I$7,Rates!$F$2:$F$7),0)</f>
        <v>0</v>
      </c>
      <c r="C83" s="24">
        <f>IF(AG83&lt;&gt;0,(C82+F83)*(1+VLOOKUP(Info!$C$26,Rates!$D$3:$E$7,2,FALSE)),0)</f>
        <v>0</v>
      </c>
      <c r="D83" s="24">
        <f t="shared" si="13"/>
        <v>0</v>
      </c>
      <c r="E83" s="24">
        <f>IF(AI83&lt;&gt;0,(E82+F83)*(1+VLOOKUP(Info!$C$26,Rates!$A$14:$B$19,2,FALSE)),0)</f>
        <v>0</v>
      </c>
      <c r="F83" s="24">
        <f>IF(AI83&lt;&gt;"",IF(Info!$C$32="بله",IF(AND(AJ83&lt;=Info!$F$36,AJ83&gt;=Info!$I$36),Info!$C$36,0)+(AG83-Y83-L83-K83-J83-I83-H83-G83),IF(AND(AJ83&lt;=Info!$F$36,AJ83&gt;=Info!$I$36),Info!$C$36,0)+(AG83-Y83-K83-J83-I83-H83-G83)),"")</f>
        <v>0</v>
      </c>
      <c r="G83" s="24">
        <f>IF(AI83&lt;&gt;"",Rates!$AB$11*(L83),"")</f>
        <v>0</v>
      </c>
      <c r="H83" s="24">
        <f>IF(AI83&lt;&gt;"",(Rates!$AD$11+Rates!$AC$11)*(L83),"")</f>
        <v>0</v>
      </c>
      <c r="I83" s="24">
        <f>IF(AI83&lt;&gt;"",LOOKUP(Info!$C$24,Rates!$I$2:$I$7,Rates!$H$2:$H$7)*(J83+K83+L83+Y83),"")</f>
        <v>0</v>
      </c>
      <c r="J83" s="24">
        <f t="shared" si="10"/>
        <v>0</v>
      </c>
      <c r="K83" s="24">
        <f>IF(Y83&lt;&gt;"",Info!$C$34*Y83,"")</f>
        <v>0</v>
      </c>
      <c r="L83" s="24">
        <f t="shared" si="12"/>
        <v>0</v>
      </c>
      <c r="M83" s="24"/>
      <c r="N83" s="24">
        <v>0</v>
      </c>
      <c r="O83" s="24" t="str">
        <f>IF(AJ83&lt;=10,(1-Info!$C$44)*IF(OR(Info!$F$24&gt;0,Info!$F$26&gt;0),IF(0.75*$X$4&lt;=0.03*$AD$4,0.75*(X83-X82),0.03*(AD83-AD82)),0),"")</f>
        <v/>
      </c>
      <c r="P83" s="24">
        <f>IF(AJ83&lt;=5,IF(AI83&lt;&gt;"",0.002*AD83,"")*(1-Info!$I$44),0)</f>
        <v>0</v>
      </c>
      <c r="Q83" s="24">
        <f>(1-Info!$F$44)*IF(AI83&lt;&gt;"",IF(Info!$C$32="بله",0.07*X83,0.07*AG83),"")</f>
        <v>0</v>
      </c>
      <c r="R83" s="24">
        <f>IF(X83&lt;&gt;0,S83*X83,0)*(1-Info!$F$48)</f>
        <v>0</v>
      </c>
      <c r="S83" s="24">
        <f>IF(Info!$I$30="خیر",0,IF(Info!$F$30="بله",IF(Info!$C$30=1,2.3,IF(Info!$C$30=2,3.3,4.3)),1))*IF(AND(AH83&lt;=Rates!$Z$8,AH83&gt;0),(1+Info!$C$34)*(1+LOOKUP(Info!$F$34,Rates!$O$2:$O$9,Rates!$L$2:$L$9)/100)*(LOOKUP(Info!$C$6,Rates!$U$2:$U$108,Rates!$R$2:$R$108)/100),0)</f>
        <v>0</v>
      </c>
      <c r="T83" s="24">
        <f>IF(AI83&lt;71,(1-Info!$F$46)*((AB83*0.0008*(1+(LOOKUP(Info!$I$34,Rates!$O$2:$O$9,Rates!$M$2:$M$9)/100)))),0)</f>
        <v>0</v>
      </c>
      <c r="U83" s="24">
        <f>IF(AI83&lt;71,(1-Info!$I$46)*(((AD83*0.0008*Info!$L$30))*(1+(LOOKUP(Info!$I$34,Rates!$O:$O,Rates!$N:$N)/100))),0)</f>
        <v>0</v>
      </c>
      <c r="V83" s="24">
        <f>((Z83*0.0008))*(1+(LOOKUP(Info!$I$34,Rates!$O$2:$O$9,Rates!$M$2:$M$9)/100))*(1-Info!$C$46)</f>
        <v>0</v>
      </c>
      <c r="W83" s="24">
        <f>IF(AND(AI83&lt;=Rates!$Z$2,AJ83&lt;=Info!$I$6,Info!$F$32="معمولی"),VLOOKUP(AI83,Rates!$U$1:$Y$108,5,0),IF(AND(AI83&lt;=Rates!$Z$2,AJ83&lt;=Info!$I$6,Info!$F$32="پایه"),VLOOKUP(AI83,Rates!$U$1:$Y$108,2,0),IF(AND(AI83&lt;=Rates!$Z$2,AJ83&lt;=Info!$I$6,Info!$F$32="آسایش "),VLOOKUP(AI83,Rates!$U$1:$Y$108,3,0),IF(AND(AI83&lt;=Rates!$Z$2,AJ83&lt;=Info!$I$6,Info!$F$32="ممتاز"),VLOOKUP(AI83,Rates!$U$1:$Y$108,4,0),0))))*AA83/1000000*(1+Info!$C$34)*(1-Info!$I$48)</f>
        <v>0</v>
      </c>
      <c r="X83" s="24">
        <f>IF(Info!$C$32="بله",(AG83-W83-U83-V83-T83)/(1+S83),AG83)</f>
        <v>0</v>
      </c>
      <c r="Y83" s="24">
        <f>IF(AI83&lt;&gt;0,(AD83*LOOKUP(AI83,Rates!$U$2:$U$108,Rates!$T$2:$T$108))/SQRT(1.1),0)</f>
        <v>0</v>
      </c>
      <c r="Z83" s="24">
        <f>IF(AND(AI83&lt;=Rates!$Z$10,AI83&gt;=0),Info!$C$28*(AC83-AD83),0)</f>
        <v>0</v>
      </c>
      <c r="AA83" s="24">
        <f>IF(AND(AI83&gt;=0,AI83&lt;=Rates!$Z$2,AG83&gt;0),MIN(AA82*(1+Info!$F$26),5000000000),0)</f>
        <v>0</v>
      </c>
      <c r="AB83" s="24">
        <f>IF(AND(AI83&gt;=0,AI83&lt;=65),AD83*Info!$L$32,0)</f>
        <v>0</v>
      </c>
      <c r="AC83" s="24">
        <f>IF(AND(AI83&gt;=0,AI83&lt;=Rates!$Z$3),AD83*(1+Info!$L$30),AD83)</f>
        <v>0</v>
      </c>
      <c r="AD83" s="24">
        <f>IF(AI83&lt;&gt;0,AD82*(1+Info!$F$26),0)</f>
        <v>0</v>
      </c>
      <c r="AE83" s="24">
        <f t="shared" si="11"/>
        <v>0</v>
      </c>
      <c r="AF83" s="24">
        <f>IF(AI83&gt;=0,IF(Info!$C$32="بله",AG83,AG83+L83),"")</f>
        <v>0</v>
      </c>
      <c r="AG83" s="146">
        <f>IF(AI83&lt;&gt;0,AG82*(1+Info!$F$24),0)</f>
        <v>0</v>
      </c>
      <c r="AH83" s="149">
        <f>IF(AJ83&lt;&gt;"",Info!$C$6+AJ83-1,0)</f>
        <v>0</v>
      </c>
      <c r="AI83" s="26">
        <f>IF(AJ83&lt;&gt;"",IF(Info!$F$6+AJ83-1&lt;=Rates!$Z$11,Info!$F$6+AJ83-1,0),0)</f>
        <v>0</v>
      </c>
      <c r="AJ83" s="27" t="str">
        <f>IF(AI82&lt;&gt;"",IF(AND(AJ82&lt;&gt;"",AI82+1&lt;=Rates!$Z$11),IF(AJ82&lt;&gt;0,IF(AJ82+1&lt;=Info!$I$6,AJ82+1,""),0),""),"")</f>
        <v/>
      </c>
    </row>
    <row r="84" spans="1:36" ht="18.75" x14ac:dyDescent="0.25">
      <c r="A84" s="25">
        <f>IF(B84&gt;0,IF(Info!$C$32="بله",AG84/B84,(AG84+L84)/B84),0)</f>
        <v>0</v>
      </c>
      <c r="B84" s="25">
        <f>IF(AND(AI84&gt;=0,AJ84&lt;=Info!$I$6),LOOKUP(Info!$C$24,Rates!$I$2:$I$7,Rates!$F$2:$F$7),0)</f>
        <v>0</v>
      </c>
      <c r="C84" s="25">
        <f>IF(AG84&lt;&gt;0,(C83+F84)*(1+VLOOKUP(Info!$C$26,Rates!$D$3:$E$7,2,FALSE)),0)</f>
        <v>0</v>
      </c>
      <c r="D84" s="25">
        <f t="shared" si="13"/>
        <v>0</v>
      </c>
      <c r="E84" s="25">
        <f>IF(AI84&lt;&gt;0,(E83+F84)*(1+VLOOKUP(Info!$C$26,Rates!$A$14:$B$19,2,FALSE)),0)</f>
        <v>0</v>
      </c>
      <c r="F84" s="25">
        <f>IF(AI84&lt;&gt;"",IF(Info!$C$32="بله",IF(AND(AJ84&lt;=Info!$F$36,AJ84&gt;=Info!$I$36),Info!$C$36,0)+(AG84-Y84-L84-K84-J84-I84-H84-G84),IF(AND(AJ84&lt;=Info!$F$36,AJ84&gt;=Info!$I$36),Info!$C$36,0)+(AG84-Y84-K84-J84-I84-H84-G84)),"")</f>
        <v>0</v>
      </c>
      <c r="G84" s="25">
        <f>IF(AI84&lt;&gt;"",Rates!$AB$11*(L84),"")</f>
        <v>0</v>
      </c>
      <c r="H84" s="25">
        <f>IF(AI84&lt;&gt;"",(Rates!$AD$11+Rates!$AC$11)*(L84),"")</f>
        <v>0</v>
      </c>
      <c r="I84" s="25">
        <f>IF(AI84&lt;&gt;"",LOOKUP(Info!$C$24,Rates!$I$2:$I$7,Rates!$H$2:$H$7)*(J84+K84+L84+Y84),"")</f>
        <v>0</v>
      </c>
      <c r="J84" s="25">
        <f t="shared" si="10"/>
        <v>0</v>
      </c>
      <c r="K84" s="25">
        <f>IF(Y84&lt;&gt;"",Info!$C$34*Y84,"")</f>
        <v>0</v>
      </c>
      <c r="L84" s="25">
        <f t="shared" si="12"/>
        <v>0</v>
      </c>
      <c r="M84" s="25"/>
      <c r="N84" s="25">
        <v>0</v>
      </c>
      <c r="O84" s="25" t="str">
        <f>IF(AJ84&lt;=10,(1-Info!$C$44)*IF(OR(Info!$F$24&gt;0,Info!$F$26&gt;0),IF(0.75*$X$4&lt;=0.03*$AD$4,0.75*(X84-X83),0.03*(AD84-AD83)),0),"")</f>
        <v/>
      </c>
      <c r="P84" s="25">
        <f>IF(AJ84&lt;=5,IF(AI84&lt;&gt;"",0.002*AD84,"")*(1-Info!$I$44),0)</f>
        <v>0</v>
      </c>
      <c r="Q84" s="25">
        <f>(1-Info!$F$44)*IF(AI84&lt;&gt;"",IF(Info!$C$32="بله",0.07*X84,0.07*AG84),"")</f>
        <v>0</v>
      </c>
      <c r="R84" s="25">
        <f>IF(X84&lt;&gt;0,S84*X84,0)*(1-Info!$F$48)</f>
        <v>0</v>
      </c>
      <c r="S84" s="25">
        <f>IF(Info!$I$30="خیر",0,IF(Info!$F$30="بله",IF(Info!$C$30=1,2.3,IF(Info!$C$30=2,3.3,4.3)),1))*IF(AND(AH84&lt;=Rates!$Z$8,AH84&gt;0),(1+Info!$C$34)*(1+LOOKUP(Info!$F$34,Rates!$O$2:$O$9,Rates!$L$2:$L$9)/100)*(LOOKUP(Info!$C$6,Rates!$U$2:$U$108,Rates!$R$2:$R$108)/100),0)</f>
        <v>0</v>
      </c>
      <c r="T84" s="25">
        <f>IF(AI84&lt;71,(1-Info!$F$46)*((AB84*0.0008*(1+(LOOKUP(Info!$I$34,Rates!$O$2:$O$9,Rates!$M$2:$M$9)/100)))),0)</f>
        <v>0</v>
      </c>
      <c r="U84" s="25">
        <f>IF(AI84&lt;71,(1-Info!$I$46)*(((AD84*0.0008*Info!$L$30))*(1+(LOOKUP(Info!$I$34,Rates!$O:$O,Rates!$N:$N)/100))),0)</f>
        <v>0</v>
      </c>
      <c r="V84" s="25">
        <f>((Z84*0.0008))*(1+(LOOKUP(Info!$I$34,Rates!$O$2:$O$9,Rates!$M$2:$M$9)/100))*(1-Info!$C$46)</f>
        <v>0</v>
      </c>
      <c r="W84" s="25">
        <f>IF(AND(AI84&lt;=Rates!$Z$2,AJ84&lt;=Info!$I$6,Info!$F$32="معمولی"),VLOOKUP(AI84,Rates!$U$1:$Y$108,5,0),IF(AND(AI84&lt;=Rates!$Z$2,AJ84&lt;=Info!$I$6,Info!$F$32="پایه"),VLOOKUP(AI84,Rates!$U$1:$Y$108,2,0),IF(AND(AI84&lt;=Rates!$Z$2,AJ84&lt;=Info!$I$6,Info!$F$32="آسایش "),VLOOKUP(AI84,Rates!$U$1:$Y$108,3,0),IF(AND(AI84&lt;=Rates!$Z$2,AJ84&lt;=Info!$I$6,Info!$F$32="ممتاز"),VLOOKUP(AI84,Rates!$U$1:$Y$108,4,0),0))))*AA84/1000000*(1+Info!$C$34)*(1-Info!$I$48)</f>
        <v>0</v>
      </c>
      <c r="X84" s="25">
        <f>IF(Info!$C$32="بله",(AG84-W84-U84-V84-T84)/(1+S84),AG84)</f>
        <v>0</v>
      </c>
      <c r="Y84" s="25">
        <f>IF(AI84&lt;&gt;0,(AD84*LOOKUP(AI84,Rates!$U$2:$U$108,Rates!$T$2:$T$108))/SQRT(1.1),0)</f>
        <v>0</v>
      </c>
      <c r="Z84" s="25">
        <f>IF(AND(AI84&lt;=Rates!$Z$10,AI84&gt;=0),Info!$C$28*(AC84-AD84),0)</f>
        <v>0</v>
      </c>
      <c r="AA84" s="25">
        <f>IF(AND(AI84&gt;=0,AI84&lt;=Rates!$Z$2,AG84&gt;0),MIN(AA83*(1+Info!$F$26),5000000000),0)</f>
        <v>0</v>
      </c>
      <c r="AB84" s="25">
        <f>IF(AND(AI84&gt;=0,AI84&lt;=65),AD84*Info!$L$32,0)</f>
        <v>0</v>
      </c>
      <c r="AC84" s="25">
        <f>IF(AND(AI84&gt;=0,AI84&lt;=Rates!$Z$3),AD84*(1+Info!$L$30),AD84)</f>
        <v>0</v>
      </c>
      <c r="AD84" s="25">
        <f>IF(AI84&lt;&gt;0,AD83*(1+Info!$F$26),0)</f>
        <v>0</v>
      </c>
      <c r="AE84" s="25">
        <f t="shared" si="11"/>
        <v>0</v>
      </c>
      <c r="AF84" s="25">
        <f>IF(AI84&gt;=0,IF(Info!$C$32="بله",AG84,AG84+L84),"")</f>
        <v>0</v>
      </c>
      <c r="AG84" s="145">
        <f>IF(AI84&lt;&gt;0,AG83*(1+Info!$F$24),0)</f>
        <v>0</v>
      </c>
      <c r="AH84" s="150">
        <f>IF(AJ84&lt;&gt;"",Info!$C$6+AJ84-1,0)</f>
        <v>0</v>
      </c>
      <c r="AI84" s="28">
        <f>IF(AJ84&lt;&gt;"",IF(Info!$F$6+AJ84-1&lt;=Rates!$Z$11,Info!$F$6+AJ84-1,0),0)</f>
        <v>0</v>
      </c>
      <c r="AJ84" s="29" t="str">
        <f>IF(AI83&lt;&gt;"",IF(AND(AJ83&lt;&gt;"",AI83+1&lt;=Rates!$Z$11),IF(AJ83&lt;&gt;0,IF(AJ83+1&lt;=Info!$I$6,AJ83+1,""),0),""),"")</f>
        <v/>
      </c>
    </row>
    <row r="85" spans="1:36" ht="18.75" x14ac:dyDescent="0.25">
      <c r="A85" s="24">
        <f>IF(B85&gt;0,IF(Info!$C$32="بله",AG85/B85,(AG85+L85)/B85),0)</f>
        <v>0</v>
      </c>
      <c r="B85" s="24">
        <f>IF(AND(AI85&gt;=0,AJ85&lt;=Info!$I$6),LOOKUP(Info!$C$24,Rates!$I$2:$I$7,Rates!$F$2:$F$7),0)</f>
        <v>0</v>
      </c>
      <c r="C85" s="24">
        <f>IF(AG85&lt;&gt;0,(C84+F85)*(1+VLOOKUP(Info!$C$26,Rates!$D$3:$E$7,2,FALSE)),0)</f>
        <v>0</v>
      </c>
      <c r="D85" s="24">
        <f t="shared" si="13"/>
        <v>0</v>
      </c>
      <c r="E85" s="24">
        <f>IF(AI85&lt;&gt;0,(E84+F85)*(1+VLOOKUP(Info!$C$26,Rates!$A$14:$B$19,2,FALSE)),0)</f>
        <v>0</v>
      </c>
      <c r="F85" s="24">
        <f>IF(AI85&lt;&gt;"",IF(Info!$C$32="بله",IF(AND(AJ85&lt;=Info!$F$36,AJ85&gt;=Info!$I$36),Info!$C$36,0)+(AG85-Y85-L85-K85-J85-I85-H85-G85),IF(AND(AJ85&lt;=Info!$F$36,AJ85&gt;=Info!$I$36),Info!$C$36,0)+(AG85-Y85-K85-J85-I85-H85-G85)),"")</f>
        <v>0</v>
      </c>
      <c r="G85" s="24">
        <f>IF(AI85&lt;&gt;"",Rates!$AB$11*(L85),"")</f>
        <v>0</v>
      </c>
      <c r="H85" s="24">
        <f>IF(AI85&lt;&gt;"",(Rates!$AD$11+Rates!$AC$11)*(L85),"")</f>
        <v>0</v>
      </c>
      <c r="I85" s="24">
        <f>IF(AI85&lt;&gt;"",LOOKUP(Info!$C$24,Rates!$I$2:$I$7,Rates!$H$2:$H$7)*(J85+K85+L85+Y85),"")</f>
        <v>0</v>
      </c>
      <c r="J85" s="24">
        <f t="shared" si="10"/>
        <v>0</v>
      </c>
      <c r="K85" s="24">
        <f>IF(Y85&lt;&gt;"",Info!$C$34*Y85,"")</f>
        <v>0</v>
      </c>
      <c r="L85" s="24">
        <f t="shared" si="12"/>
        <v>0</v>
      </c>
      <c r="M85" s="24"/>
      <c r="N85" s="24">
        <v>0</v>
      </c>
      <c r="O85" s="24" t="str">
        <f>IF(AJ85&lt;=10,(1-Info!$C$44)*IF(OR(Info!$F$24&gt;0,Info!$F$26&gt;0),IF(0.75*$X$4&lt;=0.03*$AD$4,0.75*(X85-X84),0.03*(AD85-AD84)),0),"")</f>
        <v/>
      </c>
      <c r="P85" s="24">
        <f>IF(AJ85&lt;=5,IF(AI85&lt;&gt;"",0.002*AD85,"")*(1-Info!$I$44),0)</f>
        <v>0</v>
      </c>
      <c r="Q85" s="24">
        <f>(1-Info!$F$44)*IF(AI85&lt;&gt;"",IF(Info!$C$32="بله",0.07*X85,0.07*AG85),"")</f>
        <v>0</v>
      </c>
      <c r="R85" s="24">
        <f>IF(X85&lt;&gt;0,S85*X85,0)*(1-Info!$F$48)</f>
        <v>0</v>
      </c>
      <c r="S85" s="24">
        <f>IF(Info!$I$30="خیر",0,IF(Info!$F$30="بله",IF(Info!$C$30=1,2.3,IF(Info!$C$30=2,3.3,4.3)),1))*IF(AND(AH85&lt;=Rates!$Z$8,AH85&gt;0),(1+Info!$C$34)*(1+LOOKUP(Info!$F$34,Rates!$O$2:$O$9,Rates!$L$2:$L$9)/100)*(LOOKUP(Info!$C$6,Rates!$U$2:$U$108,Rates!$R$2:$R$108)/100),0)</f>
        <v>0</v>
      </c>
      <c r="T85" s="24">
        <f>IF(AI85&lt;71,(1-Info!$F$46)*((AB85*0.0008*(1+(LOOKUP(Info!$I$34,Rates!$O$2:$O$9,Rates!$M$2:$M$9)/100)))),0)</f>
        <v>0</v>
      </c>
      <c r="U85" s="24">
        <f>IF(AI85&lt;71,(1-Info!$I$46)*(((AD85*0.0008*Info!$L$30))*(1+(LOOKUP(Info!$I$34,Rates!$O:$O,Rates!$N:$N)/100))),0)</f>
        <v>0</v>
      </c>
      <c r="V85" s="24">
        <f>((Z85*0.0008))*(1+(LOOKUP(Info!$I$34,Rates!$O$2:$O$9,Rates!$M$2:$M$9)/100))*(1-Info!$C$46)</f>
        <v>0</v>
      </c>
      <c r="W85" s="24">
        <f>IF(AND(AI85&lt;=Rates!$Z$2,AJ85&lt;=Info!$I$6,Info!$F$32="معمولی"),VLOOKUP(AI85,Rates!$U$1:$Y$108,5,0),IF(AND(AI85&lt;=Rates!$Z$2,AJ85&lt;=Info!$I$6,Info!$F$32="پایه"),VLOOKUP(AI85,Rates!$U$1:$Y$108,2,0),IF(AND(AI85&lt;=Rates!$Z$2,AJ85&lt;=Info!$I$6,Info!$F$32="آسایش "),VLOOKUP(AI85,Rates!$U$1:$Y$108,3,0),IF(AND(AI85&lt;=Rates!$Z$2,AJ85&lt;=Info!$I$6,Info!$F$32="ممتاز"),VLOOKUP(AI85,Rates!$U$1:$Y$108,4,0),0))))*AA85/1000000*(1+Info!$C$34)*(1-Info!$I$48)</f>
        <v>0</v>
      </c>
      <c r="X85" s="24">
        <f>IF(Info!$C$32="بله",(AG85-W85-U85-V85-T85)/(1+S85),AG85)</f>
        <v>0</v>
      </c>
      <c r="Y85" s="24">
        <f>IF(AI85&lt;&gt;0,(AD85*LOOKUP(AI85,Rates!$U$2:$U$108,Rates!$T$2:$T$108))/SQRT(1.1),0)</f>
        <v>0</v>
      </c>
      <c r="Z85" s="24">
        <f>IF(AND(AI85&lt;=Rates!$Z$10,AI85&gt;=0),Info!$C$28*(AC85-AD85),0)</f>
        <v>0</v>
      </c>
      <c r="AA85" s="24">
        <f>IF(AND(AI85&gt;=0,AI85&lt;=Rates!$Z$2,AG85&gt;0),MIN(AA84*(1+Info!$F$26),5000000000),0)</f>
        <v>0</v>
      </c>
      <c r="AB85" s="24">
        <f>IF(AND(AI85&gt;=0,AI85&lt;=65),AD85*Info!$L$32,0)</f>
        <v>0</v>
      </c>
      <c r="AC85" s="24">
        <f>IF(AND(AI85&gt;=0,AI85&lt;=Rates!$Z$3),AD85*(1+Info!$L$30),AD85)</f>
        <v>0</v>
      </c>
      <c r="AD85" s="24">
        <f>IF(AI85&lt;&gt;0,AD84*(1+Info!$F$26),0)</f>
        <v>0</v>
      </c>
      <c r="AE85" s="24">
        <f t="shared" si="11"/>
        <v>0</v>
      </c>
      <c r="AF85" s="24">
        <f>IF(AI85&gt;=0,IF(Info!$C$32="بله",AG85,AG85+L85),"")</f>
        <v>0</v>
      </c>
      <c r="AG85" s="146">
        <f>IF(AI85&lt;&gt;0,AG84*(1+Info!$F$24),0)</f>
        <v>0</v>
      </c>
      <c r="AH85" s="149">
        <f>IF(AJ85&lt;&gt;"",Info!$C$6+AJ85-1,0)</f>
        <v>0</v>
      </c>
      <c r="AI85" s="26">
        <f>IF(AJ85&lt;&gt;"",IF(Info!$F$6+AJ85-1&lt;=Rates!$Z$11,Info!$F$6+AJ85-1,0),0)</f>
        <v>0</v>
      </c>
      <c r="AJ85" s="27" t="str">
        <f>IF(AI84&lt;&gt;"",IF(AND(AJ84&lt;&gt;"",AI84+1&lt;=Rates!$Z$11),IF(AJ84&lt;&gt;0,IF(AJ84+1&lt;=Info!$I$6,AJ84+1,""),0),""),"")</f>
        <v/>
      </c>
    </row>
    <row r="86" spans="1:36" ht="18.75" x14ac:dyDescent="0.25">
      <c r="A86" s="25">
        <f>IF(B86&gt;0,IF(Info!$C$32="بله",AG86/B86,(AG86+L86)/B86),0)</f>
        <v>0</v>
      </c>
      <c r="B86" s="25">
        <f>IF(AND(AI86&gt;=0,AJ86&lt;=Info!$I$6),LOOKUP(Info!$C$24,Rates!$I$2:$I$7,Rates!$F$2:$F$7),0)</f>
        <v>0</v>
      </c>
      <c r="C86" s="25">
        <f>IF(AG86&lt;&gt;0,(C85+F86)*(1+VLOOKUP(Info!$C$26,Rates!$D$3:$E$7,2,FALSE)),0)</f>
        <v>0</v>
      </c>
      <c r="D86" s="25">
        <f t="shared" si="13"/>
        <v>0</v>
      </c>
      <c r="E86" s="25">
        <f>IF(AI86&lt;&gt;0,(E85+F86)*(1+VLOOKUP(Info!$C$26,Rates!$A$14:$B$19,2,FALSE)),0)</f>
        <v>0</v>
      </c>
      <c r="F86" s="25">
        <f>IF(AI86&lt;&gt;"",IF(Info!$C$32="بله",IF(AND(AJ86&lt;=Info!$F$36,AJ86&gt;=Info!$I$36),Info!$C$36,0)+(AG86-Y86-L86-K86-J86-I86-H86-G86),IF(AND(AJ86&lt;=Info!$F$36,AJ86&gt;=Info!$I$36),Info!$C$36,0)+(AG86-Y86-K86-J86-I86-H86-G86)),"")</f>
        <v>0</v>
      </c>
      <c r="G86" s="25">
        <f>IF(AI86&lt;&gt;"",Rates!$AB$11*(L86),"")</f>
        <v>0</v>
      </c>
      <c r="H86" s="25">
        <f>IF(AI86&lt;&gt;"",(Rates!$AD$11+Rates!$AC$11)*(L86),"")</f>
        <v>0</v>
      </c>
      <c r="I86" s="25">
        <f>IF(AI86&lt;&gt;"",LOOKUP(Info!$C$24,Rates!$I$2:$I$7,Rates!$H$2:$H$7)*(J86+K86+L86+Y86),"")</f>
        <v>0</v>
      </c>
      <c r="J86" s="25">
        <f t="shared" si="10"/>
        <v>0</v>
      </c>
      <c r="K86" s="25">
        <f>IF(Y86&lt;&gt;"",Info!$C$34*Y86,"")</f>
        <v>0</v>
      </c>
      <c r="L86" s="25">
        <f t="shared" si="12"/>
        <v>0</v>
      </c>
      <c r="M86" s="25"/>
      <c r="N86" s="25">
        <v>0</v>
      </c>
      <c r="O86" s="25" t="str">
        <f>IF(AJ86&lt;=10,(1-Info!$C$44)*IF(OR(Info!$F$24&gt;0,Info!$F$26&gt;0),IF(0.75*$X$4&lt;=0.03*$AD$4,0.75*(X86-X85),0.03*(AD86-AD85)),0),"")</f>
        <v/>
      </c>
      <c r="P86" s="25">
        <f>IF(AJ86&lt;=5,IF(AI86&lt;&gt;"",0.002*AD86,"")*(1-Info!$I$44),0)</f>
        <v>0</v>
      </c>
      <c r="Q86" s="25">
        <f>(1-Info!$F$44)*IF(AI86&lt;&gt;"",IF(Info!$C$32="بله",0.07*X86,0.07*AG86),"")</f>
        <v>0</v>
      </c>
      <c r="R86" s="25">
        <f>IF(X86&lt;&gt;0,S86*X86,0)*(1-Info!$F$48)</f>
        <v>0</v>
      </c>
      <c r="S86" s="25">
        <f>IF(Info!$I$30="خیر",0,IF(Info!$F$30="بله",IF(Info!$C$30=1,2.3,IF(Info!$C$30=2,3.3,4.3)),1))*IF(AND(AH86&lt;=Rates!$Z$8,AH86&gt;0),(1+Info!$C$34)*(1+LOOKUP(Info!$F$34,Rates!$O$2:$O$9,Rates!$L$2:$L$9)/100)*(LOOKUP(Info!$C$6,Rates!$U$2:$U$108,Rates!$R$2:$R$108)/100),0)</f>
        <v>0</v>
      </c>
      <c r="T86" s="25">
        <f>IF(AI86&lt;71,(1-Info!$F$46)*((AB86*0.0008*(1+(LOOKUP(Info!$I$34,Rates!$O$2:$O$9,Rates!$M$2:$M$9)/100)))),0)</f>
        <v>0</v>
      </c>
      <c r="U86" s="25">
        <f>IF(AI86&lt;71,(1-Info!$I$46)*(((AD86*0.0008*Info!$L$30))*(1+(LOOKUP(Info!$I$34,Rates!$O:$O,Rates!$N:$N)/100))),0)</f>
        <v>0</v>
      </c>
      <c r="V86" s="25">
        <f>((Z86*0.0008))*(1+(LOOKUP(Info!$I$34,Rates!$O$2:$O$9,Rates!$M$2:$M$9)/100))*(1-Info!$C$46)</f>
        <v>0</v>
      </c>
      <c r="W86" s="25">
        <f>IF(AND(AI86&lt;=Rates!$Z$2,AJ86&lt;=Info!$I$6,Info!$F$32="معمولی"),VLOOKUP(AI86,Rates!$U$1:$Y$108,5,0),IF(AND(AI86&lt;=Rates!$Z$2,AJ86&lt;=Info!$I$6,Info!$F$32="پایه"),VLOOKUP(AI86,Rates!$U$1:$Y$108,2,0),IF(AND(AI86&lt;=Rates!$Z$2,AJ86&lt;=Info!$I$6,Info!$F$32="آسایش "),VLOOKUP(AI86,Rates!$U$1:$Y$108,3,0),IF(AND(AI86&lt;=Rates!$Z$2,AJ86&lt;=Info!$I$6,Info!$F$32="ممتاز"),VLOOKUP(AI86,Rates!$U$1:$Y$108,4,0),0))))*AA86/1000000*(1+Info!$C$34)*(1-Info!$I$48)</f>
        <v>0</v>
      </c>
      <c r="X86" s="25">
        <f>IF(Info!$C$32="بله",(AG86-W86-U86-V86-T86)/(1+S86),AG86)</f>
        <v>0</v>
      </c>
      <c r="Y86" s="25">
        <f>IF(AI86&lt;&gt;0,(AD86*LOOKUP(AI86,Rates!$U$2:$U$108,Rates!$T$2:$T$108))/SQRT(1.1),0)</f>
        <v>0</v>
      </c>
      <c r="Z86" s="25">
        <f>IF(AND(AI86&lt;=Rates!$Z$10,AI86&gt;=0),Info!$C$28*(AC86-AD86),0)</f>
        <v>0</v>
      </c>
      <c r="AA86" s="25">
        <f>IF(AND(AI86&gt;=0,AI86&lt;=Rates!$Z$2,AG86&gt;0),MIN(AA85*(1+Info!$F$26),5000000000),0)</f>
        <v>0</v>
      </c>
      <c r="AB86" s="25">
        <f>IF(AND(AI86&gt;=0,AI86&lt;=65),AD86*Info!$L$32,0)</f>
        <v>0</v>
      </c>
      <c r="AC86" s="25">
        <f>IF(AND(AI86&gt;=0,AI86&lt;=Rates!$Z$3),AD86*(1+Info!$L$30),AD86)</f>
        <v>0</v>
      </c>
      <c r="AD86" s="25">
        <f>IF(AI86&lt;&gt;0,AD85*(1+Info!$F$26),0)</f>
        <v>0</v>
      </c>
      <c r="AE86" s="25">
        <f t="shared" si="11"/>
        <v>0</v>
      </c>
      <c r="AF86" s="25">
        <f>IF(AI86&gt;=0,IF(Info!$C$32="بله",AG86,AG86+L86),"")</f>
        <v>0</v>
      </c>
      <c r="AG86" s="145">
        <f>IF(AI86&lt;&gt;0,AG85*(1+Info!$F$24),0)</f>
        <v>0</v>
      </c>
      <c r="AH86" s="150">
        <f>IF(AJ86&lt;&gt;"",Info!$C$6+AJ86-1,0)</f>
        <v>0</v>
      </c>
      <c r="AI86" s="28">
        <f>IF(AJ86&lt;&gt;"",IF(Info!$F$6+AJ86-1&lt;=Rates!$Z$11,Info!$F$6+AJ86-1,0),0)</f>
        <v>0</v>
      </c>
      <c r="AJ86" s="29" t="str">
        <f>IF(AI85&lt;&gt;"",IF(AND(AJ85&lt;&gt;"",AI85+1&lt;=Rates!$Z$11),IF(AJ85&lt;&gt;0,IF(AJ85+1&lt;=Info!$I$6,AJ85+1,""),0),""),"")</f>
        <v/>
      </c>
    </row>
    <row r="87" spans="1:36" ht="18.75" x14ac:dyDescent="0.25">
      <c r="A87" s="24">
        <f>IF(B87&gt;0,IF(Info!$C$32="بله",AG87/B87,(AG87+L87)/B87),0)</f>
        <v>0</v>
      </c>
      <c r="B87" s="24">
        <f>IF(AND(AI87&gt;=0,AJ87&lt;=Info!$I$6),LOOKUP(Info!$C$24,Rates!$I$2:$I$7,Rates!$F$2:$F$7),0)</f>
        <v>0</v>
      </c>
      <c r="C87" s="24">
        <f>IF(AG87&lt;&gt;0,(C86+F87)*(1+VLOOKUP(Info!$C$26,Rates!$D$3:$E$7,2,FALSE)),0)</f>
        <v>0</v>
      </c>
      <c r="D87" s="24">
        <f t="shared" si="13"/>
        <v>0</v>
      </c>
      <c r="E87" s="24">
        <f>IF(AI87&lt;&gt;0,(E86+F87)*(1+VLOOKUP(Info!$C$26,Rates!$A$14:$B$19,2,FALSE)),0)</f>
        <v>0</v>
      </c>
      <c r="F87" s="24">
        <f>IF(AI87&lt;&gt;"",IF(Info!$C$32="بله",IF(AND(AJ87&lt;=Info!$F$36,AJ87&gt;=Info!$I$36),Info!$C$36,0)+(AG87-Y87-L87-K87-J87-I87-H87-G87),IF(AND(AJ87&lt;=Info!$F$36,AJ87&gt;=Info!$I$36),Info!$C$36,0)+(AG87-Y87-K87-J87-I87-H87-G87)),"")</f>
        <v>0</v>
      </c>
      <c r="G87" s="24">
        <f>IF(AI87&lt;&gt;"",Rates!$AB$11*(L87),"")</f>
        <v>0</v>
      </c>
      <c r="H87" s="24">
        <f>IF(AI87&lt;&gt;"",(Rates!$AD$11+Rates!$AC$11)*(L87),"")</f>
        <v>0</v>
      </c>
      <c r="I87" s="24">
        <f>IF(AI87&lt;&gt;"",LOOKUP(Info!$C$24,Rates!$I$2:$I$7,Rates!$H$2:$H$7)*(J87+K87+L87+Y87),"")</f>
        <v>0</v>
      </c>
      <c r="J87" s="24">
        <f t="shared" si="10"/>
        <v>0</v>
      </c>
      <c r="K87" s="24">
        <f>IF(Y87&lt;&gt;"",Info!$C$34*Y87,"")</f>
        <v>0</v>
      </c>
      <c r="L87" s="24">
        <f t="shared" si="12"/>
        <v>0</v>
      </c>
      <c r="M87" s="24"/>
      <c r="N87" s="24">
        <v>0</v>
      </c>
      <c r="O87" s="24" t="str">
        <f>IF(AJ87&lt;=10,(1-Info!$C$44)*IF(OR(Info!$F$24&gt;0,Info!$F$26&gt;0),IF(0.75*$X$4&lt;=0.03*$AD$4,0.75*(X87-X86),0.03*(AD87-AD86)),0),"")</f>
        <v/>
      </c>
      <c r="P87" s="24">
        <f>IF(AJ87&lt;=5,IF(AI87&lt;&gt;"",0.002*AD87,"")*(1-Info!$I$44),0)</f>
        <v>0</v>
      </c>
      <c r="Q87" s="24">
        <f>(1-Info!$F$44)*IF(AI87&lt;&gt;"",IF(Info!$C$32="بله",0.07*X87,0.07*AG87),"")</f>
        <v>0</v>
      </c>
      <c r="R87" s="24">
        <f>IF(X87&lt;&gt;0,S87*X87,0)*(1-Info!$F$48)</f>
        <v>0</v>
      </c>
      <c r="S87" s="24">
        <f>IF(Info!$I$30="خیر",0,IF(Info!$F$30="بله",IF(Info!$C$30=1,2.3,IF(Info!$C$30=2,3.3,4.3)),1))*IF(AND(AH87&lt;=Rates!$Z$8,AH87&gt;0),(1+Info!$C$34)*(1+LOOKUP(Info!$F$34,Rates!$O$2:$O$9,Rates!$L$2:$L$9)/100)*(LOOKUP(Info!$C$6,Rates!$U$2:$U$108,Rates!$R$2:$R$108)/100),0)</f>
        <v>0</v>
      </c>
      <c r="T87" s="24">
        <f>IF(AI87&lt;71,(1-Info!$F$46)*((AB87*0.0008*(1+(LOOKUP(Info!$I$34,Rates!$O$2:$O$9,Rates!$M$2:$M$9)/100)))),0)</f>
        <v>0</v>
      </c>
      <c r="U87" s="24">
        <f>IF(AI87&lt;71,(1-Info!$I$46)*(((AD87*0.0008*Info!$L$30))*(1+(LOOKUP(Info!$I$34,Rates!$O:$O,Rates!$N:$N)/100))),0)</f>
        <v>0</v>
      </c>
      <c r="V87" s="24">
        <f>((Z87*0.0008))*(1+(LOOKUP(Info!$I$34,Rates!$O$2:$O$9,Rates!$M$2:$M$9)/100))*(1-Info!$C$46)</f>
        <v>0</v>
      </c>
      <c r="W87" s="24">
        <f>IF(AND(AI87&lt;=Rates!$Z$2,AJ87&lt;=Info!$I$6,Info!$F$32="معمولی"),VLOOKUP(AI87,Rates!$U$1:$Y$108,5,0),IF(AND(AI87&lt;=Rates!$Z$2,AJ87&lt;=Info!$I$6,Info!$F$32="پایه"),VLOOKUP(AI87,Rates!$U$1:$Y$108,2,0),IF(AND(AI87&lt;=Rates!$Z$2,AJ87&lt;=Info!$I$6,Info!$F$32="آسایش "),VLOOKUP(AI87,Rates!$U$1:$Y$108,3,0),IF(AND(AI87&lt;=Rates!$Z$2,AJ87&lt;=Info!$I$6,Info!$F$32="ممتاز"),VLOOKUP(AI87,Rates!$U$1:$Y$108,4,0),0))))*AA87/1000000*(1+Info!$C$34)*(1-Info!$I$48)</f>
        <v>0</v>
      </c>
      <c r="X87" s="24">
        <f>IF(Info!$C$32="بله",(AG87-W87-U87-V87-T87)/(1+S87),AG87)</f>
        <v>0</v>
      </c>
      <c r="Y87" s="24">
        <f>IF(AI87&lt;&gt;0,(AD87*LOOKUP(AI87,Rates!$U$2:$U$108,Rates!$T$2:$T$108))/SQRT(1.1),0)</f>
        <v>0</v>
      </c>
      <c r="Z87" s="24">
        <f>IF(AND(AI87&lt;=Rates!$Z$10,AI87&gt;=0),Info!$C$28*(AC87-AD87),0)</f>
        <v>0</v>
      </c>
      <c r="AA87" s="24">
        <f>IF(AND(AI87&gt;=0,AI87&lt;=Rates!$Z$2,AG87&gt;0),MIN(AA86*(1+Info!$F$26),5000000000),0)</f>
        <v>0</v>
      </c>
      <c r="AB87" s="24">
        <f>IF(AND(AI87&gt;=0,AI87&lt;=65),AD87*Info!$L$32,0)</f>
        <v>0</v>
      </c>
      <c r="AC87" s="24">
        <f>IF(AND(AI87&gt;=0,AI87&lt;=Rates!$Z$3),AD87*(1+Info!$L$30),AD87)</f>
        <v>0</v>
      </c>
      <c r="AD87" s="24">
        <f>IF(AI87&lt;&gt;0,AD86*(1+Info!$F$26),0)</f>
        <v>0</v>
      </c>
      <c r="AE87" s="24">
        <f t="shared" si="11"/>
        <v>0</v>
      </c>
      <c r="AF87" s="24">
        <f>IF(AI87&gt;=0,IF(Info!$C$32="بله",AG87,AG87+L87),"")</f>
        <v>0</v>
      </c>
      <c r="AG87" s="146">
        <f>IF(AI87&lt;&gt;0,AG86*(1+Info!$F$24),0)</f>
        <v>0</v>
      </c>
      <c r="AH87" s="149">
        <f>IF(AJ87&lt;&gt;"",Info!$C$6+AJ87-1,0)</f>
        <v>0</v>
      </c>
      <c r="AI87" s="26">
        <f>IF(AJ87&lt;&gt;"",IF(Info!$F$6+AJ87-1&lt;=Rates!$Z$11,Info!$F$6+AJ87-1,0),0)</f>
        <v>0</v>
      </c>
      <c r="AJ87" s="27" t="str">
        <f>IF(AI86&lt;&gt;"",IF(AND(AJ86&lt;&gt;"",AI86+1&lt;=Rates!$Z$11),IF(AJ86&lt;&gt;0,IF(AJ86+1&lt;=Info!$I$6,AJ86+1,""),0),""),"")</f>
        <v/>
      </c>
    </row>
    <row r="88" spans="1:36" ht="18.75" x14ac:dyDescent="0.25">
      <c r="A88" s="25">
        <f>IF(B88&gt;0,IF(Info!$C$32="بله",AG88/B88,(AG88+L88)/B88),0)</f>
        <v>0</v>
      </c>
      <c r="B88" s="25">
        <f>IF(AND(AI88&gt;=0,AJ88&lt;=Info!$I$6),LOOKUP(Info!$C$24,Rates!$I$2:$I$7,Rates!$F$2:$F$7),0)</f>
        <v>0</v>
      </c>
      <c r="C88" s="25">
        <f>IF(AG88&lt;&gt;0,(C87+F88)*(1+VLOOKUP(Info!$C$26,Rates!$D$3:$E$7,2,FALSE)),0)</f>
        <v>0</v>
      </c>
      <c r="D88" s="25">
        <f t="shared" si="13"/>
        <v>0</v>
      </c>
      <c r="E88" s="25">
        <f>IF(AI88&lt;&gt;0,(E87+F88)*(1+VLOOKUP(Info!$C$26,Rates!$A$14:$B$19,2,FALSE)),0)</f>
        <v>0</v>
      </c>
      <c r="F88" s="25">
        <f>IF(AI88&lt;&gt;"",IF(Info!$C$32="بله",IF(AND(AJ88&lt;=Info!$F$36,AJ88&gt;=Info!$I$36),Info!$C$36,0)+(AG88-Y88-L88-K88-J88-I88-H88-G88),IF(AND(AJ88&lt;=Info!$F$36,AJ88&gt;=Info!$I$36),Info!$C$36,0)+(AG88-Y88-K88-J88-I88-H88-G88)),"")</f>
        <v>0</v>
      </c>
      <c r="G88" s="25">
        <f>IF(AI88&lt;&gt;"",Rates!$AB$11*(L88),"")</f>
        <v>0</v>
      </c>
      <c r="H88" s="25">
        <f>IF(AI88&lt;&gt;"",(Rates!$AD$11+Rates!$AC$11)*(L88),"")</f>
        <v>0</v>
      </c>
      <c r="I88" s="25">
        <f>IF(AI88&lt;&gt;"",LOOKUP(Info!$C$24,Rates!$I$2:$I$7,Rates!$H$2:$H$7)*(J88+K88+L88+Y88),"")</f>
        <v>0</v>
      </c>
      <c r="J88" s="25">
        <f t="shared" si="10"/>
        <v>0</v>
      </c>
      <c r="K88" s="25">
        <f>IF(Y88&lt;&gt;"",Info!$C$34*Y88,"")</f>
        <v>0</v>
      </c>
      <c r="L88" s="25">
        <f t="shared" si="12"/>
        <v>0</v>
      </c>
      <c r="M88" s="25"/>
      <c r="N88" s="25">
        <v>0</v>
      </c>
      <c r="O88" s="25" t="str">
        <f>IF(AJ88&lt;=10,(1-Info!$C$44)*IF(OR(Info!$F$24&gt;0,Info!$F$26&gt;0),IF(0.75*$X$4&lt;=0.03*$AD$4,0.75*(X88-X87),0.03*(AD88-AD87)),0),"")</f>
        <v/>
      </c>
      <c r="P88" s="25">
        <f>IF(AJ88&lt;=5,IF(AI88&lt;&gt;"",0.002*AD88,"")*(1-Info!$I$44),0)</f>
        <v>0</v>
      </c>
      <c r="Q88" s="25">
        <f>(1-Info!$F$44)*IF(AI88&lt;&gt;"",IF(Info!$C$32="بله",0.07*X88,0.07*AG88),"")</f>
        <v>0</v>
      </c>
      <c r="R88" s="25">
        <f>IF(X88&lt;&gt;0,S88*X88,0)*(1-Info!$F$48)</f>
        <v>0</v>
      </c>
      <c r="S88" s="25">
        <f>IF(Info!$I$30="خیر",0,IF(Info!$F$30="بله",IF(Info!$C$30=1,2.3,IF(Info!$C$30=2,3.3,4.3)),1))*IF(AND(AH88&lt;=Rates!$Z$8,AH88&gt;0),(1+Info!$C$34)*(1+LOOKUP(Info!$F$34,Rates!$O$2:$O$9,Rates!$L$2:$L$9)/100)*(LOOKUP(Info!$C$6,Rates!$U$2:$U$108,Rates!$R$2:$R$108)/100),0)</f>
        <v>0</v>
      </c>
      <c r="T88" s="25">
        <f>IF(AI88&lt;71,(1-Info!$F$46)*((AB88*0.0008*(1+(LOOKUP(Info!$I$34,Rates!$O$2:$O$9,Rates!$M$2:$M$9)/100)))),0)</f>
        <v>0</v>
      </c>
      <c r="U88" s="25">
        <f>IF(AI88&lt;71,(1-Info!$I$46)*(((AD88*0.0008*Info!$L$30))*(1+(LOOKUP(Info!$I$34,Rates!$O:$O,Rates!$N:$N)/100))),0)</f>
        <v>0</v>
      </c>
      <c r="V88" s="25">
        <f>((Z88*0.0008))*(1+(LOOKUP(Info!$I$34,Rates!$O$2:$O$9,Rates!$M$2:$M$9)/100))*(1-Info!$C$46)</f>
        <v>0</v>
      </c>
      <c r="W88" s="25">
        <f>IF(AND(AI88&lt;=Rates!$Z$2,AJ88&lt;=Info!$I$6,Info!$F$32="معمولی"),VLOOKUP(AI88,Rates!$U$1:$Y$108,5,0),IF(AND(AI88&lt;=Rates!$Z$2,AJ88&lt;=Info!$I$6,Info!$F$32="پایه"),VLOOKUP(AI88,Rates!$U$1:$Y$108,2,0),IF(AND(AI88&lt;=Rates!$Z$2,AJ88&lt;=Info!$I$6,Info!$F$32="آسایش "),VLOOKUP(AI88,Rates!$U$1:$Y$108,3,0),IF(AND(AI88&lt;=Rates!$Z$2,AJ88&lt;=Info!$I$6,Info!$F$32="ممتاز"),VLOOKUP(AI88,Rates!$U$1:$Y$108,4,0),0))))*AA88/1000000*(1+Info!$C$34)*(1-Info!$I$48)</f>
        <v>0</v>
      </c>
      <c r="X88" s="25">
        <f>IF(Info!$C$32="بله",(AG88-W88-U88-V88-T88)/(1+S88),AG88)</f>
        <v>0</v>
      </c>
      <c r="Y88" s="25">
        <f>IF(AI88&lt;&gt;0,(AD88*LOOKUP(AI88,Rates!$U$2:$U$108,Rates!$T$2:$T$108))/SQRT(1.1),0)</f>
        <v>0</v>
      </c>
      <c r="Z88" s="25">
        <f>IF(AND(AI88&lt;=Rates!$Z$10,AI88&gt;=0),Info!$C$28*(AC88-AD88),0)</f>
        <v>0</v>
      </c>
      <c r="AA88" s="25">
        <f>IF(AND(AI88&gt;=0,AI88&lt;=Rates!$Z$2,AG88&gt;0),MIN(AA87*(1+Info!$F$26),5000000000),0)</f>
        <v>0</v>
      </c>
      <c r="AB88" s="25">
        <f>IF(AND(AI88&gt;=0,AI88&lt;=65),AD88*Info!$L$32,0)</f>
        <v>0</v>
      </c>
      <c r="AC88" s="25">
        <f>IF(AND(AI88&gt;=0,AI88&lt;=Rates!$Z$3),AD88*(1+Info!$L$30),AD88)</f>
        <v>0</v>
      </c>
      <c r="AD88" s="25">
        <f>IF(AI88&lt;&gt;0,AD87*(1+Info!$F$26),0)</f>
        <v>0</v>
      </c>
      <c r="AE88" s="25">
        <f t="shared" si="11"/>
        <v>0</v>
      </c>
      <c r="AF88" s="25">
        <f>IF(AI88&gt;=0,IF(Info!$C$32="بله",AG88,AG88+L88),"")</f>
        <v>0</v>
      </c>
      <c r="AG88" s="145">
        <f>IF(AI88&lt;&gt;0,AG87*(1+Info!$F$24),0)</f>
        <v>0</v>
      </c>
      <c r="AH88" s="150">
        <f>IF(AJ88&lt;&gt;"",Info!$C$6+AJ88-1,0)</f>
        <v>0</v>
      </c>
      <c r="AI88" s="28">
        <f>IF(AJ88&lt;&gt;"",IF(Info!$F$6+AJ88-1&lt;=Rates!$Z$11,Info!$F$6+AJ88-1,0),0)</f>
        <v>0</v>
      </c>
      <c r="AJ88" s="29" t="str">
        <f>IF(AI87&lt;&gt;"",IF(AND(AJ87&lt;&gt;"",AI87+1&lt;=Rates!$Z$11),IF(AJ87&lt;&gt;0,IF(AJ87+1&lt;=Info!$I$6,AJ87+1,""),0),""),"")</f>
        <v/>
      </c>
    </row>
    <row r="89" spans="1:36" ht="18.75" x14ac:dyDescent="0.25">
      <c r="A89" s="24">
        <f>IF(B89&gt;0,IF(Info!$C$32="بله",AG89/B89,(AG89+L89)/B89),0)</f>
        <v>0</v>
      </c>
      <c r="B89" s="24">
        <f>IF(AND(AI89&gt;=0,AJ89&lt;=Info!$I$6),LOOKUP(Info!$C$24,Rates!$I$2:$I$7,Rates!$F$2:$F$7),0)</f>
        <v>0</v>
      </c>
      <c r="C89" s="24">
        <f>IF(AG89&lt;&gt;0,(C88+F89)*(1+VLOOKUP(Info!$C$26,Rates!$D$3:$E$7,2,FALSE)),0)</f>
        <v>0</v>
      </c>
      <c r="D89" s="24">
        <f t="shared" si="13"/>
        <v>0</v>
      </c>
      <c r="E89" s="24">
        <f>IF(AI89&lt;&gt;0,(E88+F89)*(1+VLOOKUP(Info!$C$26,Rates!$A$14:$B$19,2,FALSE)),0)</f>
        <v>0</v>
      </c>
      <c r="F89" s="24">
        <f>IF(AI89&lt;&gt;"",IF(Info!$C$32="بله",IF(AND(AJ89&lt;=Info!$F$36,AJ89&gt;=Info!$I$36),Info!$C$36,0)+(AG89-Y89-L89-K89-J89-I89-H89-G89),IF(AND(AJ89&lt;=Info!$F$36,AJ89&gt;=Info!$I$36),Info!$C$36,0)+(AG89-Y89-K89-J89-I89-H89-G89)),"")</f>
        <v>0</v>
      </c>
      <c r="G89" s="24">
        <f>IF(AI89&lt;&gt;"",Rates!$AB$11*(L89),"")</f>
        <v>0</v>
      </c>
      <c r="H89" s="24">
        <f>IF(AI89&lt;&gt;"",(Rates!$AD$11+Rates!$AC$11)*(L89),"")</f>
        <v>0</v>
      </c>
      <c r="I89" s="24">
        <f>IF(AI89&lt;&gt;"",LOOKUP(Info!$C$24,Rates!$I$2:$I$7,Rates!$H$2:$H$7)*(J89+K89+L89+Y89),"")</f>
        <v>0</v>
      </c>
      <c r="J89" s="24">
        <f t="shared" si="10"/>
        <v>0</v>
      </c>
      <c r="K89" s="24">
        <f>IF(Y89&lt;&gt;"",Info!$C$34*Y89,"")</f>
        <v>0</v>
      </c>
      <c r="L89" s="24">
        <f t="shared" si="12"/>
        <v>0</v>
      </c>
      <c r="M89" s="24"/>
      <c r="N89" s="24">
        <v>0</v>
      </c>
      <c r="O89" s="24" t="str">
        <f>IF(AJ89&lt;=10,(1-Info!$C$44)*IF(OR(Info!$F$24&gt;0,Info!$F$26&gt;0),IF(0.75*$X$4&lt;=0.03*$AD$4,0.75*(X89-X88),0.03*(AD89-AD88)),0),"")</f>
        <v/>
      </c>
      <c r="P89" s="24">
        <f>IF(AJ89&lt;=5,IF(AI89&lt;&gt;"",0.002*AD89,"")*(1-Info!$I$44),0)</f>
        <v>0</v>
      </c>
      <c r="Q89" s="24">
        <f>(1-Info!$F$44)*IF(AI89&lt;&gt;"",IF(Info!$C$32="بله",0.07*X89,0.07*AG89),"")</f>
        <v>0</v>
      </c>
      <c r="R89" s="24">
        <f>IF(X89&lt;&gt;0,S89*X89,0)*(1-Info!$F$48)</f>
        <v>0</v>
      </c>
      <c r="S89" s="24">
        <f>IF(Info!$I$30="خیر",0,IF(Info!$F$30="بله",IF(Info!$C$30=1,2.3,IF(Info!$C$30=2,3.3,4.3)),1))*IF(AND(AH89&lt;=Rates!$Z$8,AH89&gt;0),(1+Info!$C$34)*(1+LOOKUP(Info!$F$34,Rates!$O$2:$O$9,Rates!$L$2:$L$9)/100)*(LOOKUP(Info!$C$6,Rates!$U$2:$U$108,Rates!$R$2:$R$108)/100),0)</f>
        <v>0</v>
      </c>
      <c r="T89" s="24">
        <f>IF(AI89&lt;71,(1-Info!$F$46)*((AB89*0.0008*(1+(LOOKUP(Info!$I$34,Rates!$O$2:$O$9,Rates!$M$2:$M$9)/100)))),0)</f>
        <v>0</v>
      </c>
      <c r="U89" s="24">
        <f>IF(AI89&lt;71,(1-Info!$I$46)*(((AD89*0.0008*Info!$L$30))*(1+(LOOKUP(Info!$I$34,Rates!$O:$O,Rates!$N:$N)/100))),0)</f>
        <v>0</v>
      </c>
      <c r="V89" s="24">
        <f>((Z89*0.0008))*(1+(LOOKUP(Info!$I$34,Rates!$O$2:$O$9,Rates!$M$2:$M$9)/100))*(1-Info!$C$46)</f>
        <v>0</v>
      </c>
      <c r="W89" s="24">
        <f>IF(AND(AI89&lt;=Rates!$Z$2,AJ89&lt;=Info!$I$6,Info!$F$32="معمولی"),VLOOKUP(AI89,Rates!$U$1:$Y$108,5,0),IF(AND(AI89&lt;=Rates!$Z$2,AJ89&lt;=Info!$I$6,Info!$F$32="پایه"),VLOOKUP(AI89,Rates!$U$1:$Y$108,2,0),IF(AND(AI89&lt;=Rates!$Z$2,AJ89&lt;=Info!$I$6,Info!$F$32="آسایش "),VLOOKUP(AI89,Rates!$U$1:$Y$108,3,0),IF(AND(AI89&lt;=Rates!$Z$2,AJ89&lt;=Info!$I$6,Info!$F$32="ممتاز"),VLOOKUP(AI89,Rates!$U$1:$Y$108,4,0),0))))*AA89/1000000*(1+Info!$C$34)*(1-Info!$I$48)</f>
        <v>0</v>
      </c>
      <c r="X89" s="24">
        <f>IF(Info!$C$32="بله",(AG89-W89-U89-V89-T89)/(1+S89),AG89)</f>
        <v>0</v>
      </c>
      <c r="Y89" s="24">
        <f>IF(AI89&lt;&gt;0,(AD89*LOOKUP(AI89,Rates!$U$2:$U$108,Rates!$T$2:$T$108))/SQRT(1.1),0)</f>
        <v>0</v>
      </c>
      <c r="Z89" s="24">
        <f>IF(AND(AI89&lt;=Rates!$Z$10,AI89&gt;=0),Info!$C$28*(AC89-AD89),0)</f>
        <v>0</v>
      </c>
      <c r="AA89" s="24">
        <f>IF(AND(AI89&gt;=0,AI89&lt;=Rates!$Z$2,AG89&gt;0),MIN(AA88*(1+Info!$F$26),5000000000),0)</f>
        <v>0</v>
      </c>
      <c r="AB89" s="24">
        <f>IF(AND(AI89&gt;=0,AI89&lt;=65),AD89*Info!$L$32,0)</f>
        <v>0</v>
      </c>
      <c r="AC89" s="24">
        <f>IF(AND(AI89&gt;=0,AI89&lt;=Rates!$Z$3),AD89*(1+Info!$L$30),AD89)</f>
        <v>0</v>
      </c>
      <c r="AD89" s="24">
        <f>IF(AI89&lt;&gt;0,AD88*(1+Info!$F$26),0)</f>
        <v>0</v>
      </c>
      <c r="AE89" s="24">
        <f t="shared" si="11"/>
        <v>0</v>
      </c>
      <c r="AF89" s="24">
        <f>IF(AI89&gt;=0,IF(Info!$C$32="بله",AG89,AG89+L89),"")</f>
        <v>0</v>
      </c>
      <c r="AG89" s="146">
        <f>IF(AI89&lt;&gt;0,AG88*(1+Info!$F$24),0)</f>
        <v>0</v>
      </c>
      <c r="AH89" s="149">
        <f>IF(AJ89&lt;&gt;"",Info!$C$6+AJ89-1,0)</f>
        <v>0</v>
      </c>
      <c r="AI89" s="26">
        <f>IF(AJ89&lt;&gt;"",IF(Info!$F$6+AJ89-1&lt;=Rates!$Z$11,Info!$F$6+AJ89-1,0),0)</f>
        <v>0</v>
      </c>
      <c r="AJ89" s="27" t="str">
        <f>IF(AI88&lt;&gt;"",IF(AND(AJ88&lt;&gt;"",AI88+1&lt;=Rates!$Z$11),IF(AJ88&lt;&gt;0,IF(AJ88+1&lt;=Info!$I$6,AJ88+1,""),0),""),"")</f>
        <v/>
      </c>
    </row>
    <row r="90" spans="1:36" ht="18.75" x14ac:dyDescent="0.25">
      <c r="A90" s="25">
        <f>IF(B90&gt;0,IF(Info!$C$32="بله",AG90/B90,(AG90+L90)/B90),0)</f>
        <v>0</v>
      </c>
      <c r="B90" s="25">
        <f>IF(AND(AI90&gt;=0,AJ90&lt;=Info!$I$6),LOOKUP(Info!$C$24,Rates!$I$2:$I$7,Rates!$F$2:$F$7),0)</f>
        <v>0</v>
      </c>
      <c r="C90" s="25">
        <f>IF(AG90&lt;&gt;0,(C89+F90)*(1+VLOOKUP(Info!$C$26,Rates!$D$3:$E$7,2,FALSE)),0)</f>
        <v>0</v>
      </c>
      <c r="D90" s="25">
        <f t="shared" si="13"/>
        <v>0</v>
      </c>
      <c r="E90" s="25">
        <f>IF(AI90&lt;&gt;0,(E89+F90)*(1+VLOOKUP(Info!$C$26,Rates!$A$14:$B$19,2,FALSE)),0)</f>
        <v>0</v>
      </c>
      <c r="F90" s="25">
        <f>IF(AI90&lt;&gt;"",IF(Info!$C$32="بله",IF(AND(AJ90&lt;=Info!$F$36,AJ90&gt;=Info!$I$36),Info!$C$36,0)+(AG90-Y90-L90-K90-J90-I90-H90-G90),IF(AND(AJ90&lt;=Info!$F$36,AJ90&gt;=Info!$I$36),Info!$C$36,0)+(AG90-Y90-K90-J90-I90-H90-G90)),"")</f>
        <v>0</v>
      </c>
      <c r="G90" s="25">
        <f>IF(AI90&lt;&gt;"",Rates!$AB$11*(L90),"")</f>
        <v>0</v>
      </c>
      <c r="H90" s="25">
        <f>IF(AI90&lt;&gt;"",(Rates!$AD$11+Rates!$AC$11)*(L90),"")</f>
        <v>0</v>
      </c>
      <c r="I90" s="25">
        <f>IF(AI90&lt;&gt;"",LOOKUP(Info!$C$24,Rates!$I$2:$I$7,Rates!$H$2:$H$7)*(J90+K90+L90+Y90),"")</f>
        <v>0</v>
      </c>
      <c r="J90" s="25">
        <f t="shared" si="10"/>
        <v>0</v>
      </c>
      <c r="K90" s="25">
        <f>IF(Y90&lt;&gt;"",Info!$C$34*Y90,"")</f>
        <v>0</v>
      </c>
      <c r="L90" s="25">
        <f t="shared" si="12"/>
        <v>0</v>
      </c>
      <c r="M90" s="25"/>
      <c r="N90" s="25">
        <v>0</v>
      </c>
      <c r="O90" s="25" t="str">
        <f>IF(AJ90&lt;=10,(1-Info!$C$44)*IF(OR(Info!$F$24&gt;0,Info!$F$26&gt;0),IF(0.75*$X$4&lt;=0.03*$AD$4,0.75*(X90-X89),0.03*(AD90-AD89)),0),"")</f>
        <v/>
      </c>
      <c r="P90" s="25">
        <f>IF(AJ90&lt;=5,IF(AI90&lt;&gt;"",0.002*AD90,"")*(1-Info!$I$44),0)</f>
        <v>0</v>
      </c>
      <c r="Q90" s="25">
        <f>(1-Info!$F$44)*IF(AI90&lt;&gt;"",IF(Info!$C$32="بله",0.07*X90,0.07*AG90),"")</f>
        <v>0</v>
      </c>
      <c r="R90" s="25">
        <f>IF(X90&lt;&gt;0,S90*X90,0)*(1-Info!$F$48)</f>
        <v>0</v>
      </c>
      <c r="S90" s="25">
        <f>IF(Info!$I$30="خیر",0,IF(Info!$F$30="بله",IF(Info!$C$30=1,2.3,IF(Info!$C$30=2,3.3,4.3)),1))*IF(AND(AH90&lt;=Rates!$Z$8,AH90&gt;0),(1+Info!$C$34)*(1+LOOKUP(Info!$F$34,Rates!$O$2:$O$9,Rates!$L$2:$L$9)/100)*(LOOKUP(Info!$C$6,Rates!$U$2:$U$108,Rates!$R$2:$R$108)/100),0)</f>
        <v>0</v>
      </c>
      <c r="T90" s="25">
        <f>IF(AI90&lt;71,(1-Info!$F$46)*((AB90*0.0008*(1+(LOOKUP(Info!$I$34,Rates!$O$2:$O$9,Rates!$M$2:$M$9)/100)))),0)</f>
        <v>0</v>
      </c>
      <c r="U90" s="25">
        <f>IF(AI90&lt;71,(1-Info!$I$46)*(((AD90*0.0008*Info!$L$30))*(1+(LOOKUP(Info!$I$34,Rates!$O:$O,Rates!$N:$N)/100))),0)</f>
        <v>0</v>
      </c>
      <c r="V90" s="25">
        <f>((Z90*0.0008))*(1+(LOOKUP(Info!$I$34,Rates!$O$2:$O$9,Rates!$M$2:$M$9)/100))*(1-Info!$C$46)</f>
        <v>0</v>
      </c>
      <c r="W90" s="25">
        <f>IF(AND(AI90&lt;=Rates!$Z$2,AJ90&lt;=Info!$I$6,Info!$F$32="معمولی"),VLOOKUP(AI90,Rates!$U$1:$Y$108,5,0),IF(AND(AI90&lt;=Rates!$Z$2,AJ90&lt;=Info!$I$6,Info!$F$32="پایه"),VLOOKUP(AI90,Rates!$U$1:$Y$108,2,0),IF(AND(AI90&lt;=Rates!$Z$2,AJ90&lt;=Info!$I$6,Info!$F$32="آسایش "),VLOOKUP(AI90,Rates!$U$1:$Y$108,3,0),IF(AND(AI90&lt;=Rates!$Z$2,AJ90&lt;=Info!$I$6,Info!$F$32="ممتاز"),VLOOKUP(AI90,Rates!$U$1:$Y$108,4,0),0))))*AA90/1000000*(1+Info!$C$34)*(1-Info!$I$48)</f>
        <v>0</v>
      </c>
      <c r="X90" s="25">
        <f>IF(Info!$C$32="بله",(AG90-W90-U90-V90-T90)/(1+S90),AG90)</f>
        <v>0</v>
      </c>
      <c r="Y90" s="25">
        <f>IF(AI90&lt;&gt;0,(AD90*LOOKUP(AI90,Rates!$U$2:$U$108,Rates!$T$2:$T$108))/SQRT(1.1),0)</f>
        <v>0</v>
      </c>
      <c r="Z90" s="25">
        <f>IF(AND(AI90&lt;=Rates!$Z$10,AI90&gt;=0),Info!$C$28*(AC90-AD90),0)</f>
        <v>0</v>
      </c>
      <c r="AA90" s="25">
        <f>IF(AND(AI90&gt;=0,AI90&lt;=Rates!$Z$2,AG90&gt;0),MIN(AA89*(1+Info!$F$26),5000000000),0)</f>
        <v>0</v>
      </c>
      <c r="AB90" s="25">
        <f>IF(AND(AI90&gt;=0,AI90&lt;=65),AD90*Info!$L$32,0)</f>
        <v>0</v>
      </c>
      <c r="AC90" s="25">
        <f>IF(AND(AI90&gt;=0,AI90&lt;=Rates!$Z$3),AD90*(1+Info!$L$30),AD90)</f>
        <v>0</v>
      </c>
      <c r="AD90" s="25">
        <f>IF(AI90&lt;&gt;0,AD89*(1+Info!$F$26),0)</f>
        <v>0</v>
      </c>
      <c r="AE90" s="25">
        <f t="shared" si="11"/>
        <v>0</v>
      </c>
      <c r="AF90" s="25">
        <f>IF(AI90&gt;=0,IF(Info!$C$32="بله",AG90,AG90+L90),"")</f>
        <v>0</v>
      </c>
      <c r="AG90" s="145">
        <f>IF(AI90&lt;&gt;0,AG89*(1+Info!$F$24),0)</f>
        <v>0</v>
      </c>
      <c r="AH90" s="150">
        <f>IF(AJ90&lt;&gt;"",Info!$C$6+AJ90-1,0)</f>
        <v>0</v>
      </c>
      <c r="AI90" s="28">
        <f>IF(AJ90&lt;&gt;"",IF(Info!$F$6+AJ90-1&lt;=Rates!$Z$11,Info!$F$6+AJ90-1,0),0)</f>
        <v>0</v>
      </c>
      <c r="AJ90" s="29" t="str">
        <f>IF(AI89&lt;&gt;"",IF(AND(AJ89&lt;&gt;"",AI89+1&lt;=Rates!$Z$11),IF(AJ89&lt;&gt;0,IF(AJ89+1&lt;=Info!$I$6,AJ89+1,""),0),""),"")</f>
        <v/>
      </c>
    </row>
    <row r="91" spans="1:36" ht="18.75" x14ac:dyDescent="0.25">
      <c r="A91" s="24">
        <f>IF(B91&gt;0,IF(Info!$C$32="بله",AG91/B91,(AG91+L91)/B91),0)</f>
        <v>0</v>
      </c>
      <c r="B91" s="24">
        <f>IF(AND(AI91&gt;=0,AJ91&lt;=Info!$I$6),LOOKUP(Info!$C$24,Rates!$I$2:$I$7,Rates!$F$2:$F$7),0)</f>
        <v>0</v>
      </c>
      <c r="C91" s="24">
        <f>IF(AG91&lt;&gt;0,(C90+F91)*(1+VLOOKUP(Info!$C$26,Rates!$D$3:$E$7,2,FALSE)),0)</f>
        <v>0</v>
      </c>
      <c r="D91" s="24">
        <f t="shared" si="13"/>
        <v>0</v>
      </c>
      <c r="E91" s="24">
        <f>IF(AI91&lt;&gt;0,(E90+F91)*(1+VLOOKUP(Info!$C$26,Rates!$A$14:$B$19,2,FALSE)),0)</f>
        <v>0</v>
      </c>
      <c r="F91" s="24">
        <f>IF(AI91&lt;&gt;"",IF(Info!$C$32="بله",IF(AND(AJ91&lt;=Info!$F$36,AJ91&gt;=Info!$I$36),Info!$C$36,0)+(AG91-Y91-L91-K91-J91-I91-H91-G91),IF(AND(AJ91&lt;=Info!$F$36,AJ91&gt;=Info!$I$36),Info!$C$36,0)+(AG91-Y91-K91-J91-I91-H91-G91)),"")</f>
        <v>0</v>
      </c>
      <c r="G91" s="24">
        <f>IF(AI91&lt;&gt;"",Rates!$AB$11*(L91),"")</f>
        <v>0</v>
      </c>
      <c r="H91" s="24">
        <f>IF(AI91&lt;&gt;"",(Rates!$AD$11+Rates!$AC$11)*(L91),"")</f>
        <v>0</v>
      </c>
      <c r="I91" s="24">
        <f>IF(AI91&lt;&gt;"",LOOKUP(Info!$C$24,Rates!$I$2:$I$7,Rates!$H$2:$H$7)*(J91+K91+L91+Y91),"")</f>
        <v>0</v>
      </c>
      <c r="J91" s="24">
        <f t="shared" si="10"/>
        <v>0</v>
      </c>
      <c r="K91" s="24">
        <f>IF(Y91&lt;&gt;"",Info!$C$34*Y91,"")</f>
        <v>0</v>
      </c>
      <c r="L91" s="24">
        <f t="shared" si="12"/>
        <v>0</v>
      </c>
      <c r="M91" s="24"/>
      <c r="N91" s="24">
        <v>0</v>
      </c>
      <c r="O91" s="24" t="str">
        <f>IF(AJ91&lt;=10,(1-Info!$C$44)*IF(OR(Info!$F$24&gt;0,Info!$F$26&gt;0),IF(0.75*$X$4&lt;=0.03*$AD$4,0.75*(X91-X90),0.03*(AD91-AD90)),0),"")</f>
        <v/>
      </c>
      <c r="P91" s="24">
        <f>IF(AJ91&lt;=5,IF(AI91&lt;&gt;"",0.002*AD91,"")*(1-Info!$I$44),0)</f>
        <v>0</v>
      </c>
      <c r="Q91" s="24">
        <f>(1-Info!$F$44)*IF(AI91&lt;&gt;"",IF(Info!$C$32="بله",0.07*X91,0.07*AG91),"")</f>
        <v>0</v>
      </c>
      <c r="R91" s="24">
        <f>IF(X91&lt;&gt;0,S91*X91,0)*(1-Info!$F$48)</f>
        <v>0</v>
      </c>
      <c r="S91" s="24">
        <f>IF(Info!$I$30="خیر",0,IF(Info!$F$30="بله",IF(Info!$C$30=1,2.3,IF(Info!$C$30=2,3.3,4.3)),1))*IF(AND(AH91&lt;=Rates!$Z$8,AH91&gt;0),(1+Info!$C$34)*(1+LOOKUP(Info!$F$34,Rates!$O$2:$O$9,Rates!$L$2:$L$9)/100)*(LOOKUP(Info!$C$6,Rates!$U$2:$U$108,Rates!$R$2:$R$108)/100),0)</f>
        <v>0</v>
      </c>
      <c r="T91" s="24">
        <f>IF(AI91&lt;71,(1-Info!$F$46)*((AB91*0.0008*(1+(LOOKUP(Info!$I$34,Rates!$O$2:$O$9,Rates!$M$2:$M$9)/100)))),0)</f>
        <v>0</v>
      </c>
      <c r="U91" s="24">
        <f>IF(AI91&lt;71,(1-Info!$I$46)*(((AD91*0.0008*Info!$L$30))*(1+(LOOKUP(Info!$I$34,Rates!$O:$O,Rates!$N:$N)/100))),0)</f>
        <v>0</v>
      </c>
      <c r="V91" s="24">
        <f>((Z91*0.0008))*(1+(LOOKUP(Info!$I$34,Rates!$O$2:$O$9,Rates!$M$2:$M$9)/100))*(1-Info!$C$46)</f>
        <v>0</v>
      </c>
      <c r="W91" s="24">
        <f>IF(AND(AI91&lt;=Rates!$Z$2,AJ91&lt;=Info!$I$6,Info!$F$32="معمولی"),VLOOKUP(AI91,Rates!$U$1:$Y$108,5,0),IF(AND(AI91&lt;=Rates!$Z$2,AJ91&lt;=Info!$I$6,Info!$F$32="پایه"),VLOOKUP(AI91,Rates!$U$1:$Y$108,2,0),IF(AND(AI91&lt;=Rates!$Z$2,AJ91&lt;=Info!$I$6,Info!$F$32="آسایش "),VLOOKUP(AI91,Rates!$U$1:$Y$108,3,0),IF(AND(AI91&lt;=Rates!$Z$2,AJ91&lt;=Info!$I$6,Info!$F$32="ممتاز"),VLOOKUP(AI91,Rates!$U$1:$Y$108,4,0),0))))*AA91/1000000*(1+Info!$C$34)*(1-Info!$I$48)</f>
        <v>0</v>
      </c>
      <c r="X91" s="24">
        <f>IF(Info!$C$32="بله",(AG91-W91-U91-V91-T91)/(1+S91),AG91)</f>
        <v>0</v>
      </c>
      <c r="Y91" s="24">
        <f>IF(AI91&lt;&gt;0,(AD91*LOOKUP(AI91,Rates!$U$2:$U$108,Rates!$T$2:$T$108))/SQRT(1.1),0)</f>
        <v>0</v>
      </c>
      <c r="Z91" s="24">
        <f>IF(AND(AI91&lt;=Rates!$Z$10,AI91&gt;=0),Info!$C$28*(AC91-AD91),0)</f>
        <v>0</v>
      </c>
      <c r="AA91" s="24">
        <f>IF(AND(AI91&gt;=0,AI91&lt;=Rates!$Z$2,AG91&gt;0),MIN(AA90*(1+Info!$F$26),5000000000),0)</f>
        <v>0</v>
      </c>
      <c r="AB91" s="24">
        <f>IF(AND(AI91&gt;=0,AI91&lt;=65),AD91*Info!$L$32,0)</f>
        <v>0</v>
      </c>
      <c r="AC91" s="24">
        <f>IF(AND(AI91&gt;=0,AI91&lt;=Rates!$Z$3),AD91*(1+Info!$L$30),AD91)</f>
        <v>0</v>
      </c>
      <c r="AD91" s="24">
        <f>IF(AI91&lt;&gt;0,AD90*(1+Info!$F$26),0)</f>
        <v>0</v>
      </c>
      <c r="AE91" s="24">
        <f t="shared" si="11"/>
        <v>0</v>
      </c>
      <c r="AF91" s="24">
        <f>IF(AI91&gt;=0,IF(Info!$C$32="بله",AG91,AG91+L91),"")</f>
        <v>0</v>
      </c>
      <c r="AG91" s="146">
        <f>IF(AI91&lt;&gt;0,AG90*(1+Info!$F$24),0)</f>
        <v>0</v>
      </c>
      <c r="AH91" s="149">
        <f>IF(AJ91&lt;&gt;"",Info!$C$6+AJ91-1,0)</f>
        <v>0</v>
      </c>
      <c r="AI91" s="26">
        <f>IF(AJ91&lt;&gt;"",IF(Info!$F$6+AJ91-1&lt;=Rates!$Z$11,Info!$F$6+AJ91-1,0),0)</f>
        <v>0</v>
      </c>
      <c r="AJ91" s="27" t="str">
        <f>IF(AI90&lt;&gt;"",IF(AND(AJ90&lt;&gt;"",AI90+1&lt;=Rates!$Z$11),IF(AJ90&lt;&gt;0,IF(AJ90+1&lt;=Info!$I$6,AJ90+1,""),0),""),"")</f>
        <v/>
      </c>
    </row>
    <row r="92" spans="1:36" ht="18.75" x14ac:dyDescent="0.25">
      <c r="A92" s="25">
        <f>IF(B92&gt;0,IF(Info!$C$32="بله",AG92/B92,(AG92+L92)/B92),0)</f>
        <v>0</v>
      </c>
      <c r="B92" s="25">
        <f>IF(AND(AI92&gt;=0,AJ92&lt;=Info!$I$6),LOOKUP(Info!$C$24,Rates!$I$2:$I$7,Rates!$F$2:$F$7),0)</f>
        <v>0</v>
      </c>
      <c r="C92" s="25">
        <f>IF(AG92&lt;&gt;0,(C91+F92)*(1+VLOOKUP(Info!$C$26,Rates!$D$3:$E$7,2,FALSE)),0)</f>
        <v>0</v>
      </c>
      <c r="D92" s="25">
        <f t="shared" si="13"/>
        <v>0</v>
      </c>
      <c r="E92" s="25">
        <f>IF(AI92&lt;&gt;0,(E91+F92)*(1+VLOOKUP(Info!$C$26,Rates!$A$14:$B$19,2,FALSE)),0)</f>
        <v>0</v>
      </c>
      <c r="F92" s="25">
        <f>IF(AI92&lt;&gt;"",IF(Info!$C$32="بله",IF(AND(AJ92&lt;=Info!$F$36,AJ92&gt;=Info!$I$36),Info!$C$36,0)+(AG92-Y92-L92-K92-J92-I92-H92-G92),IF(AND(AJ92&lt;=Info!$F$36,AJ92&gt;=Info!$I$36),Info!$C$36,0)+(AG92-Y92-K92-J92-I92-H92-G92)),"")</f>
        <v>0</v>
      </c>
      <c r="G92" s="25">
        <f>IF(AI92&lt;&gt;"",Rates!$AB$11*(L92),"")</f>
        <v>0</v>
      </c>
      <c r="H92" s="25">
        <f>IF(AI92&lt;&gt;"",(Rates!$AD$11+Rates!$AC$11)*(L92),"")</f>
        <v>0</v>
      </c>
      <c r="I92" s="25">
        <f>IF(AI92&lt;&gt;"",LOOKUP(Info!$C$24,Rates!$I$2:$I$7,Rates!$H$2:$H$7)*(J92+K92+L92+Y92),"")</f>
        <v>0</v>
      </c>
      <c r="J92" s="25">
        <f t="shared" si="10"/>
        <v>0</v>
      </c>
      <c r="K92" s="25">
        <f>IF(Y92&lt;&gt;"",Info!$C$34*Y92,"")</f>
        <v>0</v>
      </c>
      <c r="L92" s="25">
        <f t="shared" si="12"/>
        <v>0</v>
      </c>
      <c r="M92" s="25"/>
      <c r="N92" s="25">
        <v>0</v>
      </c>
      <c r="O92" s="25" t="str">
        <f>IF(AJ92&lt;=10,(1-Info!$C$44)*IF(OR(Info!$F$24&gt;0,Info!$F$26&gt;0),IF(0.75*$X$4&lt;=0.03*$AD$4,0.75*(X92-X91),0.03*(AD92-AD91)),0),"")</f>
        <v/>
      </c>
      <c r="P92" s="25">
        <f>IF(AJ92&lt;=5,IF(AI92&lt;&gt;"",0.002*AD92,"")*(1-Info!$I$44),0)</f>
        <v>0</v>
      </c>
      <c r="Q92" s="25">
        <f>(1-Info!$F$44)*IF(AI92&lt;&gt;"",IF(Info!$C$32="بله",0.07*X92,0.07*AG92),"")</f>
        <v>0</v>
      </c>
      <c r="R92" s="25">
        <f>IF(X92&lt;&gt;0,S92*X92,0)*(1-Info!$F$48)</f>
        <v>0</v>
      </c>
      <c r="S92" s="25">
        <f>IF(Info!$I$30="خیر",0,IF(Info!$F$30="بله",IF(Info!$C$30=1,2.3,IF(Info!$C$30=2,3.3,4.3)),1))*IF(AND(AH92&lt;=Rates!$Z$8,AH92&gt;0),(1+Info!$C$34)*(1+LOOKUP(Info!$F$34,Rates!$O$2:$O$9,Rates!$L$2:$L$9)/100)*(LOOKUP(Info!$C$6,Rates!$U$2:$U$108,Rates!$R$2:$R$108)/100),0)</f>
        <v>0</v>
      </c>
      <c r="T92" s="25">
        <f>IF(AI92&lt;71,(1-Info!$F$46)*((AB92*0.0008*(1+(LOOKUP(Info!$I$34,Rates!$O$2:$O$9,Rates!$M$2:$M$9)/100)))),0)</f>
        <v>0</v>
      </c>
      <c r="U92" s="25">
        <f>IF(AI92&lt;71,(1-Info!$I$46)*(((AD92*0.0008*Info!$L$30))*(1+(LOOKUP(Info!$I$34,Rates!$O:$O,Rates!$N:$N)/100))),0)</f>
        <v>0</v>
      </c>
      <c r="V92" s="25">
        <f>((Z92*0.0008))*(1+(LOOKUP(Info!$I$34,Rates!$O$2:$O$9,Rates!$M$2:$M$9)/100))*(1-Info!$C$46)</f>
        <v>0</v>
      </c>
      <c r="W92" s="25">
        <f>IF(AND(AI92&lt;=Rates!$Z$2,AJ92&lt;=Info!$I$6,Info!$F$32="معمولی"),VLOOKUP(AI92,Rates!$U$1:$Y$108,5,0),IF(AND(AI92&lt;=Rates!$Z$2,AJ92&lt;=Info!$I$6,Info!$F$32="پایه"),VLOOKUP(AI92,Rates!$U$1:$Y$108,2,0),IF(AND(AI92&lt;=Rates!$Z$2,AJ92&lt;=Info!$I$6,Info!$F$32="آسایش "),VLOOKUP(AI92,Rates!$U$1:$Y$108,3,0),IF(AND(AI92&lt;=Rates!$Z$2,AJ92&lt;=Info!$I$6,Info!$F$32="ممتاز"),VLOOKUP(AI92,Rates!$U$1:$Y$108,4,0),0))))*AA92/1000000*(1+Info!$C$34)*(1-Info!$I$48)</f>
        <v>0</v>
      </c>
      <c r="X92" s="25">
        <f>IF(Info!$C$32="بله",(AG92-W92-U92-V92-T92)/(1+S92),AG92)</f>
        <v>0</v>
      </c>
      <c r="Y92" s="25">
        <f>IF(AI92&lt;&gt;0,(AD92*LOOKUP(AI92,Rates!$U$2:$U$108,Rates!$T$2:$T$108))/SQRT(1.1),0)</f>
        <v>0</v>
      </c>
      <c r="Z92" s="25">
        <f>IF(AND(AI92&lt;=Rates!$Z$10,AI92&gt;=0),Info!$C$28*(AC92-AD92),0)</f>
        <v>0</v>
      </c>
      <c r="AA92" s="25">
        <f>IF(AND(AI92&gt;=0,AI92&lt;=Rates!$Z$2,AG92&gt;0),MIN(AA91*(1+Info!$F$26),5000000000),0)</f>
        <v>0</v>
      </c>
      <c r="AB92" s="25">
        <f>IF(AND(AI92&gt;=0,AI92&lt;=65),AD92*Info!$L$32,0)</f>
        <v>0</v>
      </c>
      <c r="AC92" s="25">
        <f>IF(AND(AI92&gt;=0,AI92&lt;=Rates!$Z$3),AD92*(1+Info!$L$30),AD92)</f>
        <v>0</v>
      </c>
      <c r="AD92" s="25">
        <f>IF(AI92&lt;&gt;0,AD91*(1+Info!$F$26),0)</f>
        <v>0</v>
      </c>
      <c r="AE92" s="25">
        <f t="shared" si="11"/>
        <v>0</v>
      </c>
      <c r="AF92" s="25">
        <f>IF(AI92&gt;=0,IF(Info!$C$32="بله",AG92,AG92+L92),"")</f>
        <v>0</v>
      </c>
      <c r="AG92" s="145">
        <f>IF(AI92&lt;&gt;0,AG91*(1+Info!$F$24),0)</f>
        <v>0</v>
      </c>
      <c r="AH92" s="150">
        <f>IF(AJ92&lt;&gt;"",Info!$C$6+AJ92-1,0)</f>
        <v>0</v>
      </c>
      <c r="AI92" s="28">
        <f>IF(AJ92&lt;&gt;"",IF(Info!$F$6+AJ92-1&lt;=Rates!$Z$11,Info!$F$6+AJ92-1,0),0)</f>
        <v>0</v>
      </c>
      <c r="AJ92" s="29" t="str">
        <f>IF(AI91&lt;&gt;"",IF(AND(AJ91&lt;&gt;"",AI91+1&lt;=Rates!$Z$11),IF(AJ91&lt;&gt;0,IF(AJ91+1&lt;=Info!$I$6,AJ91+1,""),0),""),"")</f>
        <v/>
      </c>
    </row>
    <row r="93" spans="1:36" ht="18.75" x14ac:dyDescent="0.25">
      <c r="A93" s="24">
        <f>IF(B93&gt;0,IF(Info!$C$32="بله",AG93/B93,(AG93+L93)/B93),0)</f>
        <v>0</v>
      </c>
      <c r="B93" s="24">
        <f>IF(AND(AI93&gt;=0,AJ93&lt;=Info!$I$6),LOOKUP(Info!$C$24,Rates!$I$2:$I$7,Rates!$F$2:$F$7),0)</f>
        <v>0</v>
      </c>
      <c r="C93" s="24">
        <f>IF(AG93&lt;&gt;0,(C92+F93)*(1+VLOOKUP(Info!$C$26,Rates!$D$3:$E$7,2,FALSE)),0)</f>
        <v>0</v>
      </c>
      <c r="D93" s="24">
        <f t="shared" si="13"/>
        <v>0</v>
      </c>
      <c r="E93" s="24">
        <f>IF(AI93&lt;&gt;0,(E92+F93)*(1+VLOOKUP(Info!$C$26,Rates!$A$14:$B$19,2,FALSE)),0)</f>
        <v>0</v>
      </c>
      <c r="F93" s="24">
        <f>IF(AI93&lt;&gt;"",IF(Info!$C$32="بله",IF(AND(AJ93&lt;=Info!$F$36,AJ93&gt;=Info!$I$36),Info!$C$36,0)+(AG93-Y93-L93-K93-J93-I93-H93-G93),IF(AND(AJ93&lt;=Info!$F$36,AJ93&gt;=Info!$I$36),Info!$C$36,0)+(AG93-Y93-K93-J93-I93-H93-G93)),"")</f>
        <v>0</v>
      </c>
      <c r="G93" s="24">
        <f>IF(AI93&lt;&gt;"",Rates!$AB$11*(L93),"")</f>
        <v>0</v>
      </c>
      <c r="H93" s="24">
        <f>IF(AI93&lt;&gt;"",(Rates!$AD$11+Rates!$AC$11)*(L93),"")</f>
        <v>0</v>
      </c>
      <c r="I93" s="24">
        <f>IF(AI93&lt;&gt;"",LOOKUP(Info!$C$24,Rates!$I$2:$I$7,Rates!$H$2:$H$7)*(J93+K93+L93+Y93),"")</f>
        <v>0</v>
      </c>
      <c r="J93" s="24">
        <f t="shared" si="10"/>
        <v>0</v>
      </c>
      <c r="K93" s="24">
        <f>IF(Y93&lt;&gt;"",Info!$C$34*Y93,"")</f>
        <v>0</v>
      </c>
      <c r="L93" s="24">
        <f t="shared" si="12"/>
        <v>0</v>
      </c>
      <c r="M93" s="24"/>
      <c r="N93" s="24">
        <v>0</v>
      </c>
      <c r="O93" s="24" t="str">
        <f>IF(AJ93&lt;=10,(1-Info!$C$44)*IF(OR(Info!$F$24&gt;0,Info!$F$26&gt;0),IF(0.75*$X$4&lt;=0.03*$AD$4,0.75*(X93-X92),0.03*(AD93-AD92)),0),"")</f>
        <v/>
      </c>
      <c r="P93" s="24">
        <f>IF(AJ93&lt;=5,IF(AI93&lt;&gt;"",0.002*AD93,"")*(1-Info!$I$44),0)</f>
        <v>0</v>
      </c>
      <c r="Q93" s="24">
        <f>(1-Info!$F$44)*IF(AI93&lt;&gt;"",IF(Info!$C$32="بله",0.07*X93,0.07*AG93),"")</f>
        <v>0</v>
      </c>
      <c r="R93" s="24">
        <f>IF(X93&lt;&gt;0,S93*X93,0)*(1-Info!$F$48)</f>
        <v>0</v>
      </c>
      <c r="S93" s="24">
        <f>IF(Info!$I$30="خیر",0,IF(Info!$F$30="بله",IF(Info!$C$30=1,2.3,IF(Info!$C$30=2,3.3,4.3)),1))*IF(AND(AH93&lt;=Rates!$Z$8,AH93&gt;0),(1+Info!$C$34)*(1+LOOKUP(Info!$F$34,Rates!$O$2:$O$9,Rates!$L$2:$L$9)/100)*(LOOKUP(Info!$C$6,Rates!$U$2:$U$108,Rates!$R$2:$R$108)/100),0)</f>
        <v>0</v>
      </c>
      <c r="T93" s="24">
        <f>IF(AI93&lt;71,(1-Info!$F$46)*((AB93*0.0008*(1+(LOOKUP(Info!$I$34,Rates!$O$2:$O$9,Rates!$M$2:$M$9)/100)))),0)</f>
        <v>0</v>
      </c>
      <c r="U93" s="24">
        <f>IF(AI93&lt;71,(1-Info!$I$46)*(((AD93*0.0008*Info!$L$30))*(1+(LOOKUP(Info!$I$34,Rates!$O:$O,Rates!$N:$N)/100))),0)</f>
        <v>0</v>
      </c>
      <c r="V93" s="24">
        <f>((Z93*0.0008))*(1+(LOOKUP(Info!$I$34,Rates!$O$2:$O$9,Rates!$M$2:$M$9)/100))*(1-Info!$C$46)</f>
        <v>0</v>
      </c>
      <c r="W93" s="24">
        <f>IF(AND(AI93&lt;=Rates!$Z$2,AJ93&lt;=Info!$I$6,Info!$F$32="معمولی"),VLOOKUP(AI93,Rates!$U$1:$Y$108,5,0),IF(AND(AI93&lt;=Rates!$Z$2,AJ93&lt;=Info!$I$6,Info!$F$32="پایه"),VLOOKUP(AI93,Rates!$U$1:$Y$108,2,0),IF(AND(AI93&lt;=Rates!$Z$2,AJ93&lt;=Info!$I$6,Info!$F$32="آسایش "),VLOOKUP(AI93,Rates!$U$1:$Y$108,3,0),IF(AND(AI93&lt;=Rates!$Z$2,AJ93&lt;=Info!$I$6,Info!$F$32="ممتاز"),VLOOKUP(AI93,Rates!$U$1:$Y$108,4,0),0))))*AA93/1000000*(1+Info!$C$34)*(1-Info!$I$48)</f>
        <v>0</v>
      </c>
      <c r="X93" s="24">
        <f>IF(Info!$C$32="بله",(AG93-W93-U93-V93-T93)/(1+S93),AG93)</f>
        <v>0</v>
      </c>
      <c r="Y93" s="24">
        <f>IF(AI93&lt;&gt;0,(AD93*LOOKUP(AI93,Rates!$U$2:$U$108,Rates!$T$2:$T$108))/SQRT(1.1),0)</f>
        <v>0</v>
      </c>
      <c r="Z93" s="24">
        <f>IF(AND(AI93&lt;=Rates!$Z$10,AI93&gt;=0),Info!$C$28*(AC93-AD93),0)</f>
        <v>0</v>
      </c>
      <c r="AA93" s="24">
        <f>IF(AND(AI93&gt;=0,AI93&lt;=Rates!$Z$2,AG93&gt;0),MIN(AA92*(1+Info!$F$26),5000000000),0)</f>
        <v>0</v>
      </c>
      <c r="AB93" s="24">
        <f>IF(AND(AI93&gt;=0,AI93&lt;=65),AD93*Info!$L$32,0)</f>
        <v>0</v>
      </c>
      <c r="AC93" s="24">
        <f>IF(AND(AI93&gt;=0,AI93&lt;=Rates!$Z$3),AD93*(1+Info!$L$30),AD93)</f>
        <v>0</v>
      </c>
      <c r="AD93" s="24">
        <f>IF(AI93&lt;&gt;0,AD92*(1+Info!$F$26),0)</f>
        <v>0</v>
      </c>
      <c r="AE93" s="24">
        <f t="shared" si="11"/>
        <v>0</v>
      </c>
      <c r="AF93" s="24">
        <f>IF(AI93&gt;=0,IF(Info!$C$32="بله",AG93,AG93+L93),"")</f>
        <v>0</v>
      </c>
      <c r="AG93" s="146">
        <f>IF(AI93&lt;&gt;0,AG92*(1+Info!$F$24),0)</f>
        <v>0</v>
      </c>
      <c r="AH93" s="149">
        <f>IF(AJ93&lt;&gt;"",Info!$C$6+AJ93-1,0)</f>
        <v>0</v>
      </c>
      <c r="AI93" s="26">
        <f>IF(AJ93&lt;&gt;"",IF(Info!$F$6+AJ93-1&lt;=Rates!$Z$11,Info!$F$6+AJ93-1,0),0)</f>
        <v>0</v>
      </c>
      <c r="AJ93" s="27" t="str">
        <f>IF(AI92&lt;&gt;"",IF(AND(AJ92&lt;&gt;"",AI92+1&lt;=Rates!$Z$11),IF(AJ92&lt;&gt;0,IF(AJ92+1&lt;=Info!$I$6,AJ92+1,""),0),""),"")</f>
        <v/>
      </c>
    </row>
    <row r="94" spans="1:36" ht="18.75" x14ac:dyDescent="0.25">
      <c r="A94" s="25">
        <f>IF(B94&gt;0,IF(Info!$C$32="بله",AG94/B94,(AG94+L94)/B94),0)</f>
        <v>0</v>
      </c>
      <c r="B94" s="25">
        <f>IF(AND(AI94&gt;=0,AJ94&lt;=Info!$I$6),LOOKUP(Info!$C$24,Rates!$I$2:$I$7,Rates!$F$2:$F$7),0)</f>
        <v>0</v>
      </c>
      <c r="C94" s="25">
        <f>IF(AG94&lt;&gt;0,(C93+F94)*(1+VLOOKUP(Info!$C$26,Rates!$D$3:$E$7,2,FALSE)),0)</f>
        <v>0</v>
      </c>
      <c r="D94" s="25">
        <f t="shared" si="13"/>
        <v>0</v>
      </c>
      <c r="E94" s="25">
        <f>IF(AI94&lt;&gt;0,(E93+F94)*(1+VLOOKUP(Info!$C$26,Rates!$A$14:$B$19,2,FALSE)),0)</f>
        <v>0</v>
      </c>
      <c r="F94" s="25">
        <f>IF(AI94&lt;&gt;"",IF(Info!$C$32="بله",IF(AND(AJ94&lt;=Info!$F$36,AJ94&gt;=Info!$I$36),Info!$C$36,0)+(AG94-Y94-L94-K94-J94-I94-H94-G94),IF(AND(AJ94&lt;=Info!$F$36,AJ94&gt;=Info!$I$36),Info!$C$36,0)+(AG94-Y94-K94-J94-I94-H94-G94)),"")</f>
        <v>0</v>
      </c>
      <c r="G94" s="25">
        <f>IF(AI94&lt;&gt;"",Rates!$AB$11*(L94),"")</f>
        <v>0</v>
      </c>
      <c r="H94" s="25">
        <f>IF(AI94&lt;&gt;"",(Rates!$AD$11+Rates!$AC$11)*(L94),"")</f>
        <v>0</v>
      </c>
      <c r="I94" s="25">
        <f>IF(AI94&lt;&gt;"",LOOKUP(Info!$C$24,Rates!$I$2:$I$7,Rates!$H$2:$H$7)*(J94+K94+L94+Y94),"")</f>
        <v>0</v>
      </c>
      <c r="J94" s="25">
        <f t="shared" si="10"/>
        <v>0</v>
      </c>
      <c r="K94" s="25">
        <f>IF(Y94&lt;&gt;"",Info!$C$34*Y94,"")</f>
        <v>0</v>
      </c>
      <c r="L94" s="25">
        <f t="shared" si="12"/>
        <v>0</v>
      </c>
      <c r="M94" s="25"/>
      <c r="N94" s="25">
        <v>0</v>
      </c>
      <c r="O94" s="25" t="str">
        <f>IF(AJ94&lt;=10,(1-Info!$C$44)*IF(OR(Info!$F$24&gt;0,Info!$F$26&gt;0),IF(0.75*$X$4&lt;=0.03*$AD$4,0.75*(X94-X93),0.03*(AD94-AD93)),0),"")</f>
        <v/>
      </c>
      <c r="P94" s="25">
        <f>IF(AJ94&lt;=5,IF(AI94&lt;&gt;"",0.002*AD94,"")*(1-Info!$I$44),0)</f>
        <v>0</v>
      </c>
      <c r="Q94" s="25">
        <f>(1-Info!$F$44)*IF(AI94&lt;&gt;"",IF(Info!$C$32="بله",0.07*X94,0.07*AG94),"")</f>
        <v>0</v>
      </c>
      <c r="R94" s="25">
        <f>IF(X94&lt;&gt;0,S94*X94,0)*(1-Info!$F$48)</f>
        <v>0</v>
      </c>
      <c r="S94" s="25">
        <f>IF(Info!$I$30="خیر",0,IF(Info!$F$30="بله",IF(Info!$C$30=1,2.3,IF(Info!$C$30=2,3.3,4.3)),1))*IF(AND(AH94&lt;=Rates!$Z$8,AH94&gt;0),(1+Info!$C$34)*(1+LOOKUP(Info!$F$34,Rates!$O$2:$O$9,Rates!$L$2:$L$9)/100)*(LOOKUP(Info!$C$6,Rates!$U$2:$U$108,Rates!$R$2:$R$108)/100),0)</f>
        <v>0</v>
      </c>
      <c r="T94" s="25">
        <f>IF(AI94&lt;71,(1-Info!$F$46)*((AB94*0.0008*(1+(LOOKUP(Info!$I$34,Rates!$O$2:$O$9,Rates!$M$2:$M$9)/100)))),0)</f>
        <v>0</v>
      </c>
      <c r="U94" s="25">
        <f>IF(AI94&lt;71,(1-Info!$I$46)*(((AD94*0.0008*Info!$L$30))*(1+(LOOKUP(Info!$I$34,Rates!$O:$O,Rates!$N:$N)/100))),0)</f>
        <v>0</v>
      </c>
      <c r="V94" s="25">
        <f>((Z94*0.0008))*(1+(LOOKUP(Info!$I$34,Rates!$O$2:$O$9,Rates!$M$2:$M$9)/100))*(1-Info!$C$46)</f>
        <v>0</v>
      </c>
      <c r="W94" s="25">
        <f>IF(AND(AI94&lt;=Rates!$Z$2,AJ94&lt;=Info!$I$6,Info!$F$32="معمولی"),VLOOKUP(AI94,Rates!$U$1:$Y$108,5,0),IF(AND(AI94&lt;=Rates!$Z$2,AJ94&lt;=Info!$I$6,Info!$F$32="پایه"),VLOOKUP(AI94,Rates!$U$1:$Y$108,2,0),IF(AND(AI94&lt;=Rates!$Z$2,AJ94&lt;=Info!$I$6,Info!$F$32="آسایش "),VLOOKUP(AI94,Rates!$U$1:$Y$108,3,0),IF(AND(AI94&lt;=Rates!$Z$2,AJ94&lt;=Info!$I$6,Info!$F$32="ممتاز"),VLOOKUP(AI94,Rates!$U$1:$Y$108,4,0),0))))*AA94/1000000*(1+Info!$C$34)*(1-Info!$I$48)</f>
        <v>0</v>
      </c>
      <c r="X94" s="25">
        <f>IF(Info!$C$32="بله",(AG94-W94-U94-V94-T94)/(1+S94),AG94)</f>
        <v>0</v>
      </c>
      <c r="Y94" s="25">
        <f>IF(AI94&lt;&gt;0,(AD94*LOOKUP(AI94,Rates!$U$2:$U$108,Rates!$T$2:$T$108))/SQRT(1.1),0)</f>
        <v>0</v>
      </c>
      <c r="Z94" s="25">
        <f>IF(AND(AI94&lt;=Rates!$Z$10,AI94&gt;=0),Info!$C$28*(AC94-AD94),0)</f>
        <v>0</v>
      </c>
      <c r="AA94" s="25">
        <f>IF(AND(AI94&gt;=0,AI94&lt;=Rates!$Z$2,AG94&gt;0),MIN(AA93*(1+Info!$F$26),5000000000),0)</f>
        <v>0</v>
      </c>
      <c r="AB94" s="25">
        <f>IF(AND(AI94&gt;=0,AI94&lt;=65),AD94*Info!$L$32,0)</f>
        <v>0</v>
      </c>
      <c r="AC94" s="25">
        <f>IF(AND(AI94&gt;=0,AI94&lt;=Rates!$Z$3),AD94*(1+Info!$L$30),AD94)</f>
        <v>0</v>
      </c>
      <c r="AD94" s="25">
        <f>IF(AI94&lt;&gt;0,AD93*(1+Info!$F$26),0)</f>
        <v>0</v>
      </c>
      <c r="AE94" s="25">
        <f t="shared" si="11"/>
        <v>0</v>
      </c>
      <c r="AF94" s="25">
        <f>IF(AI94&gt;=0,IF(Info!$C$32="بله",AG94,AG94+L94),"")</f>
        <v>0</v>
      </c>
      <c r="AG94" s="145">
        <f>IF(AI94&lt;&gt;0,AG93*(1+Info!$F$24),0)</f>
        <v>0</v>
      </c>
      <c r="AH94" s="150">
        <f>IF(AJ94&lt;&gt;"",Info!$C$6+AJ94-1,0)</f>
        <v>0</v>
      </c>
      <c r="AI94" s="28">
        <f>IF(AJ94&lt;&gt;"",IF(Info!$F$6+AJ94-1&lt;=Rates!$Z$11,Info!$F$6+AJ94-1,0),0)</f>
        <v>0</v>
      </c>
      <c r="AJ94" s="29" t="str">
        <f>IF(AI93&lt;&gt;"",IF(AND(AJ93&lt;&gt;"",AI93+1&lt;=Rates!$Z$11),IF(AJ93&lt;&gt;0,IF(AJ93+1&lt;=Info!$I$6,AJ93+1,""),0),""),"")</f>
        <v/>
      </c>
    </row>
    <row r="95" spans="1:36" ht="18.75" x14ac:dyDescent="0.25">
      <c r="A95" s="24">
        <f>IF(B95&gt;0,IF(Info!$C$32="بله",AG95/B95,(AG95+L95)/B95),0)</f>
        <v>0</v>
      </c>
      <c r="B95" s="24">
        <f>IF(AND(AI95&gt;=0,AJ95&lt;=Info!$I$6),LOOKUP(Info!$C$24,Rates!$I$2:$I$7,Rates!$F$2:$F$7),0)</f>
        <v>0</v>
      </c>
      <c r="C95" s="24">
        <f>IF(AG95&lt;&gt;0,(C94+F95)*(1+VLOOKUP(Info!$C$26,Rates!$D$3:$E$7,2,FALSE)),0)</f>
        <v>0</v>
      </c>
      <c r="D95" s="24">
        <f t="shared" si="13"/>
        <v>0</v>
      </c>
      <c r="E95" s="24">
        <f>IF(AI95&lt;&gt;0,(E94+F95)*(1+VLOOKUP(Info!$C$26,Rates!$A$14:$B$19,2,FALSE)),0)</f>
        <v>0</v>
      </c>
      <c r="F95" s="24">
        <f>IF(AI95&lt;&gt;"",IF(Info!$C$32="بله",IF(AND(AJ95&lt;=Info!$F$36,AJ95&gt;=Info!$I$36),Info!$C$36,0)+(AG95-Y95-L95-K95-J95-I95-H95-G95),IF(AND(AJ95&lt;=Info!$F$36,AJ95&gt;=Info!$I$36),Info!$C$36,0)+(AG95-Y95-K95-J95-I95-H95-G95)),"")</f>
        <v>0</v>
      </c>
      <c r="G95" s="24">
        <f>IF(AI95&lt;&gt;"",Rates!$AB$11*(L95),"")</f>
        <v>0</v>
      </c>
      <c r="H95" s="24">
        <f>IF(AI95&lt;&gt;"",(Rates!$AD$11+Rates!$AC$11)*(L95),"")</f>
        <v>0</v>
      </c>
      <c r="I95" s="24">
        <f>IF(AI95&lt;&gt;"",LOOKUP(Info!$C$24,Rates!$I$2:$I$7,Rates!$H$2:$H$7)*(J95+K95+L95+Y95),"")</f>
        <v>0</v>
      </c>
      <c r="J95" s="24">
        <f t="shared" si="10"/>
        <v>0</v>
      </c>
      <c r="K95" s="24">
        <f>IF(Y95&lt;&gt;"",Info!$C$34*Y95,"")</f>
        <v>0</v>
      </c>
      <c r="L95" s="24">
        <f t="shared" si="12"/>
        <v>0</v>
      </c>
      <c r="M95" s="24"/>
      <c r="N95" s="24">
        <v>0</v>
      </c>
      <c r="O95" s="24" t="str">
        <f>IF(AJ95&lt;=10,(1-Info!$C$44)*IF(OR(Info!$F$24&gt;0,Info!$F$26&gt;0),IF(0.75*$X$4&lt;=0.03*$AD$4,0.75*(X95-X94),0.03*(AD95-AD94)),0),"")</f>
        <v/>
      </c>
      <c r="P95" s="24">
        <f>IF(AJ95&lt;=5,IF(AI95&lt;&gt;"",0.002*AD95,"")*(1-Info!$I$44),0)</f>
        <v>0</v>
      </c>
      <c r="Q95" s="24">
        <f>(1-Info!$F$44)*IF(AI95&lt;&gt;"",IF(Info!$C$32="بله",0.07*X95,0.07*AG95),"")</f>
        <v>0</v>
      </c>
      <c r="R95" s="24">
        <f>IF(X95&lt;&gt;0,S95*X95,0)*(1-Info!$F$48)</f>
        <v>0</v>
      </c>
      <c r="S95" s="24">
        <f>IF(Info!$I$30="خیر",0,IF(Info!$F$30="بله",IF(Info!$C$30=1,2.3,IF(Info!$C$30=2,3.3,4.3)),1))*IF(AND(AH95&lt;=Rates!$Z$8,AH95&gt;0),(1+Info!$C$34)*(1+LOOKUP(Info!$F$34,Rates!$O$2:$O$9,Rates!$L$2:$L$9)/100)*(LOOKUP(Info!$C$6,Rates!$U$2:$U$108,Rates!$R$2:$R$108)/100),0)</f>
        <v>0</v>
      </c>
      <c r="T95" s="24">
        <f>IF(AI95&lt;71,(1-Info!$F$46)*((AB95*0.0008*(1+(LOOKUP(Info!$I$34,Rates!$O$2:$O$9,Rates!$M$2:$M$9)/100)))),0)</f>
        <v>0</v>
      </c>
      <c r="U95" s="24">
        <f>IF(AI95&lt;71,(1-Info!$I$46)*(((AD95*0.0008*Info!$L$30))*(1+(LOOKUP(Info!$I$34,Rates!$O:$O,Rates!$N:$N)/100))),0)</f>
        <v>0</v>
      </c>
      <c r="V95" s="24">
        <f>((Z95*0.0008))*(1+(LOOKUP(Info!$I$34,Rates!$O$2:$O$9,Rates!$M$2:$M$9)/100))*(1-Info!$C$46)</f>
        <v>0</v>
      </c>
      <c r="W95" s="24">
        <f>IF(AND(AI95&lt;=Rates!$Z$2,AJ95&lt;=Info!$I$6,Info!$F$32="معمولی"),VLOOKUP(AI95,Rates!$U$1:$Y$108,5,0),IF(AND(AI95&lt;=Rates!$Z$2,AJ95&lt;=Info!$I$6,Info!$F$32="پایه"),VLOOKUP(AI95,Rates!$U$1:$Y$108,2,0),IF(AND(AI95&lt;=Rates!$Z$2,AJ95&lt;=Info!$I$6,Info!$F$32="آسایش "),VLOOKUP(AI95,Rates!$U$1:$Y$108,3,0),IF(AND(AI95&lt;=Rates!$Z$2,AJ95&lt;=Info!$I$6,Info!$F$32="ممتاز"),VLOOKUP(AI95,Rates!$U$1:$Y$108,4,0),0))))*AA95/1000000*(1+Info!$C$34)*(1-Info!$I$48)</f>
        <v>0</v>
      </c>
      <c r="X95" s="24">
        <f>IF(Info!$C$32="بله",(AG95-W95-U95-V95-T95)/(1+S95),AG95)</f>
        <v>0</v>
      </c>
      <c r="Y95" s="24">
        <f>IF(AI95&lt;&gt;0,(AD95*LOOKUP(AI95,Rates!$U$2:$U$108,Rates!$T$2:$T$108))/SQRT(1.1),0)</f>
        <v>0</v>
      </c>
      <c r="Z95" s="24">
        <f>IF(AND(AI95&lt;=Rates!$Z$10,AI95&gt;=0),Info!$C$28*(AC95-AD95),0)</f>
        <v>0</v>
      </c>
      <c r="AA95" s="24">
        <f>IF(AND(AI95&gt;=0,AI95&lt;=Rates!$Z$2,AG95&gt;0),MIN(AA94*(1+Info!$F$26),5000000000),0)</f>
        <v>0</v>
      </c>
      <c r="AB95" s="24">
        <f>IF(AND(AI95&gt;=0,AI95&lt;=65),AD95*Info!$L$32,0)</f>
        <v>0</v>
      </c>
      <c r="AC95" s="24">
        <f>IF(AND(AI95&gt;=0,AI95&lt;=Rates!$Z$3),AD95*(1+Info!$L$30),AD95)</f>
        <v>0</v>
      </c>
      <c r="AD95" s="24">
        <f>IF(AI95&lt;&gt;0,AD94*(1+Info!$F$26),0)</f>
        <v>0</v>
      </c>
      <c r="AE95" s="24">
        <f t="shared" si="11"/>
        <v>0</v>
      </c>
      <c r="AF95" s="24">
        <f>IF(AI95&gt;=0,IF(Info!$C$32="بله",AG95,AG95+L95),"")</f>
        <v>0</v>
      </c>
      <c r="AG95" s="146">
        <f>IF(AI95&lt;&gt;0,AG94*(1+Info!$F$24),0)</f>
        <v>0</v>
      </c>
      <c r="AH95" s="149">
        <f>IF(AJ95&lt;&gt;"",Info!$C$6+AJ95-1,0)</f>
        <v>0</v>
      </c>
      <c r="AI95" s="26">
        <f>IF(AJ95&lt;&gt;"",IF(Info!$F$6+AJ95-1&lt;=Rates!$Z$11,Info!$F$6+AJ95-1,0),0)</f>
        <v>0</v>
      </c>
      <c r="AJ95" s="27" t="str">
        <f>IF(AI94&lt;&gt;"",IF(AND(AJ94&lt;&gt;"",AI94+1&lt;=Rates!$Z$11),IF(AJ94&lt;&gt;0,IF(AJ94+1&lt;=Info!$I$6,AJ94+1,""),0),""),"")</f>
        <v/>
      </c>
    </row>
    <row r="96" spans="1:36" ht="18.75" x14ac:dyDescent="0.25">
      <c r="A96" s="25">
        <f>IF(B96&gt;0,IF(Info!$C$32="بله",AG96/B96,(AG96+L96)/B96),0)</f>
        <v>0</v>
      </c>
      <c r="B96" s="25">
        <f>IF(AND(AI96&gt;=0,AJ96&lt;=Info!$I$6),LOOKUP(Info!$C$24,Rates!$I$2:$I$7,Rates!$F$2:$F$7),0)</f>
        <v>0</v>
      </c>
      <c r="C96" s="25">
        <f>IF(AG96&lt;&gt;0,(C95+F96)*(1+VLOOKUP(Info!$C$26,Rates!$D$3:$E$7,2,FALSE)),0)</f>
        <v>0</v>
      </c>
      <c r="D96" s="25">
        <f t="shared" si="13"/>
        <v>0</v>
      </c>
      <c r="E96" s="25">
        <f>IF(AI96&lt;&gt;0,(E95+F96)*(1+VLOOKUP(Info!$C$26,Rates!$A$14:$B$19,2,FALSE)),0)</f>
        <v>0</v>
      </c>
      <c r="F96" s="25">
        <f>IF(AI96&lt;&gt;"",IF(Info!$C$32="بله",IF(AND(AJ96&lt;=Info!$F$36,AJ96&gt;=Info!$I$36),Info!$C$36,0)+(AG96-Y96-L96-K96-J96-I96-H96-G96),IF(AND(AJ96&lt;=Info!$F$36,AJ96&gt;=Info!$I$36),Info!$C$36,0)+(AG96-Y96-K96-J96-I96-H96-G96)),"")</f>
        <v>0</v>
      </c>
      <c r="G96" s="25">
        <f>IF(AI96&lt;&gt;"",Rates!$AB$11*(L96),"")</f>
        <v>0</v>
      </c>
      <c r="H96" s="25">
        <f>IF(AI96&lt;&gt;"",(Rates!$AD$11+Rates!$AC$11)*(L96),"")</f>
        <v>0</v>
      </c>
      <c r="I96" s="25">
        <f>IF(AI96&lt;&gt;"",LOOKUP(Info!$C$24,Rates!$I$2:$I$7,Rates!$H$2:$H$7)*(J96+K96+L96+Y96),"")</f>
        <v>0</v>
      </c>
      <c r="J96" s="25">
        <f t="shared" si="10"/>
        <v>0</v>
      </c>
      <c r="K96" s="25">
        <f>IF(Y96&lt;&gt;"",Info!$C$34*Y96,"")</f>
        <v>0</v>
      </c>
      <c r="L96" s="25">
        <f t="shared" si="12"/>
        <v>0</v>
      </c>
      <c r="M96" s="25"/>
      <c r="N96" s="25">
        <v>0</v>
      </c>
      <c r="O96" s="25" t="str">
        <f>IF(AJ96&lt;=10,(1-Info!$C$44)*IF(OR(Info!$F$24&gt;0,Info!$F$26&gt;0),IF(0.75*$X$4&lt;=0.03*$AD$4,0.75*(X96-X95),0.03*(AD96-AD95)),0),"")</f>
        <v/>
      </c>
      <c r="P96" s="25">
        <f>IF(AJ96&lt;=5,IF(AI96&lt;&gt;"",0.002*AD96,"")*(1-Info!$I$44),0)</f>
        <v>0</v>
      </c>
      <c r="Q96" s="25">
        <f>(1-Info!$F$44)*IF(AI96&lt;&gt;"",IF(Info!$C$32="بله",0.07*X96,0.07*AG96),"")</f>
        <v>0</v>
      </c>
      <c r="R96" s="25">
        <f>IF(X96&lt;&gt;0,S96*X96,0)*(1-Info!$F$48)</f>
        <v>0</v>
      </c>
      <c r="S96" s="25">
        <f>IF(Info!$I$30="خیر",0,IF(Info!$F$30="بله",IF(Info!$C$30=1,2.3,IF(Info!$C$30=2,3.3,4.3)),1))*IF(AND(AH96&lt;=Rates!$Z$8,AH96&gt;0),(1+Info!$C$34)*(1+LOOKUP(Info!$F$34,Rates!$O$2:$O$9,Rates!$L$2:$L$9)/100)*(LOOKUP(Info!$C$6,Rates!$U$2:$U$108,Rates!$R$2:$R$108)/100),0)</f>
        <v>0</v>
      </c>
      <c r="T96" s="25">
        <f>IF(AI96&lt;71,(1-Info!$F$46)*((AB96*0.0008*(1+(LOOKUP(Info!$I$34,Rates!$O$2:$O$9,Rates!$M$2:$M$9)/100)))),0)</f>
        <v>0</v>
      </c>
      <c r="U96" s="25">
        <f>IF(AI96&lt;71,(1-Info!$I$46)*(((AD96*0.0008*Info!$L$30))*(1+(LOOKUP(Info!$I$34,Rates!$O:$O,Rates!$N:$N)/100))),0)</f>
        <v>0</v>
      </c>
      <c r="V96" s="25">
        <f>((Z96*0.0008))*(1+(LOOKUP(Info!$I$34,Rates!$O$2:$O$9,Rates!$M$2:$M$9)/100))*(1-Info!$C$46)</f>
        <v>0</v>
      </c>
      <c r="W96" s="25">
        <f>IF(AND(AI96&lt;=Rates!$Z$2,AJ96&lt;=Info!$I$6,Info!$F$32="معمولی"),VLOOKUP(AI96,Rates!$U$1:$Y$108,5,0),IF(AND(AI96&lt;=Rates!$Z$2,AJ96&lt;=Info!$I$6,Info!$F$32="پایه"),VLOOKUP(AI96,Rates!$U$1:$Y$108,2,0),IF(AND(AI96&lt;=Rates!$Z$2,AJ96&lt;=Info!$I$6,Info!$F$32="آسایش "),VLOOKUP(AI96,Rates!$U$1:$Y$108,3,0),IF(AND(AI96&lt;=Rates!$Z$2,AJ96&lt;=Info!$I$6,Info!$F$32="ممتاز"),VLOOKUP(AI96,Rates!$U$1:$Y$108,4,0),0))))*AA96/1000000*(1+Info!$C$34)*(1-Info!$I$48)</f>
        <v>0</v>
      </c>
      <c r="X96" s="25">
        <f>IF(Info!$C$32="بله",(AG96-W96-U96-V96-T96)/(1+S96),AG96)</f>
        <v>0</v>
      </c>
      <c r="Y96" s="25">
        <f>IF(AI96&lt;&gt;0,(AD96*LOOKUP(AI96,Rates!$U$2:$U$108,Rates!$T$2:$T$108))/SQRT(1.1),0)</f>
        <v>0</v>
      </c>
      <c r="Z96" s="25">
        <f>IF(AND(AI96&lt;=Rates!$Z$10,AI96&gt;=0),Info!$C$28*(AC96-AD96),0)</f>
        <v>0</v>
      </c>
      <c r="AA96" s="25">
        <f>IF(AND(AI96&gt;=0,AI96&lt;=Rates!$Z$2,AG96&gt;0),MIN(AA95*(1+Info!$F$26),5000000000),0)</f>
        <v>0</v>
      </c>
      <c r="AB96" s="25">
        <f>IF(AND(AI96&gt;=0,AI96&lt;=65),AD96*Info!$L$32,0)</f>
        <v>0</v>
      </c>
      <c r="AC96" s="25">
        <f>IF(AND(AI96&gt;=0,AI96&lt;=Rates!$Z$3),AD96*(1+Info!$L$30),AD96)</f>
        <v>0</v>
      </c>
      <c r="AD96" s="25">
        <f>IF(AI96&lt;&gt;0,AD95*(1+Info!$F$26),0)</f>
        <v>0</v>
      </c>
      <c r="AE96" s="25">
        <f t="shared" si="11"/>
        <v>0</v>
      </c>
      <c r="AF96" s="25">
        <f>IF(AI96&gt;=0,IF(Info!$C$32="بله",AG96,AG96+L96),"")</f>
        <v>0</v>
      </c>
      <c r="AG96" s="145">
        <f>IF(AI96&lt;&gt;0,AG95*(1+Info!$F$24),0)</f>
        <v>0</v>
      </c>
      <c r="AH96" s="150">
        <f>IF(AJ96&lt;&gt;"",Info!$C$6+AJ96-1,0)</f>
        <v>0</v>
      </c>
      <c r="AI96" s="28">
        <f>IF(AJ96&lt;&gt;"",IF(Info!$F$6+AJ96-1&lt;=Rates!$Z$11,Info!$F$6+AJ96-1,0),0)</f>
        <v>0</v>
      </c>
      <c r="AJ96" s="29" t="str">
        <f>IF(AI95&lt;&gt;"",IF(AND(AJ95&lt;&gt;"",AI95+1&lt;=Rates!$Z$11),IF(AJ95&lt;&gt;0,IF(AJ95+1&lt;=Info!$I$6,AJ95+1,""),0),""),"")</f>
        <v/>
      </c>
    </row>
    <row r="97" spans="1:36" ht="18.75" x14ac:dyDescent="0.25">
      <c r="A97" s="24">
        <f>IF(B97&gt;0,IF(Info!$C$32="بله",AG97/B97,(AG97+L97)/B97),0)</f>
        <v>0</v>
      </c>
      <c r="B97" s="24">
        <f>IF(AND(AI97&gt;=0,AJ97&lt;=Info!$I$6),LOOKUP(Info!$C$24,Rates!$I$2:$I$7,Rates!$F$2:$F$7),0)</f>
        <v>0</v>
      </c>
      <c r="C97" s="24">
        <f>IF(AG97&lt;&gt;0,(C96+F97)*(1+VLOOKUP(Info!$C$26,Rates!$D$3:$E$7,2,FALSE)),0)</f>
        <v>0</v>
      </c>
      <c r="D97" s="24">
        <f t="shared" si="13"/>
        <v>0</v>
      </c>
      <c r="E97" s="24">
        <f>IF(AI97&lt;&gt;0,(E96+F97)*(1+VLOOKUP(Info!$C$26,Rates!$A$14:$B$19,2,FALSE)),0)</f>
        <v>0</v>
      </c>
      <c r="F97" s="24">
        <f>IF(AI97&lt;&gt;"",IF(Info!$C$32="بله",IF(AND(AJ97&lt;=Info!$F$36,AJ97&gt;=Info!$I$36),Info!$C$36,0)+(AG97-Y97-L97-K97-J97-I97-H97-G97),IF(AND(AJ97&lt;=Info!$F$36,AJ97&gt;=Info!$I$36),Info!$C$36,0)+(AG97-Y97-K97-J97-I97-H97-G97)),"")</f>
        <v>0</v>
      </c>
      <c r="G97" s="24">
        <f>IF(AI97&lt;&gt;"",Rates!$AB$11*(L97),"")</f>
        <v>0</v>
      </c>
      <c r="H97" s="24">
        <f>IF(AI97&lt;&gt;"",(Rates!$AD$11+Rates!$AC$11)*(L97),"")</f>
        <v>0</v>
      </c>
      <c r="I97" s="24">
        <f>IF(AI97&lt;&gt;"",LOOKUP(Info!$C$24,Rates!$I$2:$I$7,Rates!$H$2:$H$7)*(J97+K97+L97+Y97),"")</f>
        <v>0</v>
      </c>
      <c r="J97" s="24">
        <f t="shared" si="10"/>
        <v>0</v>
      </c>
      <c r="K97" s="24">
        <f>IF(Y97&lt;&gt;"",Info!$C$34*Y97,"")</f>
        <v>0</v>
      </c>
      <c r="L97" s="24">
        <f t="shared" si="12"/>
        <v>0</v>
      </c>
      <c r="M97" s="24"/>
      <c r="N97" s="24">
        <v>0</v>
      </c>
      <c r="O97" s="24" t="str">
        <f>IF(AJ97&lt;=10,(1-Info!$C$44)*IF(OR(Info!$F$24&gt;0,Info!$F$26&gt;0),IF(0.75*$X$4&lt;=0.03*$AD$4,0.75*(X97-X96),0.03*(AD97-AD96)),0),"")</f>
        <v/>
      </c>
      <c r="P97" s="24">
        <f>IF(AJ97&lt;=5,IF(AI97&lt;&gt;"",0.002*AD97,"")*(1-Info!$I$44),0)</f>
        <v>0</v>
      </c>
      <c r="Q97" s="24">
        <f>(1-Info!$F$44)*IF(AI97&lt;&gt;"",IF(Info!$C$32="بله",0.07*X97,0.07*AG97),"")</f>
        <v>0</v>
      </c>
      <c r="R97" s="24">
        <f>IF(X97&lt;&gt;0,S97*X97,0)*(1-Info!$F$48)</f>
        <v>0</v>
      </c>
      <c r="S97" s="24">
        <f>IF(Info!$I$30="خیر",0,IF(Info!$F$30="بله",IF(Info!$C$30=1,2.3,IF(Info!$C$30=2,3.3,4.3)),1))*IF(AND(AH97&lt;=Rates!$Z$8,AH97&gt;0),(1+Info!$C$34)*(1+LOOKUP(Info!$F$34,Rates!$O$2:$O$9,Rates!$L$2:$L$9)/100)*(LOOKUP(Info!$C$6,Rates!$U$2:$U$108,Rates!$R$2:$R$108)/100),0)</f>
        <v>0</v>
      </c>
      <c r="T97" s="24">
        <f>IF(AI97&lt;71,(1-Info!$F$46)*((AB97*0.0008*(1+(LOOKUP(Info!$I$34,Rates!$O$2:$O$9,Rates!$M$2:$M$9)/100)))),0)</f>
        <v>0</v>
      </c>
      <c r="U97" s="24">
        <f>IF(AI97&lt;71,(1-Info!$I$46)*(((AD97*0.0008*Info!$L$30))*(1+(LOOKUP(Info!$I$34,Rates!$O:$O,Rates!$N:$N)/100))),0)</f>
        <v>0</v>
      </c>
      <c r="V97" s="24">
        <f>((Z97*0.0008))*(1+(LOOKUP(Info!$I$34,Rates!$O$2:$O$9,Rates!$M$2:$M$9)/100))*(1-Info!$C$46)</f>
        <v>0</v>
      </c>
      <c r="W97" s="24">
        <f>IF(AND(AI97&lt;=Rates!$Z$2,AJ97&lt;=Info!$I$6,Info!$F$32="معمولی"),VLOOKUP(AI97,Rates!$U$1:$Y$108,5,0),IF(AND(AI97&lt;=Rates!$Z$2,AJ97&lt;=Info!$I$6,Info!$F$32="پایه"),VLOOKUP(AI97,Rates!$U$1:$Y$108,2,0),IF(AND(AI97&lt;=Rates!$Z$2,AJ97&lt;=Info!$I$6,Info!$F$32="آسایش "),VLOOKUP(AI97,Rates!$U$1:$Y$108,3,0),IF(AND(AI97&lt;=Rates!$Z$2,AJ97&lt;=Info!$I$6,Info!$F$32="ممتاز"),VLOOKUP(AI97,Rates!$U$1:$Y$108,4,0),0))))*AA97/1000000*(1+Info!$C$34)*(1-Info!$I$48)</f>
        <v>0</v>
      </c>
      <c r="X97" s="24">
        <f>IF(Info!$C$32="بله",(AG97-W97-U97-V97-T97)/(1+S97),AG97)</f>
        <v>0</v>
      </c>
      <c r="Y97" s="24">
        <f>IF(AI97&lt;&gt;0,(AD97*LOOKUP(AI97,Rates!$U$2:$U$108,Rates!$T$2:$T$108))/SQRT(1.1),0)</f>
        <v>0</v>
      </c>
      <c r="Z97" s="24">
        <f>IF(AND(AI97&lt;=Rates!$Z$10,AI97&gt;=0),Info!$C$28*(AC97-AD97),0)</f>
        <v>0</v>
      </c>
      <c r="AA97" s="24">
        <f>IF(AND(AI97&gt;=0,AI97&lt;=Rates!$Z$2,AG97&gt;0),MIN(AA96*(1+Info!$F$26),5000000000),0)</f>
        <v>0</v>
      </c>
      <c r="AB97" s="24">
        <f>IF(AND(AI97&gt;=0,AI97&lt;=65),AD97*Info!$L$32,0)</f>
        <v>0</v>
      </c>
      <c r="AC97" s="24">
        <f>IF(AND(AI97&gt;=0,AI97&lt;=Rates!$Z$3),AD97*(1+Info!$L$30),AD97)</f>
        <v>0</v>
      </c>
      <c r="AD97" s="24">
        <f>IF(AI97&lt;&gt;0,AD96*(1+Info!$F$26),0)</f>
        <v>0</v>
      </c>
      <c r="AE97" s="24">
        <f t="shared" si="11"/>
        <v>0</v>
      </c>
      <c r="AF97" s="24">
        <f>IF(AI97&gt;=0,IF(Info!$C$32="بله",AG97,AG97+L97),"")</f>
        <v>0</v>
      </c>
      <c r="AG97" s="146">
        <f>IF(AI97&lt;&gt;0,AG96*(1+Info!$F$24),0)</f>
        <v>0</v>
      </c>
      <c r="AH97" s="149">
        <f>IF(AJ97&lt;&gt;"",Info!$C$6+AJ97-1,0)</f>
        <v>0</v>
      </c>
      <c r="AI97" s="26">
        <f>IF(AJ97&lt;&gt;"",IF(Info!$F$6+AJ97-1&lt;=Rates!$Z$11,Info!$F$6+AJ97-1,0),0)</f>
        <v>0</v>
      </c>
      <c r="AJ97" s="27" t="str">
        <f>IF(AI96&lt;&gt;"",IF(AND(AJ96&lt;&gt;"",AI96+1&lt;=Rates!$Z$11),IF(AJ96&lt;&gt;0,IF(AJ96+1&lt;=Info!$I$6,AJ96+1,""),0),""),"")</f>
        <v/>
      </c>
    </row>
    <row r="98" spans="1:36" ht="18.75" x14ac:dyDescent="0.25">
      <c r="A98" s="25">
        <f>IF(B98&gt;0,IF(Info!$C$32="بله",AG98/B98,(AG98+L98)/B98),0)</f>
        <v>0</v>
      </c>
      <c r="B98" s="25">
        <f>IF(AND(AI98&gt;=0,AJ98&lt;=Info!$I$6),LOOKUP(Info!$C$24,Rates!$I$2:$I$7,Rates!$F$2:$F$7),0)</f>
        <v>0</v>
      </c>
      <c r="C98" s="25">
        <f>IF(AG98&lt;&gt;0,(C97+F98)*(1+VLOOKUP(Info!$C$26,Rates!$D$3:$E$7,2,FALSE)),0)</f>
        <v>0</v>
      </c>
      <c r="D98" s="25">
        <f t="shared" si="13"/>
        <v>0</v>
      </c>
      <c r="E98" s="25">
        <f>IF(AI98&lt;&gt;0,(E97+F98)*(1+VLOOKUP(Info!$C$26,Rates!$A$14:$B$19,2,FALSE)),0)</f>
        <v>0</v>
      </c>
      <c r="F98" s="25">
        <f>IF(AI98&lt;&gt;"",IF(Info!$C$32="بله",IF(AND(AJ98&lt;=Info!$F$36,AJ98&gt;=Info!$I$36),Info!$C$36,0)+(AG98-Y98-L98-K98-J98-I98-H98-G98),IF(AND(AJ98&lt;=Info!$F$36,AJ98&gt;=Info!$I$36),Info!$C$36,0)+(AG98-Y98-K98-J98-I98-H98-G98)),"")</f>
        <v>0</v>
      </c>
      <c r="G98" s="25">
        <f>IF(AI98&lt;&gt;"",Rates!$AB$11*(L98),"")</f>
        <v>0</v>
      </c>
      <c r="H98" s="25">
        <f>IF(AI98&lt;&gt;"",(Rates!$AD$11+Rates!$AC$11)*(L98),"")</f>
        <v>0</v>
      </c>
      <c r="I98" s="25">
        <f>IF(AI98&lt;&gt;"",LOOKUP(Info!$C$24,Rates!$I$2:$I$7,Rates!$H$2:$H$7)*(J98+K98+L98+Y98),"")</f>
        <v>0</v>
      </c>
      <c r="J98" s="25">
        <f t="shared" si="10"/>
        <v>0</v>
      </c>
      <c r="K98" s="25">
        <f>IF(Y98&lt;&gt;"",Info!$C$34*Y98,"")</f>
        <v>0</v>
      </c>
      <c r="L98" s="25">
        <f t="shared" si="12"/>
        <v>0</v>
      </c>
      <c r="M98" s="25"/>
      <c r="N98" s="25">
        <v>0</v>
      </c>
      <c r="O98" s="25" t="str">
        <f>IF(AJ98&lt;=10,(1-Info!$C$44)*IF(OR(Info!$F$24&gt;0,Info!$F$26&gt;0),IF(0.75*$X$4&lt;=0.03*$AD$4,0.75*(X98-X97),0.03*(AD98-AD97)),0),"")</f>
        <v/>
      </c>
      <c r="P98" s="25">
        <f>IF(AJ98&lt;=5,IF(AI98&lt;&gt;"",0.002*AD98,"")*(1-Info!$I$44),0)</f>
        <v>0</v>
      </c>
      <c r="Q98" s="25">
        <f>(1-Info!$F$44)*IF(AI98&lt;&gt;"",IF(Info!$C$32="بله",0.07*X98,0.07*AG98),"")</f>
        <v>0</v>
      </c>
      <c r="R98" s="25">
        <f>IF(X98&lt;&gt;0,S98*X98,0)*(1-Info!$F$48)</f>
        <v>0</v>
      </c>
      <c r="S98" s="25">
        <f>IF(Info!$I$30="خیر",0,IF(Info!$F$30="بله",IF(Info!$C$30=1,2.3,IF(Info!$C$30=2,3.3,4.3)),1))*IF(AND(AH98&lt;=Rates!$Z$8,AH98&gt;0),(1+Info!$C$34)*(1+LOOKUP(Info!$F$34,Rates!$O$2:$O$9,Rates!$L$2:$L$9)/100)*(LOOKUP(Info!$C$6,Rates!$U$2:$U$108,Rates!$R$2:$R$108)/100),0)</f>
        <v>0</v>
      </c>
      <c r="T98" s="25">
        <f>IF(AI98&lt;71,(1-Info!$F$46)*((AB98*0.0008*(1+(LOOKUP(Info!$I$34,Rates!$O$2:$O$9,Rates!$M$2:$M$9)/100)))),0)</f>
        <v>0</v>
      </c>
      <c r="U98" s="25">
        <f>IF(AI98&lt;71,(1-Info!$I$46)*(((AD98*0.0008*Info!$L$30))*(1+(LOOKUP(Info!$I$34,Rates!$O:$O,Rates!$N:$N)/100))),0)</f>
        <v>0</v>
      </c>
      <c r="V98" s="25">
        <f>((Z98*0.0008))*(1+(LOOKUP(Info!$I$34,Rates!$O$2:$O$9,Rates!$M$2:$M$9)/100))*(1-Info!$C$46)</f>
        <v>0</v>
      </c>
      <c r="W98" s="25">
        <f>IF(AND(AI98&lt;=Rates!$Z$2,AJ98&lt;=Info!$I$6,Info!$F$32="معمولی"),VLOOKUP(AI98,Rates!$U$1:$Y$108,5,0),IF(AND(AI98&lt;=Rates!$Z$2,AJ98&lt;=Info!$I$6,Info!$F$32="پایه"),VLOOKUP(AI98,Rates!$U$1:$Y$108,2,0),IF(AND(AI98&lt;=Rates!$Z$2,AJ98&lt;=Info!$I$6,Info!$F$32="آسایش "),VLOOKUP(AI98,Rates!$U$1:$Y$108,3,0),IF(AND(AI98&lt;=Rates!$Z$2,AJ98&lt;=Info!$I$6,Info!$F$32="ممتاز"),VLOOKUP(AI98,Rates!$U$1:$Y$108,4,0),0))))*AA98/1000000*(1+Info!$C$34)*(1-Info!$I$48)</f>
        <v>0</v>
      </c>
      <c r="X98" s="25">
        <f>IF(Info!$C$32="بله",(AG98-W98-U98-V98-T98)/(1+S98),AG98)</f>
        <v>0</v>
      </c>
      <c r="Y98" s="25">
        <f>IF(AI98&lt;&gt;0,(AD98*LOOKUP(AI98,Rates!$U$2:$U$108,Rates!$T$2:$T$108))/SQRT(1.1),0)</f>
        <v>0</v>
      </c>
      <c r="Z98" s="25">
        <f>IF(AND(AI98&lt;=Rates!$Z$10,AI98&gt;=0),Info!$C$28*(AC98-AD98),0)</f>
        <v>0</v>
      </c>
      <c r="AA98" s="25">
        <f>IF(AND(AI98&gt;=0,AI98&lt;=Rates!$Z$2,AG98&gt;0),MIN(AA97*(1+Info!$F$26),5000000000),0)</f>
        <v>0</v>
      </c>
      <c r="AB98" s="25">
        <f>IF(AND(AI98&gt;=0,AI98&lt;=65),AD98*Info!$L$32,0)</f>
        <v>0</v>
      </c>
      <c r="AC98" s="25">
        <f>IF(AND(AI98&gt;=0,AI98&lt;=Rates!$Z$3),AD98*(1+Info!$L$30),AD98)</f>
        <v>0</v>
      </c>
      <c r="AD98" s="25">
        <f>IF(AI98&lt;&gt;0,AD97*(1+Info!$F$26),0)</f>
        <v>0</v>
      </c>
      <c r="AE98" s="25">
        <f t="shared" si="11"/>
        <v>0</v>
      </c>
      <c r="AF98" s="25">
        <f>IF(AI98&gt;=0,IF(Info!$C$32="بله",AG98,AG98+L98),"")</f>
        <v>0</v>
      </c>
      <c r="AG98" s="145">
        <f>IF(AI98&lt;&gt;0,AG97*(1+Info!$F$24),0)</f>
        <v>0</v>
      </c>
      <c r="AH98" s="150">
        <f>IF(AJ98&lt;&gt;"",Info!$C$6+AJ98-1,0)</f>
        <v>0</v>
      </c>
      <c r="AI98" s="28">
        <f>IF(AJ98&lt;&gt;"",IF(Info!$F$6+AJ98-1&lt;=Rates!$Z$11,Info!$F$6+AJ98-1,0),0)</f>
        <v>0</v>
      </c>
      <c r="AJ98" s="29" t="str">
        <f>IF(AI97&lt;&gt;"",IF(AND(AJ97&lt;&gt;"",AI97+1&lt;=Rates!$Z$11),IF(AJ97&lt;&gt;0,IF(AJ97+1&lt;=Info!$I$6,AJ97+1,""),0),""),"")</f>
        <v/>
      </c>
    </row>
    <row r="99" spans="1:36" ht="18.75" x14ac:dyDescent="0.25">
      <c r="A99" s="24">
        <f>IF(B99&gt;0,IF(Info!$C$32="بله",AG99/B99,(AG99+L99)/B99),0)</f>
        <v>0</v>
      </c>
      <c r="B99" s="24">
        <f>IF(AND(AI99&gt;=0,AJ99&lt;=Info!$I$6),LOOKUP(Info!$C$24,Rates!$I$2:$I$7,Rates!$F$2:$F$7),0)</f>
        <v>0</v>
      </c>
      <c r="C99" s="24">
        <f>IF(AG99&lt;&gt;0,(C98+F99)*(1+VLOOKUP(Info!$C$26,Rates!$D$3:$E$7,2,FALSE)),0)</f>
        <v>0</v>
      </c>
      <c r="D99" s="24">
        <f t="shared" si="13"/>
        <v>0</v>
      </c>
      <c r="E99" s="24">
        <f>IF(AI99&lt;&gt;0,(E98+F99)*(1+VLOOKUP(Info!$C$26,Rates!$A$14:$B$19,2,FALSE)),0)</f>
        <v>0</v>
      </c>
      <c r="F99" s="24">
        <f>IF(AI99&lt;&gt;"",IF(Info!$C$32="بله",IF(AND(AJ99&lt;=Info!$F$36,AJ99&gt;=Info!$I$36),Info!$C$36,0)+(AG99-Y99-L99-K99-J99-I99-H99-G99),IF(AND(AJ99&lt;=Info!$F$36,AJ99&gt;=Info!$I$36),Info!$C$36,0)+(AG99-Y99-K99-J99-I99-H99-G99)),"")</f>
        <v>0</v>
      </c>
      <c r="G99" s="24">
        <f>IF(AI99&lt;&gt;"",Rates!$AB$11*(L99),"")</f>
        <v>0</v>
      </c>
      <c r="H99" s="24">
        <f>IF(AI99&lt;&gt;"",(Rates!$AD$11+Rates!$AC$11)*(L99),"")</f>
        <v>0</v>
      </c>
      <c r="I99" s="24">
        <f>IF(AI99&lt;&gt;"",LOOKUP(Info!$C$24,Rates!$I$2:$I$7,Rates!$H$2:$H$7)*(J99+K99+L99+Y99),"")</f>
        <v>0</v>
      </c>
      <c r="J99" s="24">
        <f t="shared" si="10"/>
        <v>0</v>
      </c>
      <c r="K99" s="24">
        <f>IF(Y99&lt;&gt;"",Info!$C$34*Y99,"")</f>
        <v>0</v>
      </c>
      <c r="L99" s="24">
        <f t="shared" si="12"/>
        <v>0</v>
      </c>
      <c r="M99" s="24"/>
      <c r="N99" s="24">
        <v>0</v>
      </c>
      <c r="O99" s="24" t="str">
        <f>IF(AJ99&lt;=10,(1-Info!$C$44)*IF(OR(Info!$F$24&gt;0,Info!$F$26&gt;0),IF(0.75*$X$4&lt;=0.03*$AD$4,0.75*(X99-X98),0.03*(AD99-AD98)),0),"")</f>
        <v/>
      </c>
      <c r="P99" s="24">
        <f>IF(AJ99&lt;=5,IF(AI99&lt;&gt;"",0.002*AD99,"")*(1-Info!$I$44),0)</f>
        <v>0</v>
      </c>
      <c r="Q99" s="24">
        <f>(1-Info!$F$44)*IF(AI99&lt;&gt;"",IF(Info!$C$32="بله",0.07*X99,0.07*AG99),"")</f>
        <v>0</v>
      </c>
      <c r="R99" s="24">
        <f>IF(X99&lt;&gt;0,S99*X99,0)*(1-Info!$F$48)</f>
        <v>0</v>
      </c>
      <c r="S99" s="24">
        <f>IF(Info!$I$30="خیر",0,IF(Info!$F$30="بله",IF(Info!$C$30=1,2.3,IF(Info!$C$30=2,3.3,4.3)),1))*IF(AND(AH99&lt;=Rates!$Z$8,AH99&gt;0),(1+Info!$C$34)*(1+LOOKUP(Info!$F$34,Rates!$O$2:$O$9,Rates!$L$2:$L$9)/100)*(LOOKUP(Info!$C$6,Rates!$U$2:$U$108,Rates!$R$2:$R$108)/100),0)</f>
        <v>0</v>
      </c>
      <c r="T99" s="24">
        <f>IF(AI99&lt;71,(1-Info!$F$46)*((AB99*0.0008*(1+(LOOKUP(Info!$I$34,Rates!$O$2:$O$9,Rates!$M$2:$M$9)/100)))),0)</f>
        <v>0</v>
      </c>
      <c r="U99" s="24">
        <f>IF(AI99&lt;71,(1-Info!$I$46)*(((AD99*0.0008*Info!$L$30))*(1+(LOOKUP(Info!$I$34,Rates!$O:$O,Rates!$N:$N)/100))),0)</f>
        <v>0</v>
      </c>
      <c r="V99" s="24">
        <f>((Z99*0.0008))*(1+(LOOKUP(Info!$I$34,Rates!$O$2:$O$9,Rates!$M$2:$M$9)/100))*(1-Info!$C$46)</f>
        <v>0</v>
      </c>
      <c r="W99" s="24">
        <f>IF(AND(AI99&lt;=Rates!$Z$2,AJ99&lt;=Info!$I$6,Info!$F$32="معمولی"),VLOOKUP(AI99,Rates!$U$1:$Y$108,5,0),IF(AND(AI99&lt;=Rates!$Z$2,AJ99&lt;=Info!$I$6,Info!$F$32="پایه"),VLOOKUP(AI99,Rates!$U$1:$Y$108,2,0),IF(AND(AI99&lt;=Rates!$Z$2,AJ99&lt;=Info!$I$6,Info!$F$32="آسایش "),VLOOKUP(AI99,Rates!$U$1:$Y$108,3,0),IF(AND(AI99&lt;=Rates!$Z$2,AJ99&lt;=Info!$I$6,Info!$F$32="ممتاز"),VLOOKUP(AI99,Rates!$U$1:$Y$108,4,0),0))))*AA99/1000000*(1+Info!$C$34)*(1-Info!$I$48)</f>
        <v>0</v>
      </c>
      <c r="X99" s="24">
        <f>IF(Info!$C$32="بله",(AG99-W99-U99-V99-T99)/(1+S99),AG99)</f>
        <v>0</v>
      </c>
      <c r="Y99" s="24">
        <f>IF(AI99&lt;&gt;0,(AD99*LOOKUP(AI99,Rates!$U$2:$U$108,Rates!$T$2:$T$108))/SQRT(1.1),0)</f>
        <v>0</v>
      </c>
      <c r="Z99" s="24">
        <f>IF(AND(AI99&lt;=Rates!$Z$10,AI99&gt;=0),Info!$C$28*(AC99-AD99),0)</f>
        <v>0</v>
      </c>
      <c r="AA99" s="24">
        <f>IF(AND(AI99&gt;=0,AI99&lt;=Rates!$Z$2,AG99&gt;0),MIN(AA98*(1+Info!$F$26),5000000000),0)</f>
        <v>0</v>
      </c>
      <c r="AB99" s="24">
        <f>IF(AND(AI99&gt;=0,AI99&lt;=65),AD99*Info!$L$32,0)</f>
        <v>0</v>
      </c>
      <c r="AC99" s="24">
        <f>IF(AND(AI99&gt;=0,AI99&lt;=Rates!$Z$3),AD99*(1+Info!$L$30),AD99)</f>
        <v>0</v>
      </c>
      <c r="AD99" s="24">
        <f>IF(AI99&lt;&gt;0,AD98*(1+Info!$F$26),0)</f>
        <v>0</v>
      </c>
      <c r="AE99" s="24">
        <f t="shared" si="11"/>
        <v>0</v>
      </c>
      <c r="AF99" s="24">
        <f>IF(AI99&gt;=0,IF(Info!$C$32="بله",AG99,AG99+L99),"")</f>
        <v>0</v>
      </c>
      <c r="AG99" s="146">
        <f>IF(AI99&lt;&gt;0,AG98*(1+Info!$F$24),0)</f>
        <v>0</v>
      </c>
      <c r="AH99" s="149">
        <f>IF(AJ99&lt;&gt;"",Info!$C$6+AJ99-1,0)</f>
        <v>0</v>
      </c>
      <c r="AI99" s="26">
        <f>IF(AJ99&lt;&gt;"",IF(Info!$F$6+AJ99-1&lt;=Rates!$Z$11,Info!$F$6+AJ99-1,0),0)</f>
        <v>0</v>
      </c>
      <c r="AJ99" s="27" t="str">
        <f>IF(AI98&lt;&gt;"",IF(AND(AJ98&lt;&gt;"",AI98+1&lt;=Rates!$Z$11),IF(AJ98&lt;&gt;0,IF(AJ98+1&lt;=Info!$I$6,AJ98+1,""),0),""),"")</f>
        <v/>
      </c>
    </row>
    <row r="100" spans="1:36" ht="18.75" x14ac:dyDescent="0.25">
      <c r="A100" s="25">
        <f>IF(B100&gt;0,IF(Info!$C$32="بله",AG100/B100,(AG100+L100)/B100),0)</f>
        <v>0</v>
      </c>
      <c r="B100" s="25">
        <f>IF(AND(AI100&gt;=0,AJ100&lt;=Info!$I$6),LOOKUP(Info!$C$24,Rates!$I$2:$I$7,Rates!$F$2:$F$7),0)</f>
        <v>0</v>
      </c>
      <c r="C100" s="25">
        <f>IF(AG100&lt;&gt;0,(C99+F100)*(1+VLOOKUP(Info!$C$26,Rates!$D$3:$E$7,2,FALSE)),0)</f>
        <v>0</v>
      </c>
      <c r="D100" s="25">
        <f t="shared" si="13"/>
        <v>0</v>
      </c>
      <c r="E100" s="25">
        <f>IF(AI100&lt;&gt;0,(E99+F100)*(1+VLOOKUP(Info!$C$26,Rates!$A$14:$B$19,2,FALSE)),0)</f>
        <v>0</v>
      </c>
      <c r="F100" s="25">
        <f>IF(AI100&lt;&gt;"",IF(Info!$C$32="بله",IF(AND(AJ100&lt;=Info!$F$36,AJ100&gt;=Info!$I$36),Info!$C$36,0)+(AG100-Y100-L100-K100-J100-I100-H100-G100),IF(AND(AJ100&lt;=Info!$F$36,AJ100&gt;=Info!$I$36),Info!$C$36,0)+(AG100-Y100-K100-J100-I100-H100-G100)),"")</f>
        <v>0</v>
      </c>
      <c r="G100" s="25">
        <f>IF(AI100&lt;&gt;"",Rates!$AB$11*(L100),"")</f>
        <v>0</v>
      </c>
      <c r="H100" s="25">
        <f>IF(AI100&lt;&gt;"",(Rates!$AD$11+Rates!$AC$11)*(L100),"")</f>
        <v>0</v>
      </c>
      <c r="I100" s="25">
        <f>IF(AI100&lt;&gt;"",LOOKUP(Info!$C$24,Rates!$I$2:$I$7,Rates!$H$2:$H$7)*(J100+K100+L100+Y100),"")</f>
        <v>0</v>
      </c>
      <c r="J100" s="25">
        <f t="shared" si="10"/>
        <v>0</v>
      </c>
      <c r="K100" s="25">
        <f>IF(Y100&lt;&gt;"",Info!$C$34*Y100,"")</f>
        <v>0</v>
      </c>
      <c r="L100" s="25">
        <f t="shared" si="12"/>
        <v>0</v>
      </c>
      <c r="M100" s="25"/>
      <c r="N100" s="25">
        <v>0</v>
      </c>
      <c r="O100" s="25" t="str">
        <f>IF(AJ100&lt;=10,(1-Info!$C$44)*IF(OR(Info!$F$24&gt;0,Info!$F$26&gt;0),IF(0.75*$X$4&lt;=0.03*$AD$4,0.75*(X100-X99),0.03*(AD100-AD99)),0),"")</f>
        <v/>
      </c>
      <c r="P100" s="25">
        <f>IF(AJ100&lt;=5,IF(AI100&lt;&gt;"",0.002*AD100,"")*(1-Info!$I$44),0)</f>
        <v>0</v>
      </c>
      <c r="Q100" s="25">
        <f>(1-Info!$F$44)*IF(AI100&lt;&gt;"",IF(Info!$C$32="بله",0.07*X100,0.07*AG100),"")</f>
        <v>0</v>
      </c>
      <c r="R100" s="25">
        <f>IF(X100&lt;&gt;0,S100*X100,0)*(1-Info!$F$48)</f>
        <v>0</v>
      </c>
      <c r="S100" s="25">
        <f>IF(Info!$I$30="خیر",0,IF(Info!$F$30="بله",IF(Info!$C$30=1,2.3,IF(Info!$C$30=2,3.3,4.3)),1))*IF(AND(AH100&lt;=Rates!$Z$8,AH100&gt;0),(1+Info!$C$34)*(1+LOOKUP(Info!$F$34,Rates!$O$2:$O$9,Rates!$L$2:$L$9)/100)*(LOOKUP(Info!$C$6,Rates!$U$2:$U$108,Rates!$R$2:$R$108)/100),0)</f>
        <v>0</v>
      </c>
      <c r="T100" s="25">
        <f>IF(AI100&lt;71,(1-Info!$F$46)*((AB100*0.0008*(1+(LOOKUP(Info!$I$34,Rates!$O$2:$O$9,Rates!$M$2:$M$9)/100)))),0)</f>
        <v>0</v>
      </c>
      <c r="U100" s="25">
        <f>IF(AI100&lt;71,(1-Info!$I$46)*(((AD100*0.0008*Info!$L$30))*(1+(LOOKUP(Info!$I$34,Rates!$O:$O,Rates!$N:$N)/100))),0)</f>
        <v>0</v>
      </c>
      <c r="V100" s="25">
        <f>((Z100*0.0008))*(1+(LOOKUP(Info!$I$34,Rates!$O$2:$O$9,Rates!$M$2:$M$9)/100))*(1-Info!$C$46)</f>
        <v>0</v>
      </c>
      <c r="W100" s="25">
        <f>IF(AND(AI100&lt;=Rates!$Z$2,AJ100&lt;=Info!$I$6,Info!$F$32="معمولی"),VLOOKUP(AI100,Rates!$U$1:$Y$108,5,0),IF(AND(AI100&lt;=Rates!$Z$2,AJ100&lt;=Info!$I$6,Info!$F$32="پایه"),VLOOKUP(AI100,Rates!$U$1:$Y$108,2,0),IF(AND(AI100&lt;=Rates!$Z$2,AJ100&lt;=Info!$I$6,Info!$F$32="آسایش "),VLOOKUP(AI100,Rates!$U$1:$Y$108,3,0),IF(AND(AI100&lt;=Rates!$Z$2,AJ100&lt;=Info!$I$6,Info!$F$32="ممتاز"),VLOOKUP(AI100,Rates!$U$1:$Y$108,4,0),0))))*AA100/1000000*(1+Info!$C$34)*(1-Info!$I$48)</f>
        <v>0</v>
      </c>
      <c r="X100" s="25">
        <f>IF(Info!$C$32="بله",(AG100-W100-U100-V100-T100)/(1+S100),AG100)</f>
        <v>0</v>
      </c>
      <c r="Y100" s="25">
        <f>IF(AI100&lt;&gt;0,(AD100*LOOKUP(AI100,Rates!$U$2:$U$108,Rates!$T$2:$T$108))/SQRT(1.1),0)</f>
        <v>0</v>
      </c>
      <c r="Z100" s="25">
        <f>IF(AND(AI100&lt;=Rates!$Z$10,AI100&gt;=0),Info!$C$28*(AC100-AD100),0)</f>
        <v>0</v>
      </c>
      <c r="AA100" s="25">
        <f>IF(AND(AI100&gt;=0,AI100&lt;=Rates!$Z$2,AG100&gt;0),MIN(AA99*(1+Info!$F$26),5000000000),0)</f>
        <v>0</v>
      </c>
      <c r="AB100" s="25">
        <f>IF(AND(AI100&gt;=0,AI100&lt;=65),AD100*Info!$L$32,0)</f>
        <v>0</v>
      </c>
      <c r="AC100" s="25">
        <f>IF(AND(AI100&gt;=0,AI100&lt;=Rates!$Z$3),AD100*(1+Info!$L$30),AD100)</f>
        <v>0</v>
      </c>
      <c r="AD100" s="25">
        <f>IF(AI100&lt;&gt;0,AD99*(1+Info!$F$26),0)</f>
        <v>0</v>
      </c>
      <c r="AE100" s="25">
        <f t="shared" si="11"/>
        <v>0</v>
      </c>
      <c r="AF100" s="25">
        <f>IF(AI100&gt;=0,IF(Info!$C$32="بله",AG100,AG100+L100),"")</f>
        <v>0</v>
      </c>
      <c r="AG100" s="145">
        <f>IF(AI100&lt;&gt;0,AG99*(1+Info!$F$24),0)</f>
        <v>0</v>
      </c>
      <c r="AH100" s="150">
        <f>IF(AJ100&lt;&gt;"",Info!$C$6+AJ100-1,0)</f>
        <v>0</v>
      </c>
      <c r="AI100" s="28">
        <f>IF(AJ100&lt;&gt;"",IF(Info!$F$6+AJ100-1&lt;=Rates!$Z$11,Info!$F$6+AJ100-1,0),0)</f>
        <v>0</v>
      </c>
      <c r="AJ100" s="29" t="str">
        <f>IF(AI99&lt;&gt;"",IF(AND(AJ99&lt;&gt;"",AI99+1&lt;=Rates!$Z$11),IF(AJ99&lt;&gt;0,IF(AJ99+1&lt;=Info!$I$6,AJ99+1,""),0),""),"")</f>
        <v/>
      </c>
    </row>
    <row r="101" spans="1:36" ht="18.75" x14ac:dyDescent="0.25">
      <c r="A101" s="24">
        <f>IF(B101&gt;0,IF(Info!$C$32="بله",AG101/B101,(AG101+L101)/B101),0)</f>
        <v>0</v>
      </c>
      <c r="B101" s="24">
        <f>IF(AND(AI101&gt;=0,AJ101&lt;=Info!$I$6),LOOKUP(Info!$C$24,Rates!$I$2:$I$7,Rates!$F$2:$F$7),0)</f>
        <v>0</v>
      </c>
      <c r="C101" s="24">
        <f>IF(AG101&lt;&gt;0,(C100+F101)*(1+VLOOKUP(Info!$C$26,Rates!$D$3:$E$7,2,FALSE)),0)</f>
        <v>0</v>
      </c>
      <c r="D101" s="24">
        <f t="shared" si="13"/>
        <v>0</v>
      </c>
      <c r="E101" s="24">
        <f>IF(AI101&lt;&gt;0,(E100+F101)*(1+VLOOKUP(Info!$C$26,Rates!$A$14:$B$19,2,FALSE)),0)</f>
        <v>0</v>
      </c>
      <c r="F101" s="24">
        <f>IF(AI101&lt;&gt;"",IF(Info!$C$32="بله",IF(AND(AJ101&lt;=Info!$F$36,AJ101&gt;=Info!$I$36),Info!$C$36,0)+(AG101-Y101-L101-K101-J101-I101-H101-G101),IF(AND(AJ101&lt;=Info!$F$36,AJ101&gt;=Info!$I$36),Info!$C$36,0)+(AG101-Y101-K101-J101-I101-H101-G101)),"")</f>
        <v>0</v>
      </c>
      <c r="G101" s="24">
        <f>IF(AI101&lt;&gt;"",Rates!$AB$11*(L101),"")</f>
        <v>0</v>
      </c>
      <c r="H101" s="24">
        <f>IF(AI101&lt;&gt;"",(Rates!$AD$11+Rates!$AC$11)*(L101),"")</f>
        <v>0</v>
      </c>
      <c r="I101" s="24">
        <f>IF(AI101&lt;&gt;"",LOOKUP(Info!$C$24,Rates!$I$2:$I$7,Rates!$H$2:$H$7)*(J101+K101+L101+Y101),"")</f>
        <v>0</v>
      </c>
      <c r="J101" s="24">
        <f t="shared" si="10"/>
        <v>0</v>
      </c>
      <c r="K101" s="24">
        <f>IF(Y101&lt;&gt;"",Info!$C$34*Y101,"")</f>
        <v>0</v>
      </c>
      <c r="L101" s="24">
        <f t="shared" si="12"/>
        <v>0</v>
      </c>
      <c r="M101" s="24"/>
      <c r="N101" s="24">
        <v>0</v>
      </c>
      <c r="O101" s="24" t="str">
        <f>IF(AJ101&lt;=10,(1-Info!$C$44)*IF(OR(Info!$F$24&gt;0,Info!$F$26&gt;0),IF(0.75*$X$4&lt;=0.03*$AD$4,0.75*(X101-X100),0.03*(AD101-AD100)),0),"")</f>
        <v/>
      </c>
      <c r="P101" s="24">
        <f>IF(AJ101&lt;=5,IF(AI101&lt;&gt;"",0.002*AD101,"")*(1-Info!$I$44),0)</f>
        <v>0</v>
      </c>
      <c r="Q101" s="24">
        <f>(1-Info!$F$44)*IF(AI101&lt;&gt;"",IF(Info!$C$32="بله",0.07*X101,0.07*AG101),"")</f>
        <v>0</v>
      </c>
      <c r="R101" s="24">
        <f>IF(X101&lt;&gt;0,S101*X101,0)*(1-Info!$F$48)</f>
        <v>0</v>
      </c>
      <c r="S101" s="24">
        <f>IF(Info!$I$30="خیر",0,IF(Info!$F$30="بله",IF(Info!$C$30=1,2.3,IF(Info!$C$30=2,3.3,4.3)),1))*IF(AND(AH101&lt;=Rates!$Z$8,AH101&gt;0),(1+Info!$C$34)*(1+LOOKUP(Info!$F$34,Rates!$O$2:$O$9,Rates!$L$2:$L$9)/100)*(LOOKUP(Info!$C$6,Rates!$U$2:$U$108,Rates!$R$2:$R$108)/100),0)</f>
        <v>0</v>
      </c>
      <c r="T101" s="24">
        <f>IF(AI101&lt;71,(1-Info!$F$46)*((AB101*0.0008*(1+(LOOKUP(Info!$I$34,Rates!$O$2:$O$9,Rates!$M$2:$M$9)/100)))),0)</f>
        <v>0</v>
      </c>
      <c r="U101" s="24">
        <f>IF(AI101&lt;71,(1-Info!$I$46)*(((AD101*0.0008*Info!$L$30))*(1+(LOOKUP(Info!$I$34,Rates!$O:$O,Rates!$N:$N)/100))),0)</f>
        <v>0</v>
      </c>
      <c r="V101" s="24">
        <f>((Z101*0.0008))*(1+(LOOKUP(Info!$I$34,Rates!$O$2:$O$9,Rates!$M$2:$M$9)/100))*(1-Info!$C$46)</f>
        <v>0</v>
      </c>
      <c r="W101" s="24">
        <f>IF(AND(AI101&lt;=Rates!$Z$2,AJ101&lt;=Info!$I$6,Info!$F$32="معمولی"),VLOOKUP(AI101,Rates!$U$1:$Y$108,5,0),IF(AND(AI101&lt;=Rates!$Z$2,AJ101&lt;=Info!$I$6,Info!$F$32="پایه"),VLOOKUP(AI101,Rates!$U$1:$Y$108,2,0),IF(AND(AI101&lt;=Rates!$Z$2,AJ101&lt;=Info!$I$6,Info!$F$32="آسایش "),VLOOKUP(AI101,Rates!$U$1:$Y$108,3,0),IF(AND(AI101&lt;=Rates!$Z$2,AJ101&lt;=Info!$I$6,Info!$F$32="ممتاز"),VLOOKUP(AI101,Rates!$U$1:$Y$108,4,0),0))))*AA101/1000000*(1+Info!$C$34)*(1-Info!$I$48)</f>
        <v>0</v>
      </c>
      <c r="X101" s="24">
        <f>IF(Info!$C$32="بله",(AG101-W101-U101-V101-T101)/(1+S101),AG101)</f>
        <v>0</v>
      </c>
      <c r="Y101" s="24">
        <f>IF(AI101&lt;&gt;0,(AD101*LOOKUP(AI101,Rates!$U$2:$U$108,Rates!$T$2:$T$108))/SQRT(1.1),0)</f>
        <v>0</v>
      </c>
      <c r="Z101" s="24">
        <f>IF(AND(AI101&lt;=Rates!$Z$10,AI101&gt;=0),Info!$C$28*(AC101-AD101),0)</f>
        <v>0</v>
      </c>
      <c r="AA101" s="24">
        <f>IF(AND(AI101&gt;=0,AI101&lt;=Rates!$Z$2,AG101&gt;0),MIN(AA100*(1+Info!$F$26),5000000000),0)</f>
        <v>0</v>
      </c>
      <c r="AB101" s="24">
        <f>IF(AND(AI101&gt;=0,AI101&lt;=65),AD101*Info!$L$32,0)</f>
        <v>0</v>
      </c>
      <c r="AC101" s="24">
        <f>IF(AND(AI101&gt;=0,AI101&lt;=Rates!$Z$3),AD101*(1+Info!$L$30),AD101)</f>
        <v>0</v>
      </c>
      <c r="AD101" s="24">
        <f>IF(AI101&lt;&gt;0,AD100*(1+Info!$F$26),0)</f>
        <v>0</v>
      </c>
      <c r="AE101" s="24">
        <f t="shared" si="11"/>
        <v>0</v>
      </c>
      <c r="AF101" s="24">
        <f>IF(AI101&gt;=0,IF(Info!$C$32="بله",AG101,AG101+L101),"")</f>
        <v>0</v>
      </c>
      <c r="AG101" s="146">
        <f>IF(AI101&lt;&gt;0,AG100*(1+Info!$F$24),0)</f>
        <v>0</v>
      </c>
      <c r="AH101" s="149">
        <f>IF(AJ101&lt;&gt;"",Info!$C$6+AJ101-1,0)</f>
        <v>0</v>
      </c>
      <c r="AI101" s="26">
        <f>IF(AJ101&lt;&gt;"",IF(Info!$F$6+AJ101-1&lt;=Rates!$Z$11,Info!$F$6+AJ101-1,0),0)</f>
        <v>0</v>
      </c>
      <c r="AJ101" s="27" t="str">
        <f>IF(AI100&lt;&gt;"",IF(AND(AJ100&lt;&gt;"",AI100+1&lt;=Rates!$Z$11),IF(AJ100&lt;&gt;0,IF(AJ100+1&lt;=Info!$I$6,AJ100+1,""),0),""),"")</f>
        <v/>
      </c>
    </row>
    <row r="102" spans="1:36" ht="18.75" x14ac:dyDescent="0.25">
      <c r="A102" s="25">
        <f>IF(B102&gt;0,IF(Info!$C$32="بله",AG102/B102,(AG102+L102)/B102),0)</f>
        <v>0</v>
      </c>
      <c r="B102" s="25">
        <f>IF(AND(AI102&gt;=0,AJ102&lt;=Info!$I$6),LOOKUP(Info!$C$24,Rates!$I$2:$I$7,Rates!$F$2:$F$7),0)</f>
        <v>0</v>
      </c>
      <c r="C102" s="25">
        <f>IF(AG102&lt;&gt;0,(C101+F102)*(1+VLOOKUP(Info!$C$26,Rates!$D$3:$E$7,2,FALSE)),0)</f>
        <v>0</v>
      </c>
      <c r="D102" s="25">
        <f t="shared" si="13"/>
        <v>0</v>
      </c>
      <c r="E102" s="25">
        <f>IF(AI102&lt;&gt;0,(E101+F102)*(1+VLOOKUP(Info!$C$26,Rates!$A$14:$B$19,2,FALSE)),0)</f>
        <v>0</v>
      </c>
      <c r="F102" s="25">
        <f>IF(AI102&lt;&gt;"",IF(Info!$C$32="بله",IF(AND(AJ102&lt;=Info!$F$36,AJ102&gt;=Info!$I$36),Info!$C$36,0)+(AG102-Y102-L102-K102-J102-I102-H102-G102),IF(AND(AJ102&lt;=Info!$F$36,AJ102&gt;=Info!$I$36),Info!$C$36,0)+(AG102-Y102-K102-J102-I102-H102-G102)),"")</f>
        <v>0</v>
      </c>
      <c r="G102" s="25">
        <f>IF(AI102&lt;&gt;"",Rates!$AB$11*(L102),"")</f>
        <v>0</v>
      </c>
      <c r="H102" s="25">
        <f>IF(AI102&lt;&gt;"",(Rates!$AD$11+Rates!$AC$11)*(L102),"")</f>
        <v>0</v>
      </c>
      <c r="I102" s="25">
        <f>IF(AI102&lt;&gt;"",LOOKUP(Info!$C$24,Rates!$I$2:$I$7,Rates!$H$2:$H$7)*(J102+K102+L102+Y102),"")</f>
        <v>0</v>
      </c>
      <c r="J102" s="25">
        <f t="shared" si="10"/>
        <v>0</v>
      </c>
      <c r="K102" s="25">
        <f>IF(Y102&lt;&gt;"",Info!$C$34*Y102,"")</f>
        <v>0</v>
      </c>
      <c r="L102" s="25">
        <f t="shared" si="12"/>
        <v>0</v>
      </c>
      <c r="M102" s="25"/>
      <c r="N102" s="25">
        <v>0</v>
      </c>
      <c r="O102" s="25" t="str">
        <f>IF(AJ102&lt;=10,(1-Info!$C$44)*IF(OR(Info!$F$24&gt;0,Info!$F$26&gt;0),IF(0.75*$X$4&lt;=0.03*$AD$4,0.75*(X102-X101),0.03*(AD102-AD101)),0),"")</f>
        <v/>
      </c>
      <c r="P102" s="25">
        <f>IF(AJ102&lt;=5,IF(AI102&lt;&gt;"",0.002*AD102,"")*(1-Info!$I$44),0)</f>
        <v>0</v>
      </c>
      <c r="Q102" s="25">
        <f>(1-Info!$F$44)*IF(AI102&lt;&gt;"",IF(Info!$C$32="بله",0.07*X102,0.07*AG102),"")</f>
        <v>0</v>
      </c>
      <c r="R102" s="25">
        <f>IF(X102&lt;&gt;0,S102*X102,0)*(1-Info!$F$48)</f>
        <v>0</v>
      </c>
      <c r="S102" s="25">
        <f>IF(Info!$I$30="خیر",0,IF(Info!$F$30="بله",IF(Info!$C$30=1,2.3,IF(Info!$C$30=2,3.3,4.3)),1))*IF(AND(AH102&lt;=Rates!$Z$8,AH102&gt;0),(1+Info!$C$34)*(1+LOOKUP(Info!$F$34,Rates!$O$2:$O$9,Rates!$L$2:$L$9)/100)*(LOOKUP(Info!$C$6,Rates!$U$2:$U$108,Rates!$R$2:$R$108)/100),0)</f>
        <v>0</v>
      </c>
      <c r="T102" s="25">
        <f>IF(AI102&lt;71,(1-Info!$F$46)*((AB102*0.0008*(1+(LOOKUP(Info!$I$34,Rates!$O$2:$O$9,Rates!$M$2:$M$9)/100)))),0)</f>
        <v>0</v>
      </c>
      <c r="U102" s="25">
        <f>IF(AI102&lt;71,(1-Info!$I$46)*(((AD102*0.0008*Info!$L$30))*(1+(LOOKUP(Info!$I$34,Rates!$O:$O,Rates!$N:$N)/100))),0)</f>
        <v>0</v>
      </c>
      <c r="V102" s="25">
        <f>((Z102*0.0008))*(1+(LOOKUP(Info!$I$34,Rates!$O$2:$O$9,Rates!$M$2:$M$9)/100))*(1-Info!$C$46)</f>
        <v>0</v>
      </c>
      <c r="W102" s="25">
        <f>IF(AND(AI102&lt;=Rates!$Z$2,AJ102&lt;=Info!$I$6,Info!$F$32="معمولی"),VLOOKUP(AI102,Rates!$U$1:$Y$108,5,0),IF(AND(AI102&lt;=Rates!$Z$2,AJ102&lt;=Info!$I$6,Info!$F$32="پایه"),VLOOKUP(AI102,Rates!$U$1:$Y$108,2,0),IF(AND(AI102&lt;=Rates!$Z$2,AJ102&lt;=Info!$I$6,Info!$F$32="آسایش "),VLOOKUP(AI102,Rates!$U$1:$Y$108,3,0),IF(AND(AI102&lt;=Rates!$Z$2,AJ102&lt;=Info!$I$6,Info!$F$32="ممتاز"),VLOOKUP(AI102,Rates!$U$1:$Y$108,4,0),0))))*AA102/1000000*(1+Info!$C$34)*(1-Info!$I$48)</f>
        <v>0</v>
      </c>
      <c r="X102" s="25">
        <f>IF(Info!$C$32="بله",(AG102-W102-U102-V102-T102)/(1+S102),AG102)</f>
        <v>0</v>
      </c>
      <c r="Y102" s="25">
        <f>IF(AI102&lt;&gt;0,(AD102*LOOKUP(AI102,Rates!$U$2:$U$108,Rates!$T$2:$T$108))/SQRT(1.1),0)</f>
        <v>0</v>
      </c>
      <c r="Z102" s="25">
        <f>IF(AND(AI102&lt;=Rates!$Z$10,AI102&gt;=0),Info!$C$28*(AC102-AD102),0)</f>
        <v>0</v>
      </c>
      <c r="AA102" s="25">
        <f>IF(AND(AI102&gt;=0,AI102&lt;=Rates!$Z$2,AG102&gt;0),MIN(AA101*(1+Info!$F$26),5000000000),0)</f>
        <v>0</v>
      </c>
      <c r="AB102" s="25">
        <f>IF(AND(AI102&gt;=0,AI102&lt;=65),AD102*Info!$L$32,0)</f>
        <v>0</v>
      </c>
      <c r="AC102" s="25">
        <f>IF(AND(AI102&gt;=0,AI102&lt;=Rates!$Z$3),AD102*(1+Info!$L$30),AD102)</f>
        <v>0</v>
      </c>
      <c r="AD102" s="25">
        <f>IF(AI102&lt;&gt;0,AD101*(1+Info!$F$26),0)</f>
        <v>0</v>
      </c>
      <c r="AE102" s="25">
        <f t="shared" si="11"/>
        <v>0</v>
      </c>
      <c r="AF102" s="25">
        <f>IF(AI102&gt;=0,IF(Info!$C$32="بله",AG102,AG102+L102),"")</f>
        <v>0</v>
      </c>
      <c r="AG102" s="145">
        <f>IF(AI102&lt;&gt;0,AG101*(1+Info!$F$24),0)</f>
        <v>0</v>
      </c>
      <c r="AH102" s="150">
        <f>IF(AJ102&lt;&gt;"",Info!$C$6+AJ102-1,0)</f>
        <v>0</v>
      </c>
      <c r="AI102" s="28">
        <f>IF(AJ102&lt;&gt;"",IF(Info!$F$6+AJ102-1&lt;=Rates!$Z$11,Info!$F$6+AJ102-1,0),0)</f>
        <v>0</v>
      </c>
      <c r="AJ102" s="29" t="str">
        <f>IF(AI101&lt;&gt;"",IF(AND(AJ101&lt;&gt;"",AI101+1&lt;=Rates!$Z$11),IF(AJ101&lt;&gt;0,IF(AJ101+1&lt;=Info!$I$6,AJ101+1,""),0),""),"")</f>
        <v/>
      </c>
    </row>
    <row r="103" spans="1:36" ht="18.75" x14ac:dyDescent="0.25">
      <c r="A103" s="24">
        <f>IF(B103&gt;0,IF(Info!$C$32="بله",AG103/B103,(AG103+L103)/B103),0)</f>
        <v>0</v>
      </c>
      <c r="B103" s="24">
        <f>IF(AND(AI103&gt;=0,AJ103&lt;=Info!$I$6),LOOKUP(Info!$C$24,Rates!$I$2:$I$7,Rates!$F$2:$F$7),0)</f>
        <v>0</v>
      </c>
      <c r="C103" s="24">
        <f>IF(AG103&lt;&gt;0,(C102+F103)*(1+VLOOKUP(Info!$C$26,Rates!$D$3:$E$7,2,FALSE)),0)</f>
        <v>0</v>
      </c>
      <c r="D103" s="24">
        <f t="shared" ref="D103:D108" si="14">IF(AI103&lt;&gt;"",E103,"")</f>
        <v>0</v>
      </c>
      <c r="E103" s="24">
        <f>IF(AI103&lt;&gt;0,(E102+F103)*(1+VLOOKUP(Info!$C$26,Rates!$A$14:$B$19,2,FALSE)),0)</f>
        <v>0</v>
      </c>
      <c r="F103" s="24">
        <f>IF(AI103&lt;&gt;"",IF(Info!$C$32="بله",IF(AND(AJ103&lt;=Info!$F$36,AJ103&gt;=Info!$I$36),Info!$C$36,0)+(AG103-Y103-L103-K103-J103-I103-H103-G103),IF(AND(AJ103&lt;=Info!$F$36,AJ103&gt;=Info!$I$36),Info!$C$36,0)+(AG103-Y103-K103-J103-I103-H103-G103)),"")</f>
        <v>0</v>
      </c>
      <c r="G103" s="24">
        <f>IF(AI103&lt;&gt;"",Rates!$AB$11*(L103),"")</f>
        <v>0</v>
      </c>
      <c r="H103" s="24">
        <f>IF(AI103&lt;&gt;"",(Rates!$AD$11+Rates!$AC$11)*(L103),"")</f>
        <v>0</v>
      </c>
      <c r="I103" s="24">
        <f>IF(AI103&lt;&gt;"",LOOKUP(Info!$C$24,Rates!$I$2:$I$7,Rates!$H$2:$H$7)*(J103+K103+L103+Y103),"")</f>
        <v>0</v>
      </c>
      <c r="J103" s="24">
        <f t="shared" si="10"/>
        <v>0</v>
      </c>
      <c r="K103" s="24">
        <f>IF(Y103&lt;&gt;"",Info!$C$34*Y103,"")</f>
        <v>0</v>
      </c>
      <c r="L103" s="24">
        <f t="shared" si="12"/>
        <v>0</v>
      </c>
      <c r="M103" s="24"/>
      <c r="N103" s="24">
        <v>0</v>
      </c>
      <c r="O103" s="24" t="str">
        <f>IF(AJ103&lt;=10,(1-Info!$C$44)*IF(OR(Info!$F$24&gt;0,Info!$F$26&gt;0),IF(0.75*$X$4&lt;=0.03*$AD$4,0.75*(X103-X102),0.03*(AD103-AD102)),0),"")</f>
        <v/>
      </c>
      <c r="P103" s="24">
        <f>IF(AJ103&lt;=5,IF(AI103&lt;&gt;"",0.002*AD103,"")*(1-Info!$I$44),0)</f>
        <v>0</v>
      </c>
      <c r="Q103" s="24">
        <f>(1-Info!$F$44)*IF(AI103&lt;&gt;"",IF(Info!$C$32="بله",0.07*X103,0.07*AG103),"")</f>
        <v>0</v>
      </c>
      <c r="R103" s="24">
        <f>IF(X103&lt;&gt;0,S103*X103,0)*(1-Info!$F$48)</f>
        <v>0</v>
      </c>
      <c r="S103" s="24">
        <f>IF(Info!$I$30="خیر",0,IF(Info!$F$30="بله",IF(Info!$C$30=1,2.3,IF(Info!$C$30=2,3.3,4.3)),1))*IF(AND(AH103&lt;=Rates!$Z$8,AH103&gt;0),(1+Info!$C$34)*(1+LOOKUP(Info!$F$34,Rates!$O$2:$O$9,Rates!$L$2:$L$9)/100)*(LOOKUP(Info!$C$6,Rates!$U$2:$U$108,Rates!$R$2:$R$108)/100),0)</f>
        <v>0</v>
      </c>
      <c r="T103" s="24">
        <f>IF(AI103&lt;71,(1-Info!$F$46)*((AB103*0.0008*(1+(LOOKUP(Info!$I$34,Rates!$O$2:$O$9,Rates!$M$2:$M$9)/100)))),0)</f>
        <v>0</v>
      </c>
      <c r="U103" s="24">
        <f>IF(AI103&lt;71,(1-Info!$I$46)*(((AD103*0.0008*Info!$L$30))*(1+(LOOKUP(Info!$I$34,Rates!$O:$O,Rates!$N:$N)/100))),0)</f>
        <v>0</v>
      </c>
      <c r="V103" s="24">
        <f>((Z103*0.0008))*(1+(LOOKUP(Info!$I$34,Rates!$O$2:$O$9,Rates!$M$2:$M$9)/100))*(1-Info!$C$46)</f>
        <v>0</v>
      </c>
      <c r="W103" s="24">
        <f>IF(AND(AI103&lt;=Rates!$Z$2,AJ103&lt;=Info!$I$6,Info!$F$32="معمولی"),VLOOKUP(AI103,Rates!$U$1:$Y$108,5,0),IF(AND(AI103&lt;=Rates!$Z$2,AJ103&lt;=Info!$I$6,Info!$F$32="پایه"),VLOOKUP(AI103,Rates!$U$1:$Y$108,2,0),IF(AND(AI103&lt;=Rates!$Z$2,AJ103&lt;=Info!$I$6,Info!$F$32="آسایش "),VLOOKUP(AI103,Rates!$U$1:$Y$108,3,0),IF(AND(AI103&lt;=Rates!$Z$2,AJ103&lt;=Info!$I$6,Info!$F$32="ممتاز"),VLOOKUP(AI103,Rates!$U$1:$Y$108,4,0),0))))*AA103/1000000*(1+Info!$C$34)*(1-Info!$I$48)</f>
        <v>0</v>
      </c>
      <c r="X103" s="24">
        <f>IF(Info!$C$32="بله",(AG103-W103-U103-V103-T103)/(1+S103),AG103)</f>
        <v>0</v>
      </c>
      <c r="Y103" s="24">
        <f>IF(AI103&lt;&gt;0,(AD103*LOOKUP(AI103,Rates!$U$2:$U$108,Rates!$T$2:$T$108))/SQRT(1.1),0)</f>
        <v>0</v>
      </c>
      <c r="Z103" s="24">
        <f>IF(AND(AI103&lt;=Rates!$Z$10,AI103&gt;=0),Info!$C$28*(AC103-AD103),0)</f>
        <v>0</v>
      </c>
      <c r="AA103" s="24">
        <f>IF(AND(AI103&gt;=0,AI103&lt;=Rates!$Z$2,AG103&gt;0),MIN(AA102*(1+Info!$F$26),5000000000),0)</f>
        <v>0</v>
      </c>
      <c r="AB103" s="24">
        <f>IF(AND(AI103&gt;=0,AI103&lt;=65),AD103*Info!$L$32,0)</f>
        <v>0</v>
      </c>
      <c r="AC103" s="24">
        <f>IF(AND(AI103&gt;=0,AI103&lt;=Rates!$Z$3),AD103*(1+Info!$L$30),AD103)</f>
        <v>0</v>
      </c>
      <c r="AD103" s="24">
        <f>IF(AI103&lt;&gt;0,AD102*(1+Info!$F$26),0)</f>
        <v>0</v>
      </c>
      <c r="AE103" s="24">
        <f t="shared" si="11"/>
        <v>0</v>
      </c>
      <c r="AF103" s="24">
        <f>IF(AI103&gt;=0,IF(Info!$C$32="بله",AG103,AG103+L103),"")</f>
        <v>0</v>
      </c>
      <c r="AG103" s="146">
        <f>IF(AI103&lt;&gt;0,AG102*(1+Info!$F$24),0)</f>
        <v>0</v>
      </c>
      <c r="AH103" s="149">
        <f>IF(AJ103&lt;&gt;"",Info!$C$6+AJ103-1,0)</f>
        <v>0</v>
      </c>
      <c r="AI103" s="26">
        <f>IF(AJ103&lt;&gt;"",IF(Info!$F$6+AJ103-1&lt;=Rates!$Z$11,Info!$F$6+AJ103-1,0),0)</f>
        <v>0</v>
      </c>
      <c r="AJ103" s="27" t="str">
        <f>IF(AI102&lt;&gt;"",IF(AND(AJ102&lt;&gt;"",AI102+1&lt;=Rates!$Z$11),IF(AJ102&lt;&gt;0,IF(AJ102+1&lt;=Info!$I$6,AJ102+1,""),0),""),"")</f>
        <v/>
      </c>
    </row>
    <row r="104" spans="1:36" ht="18.75" x14ac:dyDescent="0.25">
      <c r="A104" s="25">
        <f>IF(B104&gt;0,IF(Info!$C$32="بله",AG104/B104,(AG104+L104)/B104),0)</f>
        <v>0</v>
      </c>
      <c r="B104" s="25">
        <f>IF(AND(AI104&gt;=0,AJ104&lt;=Info!$I$6),LOOKUP(Info!$C$24,Rates!$I$2:$I$7,Rates!$F$2:$F$7),0)</f>
        <v>0</v>
      </c>
      <c r="C104" s="25">
        <f>IF(AG104&lt;&gt;0,(C103+F104)*(1+VLOOKUP(Info!$C$26,Rates!$D$3:$E$7,2,FALSE)),0)</f>
        <v>0</v>
      </c>
      <c r="D104" s="25">
        <f t="shared" si="14"/>
        <v>0</v>
      </c>
      <c r="E104" s="25">
        <f>IF(AI104&lt;&gt;0,(E103+F104)*(1+VLOOKUP(Info!$C$26,Rates!$A$14:$B$19,2,FALSE)),0)</f>
        <v>0</v>
      </c>
      <c r="F104" s="25">
        <f>IF(AI104&lt;&gt;"",IF(Info!$C$32="بله",IF(AND(AJ104&lt;=Info!$F$36,AJ104&gt;=Info!$I$36),Info!$C$36,0)+(AG104-Y104-L104-K104-J104-I104-H104-G104),IF(AND(AJ104&lt;=Info!$F$36,AJ104&gt;=Info!$I$36),Info!$C$36,0)+(AG104-Y104-K104-J104-I104-H104-G104)),"")</f>
        <v>0</v>
      </c>
      <c r="G104" s="25">
        <f>IF(AI104&lt;&gt;"",Rates!$AB$11*(L104),"")</f>
        <v>0</v>
      </c>
      <c r="H104" s="25">
        <f>IF(AI104&lt;&gt;"",(Rates!$AD$11+Rates!$AC$11)*(L104),"")</f>
        <v>0</v>
      </c>
      <c r="I104" s="25">
        <f>IF(AI104&lt;&gt;"",LOOKUP(Info!$C$24,Rates!$I$2:$I$7,Rates!$H$2:$H$7)*(J104+K104+L104+Y104),"")</f>
        <v>0</v>
      </c>
      <c r="J104" s="25">
        <f t="shared" si="10"/>
        <v>0</v>
      </c>
      <c r="K104" s="25">
        <f>IF(Y104&lt;&gt;"",Info!$C$34*Y104,"")</f>
        <v>0</v>
      </c>
      <c r="L104" s="25">
        <f t="shared" si="12"/>
        <v>0</v>
      </c>
      <c r="M104" s="25"/>
      <c r="N104" s="25">
        <v>0</v>
      </c>
      <c r="O104" s="25" t="str">
        <f>IF(AJ104&lt;=10,(1-Info!$C$44)*IF(OR(Info!$F$24&gt;0,Info!$F$26&gt;0),IF(0.75*$X$4&lt;=0.03*$AD$4,0.75*(X104-X103),0.03*(AD104-AD103)),0),"")</f>
        <v/>
      </c>
      <c r="P104" s="25">
        <f>IF(AJ104&lt;=5,IF(AI104&lt;&gt;"",0.002*AD104,"")*(1-Info!$I$44),0)</f>
        <v>0</v>
      </c>
      <c r="Q104" s="25">
        <f>(1-Info!$F$44)*IF(AI104&lt;&gt;"",IF(Info!$C$32="بله",0.07*X104,0.07*AG104),"")</f>
        <v>0</v>
      </c>
      <c r="R104" s="25">
        <f>IF(X104&lt;&gt;0,S104*X104,0)*(1-Info!$F$48)</f>
        <v>0</v>
      </c>
      <c r="S104" s="25">
        <f>IF(Info!$I$30="خیر",0,IF(Info!$F$30="بله",IF(Info!$C$30=1,2.3,IF(Info!$C$30=2,3.3,4.3)),1))*IF(AND(AH104&lt;=Rates!$Z$8,AH104&gt;0),(1+Info!$C$34)*(1+LOOKUP(Info!$F$34,Rates!$O$2:$O$9,Rates!$L$2:$L$9)/100)*(LOOKUP(Info!$C$6,Rates!$U$2:$U$108,Rates!$R$2:$R$108)/100),0)</f>
        <v>0</v>
      </c>
      <c r="T104" s="25">
        <f>IF(AI104&lt;71,(1-Info!$F$46)*((AB104*0.0008*(1+(LOOKUP(Info!$I$34,Rates!$O$2:$O$9,Rates!$M$2:$M$9)/100)))),0)</f>
        <v>0</v>
      </c>
      <c r="U104" s="25">
        <f>IF(AI104&lt;71,(1-Info!$I$46)*(((AD104*0.0008*Info!$L$30))*(1+(LOOKUP(Info!$I$34,Rates!$O:$O,Rates!$N:$N)/100))),0)</f>
        <v>0</v>
      </c>
      <c r="V104" s="25">
        <f>((Z104*0.0008))*(1+(LOOKUP(Info!$I$34,Rates!$O$2:$O$9,Rates!$M$2:$M$9)/100))*(1-Info!$C$46)</f>
        <v>0</v>
      </c>
      <c r="W104" s="25">
        <f>IF(AND(AI104&lt;=Rates!$Z$2,AJ104&lt;=Info!$I$6,Info!$F$32="معمولی"),VLOOKUP(AI104,Rates!$U$1:$Y$108,5,0),IF(AND(AI104&lt;=Rates!$Z$2,AJ104&lt;=Info!$I$6,Info!$F$32="پایه"),VLOOKUP(AI104,Rates!$U$1:$Y$108,2,0),IF(AND(AI104&lt;=Rates!$Z$2,AJ104&lt;=Info!$I$6,Info!$F$32="آسایش "),VLOOKUP(AI104,Rates!$U$1:$Y$108,3,0),IF(AND(AI104&lt;=Rates!$Z$2,AJ104&lt;=Info!$I$6,Info!$F$32="ممتاز"),VLOOKUP(AI104,Rates!$U$1:$Y$108,4,0),0))))*AA104/1000000*(1+Info!$C$34)*(1-Info!$I$48)</f>
        <v>0</v>
      </c>
      <c r="X104" s="25">
        <f>IF(Info!$C$32="بله",(AG104-W104-U104-V104-T104)/(1+S104),AG104)</f>
        <v>0</v>
      </c>
      <c r="Y104" s="25">
        <f>IF(AI104&lt;&gt;0,(AD104*LOOKUP(AI104,Rates!$U$2:$U$108,Rates!$T$2:$T$108))/SQRT(1.1),0)</f>
        <v>0</v>
      </c>
      <c r="Z104" s="25">
        <f>IF(AND(AI104&lt;=Rates!$Z$10,AI104&gt;=0),Info!$C$28*(AC104-AD104),0)</f>
        <v>0</v>
      </c>
      <c r="AA104" s="25">
        <f>IF(AND(AI104&gt;=0,AI104&lt;=Rates!$Z$2,AG104&gt;0),MIN(AA103*(1+Info!$F$26),5000000000),0)</f>
        <v>0</v>
      </c>
      <c r="AB104" s="25">
        <f>IF(AND(AI104&gt;=0,AI104&lt;=65),AD104*Info!$L$32,0)</f>
        <v>0</v>
      </c>
      <c r="AC104" s="25">
        <f>IF(AND(AI104&gt;=0,AI104&lt;=Rates!$Z$3),AD104*(1+Info!$L$30),AD104)</f>
        <v>0</v>
      </c>
      <c r="AD104" s="25">
        <f>IF(AI104&lt;&gt;0,AD103*(1+Info!$F$26),0)</f>
        <v>0</v>
      </c>
      <c r="AE104" s="25">
        <f t="shared" si="11"/>
        <v>0</v>
      </c>
      <c r="AF104" s="25">
        <f>IF(AI104&gt;=0,IF(Info!$C$32="بله",AG104,AG104+L104),"")</f>
        <v>0</v>
      </c>
      <c r="AG104" s="145">
        <f>IF(AI104&lt;&gt;0,AG103*(1+Info!$F$24),0)</f>
        <v>0</v>
      </c>
      <c r="AH104" s="150">
        <f>IF(AJ104&lt;&gt;"",Info!$C$6+AJ104-1,0)</f>
        <v>0</v>
      </c>
      <c r="AI104" s="28">
        <f>IF(AJ104&lt;&gt;"",IF(Info!$F$6+AJ104-1&lt;=Rates!$Z$11,Info!$F$6+AJ104-1,0),0)</f>
        <v>0</v>
      </c>
      <c r="AJ104" s="29" t="str">
        <f>IF(AI103&lt;&gt;"",IF(AND(AJ103&lt;&gt;"",AI103+1&lt;=Rates!$Z$11),IF(AJ103&lt;&gt;0,IF(AJ103+1&lt;=Info!$I$6,AJ103+1,""),0),""),"")</f>
        <v/>
      </c>
    </row>
    <row r="105" spans="1:36" ht="18.75" x14ac:dyDescent="0.25">
      <c r="A105" s="24">
        <f>IF(B105&gt;0,IF(Info!$C$32="بله",AG105/B105,(AG105+L105)/B105),0)</f>
        <v>0</v>
      </c>
      <c r="B105" s="24">
        <f>IF(AND(AI105&gt;=0,AJ105&lt;=Info!$I$6),LOOKUP(Info!$C$24,Rates!$I$2:$I$7,Rates!$F$2:$F$7),0)</f>
        <v>0</v>
      </c>
      <c r="C105" s="24">
        <f>IF(AG105&lt;&gt;0,(C104+F105)*(1+VLOOKUP(Info!$C$26,Rates!$D$3:$E$7,2,FALSE)),0)</f>
        <v>0</v>
      </c>
      <c r="D105" s="24">
        <f t="shared" si="14"/>
        <v>0</v>
      </c>
      <c r="E105" s="24">
        <f>IF(AI105&lt;&gt;0,(E104+F105)*(1+VLOOKUP(Info!$C$26,Rates!$A$14:$B$19,2,FALSE)),0)</f>
        <v>0</v>
      </c>
      <c r="F105" s="24">
        <f>IF(AI105&lt;&gt;"",IF(Info!$C$32="بله",IF(AND(AJ105&lt;=Info!$F$36,AJ105&gt;=Info!$I$36),Info!$C$36,0)+(AG105-Y105-L105-K105-J105-I105-H105-G105),IF(AND(AJ105&lt;=Info!$F$36,AJ105&gt;=Info!$I$36),Info!$C$36,0)+(AG105-Y105-K105-J105-I105-H105-G105)),"")</f>
        <v>0</v>
      </c>
      <c r="G105" s="24">
        <f>IF(AI105&lt;&gt;"",Rates!$AB$11*(L105),"")</f>
        <v>0</v>
      </c>
      <c r="H105" s="24">
        <f>IF(AI105&lt;&gt;"",(Rates!$AD$11+Rates!$AC$11)*(L105),"")</f>
        <v>0</v>
      </c>
      <c r="I105" s="24">
        <f>IF(AI105&lt;&gt;"",LOOKUP(Info!$C$24,Rates!$I$2:$I$7,Rates!$H$2:$H$7)*(J105+K105+L105+Y105),"")</f>
        <v>0</v>
      </c>
      <c r="J105" s="24">
        <f t="shared" si="10"/>
        <v>0</v>
      </c>
      <c r="K105" s="24">
        <f>IF(Y105&lt;&gt;"",Info!$C$34*Y105,"")</f>
        <v>0</v>
      </c>
      <c r="L105" s="24">
        <f t="shared" si="12"/>
        <v>0</v>
      </c>
      <c r="M105" s="24"/>
      <c r="N105" s="24">
        <v>0</v>
      </c>
      <c r="O105" s="24" t="str">
        <f>IF(AJ105&lt;=10,(1-Info!$C$44)*IF(OR(Info!$F$24&gt;0,Info!$F$26&gt;0),IF(0.75*$X$4&lt;=0.03*$AD$4,0.75*(X105-X104),0.03*(AD105-AD104)),0),"")</f>
        <v/>
      </c>
      <c r="P105" s="24">
        <f>IF(AJ105&lt;=5,IF(AI105&lt;&gt;"",0.002*AD105,"")*(1-Info!$I$44),0)</f>
        <v>0</v>
      </c>
      <c r="Q105" s="24">
        <f>(1-Info!$F$44)*IF(AI105&lt;&gt;"",IF(Info!$C$32="بله",0.07*X105,0.07*AG105),"")</f>
        <v>0</v>
      </c>
      <c r="R105" s="24">
        <f>IF(X105&lt;&gt;0,S105*X105,0)*(1-Info!$F$48)</f>
        <v>0</v>
      </c>
      <c r="S105" s="24">
        <f>IF(Info!$I$30="خیر",0,IF(Info!$F$30="بله",IF(Info!$C$30=1,2.3,IF(Info!$C$30=2,3.3,4.3)),1))*IF(AND(AH105&lt;=Rates!$Z$8,AH105&gt;0),(1+Info!$C$34)*(1+LOOKUP(Info!$F$34,Rates!$O$2:$O$9,Rates!$L$2:$L$9)/100)*(LOOKUP(Info!$C$6,Rates!$U$2:$U$108,Rates!$R$2:$R$108)/100),0)</f>
        <v>0</v>
      </c>
      <c r="T105" s="24">
        <f>IF(AI105&lt;71,(1-Info!$F$46)*((AB105*0.0008*(1+(LOOKUP(Info!$I$34,Rates!$O$2:$O$9,Rates!$M$2:$M$9)/100)))),0)</f>
        <v>0</v>
      </c>
      <c r="U105" s="24">
        <f>IF(AI105&lt;71,(1-Info!$I$46)*(((AD105*0.0008*Info!$L$30))*(1+(LOOKUP(Info!$I$34,Rates!$O:$O,Rates!$N:$N)/100))),0)</f>
        <v>0</v>
      </c>
      <c r="V105" s="24">
        <f>((Z105*0.0008))*(1+(LOOKUP(Info!$I$34,Rates!$O$2:$O$9,Rates!$M$2:$M$9)/100))*(1-Info!$C$46)</f>
        <v>0</v>
      </c>
      <c r="W105" s="24">
        <f>IF(AND(AI105&lt;=Rates!$Z$2,AJ105&lt;=Info!$I$6,Info!$F$32="معمولی"),VLOOKUP(AI105,Rates!$U$1:$Y$108,5,0),IF(AND(AI105&lt;=Rates!$Z$2,AJ105&lt;=Info!$I$6,Info!$F$32="پایه"),VLOOKUP(AI105,Rates!$U$1:$Y$108,2,0),IF(AND(AI105&lt;=Rates!$Z$2,AJ105&lt;=Info!$I$6,Info!$F$32="آسایش "),VLOOKUP(AI105,Rates!$U$1:$Y$108,3,0),IF(AND(AI105&lt;=Rates!$Z$2,AJ105&lt;=Info!$I$6,Info!$F$32="ممتاز"),VLOOKUP(AI105,Rates!$U$1:$Y$108,4,0),0))))*AA105/1000000*(1+Info!$C$34)*(1-Info!$I$48)</f>
        <v>0</v>
      </c>
      <c r="X105" s="24">
        <f>IF(Info!$C$32="بله",(AG105-W105-U105-V105-T105)/(1+S105),AG105)</f>
        <v>0</v>
      </c>
      <c r="Y105" s="24">
        <f>IF(AI105&lt;&gt;0,(AD105*LOOKUP(AI105,Rates!$U$2:$U$108,Rates!$T$2:$T$108))/SQRT(1.1),0)</f>
        <v>0</v>
      </c>
      <c r="Z105" s="24">
        <f>IF(AND(AI105&lt;=Rates!$Z$10,AI105&gt;=0),Info!$C$28*(AC105-AD105),0)</f>
        <v>0</v>
      </c>
      <c r="AA105" s="24">
        <f>IF(AND(AI105&gt;=0,AI105&lt;=Rates!$Z$2,AG105&gt;0),MIN(AA104*(1+Info!$F$26),5000000000),0)</f>
        <v>0</v>
      </c>
      <c r="AB105" s="24">
        <f>IF(AND(AI105&gt;=0,AI105&lt;=65),AD105*Info!$L$32,0)</f>
        <v>0</v>
      </c>
      <c r="AC105" s="24">
        <f>IF(AND(AI105&gt;=0,AI105&lt;=Rates!$Z$3),AD105*(1+Info!$L$30),AD105)</f>
        <v>0</v>
      </c>
      <c r="AD105" s="24">
        <f>IF(AI105&lt;&gt;0,AD104*(1+Info!$F$26),0)</f>
        <v>0</v>
      </c>
      <c r="AE105" s="24">
        <f t="shared" si="11"/>
        <v>0</v>
      </c>
      <c r="AF105" s="24">
        <f>IF(AI105&gt;=0,IF(Info!$C$32="بله",AG105,AG105+L105),"")</f>
        <v>0</v>
      </c>
      <c r="AG105" s="146">
        <f>IF(AI105&lt;&gt;0,AG104*(1+Info!$F$24),0)</f>
        <v>0</v>
      </c>
      <c r="AH105" s="149">
        <f>IF(AJ105&lt;&gt;"",Info!$C$6+AJ105-1,0)</f>
        <v>0</v>
      </c>
      <c r="AI105" s="26">
        <f>IF(AJ105&lt;&gt;"",IF(Info!$F$6+AJ105-1&lt;=Rates!$Z$11,Info!$F$6+AJ105-1,0),0)</f>
        <v>0</v>
      </c>
      <c r="AJ105" s="27" t="str">
        <f>IF(AI104&lt;&gt;"",IF(AND(AJ104&lt;&gt;"",AI104+1&lt;=Rates!$Z$11),IF(AJ104&lt;&gt;0,IF(AJ104+1&lt;=Info!$I$6,AJ104+1,""),0),""),"")</f>
        <v/>
      </c>
    </row>
    <row r="106" spans="1:36" ht="18.75" x14ac:dyDescent="0.25">
      <c r="A106" s="25">
        <f>IF(B106&gt;0,IF(Info!$C$32="بله",AG106/B106,(AG106+L106)/B106),0)</f>
        <v>0</v>
      </c>
      <c r="B106" s="25">
        <f>IF(AND(AI106&gt;=0,AJ106&lt;=Info!$I$6),LOOKUP(Info!$C$24,Rates!$I$2:$I$7,Rates!$F$2:$F$7),0)</f>
        <v>0</v>
      </c>
      <c r="C106" s="25">
        <f>IF(AG106&lt;&gt;0,(C105+F106)*(1+VLOOKUP(Info!$C$26,Rates!$D$3:$E$7,2,FALSE)),0)</f>
        <v>0</v>
      </c>
      <c r="D106" s="25">
        <f t="shared" si="14"/>
        <v>0</v>
      </c>
      <c r="E106" s="25">
        <f>IF(AI106&lt;&gt;0,(E105+F106)*(1+VLOOKUP(Info!$C$26,Rates!$A$14:$B$19,2,FALSE)),0)</f>
        <v>0</v>
      </c>
      <c r="F106" s="25">
        <f>IF(AI106&lt;&gt;"",IF(Info!$C$32="بله",IF(AND(AJ106&lt;=Info!$F$36,AJ106&gt;=Info!$I$36),Info!$C$36,0)+(AG106-Y106-L106-K106-J106-I106-H106-G106),IF(AND(AJ106&lt;=Info!$F$36,AJ106&gt;=Info!$I$36),Info!$C$36,0)+(AG106-Y106-K106-J106-I106-H106-G106)),"")</f>
        <v>0</v>
      </c>
      <c r="G106" s="25">
        <f>IF(AI106&lt;&gt;"",Rates!$AB$11*(L106),"")</f>
        <v>0</v>
      </c>
      <c r="H106" s="25">
        <f>IF(AI106&lt;&gt;"",(Rates!$AD$11+Rates!$AC$11)*(L106),"")</f>
        <v>0</v>
      </c>
      <c r="I106" s="25">
        <f>IF(AI106&lt;&gt;"",LOOKUP(Info!$C$24,Rates!$I$2:$I$7,Rates!$H$2:$H$7)*(J106+K106+L106+Y106),"")</f>
        <v>0</v>
      </c>
      <c r="J106" s="25">
        <f t="shared" si="10"/>
        <v>0</v>
      </c>
      <c r="K106" s="25">
        <f>IF(Y106&lt;&gt;"",Info!$C$34*Y106,"")</f>
        <v>0</v>
      </c>
      <c r="L106" s="25">
        <f t="shared" si="12"/>
        <v>0</v>
      </c>
      <c r="M106" s="25"/>
      <c r="N106" s="25">
        <v>0</v>
      </c>
      <c r="O106" s="25" t="str">
        <f>IF(AJ106&lt;=10,(1-Info!$C$44)*IF(OR(Info!$F$24&gt;0,Info!$F$26&gt;0),IF(0.75*$X$4&lt;=0.03*$AD$4,0.75*(X106-X105),0.03*(AD106-AD105)),0),"")</f>
        <v/>
      </c>
      <c r="P106" s="25">
        <f>IF(AJ106&lt;=5,IF(AI106&lt;&gt;"",0.002*AD106,"")*(1-Info!$I$44),0)</f>
        <v>0</v>
      </c>
      <c r="Q106" s="25">
        <f>(1-Info!$F$44)*IF(AI106&lt;&gt;"",IF(Info!$C$32="بله",0.07*X106,0.07*AG106),"")</f>
        <v>0</v>
      </c>
      <c r="R106" s="25">
        <f>IF(X106&lt;&gt;0,S106*X106,0)*(1-Info!$F$48)</f>
        <v>0</v>
      </c>
      <c r="S106" s="25">
        <f>IF(Info!$I$30="خیر",0,IF(Info!$F$30="بله",IF(Info!$C$30=1,2.3,IF(Info!$C$30=2,3.3,4.3)),1))*IF(AND(AH106&lt;=Rates!$Z$8,AH106&gt;0),(1+Info!$C$34)*(1+LOOKUP(Info!$F$34,Rates!$O$2:$O$9,Rates!$L$2:$L$9)/100)*(LOOKUP(Info!$C$6,Rates!$U$2:$U$108,Rates!$R$2:$R$108)/100),0)</f>
        <v>0</v>
      </c>
      <c r="T106" s="25">
        <f>IF(AI106&lt;71,(1-Info!$F$46)*((AB106*0.0008*(1+(LOOKUP(Info!$I$34,Rates!$O$2:$O$9,Rates!$M$2:$M$9)/100)))),0)</f>
        <v>0</v>
      </c>
      <c r="U106" s="25">
        <f>IF(AI106&lt;71,(1-Info!$I$46)*(((AD106*0.0008*Info!$L$30))*(1+(LOOKUP(Info!$I$34,Rates!$O:$O,Rates!$N:$N)/100))),0)</f>
        <v>0</v>
      </c>
      <c r="V106" s="25">
        <f>((Z106*0.0008))*(1+(LOOKUP(Info!$I$34,Rates!$O$2:$O$9,Rates!$M$2:$M$9)/100))*(1-Info!$C$46)</f>
        <v>0</v>
      </c>
      <c r="W106" s="25">
        <f>IF(AND(AI106&lt;=Rates!$Z$2,AJ106&lt;=Info!$I$6,Info!$F$32="معمولی"),VLOOKUP(AI106,Rates!$U$1:$Y$108,5,0),IF(AND(AI106&lt;=Rates!$Z$2,AJ106&lt;=Info!$I$6,Info!$F$32="پایه"),VLOOKUP(AI106,Rates!$U$1:$Y$108,2,0),IF(AND(AI106&lt;=Rates!$Z$2,AJ106&lt;=Info!$I$6,Info!$F$32="آسایش "),VLOOKUP(AI106,Rates!$U$1:$Y$108,3,0),IF(AND(AI106&lt;=Rates!$Z$2,AJ106&lt;=Info!$I$6,Info!$F$32="ممتاز"),VLOOKUP(AI106,Rates!$U$1:$Y$108,4,0),0))))*AA106/1000000*(1+Info!$C$34)*(1-Info!$I$48)</f>
        <v>0</v>
      </c>
      <c r="X106" s="25">
        <f>IF(Info!$C$32="بله",(AG106-W106-U106-V106-T106)/(1+S106),AG106)</f>
        <v>0</v>
      </c>
      <c r="Y106" s="25">
        <f>IF(AI106&lt;&gt;0,(AD106*LOOKUP(AI106,Rates!$U$2:$U$108,Rates!$T$2:$T$108))/SQRT(1.1),0)</f>
        <v>0</v>
      </c>
      <c r="Z106" s="25">
        <f>IF(AND(AI106&lt;=Rates!$Z$10,AI106&gt;=0),Info!$C$28*(AC106-AD106),0)</f>
        <v>0</v>
      </c>
      <c r="AA106" s="25">
        <f>IF(AND(AI106&gt;=0,AI106&lt;=Rates!$Z$2,AG106&gt;0),MIN(AA105*(1+Info!$F$26),5000000000),0)</f>
        <v>0</v>
      </c>
      <c r="AB106" s="25">
        <f>IF(AND(AI106&gt;=0,AI106&lt;=65),AD106*Info!$L$32,0)</f>
        <v>0</v>
      </c>
      <c r="AC106" s="25">
        <f>IF(AND(AI106&gt;=0,AI106&lt;=Rates!$Z$3),AD106*(1+Info!$L$30),AD106)</f>
        <v>0</v>
      </c>
      <c r="AD106" s="25">
        <f>IF(AI106&lt;&gt;0,AD105*(1+Info!$F$26),0)</f>
        <v>0</v>
      </c>
      <c r="AE106" s="25">
        <f t="shared" si="11"/>
        <v>0</v>
      </c>
      <c r="AF106" s="25">
        <f>IF(AI106&gt;=0,IF(Info!$C$32="بله",AG106,AG106+L106),"")</f>
        <v>0</v>
      </c>
      <c r="AG106" s="145">
        <f>IF(AI106&lt;&gt;0,AG105*(1+Info!$F$24),0)</f>
        <v>0</v>
      </c>
      <c r="AH106" s="150">
        <f>IF(AJ106&lt;&gt;"",Info!$C$6+AJ106-1,0)</f>
        <v>0</v>
      </c>
      <c r="AI106" s="28">
        <f>IF(AJ106&lt;&gt;"",IF(Info!$F$6+AJ106-1&lt;=Rates!$Z$11,Info!$F$6+AJ106-1,0),0)</f>
        <v>0</v>
      </c>
      <c r="AJ106" s="29" t="str">
        <f>IF(AI105&lt;&gt;"",IF(AND(AJ105&lt;&gt;"",AI105+1&lt;=Rates!$Z$11),IF(AJ105&lt;&gt;0,IF(AJ105+1&lt;=Info!$I$6,AJ105+1,""),0),""),"")</f>
        <v/>
      </c>
    </row>
    <row r="107" spans="1:36" ht="18.75" x14ac:dyDescent="0.25">
      <c r="A107" s="24">
        <f>IF(B107&gt;0,IF(Info!$C$32="بله",AG107/B107,(AG107+L107)/B107),0)</f>
        <v>0</v>
      </c>
      <c r="B107" s="24">
        <f>IF(AND(AI107&gt;=0,AJ107&lt;=Info!$I$6),LOOKUP(Info!$C$24,Rates!$I$2:$I$7,Rates!$F$2:$F$7),0)</f>
        <v>0</v>
      </c>
      <c r="C107" s="24">
        <f>IF(AG107&lt;&gt;0,(C106+F107)*(1+VLOOKUP(Info!$C$26,Rates!$D$3:$E$7,2,FALSE)),0)</f>
        <v>0</v>
      </c>
      <c r="D107" s="24">
        <f t="shared" si="14"/>
        <v>0</v>
      </c>
      <c r="E107" s="24">
        <f>IF(AI107&lt;&gt;0,(E106+F107)*(1+VLOOKUP(Info!$C$26,Rates!$A$14:$B$19,2,FALSE)),0)</f>
        <v>0</v>
      </c>
      <c r="F107" s="24">
        <f>IF(AI107&lt;&gt;"",IF(Info!$C$32="بله",IF(AND(AJ107&lt;=Info!$F$36,AJ107&gt;=Info!$I$36),Info!$C$36,0)+(AG107-Y107-L107-K107-J107-I107-H107-G107),IF(AND(AJ107&lt;=Info!$F$36,AJ107&gt;=Info!$I$36),Info!$C$36,0)+(AG107-Y107-K107-J107-I107-H107-G107)),"")</f>
        <v>0</v>
      </c>
      <c r="G107" s="24">
        <f>IF(AI107&lt;&gt;"",Rates!$AB$11*(L107),"")</f>
        <v>0</v>
      </c>
      <c r="H107" s="24">
        <f>IF(AI107&lt;&gt;"",(Rates!$AD$11+Rates!$AC$11)*(L107),"")</f>
        <v>0</v>
      </c>
      <c r="I107" s="24">
        <f>IF(AI107&lt;&gt;"",LOOKUP(Info!$C$24,Rates!$I$2:$I$7,Rates!$H$2:$H$7)*(J107+K107+L107+Y107),"")</f>
        <v>0</v>
      </c>
      <c r="J107" s="24">
        <f t="shared" si="10"/>
        <v>0</v>
      </c>
      <c r="K107" s="24">
        <f>IF(Y107&lt;&gt;"",Info!$C$34*Y107,"")</f>
        <v>0</v>
      </c>
      <c r="L107" s="24">
        <f t="shared" si="12"/>
        <v>0</v>
      </c>
      <c r="M107" s="24"/>
      <c r="N107" s="24">
        <v>0</v>
      </c>
      <c r="O107" s="24" t="str">
        <f>IF(AJ107&lt;=10,(1-Info!$C$44)*IF(OR(Info!$F$24&gt;0,Info!$F$26&gt;0),IF(0.75*$X$4&lt;=0.03*$AD$4,0.75*(X107-X106),0.03*(AD107-AD106)),0),"")</f>
        <v/>
      </c>
      <c r="P107" s="24">
        <f>IF(AJ107&lt;=5,IF(AI107&lt;&gt;"",0.002*AD107,"")*(1-Info!$I$44),0)</f>
        <v>0</v>
      </c>
      <c r="Q107" s="24">
        <f>(1-Info!$F$44)*IF(AI107&lt;&gt;"",IF(Info!$C$32="بله",0.07*X107,0.07*AG107),"")</f>
        <v>0</v>
      </c>
      <c r="R107" s="24">
        <f>IF(X107&lt;&gt;0,S107*X107,0)*(1-Info!$F$48)</f>
        <v>0</v>
      </c>
      <c r="S107" s="24">
        <f>IF(Info!$I$30="خیر",0,IF(Info!$F$30="بله",IF(Info!$C$30=1,2.3,IF(Info!$C$30=2,3.3,4.3)),1))*IF(AND(AH107&lt;=Rates!$Z$8,AH107&gt;0),(1+Info!$C$34)*(1+LOOKUP(Info!$F$34,Rates!$O$2:$O$9,Rates!$L$2:$L$9)/100)*(LOOKUP(Info!$C$6,Rates!$U$2:$U$108,Rates!$R$2:$R$108)/100),0)</f>
        <v>0</v>
      </c>
      <c r="T107" s="24">
        <f>IF(AI107&lt;71,(1-Info!$F$46)*((AB107*0.0008*(1+(LOOKUP(Info!$I$34,Rates!$O$2:$O$9,Rates!$M$2:$M$9)/100)))),0)</f>
        <v>0</v>
      </c>
      <c r="U107" s="24">
        <f>IF(AI107&lt;71,(1-Info!$I$46)*(((AD107*0.0008*Info!$L$30))*(1+(LOOKUP(Info!$I$34,Rates!$O:$O,Rates!$N:$N)/100))),0)</f>
        <v>0</v>
      </c>
      <c r="V107" s="24">
        <f>((Z107*0.0008))*(1+(LOOKUP(Info!$I$34,Rates!$O$2:$O$9,Rates!$M$2:$M$9)/100))*(1-Info!$C$46)</f>
        <v>0</v>
      </c>
      <c r="W107" s="24">
        <f>IF(AND(AI107&lt;=Rates!$Z$2,AJ107&lt;=Info!$I$6,Info!$F$32="معمولی"),VLOOKUP(AI107,Rates!$U$1:$Y$108,5,0),IF(AND(AI107&lt;=Rates!$Z$2,AJ107&lt;=Info!$I$6,Info!$F$32="پایه"),VLOOKUP(AI107,Rates!$U$1:$Y$108,2,0),IF(AND(AI107&lt;=Rates!$Z$2,AJ107&lt;=Info!$I$6,Info!$F$32="آسایش "),VLOOKUP(AI107,Rates!$U$1:$Y$108,3,0),IF(AND(AI107&lt;=Rates!$Z$2,AJ107&lt;=Info!$I$6,Info!$F$32="ممتاز"),VLOOKUP(AI107,Rates!$U$1:$Y$108,4,0),0))))*AA107/1000000*(1+Info!$C$34)*(1-Info!$I$48)</f>
        <v>0</v>
      </c>
      <c r="X107" s="24">
        <f>IF(Info!$C$32="بله",(AG107-W107-U107-V107-T107)/(1+S107),AG107)</f>
        <v>0</v>
      </c>
      <c r="Y107" s="24">
        <f>IF(AI107&lt;&gt;0,(AD107*LOOKUP(AI107,Rates!$U$2:$U$108,Rates!$T$2:$T$108))/SQRT(1.1),0)</f>
        <v>0</v>
      </c>
      <c r="Z107" s="24">
        <f>IF(AND(AI107&lt;=Rates!$Z$10,AI107&gt;=0),Info!$C$28*(AC107-AD107),0)</f>
        <v>0</v>
      </c>
      <c r="AA107" s="24">
        <f>IF(AND(AI107&gt;=0,AI107&lt;=Rates!$Z$2,AG107&gt;0),MIN(AA106*(1+Info!$F$26),5000000000),0)</f>
        <v>0</v>
      </c>
      <c r="AB107" s="24">
        <f>IF(AND(AI107&gt;=0,AI107&lt;=65),AD107*Info!$L$32,0)</f>
        <v>0</v>
      </c>
      <c r="AC107" s="24">
        <f>IF(AND(AI107&gt;=0,AI107&lt;=Rates!$Z$3),AD107*(1+Info!$L$30),AD107)</f>
        <v>0</v>
      </c>
      <c r="AD107" s="24">
        <f>IF(AI107&lt;&gt;0,AD106*(1+Info!$F$26),0)</f>
        <v>0</v>
      </c>
      <c r="AE107" s="24">
        <f t="shared" si="11"/>
        <v>0</v>
      </c>
      <c r="AF107" s="24">
        <f>IF(AI107&gt;=0,IF(Info!$C$32="بله",AG107,AG107+L107),"")</f>
        <v>0</v>
      </c>
      <c r="AG107" s="146">
        <f>IF(AI107&lt;&gt;0,AG106*(1+Info!$F$24),0)</f>
        <v>0</v>
      </c>
      <c r="AH107" s="149">
        <f>IF(AJ107&lt;&gt;"",Info!$C$6+AJ107-1,0)</f>
        <v>0</v>
      </c>
      <c r="AI107" s="26">
        <f>IF(AJ107&lt;&gt;"",IF(Info!$F$6+AJ107-1&lt;=Rates!$Z$11,Info!$F$6+AJ107-1,0),0)</f>
        <v>0</v>
      </c>
      <c r="AJ107" s="27" t="str">
        <f>IF(AI106&lt;&gt;"",IF(AND(AJ106&lt;&gt;"",AI106+1&lt;=Rates!$Z$11),IF(AJ106&lt;&gt;0,IF(AJ106+1&lt;=Info!$I$6,AJ106+1,""),0),""),"")</f>
        <v/>
      </c>
    </row>
    <row r="108" spans="1:36" ht="18.75" x14ac:dyDescent="0.25">
      <c r="A108" s="25">
        <f>IF(B108&gt;0,IF(Info!$C$32="بله",AG108/B108,(AG108+L108)/B108),0)</f>
        <v>0</v>
      </c>
      <c r="B108" s="25">
        <f>IF(AND(AI108&gt;=0,AJ108&lt;=Info!$I$6),LOOKUP(Info!$C$24,Rates!$I$2:$I$7,Rates!$F$2:$F$7),0)</f>
        <v>0</v>
      </c>
      <c r="C108" s="25">
        <f>IF(AG108&lt;&gt;0,(C107+F108)*(1+VLOOKUP(Info!$C$26,Rates!$D$3:$E$7,2,FALSE)),0)</f>
        <v>0</v>
      </c>
      <c r="D108" s="25">
        <f t="shared" si="14"/>
        <v>0</v>
      </c>
      <c r="E108" s="25">
        <f>IF(AI108&lt;&gt;0,(E107+F108)*(1+VLOOKUP(Info!$C$26,Rates!$A$14:$B$19,2,FALSE)),0)</f>
        <v>0</v>
      </c>
      <c r="F108" s="25">
        <f>IF(AI108&lt;&gt;"",IF(Info!$C$32="بله",IF(AND(AJ108&lt;=Info!$F$36,AJ108&gt;=Info!$I$36),Info!$C$36,0)+(AG108-Y108-L108-K108-J108-I108-H108-G108),IF(AND(AJ108&lt;=Info!$F$36,AJ108&gt;=Info!$I$36),Info!$C$36,0)+(AG108-Y108-K108-J108-I108-H108-G108)),"")</f>
        <v>0</v>
      </c>
      <c r="G108" s="25">
        <f>IF(AI108&lt;&gt;"",Rates!$AB$11*(L108),"")</f>
        <v>0</v>
      </c>
      <c r="H108" s="25">
        <f>IF(AI108&lt;&gt;"",(Rates!$AD$11+Rates!$AC$11)*(L108),"")</f>
        <v>0</v>
      </c>
      <c r="I108" s="25">
        <f>IF(AI108&lt;&gt;"",LOOKUP(Info!$C$24,Rates!$I$2:$I$7,Rates!$H$2:$H$7)*(J108+K108+L108+Y108),"")</f>
        <v>0</v>
      </c>
      <c r="J108" s="25">
        <f t="shared" si="10"/>
        <v>0</v>
      </c>
      <c r="K108" s="25">
        <f>IF(Y108&lt;&gt;"",Info!$C$34*Y108,"")</f>
        <v>0</v>
      </c>
      <c r="L108" s="25">
        <f t="shared" si="12"/>
        <v>0</v>
      </c>
      <c r="M108" s="25"/>
      <c r="N108" s="25">
        <v>0</v>
      </c>
      <c r="O108" s="25" t="str">
        <f>IF(AJ108&lt;=10,(1-Info!$C$44)*IF(OR(Info!$F$24&gt;0,Info!$F$26&gt;0),IF(0.75*$X$4&lt;=0.03*$AD$4,0.75*(X108-X107),0.03*(AD108-AD107)),0),"")</f>
        <v/>
      </c>
      <c r="P108" s="25">
        <f>IF(AJ108&lt;=5,IF(AI108&lt;&gt;"",0.002*AD108,"")*(1-Info!$I$44),0)</f>
        <v>0</v>
      </c>
      <c r="Q108" s="25">
        <f>(1-Info!$F$44)*IF(AI108&lt;&gt;"",IF(Info!$C$32="بله",0.07*X108,0.07*AG108),"")</f>
        <v>0</v>
      </c>
      <c r="R108" s="25">
        <f>IF(X108&lt;&gt;0,S108*X108,0)*(1-Info!$F$48)</f>
        <v>0</v>
      </c>
      <c r="S108" s="25">
        <f>IF(Info!$I$30="خیر",0,IF(Info!$F$30="بله",IF(Info!$C$30=1,2.3,IF(Info!$C$30=2,3.3,4.3)),1))*IF(AND(AH108&lt;=Rates!$Z$8,AH108&gt;0),(1+Info!$C$34)*(1+LOOKUP(Info!$F$34,Rates!$O$2:$O$9,Rates!$L$2:$L$9)/100)*(LOOKUP(Info!$C$6,Rates!$U$2:$U$108,Rates!$R$2:$R$108)/100),0)</f>
        <v>0</v>
      </c>
      <c r="T108" s="25">
        <f>IF(AI108&lt;71,(1-Info!$F$46)*((AB108*0.0008*(1+(LOOKUP(Info!$I$34,Rates!$O$2:$O$9,Rates!$M$2:$M$9)/100)))),0)</f>
        <v>0</v>
      </c>
      <c r="U108" s="25">
        <f>IF(AI108&lt;71,(1-Info!$I$46)*(((AD108*0.0008*Info!$L$30))*(1+(LOOKUP(Info!$I$34,Rates!$O:$O,Rates!$N:$N)/100))),0)</f>
        <v>0</v>
      </c>
      <c r="V108" s="25">
        <f>((Z108*0.0008))*(1+(LOOKUP(Info!$I$34,Rates!$O$2:$O$9,Rates!$M$2:$M$9)/100))*(1-Info!$C$46)</f>
        <v>0</v>
      </c>
      <c r="W108" s="25">
        <f>IF(AND(AI108&lt;=Rates!$Z$2,AJ108&lt;=Info!$I$6,Info!$F$32="معمولی"),VLOOKUP(AI108,Rates!$U$1:$Y$108,5,0),IF(AND(AI108&lt;=Rates!$Z$2,AJ108&lt;=Info!$I$6,Info!$F$32="پایه"),VLOOKUP(AI108,Rates!$U$1:$Y$108,2,0),IF(AND(AI108&lt;=Rates!$Z$2,AJ108&lt;=Info!$I$6,Info!$F$32="آسایش "),VLOOKUP(AI108,Rates!$U$1:$Y$108,3,0),IF(AND(AI108&lt;=Rates!$Z$2,AJ108&lt;=Info!$I$6,Info!$F$32="ممتاز"),VLOOKUP(AI108,Rates!$U$1:$Y$108,4,0),0))))*AA108/1000000*(1+Info!$C$34)*(1-Info!$I$48)</f>
        <v>0</v>
      </c>
      <c r="X108" s="25">
        <f>IF(Info!$C$32="بله",(AG108-W108-U108-V108-T108)/(1+S108),AG108)</f>
        <v>0</v>
      </c>
      <c r="Y108" s="25">
        <f>IF(AI108&lt;&gt;0,(AD108*LOOKUP(AI108,Rates!$U$2:$U$108,Rates!$T$2:$T$108))/SQRT(1.1),0)</f>
        <v>0</v>
      </c>
      <c r="Z108" s="25">
        <f>IF(AND(AI108&lt;=Rates!$Z$10,AI108&gt;=0),Info!$C$28*(AC108-AD108),0)</f>
        <v>0</v>
      </c>
      <c r="AA108" s="25">
        <f>IF(AND(AI108&gt;=0,AI108&lt;=Rates!$Z$2,AG108&gt;0),MIN(AA107*(1+Info!$F$26),5000000000),0)</f>
        <v>0</v>
      </c>
      <c r="AB108" s="25">
        <f>IF(AND(AI108&gt;=0,AI108&lt;=65),AD108*Info!$L$32,0)</f>
        <v>0</v>
      </c>
      <c r="AC108" s="25">
        <f>IF(AND(AI108&gt;=0,AI108&lt;=Rates!$Z$3),AD108*(1+Info!$L$30),AD108)</f>
        <v>0</v>
      </c>
      <c r="AD108" s="25">
        <f>IF(AI108&lt;&gt;0,AD107*(1+Info!$F$26),0)</f>
        <v>0</v>
      </c>
      <c r="AE108" s="25">
        <f t="shared" si="11"/>
        <v>0</v>
      </c>
      <c r="AF108" s="25">
        <f>IF(AI108&gt;=0,IF(Info!$C$32="بله",AG108,AG108+L108),"")</f>
        <v>0</v>
      </c>
      <c r="AG108" s="145">
        <f>IF(AI108&lt;&gt;0,AG107*(1+Info!$F$24),0)</f>
        <v>0</v>
      </c>
      <c r="AH108" s="150">
        <f>IF(AJ108&lt;&gt;"",Info!$C$6+AJ108-1,0)</f>
        <v>0</v>
      </c>
      <c r="AI108" s="28">
        <f>IF(AJ108&lt;&gt;"",IF(Info!$F$6+AJ108-1&lt;=Rates!$Z$11,Info!$F$6+AJ108-1,0),0)</f>
        <v>0</v>
      </c>
      <c r="AJ108" s="29" t="str">
        <f>IF(AI107&lt;&gt;"",IF(AND(AJ107&lt;&gt;"",AI107+1&lt;=Rates!$Z$11),IF(AJ107&lt;&gt;0,IF(AJ107+1&lt;=Info!$I$6,AJ107+1,""),0),""),"")</f>
        <v/>
      </c>
    </row>
    <row r="109" spans="1:36" x14ac:dyDescent="0.25">
      <c r="AF109" s="154"/>
    </row>
  </sheetData>
  <mergeCells count="2">
    <mergeCell ref="AC2:AD2"/>
    <mergeCell ref="D2:E2"/>
  </mergeCells>
  <printOptions horizontalCentered="1" verticalCentered="1"/>
  <pageMargins left="0.7" right="0.7" top="0.75" bottom="0.75" header="0.3" footer="0.3"/>
  <pageSetup paperSize="9" scale="50" fitToHeight="0" orientation="landscape" r:id="rId1"/>
  <headerFooter>
    <oddHeader>&amp;L&amp;"B Nazanin,Bold"کد مدرک: &amp;"Times New Roman,Bold"LIF022&amp;"B Nazanin,Bold"
شماره تجدیدنظر: &amp;"Times New Roman,Bold"04&amp;C&amp;"B Titr,Bold"بیمه سامان
جدول آفلاین بیمه نامه عمر و تشکیل سرمایه (روش پرداخت غیر یکجا)&amp;R&amp;G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93EC2-1F5A-4F72-8D2C-973F135277E7}">
  <dimension ref="A1:AQ108"/>
  <sheetViews>
    <sheetView workbookViewId="0">
      <selection activeCell="B7" sqref="B7"/>
    </sheetView>
  </sheetViews>
  <sheetFormatPr defaultRowHeight="15" x14ac:dyDescent="0.25"/>
  <cols>
    <col min="1" max="1" width="45.85546875" bestFit="1" customWidth="1"/>
    <col min="2" max="2" width="17.85546875" style="186" bestFit="1" customWidth="1"/>
    <col min="3" max="3" width="19.5703125" style="186" bestFit="1" customWidth="1"/>
    <col min="4" max="4" width="26.42578125" style="186" bestFit="1" customWidth="1"/>
    <col min="5" max="5" width="18.5703125" style="186" bestFit="1" customWidth="1"/>
    <col min="6" max="6" width="14.42578125" style="186" bestFit="1" customWidth="1"/>
    <col min="7" max="8" width="10.7109375" style="186" bestFit="1" customWidth="1"/>
    <col min="9" max="9" width="10.5703125" style="186" bestFit="1" customWidth="1"/>
    <col min="10" max="10" width="12.7109375" style="186" bestFit="1" customWidth="1"/>
    <col min="11" max="11" width="9.28515625" style="186"/>
    <col min="12" max="12" width="10.7109375" style="186" bestFit="1" customWidth="1"/>
    <col min="13" max="13" width="15.7109375" style="186" bestFit="1" customWidth="1"/>
    <col min="14" max="14" width="13.28515625" style="186" bestFit="1" customWidth="1"/>
    <col min="15" max="15" width="17.42578125" style="186" bestFit="1" customWidth="1"/>
    <col min="16" max="16" width="7.140625" style="186" bestFit="1" customWidth="1"/>
    <col min="17" max="17" width="30.85546875" style="186" bestFit="1" customWidth="1"/>
    <col min="18" max="18" width="36.85546875" style="186" bestFit="1" customWidth="1"/>
    <col min="19" max="19" width="36.85546875" style="112" customWidth="1"/>
    <col min="20" max="20" width="12" style="186" bestFit="1" customWidth="1"/>
    <col min="21" max="21" width="4" style="186" bestFit="1" customWidth="1"/>
    <col min="22" max="22" width="16.5703125" bestFit="1" customWidth="1"/>
    <col min="23" max="23" width="8.5703125" customWidth="1"/>
    <col min="24" max="24" width="38.140625" bestFit="1" customWidth="1"/>
    <col min="25" max="25" width="18.140625" bestFit="1" customWidth="1"/>
    <col min="26" max="26" width="18" bestFit="1" customWidth="1"/>
    <col min="27" max="27" width="9.5703125" bestFit="1" customWidth="1"/>
    <col min="28" max="28" width="11.28515625" bestFit="1" customWidth="1"/>
    <col min="30" max="30" width="8.85546875" customWidth="1"/>
    <col min="31" max="31" width="3.5703125" bestFit="1" customWidth="1"/>
    <col min="33" max="33" width="11" bestFit="1" customWidth="1"/>
    <col min="42" max="42" width="7.5703125" bestFit="1" customWidth="1"/>
  </cols>
  <sheetData>
    <row r="1" spans="1:43" ht="17.25" x14ac:dyDescent="0.25">
      <c r="A1" s="184" t="s">
        <v>102</v>
      </c>
      <c r="B1" s="184" t="s">
        <v>103</v>
      </c>
      <c r="C1" s="184" t="s">
        <v>104</v>
      </c>
      <c r="D1" s="184" t="s">
        <v>21</v>
      </c>
      <c r="E1" s="185" t="s">
        <v>105</v>
      </c>
      <c r="F1" s="184"/>
      <c r="G1" s="184"/>
      <c r="H1" s="184"/>
      <c r="I1" s="184"/>
      <c r="J1" s="184"/>
      <c r="L1" s="184"/>
      <c r="M1" s="184"/>
      <c r="N1" s="184" t="s">
        <v>106</v>
      </c>
      <c r="O1" s="184" t="s">
        <v>107</v>
      </c>
      <c r="P1" s="184" t="s">
        <v>108</v>
      </c>
      <c r="Q1" s="187"/>
      <c r="R1" s="187"/>
      <c r="S1" s="132" t="s">
        <v>109</v>
      </c>
      <c r="T1" s="188" t="s">
        <v>110</v>
      </c>
      <c r="U1" s="187" t="s">
        <v>111</v>
      </c>
      <c r="V1" s="189"/>
      <c r="W1" s="190" t="s">
        <v>112</v>
      </c>
      <c r="X1" s="191" t="s">
        <v>113</v>
      </c>
      <c r="Y1" s="192"/>
      <c r="Z1" s="192"/>
      <c r="AA1" s="192"/>
      <c r="AB1" s="192"/>
      <c r="AD1" s="192"/>
      <c r="AE1" s="192"/>
      <c r="AG1" s="192"/>
      <c r="AH1" s="192"/>
      <c r="AI1" s="192"/>
      <c r="AJ1" s="192"/>
      <c r="AK1" s="192"/>
      <c r="AL1" s="192"/>
      <c r="AP1" s="193"/>
      <c r="AQ1" s="193"/>
    </row>
    <row r="2" spans="1:43" ht="18" x14ac:dyDescent="0.25">
      <c r="A2" s="194">
        <v>0.1</v>
      </c>
      <c r="B2" s="194">
        <v>0.13</v>
      </c>
      <c r="C2" s="194">
        <v>0.16</v>
      </c>
      <c r="D2" s="195" t="s">
        <v>114</v>
      </c>
      <c r="E2" s="196">
        <f>IFERROR(AVERAGE(B14:G14),0)</f>
        <v>0.16654166666666667</v>
      </c>
      <c r="F2" s="194"/>
      <c r="G2" s="194"/>
      <c r="H2" s="194"/>
      <c r="I2" s="195"/>
      <c r="J2" s="195"/>
      <c r="L2" s="194"/>
      <c r="M2" s="194"/>
      <c r="N2" s="194">
        <v>200</v>
      </c>
      <c r="O2" s="195" t="s">
        <v>115</v>
      </c>
      <c r="P2" s="197">
        <v>7</v>
      </c>
      <c r="Q2" s="198"/>
      <c r="R2" s="198"/>
      <c r="S2" s="117">
        <v>100000</v>
      </c>
      <c r="T2" s="199">
        <v>1.7340000000000022E-2</v>
      </c>
      <c r="U2" s="188">
        <v>0</v>
      </c>
      <c r="V2" s="199"/>
      <c r="W2" s="200"/>
      <c r="X2" s="201"/>
      <c r="Y2" s="202"/>
      <c r="Z2" s="202"/>
      <c r="AA2" s="202"/>
      <c r="AB2" s="180"/>
      <c r="AD2" s="202"/>
      <c r="AE2" s="180"/>
      <c r="AG2" s="180"/>
      <c r="AP2" s="203"/>
      <c r="AQ2" s="203"/>
    </row>
    <row r="3" spans="1:43" ht="18" x14ac:dyDescent="0.25">
      <c r="A3" s="202"/>
      <c r="B3" s="202"/>
      <c r="C3" s="202"/>
      <c r="D3" s="180"/>
      <c r="E3" s="204"/>
      <c r="F3" s="194"/>
      <c r="G3" s="194"/>
      <c r="H3" s="194"/>
      <c r="I3" s="195"/>
      <c r="J3" s="195"/>
      <c r="L3" s="194"/>
      <c r="M3" s="194"/>
      <c r="N3" s="194">
        <v>150</v>
      </c>
      <c r="O3" s="195" t="s">
        <v>116</v>
      </c>
      <c r="P3" s="197">
        <v>6</v>
      </c>
      <c r="Q3" s="198"/>
      <c r="R3" s="198"/>
      <c r="S3" s="117">
        <v>98266</v>
      </c>
      <c r="T3" s="199">
        <v>1.2415280972055687E-3</v>
      </c>
      <c r="U3" s="188">
        <v>1</v>
      </c>
      <c r="V3" s="199"/>
      <c r="W3" s="200">
        <v>70</v>
      </c>
      <c r="X3" s="201" t="s">
        <v>117</v>
      </c>
      <c r="Y3" s="202"/>
      <c r="Z3" s="202"/>
      <c r="AA3" s="202"/>
      <c r="AB3" s="180"/>
      <c r="AD3" s="202"/>
      <c r="AE3" s="180"/>
      <c r="AG3" s="180"/>
      <c r="AP3" s="203"/>
      <c r="AQ3" s="203"/>
    </row>
    <row r="4" spans="1:43" ht="18" x14ac:dyDescent="0.25">
      <c r="A4" s="202"/>
      <c r="B4" s="202"/>
      <c r="C4" s="202"/>
      <c r="D4" s="180"/>
      <c r="E4" s="204"/>
      <c r="F4" s="194"/>
      <c r="G4" s="194"/>
      <c r="H4" s="194"/>
      <c r="I4" s="195"/>
      <c r="J4" s="195"/>
      <c r="L4" s="194"/>
      <c r="M4" s="194"/>
      <c r="N4" s="194">
        <v>0</v>
      </c>
      <c r="O4" s="195" t="s">
        <v>118</v>
      </c>
      <c r="P4" s="197">
        <v>2</v>
      </c>
      <c r="Q4" s="198"/>
      <c r="R4" s="198"/>
      <c r="S4" s="117">
        <v>98144</v>
      </c>
      <c r="T4" s="199">
        <v>9.3739810890125508E-4</v>
      </c>
      <c r="U4" s="188">
        <v>2</v>
      </c>
      <c r="V4" s="199"/>
      <c r="W4" s="200"/>
      <c r="X4" s="201"/>
      <c r="Y4" s="202"/>
      <c r="Z4" s="202"/>
      <c r="AA4" s="202"/>
      <c r="AB4" s="180"/>
      <c r="AD4" s="202"/>
      <c r="AE4" s="180"/>
      <c r="AG4" s="180"/>
      <c r="AP4" s="203"/>
      <c r="AQ4" s="203"/>
    </row>
    <row r="5" spans="1:43" ht="18" x14ac:dyDescent="0.25">
      <c r="A5" s="202"/>
      <c r="B5" s="202"/>
      <c r="C5" s="202"/>
      <c r="D5" s="180"/>
      <c r="E5" s="204"/>
      <c r="F5" s="194"/>
      <c r="G5" s="194"/>
      <c r="H5" s="194"/>
      <c r="I5" s="195"/>
      <c r="J5" s="195"/>
      <c r="L5" s="194"/>
      <c r="M5" s="194"/>
      <c r="N5" s="194">
        <v>50</v>
      </c>
      <c r="O5" s="195" t="s">
        <v>119</v>
      </c>
      <c r="P5" s="197">
        <v>3</v>
      </c>
      <c r="Q5" s="198"/>
      <c r="R5" s="198"/>
      <c r="S5" s="117">
        <v>98052</v>
      </c>
      <c r="T5" s="199">
        <v>7.9549626728669942E-4</v>
      </c>
      <c r="U5" s="188">
        <v>3</v>
      </c>
      <c r="V5" s="199"/>
      <c r="W5" s="205">
        <v>0.1</v>
      </c>
      <c r="X5" s="206" t="s">
        <v>120</v>
      </c>
      <c r="Y5" s="202"/>
      <c r="Z5" s="202"/>
      <c r="AA5" s="202"/>
      <c r="AB5" s="180"/>
      <c r="AD5" s="202"/>
      <c r="AE5" s="180"/>
      <c r="AG5" s="180"/>
      <c r="AP5" s="203"/>
      <c r="AQ5" s="203"/>
    </row>
    <row r="6" spans="1:43" ht="18" x14ac:dyDescent="0.25">
      <c r="A6" s="202"/>
      <c r="B6" s="202"/>
      <c r="C6" s="202"/>
      <c r="D6" s="180"/>
      <c r="E6" s="204"/>
      <c r="F6" s="194"/>
      <c r="G6" s="194"/>
      <c r="H6" s="194"/>
      <c r="I6" s="195"/>
      <c r="J6" s="195"/>
      <c r="L6" s="194"/>
      <c r="M6" s="194"/>
      <c r="N6" s="194">
        <v>0</v>
      </c>
      <c r="O6" s="195" t="s">
        <v>121</v>
      </c>
      <c r="P6" s="197">
        <v>4</v>
      </c>
      <c r="Q6" s="198"/>
      <c r="R6" s="198"/>
      <c r="S6" s="117">
        <v>97974</v>
      </c>
      <c r="T6" s="199">
        <v>7.2468205850528822E-4</v>
      </c>
      <c r="U6" s="188">
        <v>4</v>
      </c>
      <c r="V6" s="199"/>
      <c r="W6" s="194">
        <v>0.15</v>
      </c>
      <c r="X6" s="206" t="s">
        <v>122</v>
      </c>
      <c r="Y6" s="202"/>
      <c r="Z6" s="202"/>
      <c r="AA6" s="202"/>
      <c r="AB6" s="180"/>
      <c r="AD6" s="202"/>
      <c r="AE6" s="180"/>
      <c r="AG6" s="180"/>
      <c r="AP6" s="203"/>
      <c r="AQ6" s="203"/>
    </row>
    <row r="7" spans="1:43" ht="18" x14ac:dyDescent="0.25">
      <c r="A7" s="202"/>
      <c r="B7" s="202"/>
      <c r="C7" s="202"/>
      <c r="D7" s="180"/>
      <c r="E7" s="204"/>
      <c r="F7" s="194"/>
      <c r="G7" s="194"/>
      <c r="H7" s="194"/>
      <c r="I7" s="195"/>
      <c r="J7" s="195"/>
      <c r="L7" s="194"/>
      <c r="M7" s="194"/>
      <c r="N7" s="194">
        <v>100</v>
      </c>
      <c r="O7" s="195" t="s">
        <v>123</v>
      </c>
      <c r="P7" s="197">
        <v>5</v>
      </c>
      <c r="Q7" s="198"/>
      <c r="R7" s="198"/>
      <c r="S7" s="117">
        <v>97903</v>
      </c>
      <c r="T7" s="199">
        <v>6.5370826225963352E-4</v>
      </c>
      <c r="U7" s="188">
        <v>5</v>
      </c>
      <c r="V7" s="199"/>
      <c r="W7" s="207"/>
      <c r="X7" s="208"/>
      <c r="Y7" s="209"/>
      <c r="Z7" s="209"/>
      <c r="AA7" s="209"/>
      <c r="AB7" s="209"/>
      <c r="AD7" s="202"/>
      <c r="AE7" s="180"/>
      <c r="AP7" s="203"/>
      <c r="AQ7" s="203"/>
    </row>
    <row r="8" spans="1:43" ht="17.25" x14ac:dyDescent="0.25">
      <c r="F8" s="194"/>
      <c r="G8" s="194"/>
      <c r="H8" s="194"/>
      <c r="I8" s="195"/>
      <c r="J8" s="195"/>
      <c r="L8" s="194"/>
      <c r="M8" s="194"/>
      <c r="N8" s="194">
        <v>0</v>
      </c>
      <c r="O8" s="195" t="s">
        <v>124</v>
      </c>
      <c r="P8" s="197">
        <v>8</v>
      </c>
      <c r="Q8" s="198"/>
      <c r="R8" s="198"/>
      <c r="S8" s="117">
        <v>97839</v>
      </c>
      <c r="T8" s="199">
        <v>6.0303151095164598E-4</v>
      </c>
      <c r="U8" s="188">
        <v>6</v>
      </c>
      <c r="V8" s="199"/>
      <c r="W8" s="205"/>
      <c r="X8" s="206"/>
      <c r="Y8" s="209"/>
      <c r="Z8" s="209"/>
      <c r="AA8" s="209"/>
      <c r="AB8" s="209"/>
      <c r="AD8" s="202"/>
      <c r="AE8" s="180"/>
    </row>
    <row r="9" spans="1:43" ht="17.25" x14ac:dyDescent="0.25">
      <c r="L9" s="194"/>
      <c r="M9" s="194"/>
      <c r="N9" s="194">
        <v>0</v>
      </c>
      <c r="O9" s="195" t="s">
        <v>38</v>
      </c>
      <c r="P9" s="197">
        <v>1</v>
      </c>
      <c r="Q9" s="198"/>
      <c r="R9" s="198"/>
      <c r="S9" s="117">
        <v>97780</v>
      </c>
      <c r="T9" s="199">
        <v>5.8294129678870821E-4</v>
      </c>
      <c r="U9" s="188">
        <v>7</v>
      </c>
      <c r="V9" s="199"/>
      <c r="W9" s="210">
        <f>-PV(W5,10,1,,1)</f>
        <v>6.7590238162751541</v>
      </c>
      <c r="X9" s="211" t="s">
        <v>125</v>
      </c>
      <c r="Y9" s="209"/>
      <c r="Z9" s="209"/>
      <c r="AA9" s="209"/>
      <c r="AB9" s="209"/>
    </row>
    <row r="10" spans="1:43" ht="17.25" x14ac:dyDescent="0.25">
      <c r="Q10" s="198"/>
      <c r="R10" s="198"/>
      <c r="S10" s="117">
        <v>97723</v>
      </c>
      <c r="T10" s="199">
        <v>5.4234929341101523E-4</v>
      </c>
      <c r="U10" s="188">
        <v>8</v>
      </c>
      <c r="V10" s="199"/>
      <c r="W10" s="200">
        <v>60</v>
      </c>
      <c r="X10" s="201" t="s">
        <v>126</v>
      </c>
      <c r="Y10" s="209"/>
      <c r="Z10" s="209"/>
      <c r="AA10" s="209"/>
      <c r="AB10" s="209"/>
    </row>
    <row r="11" spans="1:43" ht="17.25" x14ac:dyDescent="0.25">
      <c r="Q11" s="198"/>
      <c r="R11" s="198"/>
      <c r="S11" s="117">
        <v>97670</v>
      </c>
      <c r="T11" s="199">
        <v>5.3240503737073119E-4</v>
      </c>
      <c r="U11" s="188">
        <v>9</v>
      </c>
      <c r="V11" s="199"/>
      <c r="W11" s="200">
        <v>80</v>
      </c>
      <c r="X11" s="212" t="s">
        <v>127</v>
      </c>
    </row>
    <row r="12" spans="1:43" x14ac:dyDescent="0.25">
      <c r="Q12" s="198"/>
      <c r="R12" s="198"/>
      <c r="S12" s="117">
        <v>97618</v>
      </c>
      <c r="T12" s="199">
        <v>5.3268864348787748E-4</v>
      </c>
      <c r="U12" s="188">
        <v>10</v>
      </c>
      <c r="V12" s="199"/>
    </row>
    <row r="13" spans="1:43" ht="34.5" x14ac:dyDescent="0.25">
      <c r="A13" s="184" t="s">
        <v>128</v>
      </c>
      <c r="B13" s="195">
        <v>1395</v>
      </c>
      <c r="C13" s="195">
        <v>1396</v>
      </c>
      <c r="D13" s="195">
        <v>1397</v>
      </c>
      <c r="E13" s="195">
        <v>1398</v>
      </c>
      <c r="F13" s="195">
        <v>1399</v>
      </c>
      <c r="G13" s="195">
        <v>1400</v>
      </c>
      <c r="Q13" s="198"/>
      <c r="R13" s="198"/>
      <c r="S13" s="117">
        <v>97566</v>
      </c>
      <c r="T13" s="199">
        <v>5.3297255191353532E-4</v>
      </c>
      <c r="U13" s="188">
        <v>11</v>
      </c>
      <c r="V13" s="199"/>
      <c r="AA13" s="134" t="s">
        <v>129</v>
      </c>
      <c r="AB13" s="134" t="s">
        <v>130</v>
      </c>
    </row>
    <row r="14" spans="1:43" ht="18" x14ac:dyDescent="0.25">
      <c r="A14" s="184" t="s">
        <v>131</v>
      </c>
      <c r="B14" s="194">
        <v>0.16700000000000001</v>
      </c>
      <c r="C14" s="194">
        <v>0.16275000000000001</v>
      </c>
      <c r="D14" s="194">
        <v>0.16700000000000001</v>
      </c>
      <c r="E14" s="213">
        <v>0.16700000000000001</v>
      </c>
      <c r="F14" s="213">
        <v>0.17549999999999999</v>
      </c>
      <c r="G14" s="213">
        <v>0.16</v>
      </c>
      <c r="Q14" s="198"/>
      <c r="R14" s="198"/>
      <c r="S14" s="117">
        <v>97514</v>
      </c>
      <c r="T14" s="199">
        <v>5.3325676313142889E-4</v>
      </c>
      <c r="U14" s="188">
        <v>12</v>
      </c>
      <c r="V14" s="199"/>
      <c r="AA14" s="166" t="s">
        <v>132</v>
      </c>
      <c r="AB14" s="166">
        <v>12</v>
      </c>
    </row>
    <row r="15" spans="1:43" ht="18" x14ac:dyDescent="0.25">
      <c r="A15" s="180"/>
      <c r="B15" s="202"/>
      <c r="C15" s="202"/>
      <c r="D15" s="202"/>
      <c r="E15" s="202"/>
      <c r="F15" s="202"/>
      <c r="G15" s="202"/>
      <c r="Q15" s="198"/>
      <c r="R15" s="198"/>
      <c r="S15" s="117">
        <v>97462</v>
      </c>
      <c r="T15" s="199">
        <v>5.7458291436662812E-4</v>
      </c>
      <c r="U15" s="188">
        <v>13</v>
      </c>
      <c r="V15" s="199"/>
      <c r="AA15" s="166" t="s">
        <v>133</v>
      </c>
      <c r="AB15" s="166">
        <v>6</v>
      </c>
    </row>
    <row r="16" spans="1:43" ht="18" x14ac:dyDescent="0.25">
      <c r="A16" s="180"/>
      <c r="B16" s="202"/>
      <c r="C16" s="202"/>
      <c r="D16" s="202"/>
      <c r="E16" s="202"/>
      <c r="F16" s="202"/>
      <c r="G16" s="202"/>
      <c r="Q16" s="198"/>
      <c r="R16" s="198"/>
      <c r="S16" s="117">
        <v>97406</v>
      </c>
      <c r="T16" s="199">
        <v>5.9544586575777103E-4</v>
      </c>
      <c r="U16" s="188">
        <v>14</v>
      </c>
      <c r="V16" s="199"/>
      <c r="AA16" s="166" t="s">
        <v>134</v>
      </c>
      <c r="AB16" s="166">
        <v>4</v>
      </c>
    </row>
    <row r="17" spans="1:28" ht="18" x14ac:dyDescent="0.25">
      <c r="A17" s="214" t="s">
        <v>135</v>
      </c>
      <c r="B17" s="214" t="s">
        <v>136</v>
      </c>
      <c r="C17" s="214" t="s">
        <v>137</v>
      </c>
      <c r="D17" s="214" t="s">
        <v>138</v>
      </c>
      <c r="E17" s="202"/>
      <c r="F17" s="202"/>
      <c r="G17" s="202"/>
      <c r="Q17" s="198"/>
      <c r="R17" s="198"/>
      <c r="S17" s="117">
        <v>97348</v>
      </c>
      <c r="T17" s="199">
        <v>6.5743518100014331E-4</v>
      </c>
      <c r="U17" s="188">
        <v>15</v>
      </c>
      <c r="V17" s="199"/>
      <c r="AA17" s="166" t="s">
        <v>139</v>
      </c>
      <c r="AB17" s="166">
        <v>3</v>
      </c>
    </row>
    <row r="18" spans="1:28" ht="18" x14ac:dyDescent="0.25">
      <c r="A18" s="209" t="s">
        <v>85</v>
      </c>
      <c r="B18" s="209">
        <v>0</v>
      </c>
      <c r="C18" s="209">
        <v>0.05</v>
      </c>
      <c r="D18" s="209" t="s">
        <v>140</v>
      </c>
      <c r="E18" s="202"/>
      <c r="F18" s="202"/>
      <c r="G18" s="202"/>
      <c r="Q18" s="198"/>
      <c r="R18" s="198"/>
      <c r="S18" s="117">
        <v>97284</v>
      </c>
      <c r="T18" s="199">
        <v>6.9898441675919631E-4</v>
      </c>
      <c r="U18" s="188">
        <v>16</v>
      </c>
      <c r="V18" s="199"/>
      <c r="AA18" s="166" t="s">
        <v>141</v>
      </c>
      <c r="AB18" s="166">
        <v>2</v>
      </c>
    </row>
    <row r="19" spans="1:28" ht="18" x14ac:dyDescent="0.25">
      <c r="A19" s="209" t="s">
        <v>142</v>
      </c>
      <c r="B19" s="209">
        <v>0</v>
      </c>
      <c r="C19" s="209">
        <v>0.02</v>
      </c>
      <c r="D19" s="209" t="s">
        <v>140</v>
      </c>
      <c r="E19" s="202"/>
      <c r="F19" s="202"/>
      <c r="G19" s="202"/>
      <c r="Q19" s="198"/>
      <c r="R19" s="198"/>
      <c r="S19" s="117">
        <v>97216</v>
      </c>
      <c r="T19" s="199">
        <v>7.6119157340359678E-4</v>
      </c>
      <c r="U19" s="188">
        <v>17</v>
      </c>
      <c r="V19" s="199"/>
      <c r="AA19" s="166" t="s">
        <v>17</v>
      </c>
      <c r="AB19" s="167">
        <v>1</v>
      </c>
    </row>
    <row r="20" spans="1:28" x14ac:dyDescent="0.25">
      <c r="A20" s="209" t="s">
        <v>143</v>
      </c>
      <c r="B20" s="209">
        <v>0</v>
      </c>
      <c r="C20" s="209">
        <v>0</v>
      </c>
      <c r="D20" s="209"/>
      <c r="E20" s="202"/>
      <c r="F20" s="202"/>
      <c r="G20" s="202"/>
      <c r="Q20" s="198"/>
      <c r="R20" s="198"/>
      <c r="S20" s="117">
        <v>97142</v>
      </c>
      <c r="T20" s="199">
        <v>8.1324246978653481E-4</v>
      </c>
      <c r="U20" s="188">
        <v>18</v>
      </c>
      <c r="V20" s="199"/>
    </row>
    <row r="21" spans="1:28" x14ac:dyDescent="0.25">
      <c r="A21" s="209" t="s">
        <v>144</v>
      </c>
      <c r="B21" s="209">
        <v>0</v>
      </c>
      <c r="C21" s="209">
        <v>0</v>
      </c>
      <c r="D21" s="209"/>
      <c r="Q21" s="198"/>
      <c r="R21" s="198"/>
      <c r="S21" s="117">
        <v>97063</v>
      </c>
      <c r="T21" s="199">
        <v>8.7571989326518107E-4</v>
      </c>
      <c r="U21" s="188">
        <v>19</v>
      </c>
      <c r="V21" s="199"/>
    </row>
    <row r="22" spans="1:28" x14ac:dyDescent="0.25">
      <c r="A22" s="209" t="s">
        <v>145</v>
      </c>
      <c r="B22" s="209">
        <v>0</v>
      </c>
      <c r="C22" s="209">
        <v>0.25</v>
      </c>
      <c r="D22" s="209" t="s">
        <v>146</v>
      </c>
      <c r="Q22" s="198"/>
      <c r="R22" s="198"/>
      <c r="S22" s="117">
        <v>96978</v>
      </c>
      <c r="T22" s="199">
        <v>9.2804553610092988E-4</v>
      </c>
      <c r="U22" s="188">
        <v>20</v>
      </c>
      <c r="V22" s="199"/>
    </row>
    <row r="23" spans="1:28" x14ac:dyDescent="0.25">
      <c r="A23" s="209" t="s">
        <v>147</v>
      </c>
      <c r="B23" s="209">
        <v>0</v>
      </c>
      <c r="C23" s="209">
        <v>7.0000000000000007E-2</v>
      </c>
      <c r="D23" s="209" t="s">
        <v>146</v>
      </c>
      <c r="Q23" s="198"/>
      <c r="R23" s="198"/>
      <c r="S23" s="117">
        <v>96888</v>
      </c>
      <c r="T23" s="199">
        <v>9.9083477830075317E-4</v>
      </c>
      <c r="U23" s="188">
        <v>21</v>
      </c>
      <c r="V23" s="199"/>
    </row>
    <row r="24" spans="1:28" x14ac:dyDescent="0.25">
      <c r="A24" s="209" t="s">
        <v>148</v>
      </c>
      <c r="B24" s="209">
        <v>2E-3</v>
      </c>
      <c r="C24" s="209">
        <v>0</v>
      </c>
      <c r="D24" s="209" t="s">
        <v>149</v>
      </c>
      <c r="Q24" s="198"/>
      <c r="R24" s="198"/>
      <c r="S24" s="117">
        <v>96792</v>
      </c>
      <c r="T24" s="199">
        <v>1.0434746673279038E-3</v>
      </c>
      <c r="U24" s="188">
        <v>22</v>
      </c>
      <c r="V24" s="199"/>
    </row>
    <row r="25" spans="1:28" x14ac:dyDescent="0.25">
      <c r="A25" s="209" t="s">
        <v>150</v>
      </c>
      <c r="B25" s="209">
        <v>0</v>
      </c>
      <c r="C25" s="209">
        <v>0</v>
      </c>
      <c r="D25" s="209"/>
      <c r="Q25" s="198"/>
      <c r="R25" s="198"/>
      <c r="S25" s="117">
        <v>96691</v>
      </c>
      <c r="T25" s="199">
        <v>1.0859335408672788E-3</v>
      </c>
      <c r="U25" s="188">
        <v>23</v>
      </c>
      <c r="V25" s="199"/>
    </row>
    <row r="26" spans="1:28" x14ac:dyDescent="0.25">
      <c r="B26"/>
      <c r="C26"/>
      <c r="D26"/>
      <c r="Q26" s="198"/>
      <c r="R26" s="198"/>
      <c r="S26" s="117">
        <v>96586</v>
      </c>
      <c r="T26" s="199">
        <v>1.1285279440084173E-3</v>
      </c>
      <c r="U26" s="188">
        <v>24</v>
      </c>
      <c r="V26" s="199"/>
    </row>
    <row r="27" spans="1:28" x14ac:dyDescent="0.25">
      <c r="A27" t="s">
        <v>151</v>
      </c>
      <c r="B27">
        <f>B22+B23+B24+B25</f>
        <v>2E-3</v>
      </c>
      <c r="C27"/>
      <c r="D27"/>
      <c r="Q27" s="198"/>
      <c r="R27" s="198"/>
      <c r="S27" s="117">
        <v>96477</v>
      </c>
      <c r="T27" s="199">
        <v>1.1816287819894633E-3</v>
      </c>
      <c r="U27" s="188">
        <v>25</v>
      </c>
      <c r="V27" s="199"/>
    </row>
    <row r="28" spans="1:28" x14ac:dyDescent="0.25">
      <c r="A28" t="s">
        <v>152</v>
      </c>
      <c r="B28">
        <f>C22+C23+C24+C25</f>
        <v>0.32</v>
      </c>
      <c r="C28"/>
      <c r="D28"/>
      <c r="Q28" s="198"/>
      <c r="R28" s="198"/>
      <c r="S28" s="117">
        <v>96363</v>
      </c>
      <c r="T28" s="199">
        <v>1.1934041073856649E-3</v>
      </c>
      <c r="U28" s="188">
        <v>26</v>
      </c>
      <c r="V28" s="199"/>
    </row>
    <row r="29" spans="1:28" x14ac:dyDescent="0.25">
      <c r="Q29" s="198"/>
      <c r="R29" s="198"/>
      <c r="S29" s="117">
        <v>96248</v>
      </c>
      <c r="T29" s="199">
        <v>1.2259995012883218E-3</v>
      </c>
      <c r="U29" s="188">
        <v>27</v>
      </c>
      <c r="V29" s="199"/>
    </row>
    <row r="30" spans="1:28" x14ac:dyDescent="0.25">
      <c r="Q30" s="198"/>
      <c r="R30" s="198"/>
      <c r="S30" s="117">
        <v>96130</v>
      </c>
      <c r="T30" s="199">
        <v>1.2691147404556569E-3</v>
      </c>
      <c r="U30" s="188">
        <v>28</v>
      </c>
      <c r="V30" s="199"/>
    </row>
    <row r="31" spans="1:28" x14ac:dyDescent="0.25">
      <c r="Q31" s="198"/>
      <c r="R31" s="198"/>
      <c r="S31" s="117">
        <v>96008</v>
      </c>
      <c r="T31" s="199">
        <v>1.2915590367469365E-3</v>
      </c>
      <c r="U31" s="188">
        <v>29</v>
      </c>
      <c r="V31" s="199"/>
    </row>
    <row r="32" spans="1:28" x14ac:dyDescent="0.25">
      <c r="Q32" s="198"/>
      <c r="R32" s="198"/>
      <c r="S32" s="117">
        <v>95884</v>
      </c>
      <c r="T32" s="199">
        <v>1.314087856159496E-3</v>
      </c>
      <c r="U32" s="188">
        <v>30</v>
      </c>
      <c r="V32" s="199"/>
    </row>
    <row r="33" spans="17:22" x14ac:dyDescent="0.25">
      <c r="Q33" s="198"/>
      <c r="R33" s="198"/>
      <c r="S33" s="117">
        <v>95758</v>
      </c>
      <c r="T33" s="199">
        <v>1.3367029386578411E-3</v>
      </c>
      <c r="U33" s="188">
        <v>31</v>
      </c>
      <c r="V33" s="199"/>
    </row>
    <row r="34" spans="17:22" x14ac:dyDescent="0.25">
      <c r="Q34" s="198"/>
      <c r="R34" s="198"/>
      <c r="S34" s="117">
        <v>95630</v>
      </c>
      <c r="T34" s="199">
        <v>1.3803199832688184E-3</v>
      </c>
      <c r="U34" s="188">
        <v>32</v>
      </c>
      <c r="V34" s="199"/>
    </row>
    <row r="35" spans="17:22" x14ac:dyDescent="0.25">
      <c r="Q35" s="198"/>
      <c r="R35" s="198"/>
      <c r="S35" s="117">
        <v>95498</v>
      </c>
      <c r="T35" s="199">
        <v>1.4031707470313348E-3</v>
      </c>
      <c r="U35" s="188">
        <v>33</v>
      </c>
      <c r="V35" s="199"/>
    </row>
    <row r="36" spans="17:22" x14ac:dyDescent="0.25">
      <c r="Q36" s="198"/>
      <c r="R36" s="198"/>
      <c r="S36" s="117">
        <v>95364</v>
      </c>
      <c r="T36" s="199">
        <v>1.4261146763977495E-3</v>
      </c>
      <c r="U36" s="188">
        <v>34</v>
      </c>
      <c r="V36" s="199"/>
    </row>
    <row r="37" spans="17:22" x14ac:dyDescent="0.25">
      <c r="Q37" s="198"/>
      <c r="R37" s="198"/>
      <c r="S37" s="117">
        <v>95228</v>
      </c>
      <c r="T37" s="199">
        <v>1.4911580627546828E-3</v>
      </c>
      <c r="U37" s="188">
        <v>35</v>
      </c>
      <c r="V37" s="199"/>
    </row>
    <row r="38" spans="17:22" x14ac:dyDescent="0.25">
      <c r="Q38" s="198"/>
      <c r="R38" s="198"/>
      <c r="S38" s="117">
        <v>95086</v>
      </c>
      <c r="T38" s="199">
        <v>1.5249353217087203E-3</v>
      </c>
      <c r="U38" s="188">
        <v>36</v>
      </c>
      <c r="V38" s="199"/>
    </row>
    <row r="39" spans="17:22" x14ac:dyDescent="0.25">
      <c r="Q39" s="198"/>
      <c r="R39" s="198"/>
      <c r="S39" s="117">
        <v>94941</v>
      </c>
      <c r="T39" s="199">
        <v>1.5904614444760545E-3</v>
      </c>
      <c r="U39" s="188">
        <v>37</v>
      </c>
      <c r="V39" s="199"/>
    </row>
    <row r="40" spans="17:22" x14ac:dyDescent="0.25">
      <c r="Q40" s="198"/>
      <c r="R40" s="198"/>
      <c r="S40" s="117">
        <v>94790</v>
      </c>
      <c r="T40" s="199">
        <v>1.6457432218588419E-3</v>
      </c>
      <c r="U40" s="188">
        <v>38</v>
      </c>
      <c r="V40" s="199"/>
    </row>
    <row r="41" spans="17:22" x14ac:dyDescent="0.25">
      <c r="Q41" s="198"/>
      <c r="R41" s="198"/>
      <c r="S41" s="117">
        <v>94634</v>
      </c>
      <c r="T41" s="199">
        <v>1.7435593972567887E-3</v>
      </c>
      <c r="U41" s="188">
        <v>39</v>
      </c>
      <c r="V41" s="199"/>
    </row>
    <row r="42" spans="17:22" x14ac:dyDescent="0.25">
      <c r="Q42" s="198"/>
      <c r="R42" s="198"/>
      <c r="S42" s="117">
        <v>94469</v>
      </c>
      <c r="T42" s="199">
        <v>1.8207030877853692E-3</v>
      </c>
      <c r="U42" s="188">
        <v>40</v>
      </c>
      <c r="V42" s="199"/>
    </row>
    <row r="43" spans="17:22" x14ac:dyDescent="0.25">
      <c r="Q43" s="198"/>
      <c r="R43" s="198"/>
      <c r="S43" s="117">
        <v>94297</v>
      </c>
      <c r="T43" s="199">
        <v>1.9300720065325017E-3</v>
      </c>
      <c r="U43" s="188">
        <v>41</v>
      </c>
      <c r="V43" s="199"/>
    </row>
    <row r="44" spans="17:22" x14ac:dyDescent="0.25">
      <c r="Q44" s="198"/>
      <c r="R44" s="198"/>
      <c r="S44" s="117">
        <v>94115</v>
      </c>
      <c r="T44" s="199">
        <v>2.0506826754502772E-3</v>
      </c>
      <c r="U44" s="188">
        <v>42</v>
      </c>
      <c r="V44" s="199"/>
    </row>
    <row r="45" spans="17:22" x14ac:dyDescent="0.25">
      <c r="Q45" s="198"/>
      <c r="R45" s="198"/>
      <c r="S45" s="117">
        <v>93922</v>
      </c>
      <c r="T45" s="199">
        <v>2.172015076339906E-3</v>
      </c>
      <c r="U45" s="188">
        <v>43</v>
      </c>
      <c r="V45" s="199"/>
    </row>
    <row r="46" spans="17:22" x14ac:dyDescent="0.25">
      <c r="Q46" s="198"/>
      <c r="R46" s="198"/>
      <c r="S46" s="117">
        <v>93718</v>
      </c>
      <c r="T46" s="199">
        <v>2.3367976269232926E-3</v>
      </c>
      <c r="U46" s="188">
        <v>44</v>
      </c>
      <c r="V46" s="199"/>
    </row>
    <row r="47" spans="17:22" x14ac:dyDescent="0.25">
      <c r="Q47" s="198"/>
      <c r="R47" s="198"/>
      <c r="S47" s="117">
        <v>93499</v>
      </c>
      <c r="T47" s="199">
        <v>2.5240911667504529E-3</v>
      </c>
      <c r="U47" s="188">
        <v>45</v>
      </c>
      <c r="V47" s="199"/>
    </row>
    <row r="48" spans="17:22" x14ac:dyDescent="0.25">
      <c r="Q48" s="198"/>
      <c r="R48" s="198"/>
      <c r="S48" s="117">
        <v>93263</v>
      </c>
      <c r="T48" s="199">
        <v>2.7127585430449797E-3</v>
      </c>
      <c r="U48" s="188">
        <v>46</v>
      </c>
      <c r="V48" s="199"/>
    </row>
    <row r="49" spans="17:22" x14ac:dyDescent="0.25">
      <c r="Q49" s="198"/>
      <c r="R49" s="198"/>
      <c r="S49" s="117">
        <v>93010</v>
      </c>
      <c r="T49" s="199">
        <v>2.9351682614772168E-3</v>
      </c>
      <c r="U49" s="188">
        <v>47</v>
      </c>
      <c r="V49" s="199"/>
    </row>
    <row r="50" spans="17:22" x14ac:dyDescent="0.25">
      <c r="Q50" s="198"/>
      <c r="R50" s="198"/>
      <c r="S50" s="117">
        <v>92737</v>
      </c>
      <c r="T50" s="199">
        <v>3.1918220343551962E-3</v>
      </c>
      <c r="U50" s="188">
        <v>48</v>
      </c>
      <c r="V50" s="199"/>
    </row>
    <row r="51" spans="17:22" x14ac:dyDescent="0.25">
      <c r="Q51" s="198"/>
      <c r="R51" s="198"/>
      <c r="S51" s="117">
        <v>92441</v>
      </c>
      <c r="T51" s="199">
        <v>3.4724851526919398E-3</v>
      </c>
      <c r="U51" s="188">
        <v>49</v>
      </c>
      <c r="V51" s="199"/>
    </row>
    <row r="52" spans="17:22" x14ac:dyDescent="0.25">
      <c r="Q52" s="198"/>
      <c r="R52" s="198"/>
      <c r="S52" s="117">
        <v>92120</v>
      </c>
      <c r="T52" s="199">
        <v>3.7885366912722152E-3</v>
      </c>
      <c r="U52" s="188">
        <v>50</v>
      </c>
      <c r="V52" s="199"/>
    </row>
    <row r="53" spans="17:22" x14ac:dyDescent="0.25">
      <c r="Q53" s="198"/>
      <c r="R53" s="198"/>
      <c r="S53" s="117">
        <v>91771</v>
      </c>
      <c r="T53" s="199">
        <v>4.1625350056118116E-3</v>
      </c>
      <c r="U53" s="188">
        <v>51</v>
      </c>
      <c r="V53" s="199"/>
    </row>
    <row r="54" spans="17:22" x14ac:dyDescent="0.25">
      <c r="Q54" s="198"/>
      <c r="R54" s="198"/>
      <c r="S54" s="117">
        <v>91389</v>
      </c>
      <c r="T54" s="199">
        <v>4.5300856777074072E-3</v>
      </c>
      <c r="U54" s="188">
        <v>52</v>
      </c>
      <c r="V54" s="199"/>
    </row>
    <row r="55" spans="17:22" x14ac:dyDescent="0.25">
      <c r="Q55" s="198"/>
      <c r="R55" s="198"/>
      <c r="S55" s="117">
        <v>90975</v>
      </c>
      <c r="T55" s="199">
        <v>4.9793899422918564E-3</v>
      </c>
      <c r="U55" s="188">
        <v>53</v>
      </c>
      <c r="V55" s="199"/>
    </row>
    <row r="56" spans="17:22" x14ac:dyDescent="0.25">
      <c r="Q56" s="198"/>
      <c r="R56" s="198"/>
      <c r="S56" s="117">
        <v>90522</v>
      </c>
      <c r="T56" s="199">
        <v>5.4903780296502447E-3</v>
      </c>
      <c r="U56" s="188">
        <v>54</v>
      </c>
      <c r="V56" s="199"/>
    </row>
    <row r="57" spans="17:22" x14ac:dyDescent="0.25">
      <c r="Q57" s="198"/>
      <c r="R57" s="198"/>
      <c r="S57" s="117">
        <v>90025</v>
      </c>
      <c r="T57" s="199">
        <v>6.0205498472646335E-3</v>
      </c>
      <c r="U57" s="188">
        <v>55</v>
      </c>
      <c r="V57" s="199"/>
    </row>
    <row r="58" spans="17:22" x14ac:dyDescent="0.25">
      <c r="Q58" s="198"/>
      <c r="R58" s="198"/>
      <c r="S58" s="117">
        <v>89483</v>
      </c>
      <c r="T58" s="199">
        <v>6.6269570756456453E-3</v>
      </c>
      <c r="U58" s="188">
        <v>56</v>
      </c>
      <c r="V58" s="199"/>
    </row>
    <row r="59" spans="17:22" x14ac:dyDescent="0.25">
      <c r="Q59" s="198"/>
      <c r="R59" s="198"/>
      <c r="S59" s="117">
        <v>88890</v>
      </c>
      <c r="T59" s="199">
        <v>7.3236584542692995E-3</v>
      </c>
      <c r="U59" s="188">
        <v>57</v>
      </c>
      <c r="V59" s="199"/>
    </row>
    <row r="60" spans="17:22" x14ac:dyDescent="0.25">
      <c r="Q60" s="198"/>
      <c r="R60" s="198"/>
      <c r="S60" s="117">
        <v>88239</v>
      </c>
      <c r="T60" s="199">
        <v>8.0463287208604184E-3</v>
      </c>
      <c r="U60" s="188">
        <v>58</v>
      </c>
      <c r="V60" s="199"/>
    </row>
    <row r="61" spans="17:22" x14ac:dyDescent="0.25">
      <c r="Q61" s="198"/>
      <c r="R61" s="198"/>
      <c r="S61" s="117">
        <v>87529</v>
      </c>
      <c r="T61" s="199">
        <v>8.9113322441705112E-3</v>
      </c>
      <c r="U61" s="188">
        <v>59</v>
      </c>
      <c r="V61" s="199"/>
    </row>
    <row r="62" spans="17:22" x14ac:dyDescent="0.25">
      <c r="Q62" s="198"/>
      <c r="R62" s="198"/>
      <c r="S62" s="117">
        <v>86749</v>
      </c>
      <c r="T62" s="199">
        <v>9.809911353445E-3</v>
      </c>
      <c r="U62" s="188">
        <v>60</v>
      </c>
      <c r="V62" s="199"/>
    </row>
    <row r="63" spans="17:22" x14ac:dyDescent="0.25">
      <c r="Q63" s="198"/>
      <c r="R63" s="198"/>
      <c r="S63" s="117">
        <v>85898</v>
      </c>
      <c r="T63" s="199">
        <v>1.0850077999487784E-2</v>
      </c>
      <c r="U63" s="188">
        <v>61</v>
      </c>
      <c r="V63" s="199"/>
    </row>
    <row r="64" spans="17:22" x14ac:dyDescent="0.25">
      <c r="Q64" s="198"/>
      <c r="R64" s="198"/>
      <c r="S64" s="117">
        <v>84966</v>
      </c>
      <c r="T64" s="199">
        <v>1.1981263093472694E-2</v>
      </c>
      <c r="U64" s="188">
        <v>62</v>
      </c>
      <c r="V64" s="199"/>
    </row>
    <row r="65" spans="17:22" x14ac:dyDescent="0.25">
      <c r="Q65" s="198"/>
      <c r="R65" s="198"/>
      <c r="S65" s="117">
        <v>83948</v>
      </c>
      <c r="T65" s="199">
        <v>1.3234383189593579E-2</v>
      </c>
      <c r="U65" s="188">
        <v>63</v>
      </c>
      <c r="V65" s="199"/>
    </row>
    <row r="66" spans="17:22" x14ac:dyDescent="0.25">
      <c r="Q66" s="198"/>
      <c r="R66" s="198"/>
      <c r="S66" s="117">
        <v>82837</v>
      </c>
      <c r="T66" s="199">
        <v>1.464321498847132E-2</v>
      </c>
      <c r="U66" s="188">
        <v>64</v>
      </c>
      <c r="V66" s="199"/>
    </row>
    <row r="67" spans="17:22" x14ac:dyDescent="0.25">
      <c r="Q67" s="198"/>
      <c r="R67" s="198"/>
      <c r="S67" s="117">
        <v>81624</v>
      </c>
      <c r="T67" s="199">
        <v>1.6183965500343067E-2</v>
      </c>
      <c r="U67" s="188">
        <v>65</v>
      </c>
      <c r="V67" s="199"/>
    </row>
    <row r="68" spans="17:22" x14ac:dyDescent="0.25">
      <c r="Q68" s="198"/>
      <c r="R68" s="198"/>
      <c r="S68" s="117">
        <v>80303</v>
      </c>
      <c r="T68" s="199">
        <v>1.7882270898970098E-2</v>
      </c>
      <c r="U68" s="188">
        <v>66</v>
      </c>
      <c r="V68" s="199"/>
    </row>
    <row r="69" spans="17:22" x14ac:dyDescent="0.25">
      <c r="Q69" s="198"/>
      <c r="R69" s="198"/>
      <c r="S69" s="117">
        <v>78867</v>
      </c>
      <c r="T69" s="199">
        <v>1.9767456604156353E-2</v>
      </c>
      <c r="U69" s="188">
        <v>67</v>
      </c>
      <c r="V69" s="199"/>
    </row>
    <row r="70" spans="17:22" x14ac:dyDescent="0.25">
      <c r="Q70" s="198"/>
      <c r="R70" s="198"/>
      <c r="S70" s="117">
        <v>77308</v>
      </c>
      <c r="T70" s="199">
        <v>2.1860609510011897E-2</v>
      </c>
      <c r="U70" s="188">
        <v>68</v>
      </c>
      <c r="V70" s="199"/>
    </row>
    <row r="71" spans="17:22" x14ac:dyDescent="0.25">
      <c r="Q71" s="198"/>
      <c r="R71" s="198"/>
      <c r="S71" s="117">
        <v>75618</v>
      </c>
      <c r="T71" s="199">
        <v>2.4160914068079076E-2</v>
      </c>
      <c r="U71" s="188">
        <v>69</v>
      </c>
      <c r="V71" s="199"/>
    </row>
    <row r="72" spans="17:22" x14ac:dyDescent="0.25">
      <c r="Q72" s="198"/>
      <c r="R72" s="198"/>
      <c r="S72" s="117">
        <v>73791</v>
      </c>
      <c r="T72" s="199">
        <v>2.6710574460300007E-2</v>
      </c>
      <c r="U72" s="188">
        <v>70</v>
      </c>
      <c r="V72" s="199"/>
    </row>
    <row r="73" spans="17:22" x14ac:dyDescent="0.25">
      <c r="Q73" s="198"/>
      <c r="R73" s="198"/>
      <c r="S73" s="117">
        <v>71820</v>
      </c>
      <c r="T73" s="199">
        <v>2.9518240044555832E-2</v>
      </c>
      <c r="U73" s="188">
        <v>71</v>
      </c>
      <c r="V73" s="199"/>
    </row>
    <row r="74" spans="17:22" x14ac:dyDescent="0.25">
      <c r="Q74" s="198"/>
      <c r="R74" s="198"/>
      <c r="S74" s="117">
        <v>69700</v>
      </c>
      <c r="T74" s="199">
        <v>3.2611190817790514E-2</v>
      </c>
      <c r="U74" s="188">
        <v>72</v>
      </c>
      <c r="V74" s="199"/>
    </row>
    <row r="75" spans="17:22" x14ac:dyDescent="0.25">
      <c r="Q75" s="198"/>
      <c r="R75" s="198"/>
      <c r="S75" s="117">
        <v>67427</v>
      </c>
      <c r="T75" s="199">
        <v>3.6024144630489308E-2</v>
      </c>
      <c r="U75" s="188">
        <v>73</v>
      </c>
      <c r="V75" s="199"/>
    </row>
    <row r="76" spans="17:22" x14ac:dyDescent="0.25">
      <c r="Q76" s="198"/>
      <c r="R76" s="198"/>
      <c r="S76" s="117">
        <v>64998</v>
      </c>
      <c r="T76" s="199">
        <v>3.9785839564294267E-2</v>
      </c>
      <c r="U76" s="188">
        <v>74</v>
      </c>
      <c r="V76" s="199"/>
    </row>
    <row r="77" spans="17:22" x14ac:dyDescent="0.25">
      <c r="Q77" s="198"/>
      <c r="R77" s="198"/>
      <c r="S77" s="117">
        <v>62412</v>
      </c>
      <c r="T77" s="199">
        <v>4.3917836313529413E-2</v>
      </c>
      <c r="U77" s="188">
        <v>75</v>
      </c>
      <c r="V77" s="199"/>
    </row>
    <row r="78" spans="17:22" x14ac:dyDescent="0.25">
      <c r="Q78" s="198"/>
      <c r="R78" s="198"/>
      <c r="S78" s="117">
        <v>59671</v>
      </c>
      <c r="T78" s="199">
        <v>4.8465753883796148E-2</v>
      </c>
      <c r="U78" s="188">
        <v>76</v>
      </c>
      <c r="V78" s="199"/>
    </row>
    <row r="79" spans="17:22" x14ac:dyDescent="0.25">
      <c r="Q79" s="198"/>
      <c r="R79" s="198"/>
      <c r="S79" s="117">
        <v>56779</v>
      </c>
      <c r="T79" s="199">
        <v>5.3452861093009729E-2</v>
      </c>
      <c r="U79" s="188">
        <v>77</v>
      </c>
      <c r="V79" s="199"/>
    </row>
    <row r="80" spans="17:22" x14ac:dyDescent="0.25">
      <c r="Q80" s="198"/>
      <c r="R80" s="198"/>
      <c r="S80" s="117">
        <v>53744</v>
      </c>
      <c r="T80" s="199">
        <v>5.8927508186960353E-2</v>
      </c>
      <c r="U80" s="188">
        <v>78</v>
      </c>
      <c r="V80" s="199"/>
    </row>
    <row r="81" spans="17:22" x14ac:dyDescent="0.25">
      <c r="Q81" s="198"/>
      <c r="R81" s="198"/>
      <c r="S81" s="117">
        <v>50577</v>
      </c>
      <c r="T81" s="199">
        <v>6.4930699725171515E-2</v>
      </c>
      <c r="U81" s="188">
        <v>79</v>
      </c>
      <c r="V81" s="199"/>
    </row>
    <row r="82" spans="17:22" x14ac:dyDescent="0.25">
      <c r="Q82" s="198"/>
      <c r="R82" s="198"/>
      <c r="S82" s="117">
        <v>47293</v>
      </c>
      <c r="T82" s="199">
        <v>7.1490495422155464E-2</v>
      </c>
      <c r="U82" s="188">
        <v>80</v>
      </c>
      <c r="V82" s="199"/>
    </row>
    <row r="83" spans="17:22" x14ac:dyDescent="0.25">
      <c r="Q83" s="198"/>
      <c r="R83" s="198"/>
      <c r="S83" s="117">
        <v>43912</v>
      </c>
      <c r="T83" s="199">
        <v>7.8702860265986496E-2</v>
      </c>
      <c r="U83" s="188">
        <v>81</v>
      </c>
      <c r="V83" s="199"/>
    </row>
    <row r="84" spans="17:22" x14ac:dyDescent="0.25">
      <c r="Q84" s="198"/>
      <c r="R84" s="198"/>
      <c r="S84" s="117">
        <v>40456</v>
      </c>
      <c r="T84" s="199">
        <v>8.6513743326082637E-2</v>
      </c>
      <c r="U84" s="188">
        <v>82</v>
      </c>
      <c r="V84" s="199"/>
    </row>
    <row r="85" spans="17:22" x14ac:dyDescent="0.25">
      <c r="Q85" s="198"/>
      <c r="R85" s="198"/>
      <c r="S85" s="117">
        <v>36956</v>
      </c>
      <c r="T85" s="199">
        <v>9.5058989068080968E-2</v>
      </c>
      <c r="U85" s="188">
        <v>83</v>
      </c>
      <c r="V85" s="199"/>
    </row>
    <row r="86" spans="17:22" x14ac:dyDescent="0.25">
      <c r="Q86" s="198"/>
      <c r="R86" s="198"/>
      <c r="S86" s="117">
        <v>33443</v>
      </c>
      <c r="T86" s="199">
        <v>0.10438656819065273</v>
      </c>
      <c r="U86" s="188">
        <v>84</v>
      </c>
      <c r="V86" s="199"/>
    </row>
    <row r="87" spans="17:22" x14ac:dyDescent="0.25">
      <c r="Q87" s="198"/>
      <c r="R87" s="198"/>
      <c r="S87" s="117">
        <v>29952</v>
      </c>
      <c r="T87" s="199">
        <v>0.1144163995726496</v>
      </c>
      <c r="U87" s="188">
        <v>85</v>
      </c>
      <c r="V87" s="199"/>
    </row>
    <row r="88" spans="17:22" x14ac:dyDescent="0.25">
      <c r="Q88" s="198"/>
      <c r="R88" s="198"/>
      <c r="S88" s="117">
        <v>26525</v>
      </c>
      <c r="T88" s="199">
        <v>0.12535344015080108</v>
      </c>
      <c r="U88" s="188">
        <v>86</v>
      </c>
      <c r="V88" s="199"/>
    </row>
    <row r="89" spans="17:22" x14ac:dyDescent="0.25">
      <c r="Q89" s="198"/>
      <c r="R89" s="198"/>
      <c r="S89" s="117">
        <v>23200</v>
      </c>
      <c r="T89" s="199">
        <v>0.13715517241379316</v>
      </c>
      <c r="U89" s="188">
        <v>87</v>
      </c>
      <c r="V89" s="199"/>
    </row>
    <row r="90" spans="17:22" x14ac:dyDescent="0.25">
      <c r="Q90" s="198"/>
      <c r="R90" s="198"/>
      <c r="S90" s="117">
        <v>20018</v>
      </c>
      <c r="T90" s="199">
        <v>0.14986512139074837</v>
      </c>
      <c r="U90" s="188">
        <v>88</v>
      </c>
      <c r="V90" s="199"/>
    </row>
    <row r="91" spans="17:22" x14ac:dyDescent="0.25">
      <c r="Q91" s="198"/>
      <c r="R91" s="198"/>
      <c r="S91" s="117">
        <v>17018</v>
      </c>
      <c r="T91" s="199">
        <v>0.16365025267363964</v>
      </c>
      <c r="U91" s="188">
        <v>89</v>
      </c>
      <c r="V91" s="199"/>
    </row>
    <row r="92" spans="17:22" x14ac:dyDescent="0.25">
      <c r="Q92" s="198"/>
      <c r="R92" s="198"/>
      <c r="S92" s="117">
        <v>14233</v>
      </c>
      <c r="T92" s="199">
        <v>0.17817747488231572</v>
      </c>
      <c r="U92" s="188">
        <v>90</v>
      </c>
      <c r="V92" s="199"/>
    </row>
    <row r="93" spans="17:22" x14ac:dyDescent="0.25">
      <c r="Q93" s="198"/>
      <c r="R93" s="198"/>
      <c r="S93" s="117">
        <v>11697</v>
      </c>
      <c r="T93" s="199">
        <v>0.1939813627425836</v>
      </c>
      <c r="U93" s="188">
        <v>91</v>
      </c>
      <c r="V93" s="199"/>
    </row>
    <row r="94" spans="17:22" x14ac:dyDescent="0.25">
      <c r="Q94" s="198"/>
      <c r="R94" s="198"/>
      <c r="S94" s="117">
        <v>9428</v>
      </c>
      <c r="T94" s="199">
        <v>0.21064913025031817</v>
      </c>
      <c r="U94" s="188">
        <v>92</v>
      </c>
      <c r="V94" s="199"/>
    </row>
    <row r="95" spans="17:22" x14ac:dyDescent="0.25">
      <c r="Q95" s="198"/>
      <c r="R95" s="198"/>
      <c r="S95" s="117">
        <v>7442</v>
      </c>
      <c r="T95" s="199">
        <v>0.22843321687718354</v>
      </c>
      <c r="U95" s="188">
        <v>93</v>
      </c>
      <c r="V95" s="199"/>
    </row>
    <row r="96" spans="17:22" x14ac:dyDescent="0.25">
      <c r="Q96" s="198"/>
      <c r="R96" s="198"/>
      <c r="S96" s="117">
        <v>5742</v>
      </c>
      <c r="T96" s="199">
        <v>0.24712643678160917</v>
      </c>
      <c r="U96" s="188">
        <v>94</v>
      </c>
      <c r="V96" s="199"/>
    </row>
    <row r="97" spans="17:22" x14ac:dyDescent="0.25">
      <c r="Q97" s="198"/>
      <c r="R97" s="198"/>
      <c r="S97" s="117">
        <v>4323</v>
      </c>
      <c r="T97" s="199">
        <v>0.26694425167707614</v>
      </c>
      <c r="U97" s="188">
        <v>95</v>
      </c>
      <c r="V97" s="199"/>
    </row>
    <row r="98" spans="17:22" x14ac:dyDescent="0.25">
      <c r="Q98" s="198"/>
      <c r="R98" s="198"/>
      <c r="S98" s="117">
        <v>3169</v>
      </c>
      <c r="T98" s="199">
        <v>0.28778794572420319</v>
      </c>
      <c r="U98" s="188">
        <v>96</v>
      </c>
      <c r="V98" s="199"/>
    </row>
    <row r="99" spans="17:22" x14ac:dyDescent="0.25">
      <c r="Q99" s="198"/>
      <c r="R99" s="198"/>
      <c r="S99" s="117">
        <v>2257</v>
      </c>
      <c r="T99" s="199">
        <v>0.30926007975188308</v>
      </c>
      <c r="U99" s="188">
        <v>97</v>
      </c>
      <c r="V99" s="199"/>
    </row>
    <row r="100" spans="17:22" x14ac:dyDescent="0.25">
      <c r="Q100" s="198"/>
      <c r="R100" s="198"/>
      <c r="S100" s="117">
        <v>1559</v>
      </c>
      <c r="T100" s="199">
        <v>0.33226427196921104</v>
      </c>
      <c r="U100" s="188">
        <v>98</v>
      </c>
      <c r="V100" s="199"/>
    </row>
    <row r="101" spans="17:22" x14ac:dyDescent="0.25">
      <c r="Q101" s="198"/>
      <c r="R101" s="198"/>
      <c r="S101" s="117">
        <v>1041</v>
      </c>
      <c r="T101" s="199">
        <v>0.35542747358309323</v>
      </c>
      <c r="U101" s="188">
        <v>99</v>
      </c>
      <c r="V101" s="199"/>
    </row>
    <row r="102" spans="17:22" x14ac:dyDescent="0.25">
      <c r="Q102" s="198"/>
      <c r="R102" s="198"/>
      <c r="S102" s="117">
        <v>671</v>
      </c>
      <c r="T102" s="199">
        <v>0.44869999999999999</v>
      </c>
      <c r="U102" s="188">
        <v>100</v>
      </c>
      <c r="V102" s="199"/>
    </row>
    <row r="103" spans="17:22" x14ac:dyDescent="0.25">
      <c r="Q103" s="198"/>
      <c r="R103" s="198"/>
      <c r="S103" s="117">
        <v>416</v>
      </c>
      <c r="T103" s="199">
        <v>0.47589999999999999</v>
      </c>
      <c r="U103" s="188">
        <v>101</v>
      </c>
      <c r="V103" s="199"/>
    </row>
    <row r="104" spans="17:22" x14ac:dyDescent="0.25">
      <c r="Q104" s="198"/>
      <c r="R104" s="198"/>
      <c r="S104" s="117">
        <v>250</v>
      </c>
      <c r="T104" s="199">
        <v>0.51319999999999999</v>
      </c>
      <c r="U104" s="188">
        <v>102</v>
      </c>
      <c r="V104" s="199"/>
    </row>
    <row r="105" spans="17:22" x14ac:dyDescent="0.25">
      <c r="Q105" s="198"/>
      <c r="R105" s="198"/>
      <c r="S105" s="117">
        <v>145</v>
      </c>
      <c r="T105" s="199">
        <v>0.54049999999999998</v>
      </c>
      <c r="U105" s="188">
        <v>103</v>
      </c>
      <c r="V105" s="199"/>
    </row>
    <row r="106" spans="17:22" x14ac:dyDescent="0.25">
      <c r="Q106" s="198"/>
      <c r="R106" s="198"/>
      <c r="S106" s="117">
        <v>81</v>
      </c>
      <c r="T106" s="199">
        <v>0.58819999999999995</v>
      </c>
      <c r="U106" s="188">
        <v>104</v>
      </c>
      <c r="V106" s="199"/>
    </row>
    <row r="107" spans="17:22" x14ac:dyDescent="0.25">
      <c r="Q107" s="198"/>
      <c r="R107" s="198"/>
      <c r="S107" s="117">
        <v>43</v>
      </c>
      <c r="T107" s="199">
        <v>0.71430000000000005</v>
      </c>
      <c r="U107" s="188">
        <v>105</v>
      </c>
      <c r="V107" s="199"/>
    </row>
    <row r="108" spans="17:22" x14ac:dyDescent="0.25">
      <c r="Q108" s="198"/>
      <c r="R108" s="198"/>
      <c r="S108" s="117">
        <v>22</v>
      </c>
      <c r="T108" s="199">
        <v>1</v>
      </c>
      <c r="U108" s="188">
        <v>106</v>
      </c>
      <c r="V108" s="199"/>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5F4B0-85AB-4F0E-870A-EAD51EF23F51}">
  <sheetPr>
    <pageSetUpPr fitToPage="1"/>
  </sheetPr>
  <dimension ref="A1:AC82"/>
  <sheetViews>
    <sheetView topLeftCell="R1" zoomScale="90" zoomScaleNormal="90" workbookViewId="0">
      <pane ySplit="2" topLeftCell="A3" activePane="bottomLeft" state="frozen"/>
      <selection activeCell="X21" sqref="X21"/>
      <selection pane="bottomLeft" activeCell="X21" sqref="X21"/>
    </sheetView>
  </sheetViews>
  <sheetFormatPr defaultColWidth="9.28515625" defaultRowHeight="15" x14ac:dyDescent="0.25"/>
  <cols>
    <col min="1" max="3" width="21" style="30" customWidth="1"/>
    <col min="4" max="4" width="20" style="30" customWidth="1"/>
    <col min="5" max="24" width="21" style="30" customWidth="1"/>
    <col min="25" max="25" width="22.85546875" style="30" bestFit="1" customWidth="1"/>
    <col min="26" max="26" width="21.85546875" style="30" bestFit="1" customWidth="1"/>
    <col min="27" max="27" width="19.42578125" style="30" customWidth="1"/>
    <col min="28" max="29" width="10" style="30" customWidth="1"/>
    <col min="30" max="16384" width="9.28515625" style="30"/>
  </cols>
  <sheetData>
    <row r="1" spans="1:29" s="13" customFormat="1" ht="20.25" thickBot="1" x14ac:dyDescent="0.55000000000000004">
      <c r="A1" s="15"/>
      <c r="B1" s="15"/>
      <c r="C1" s="15"/>
      <c r="D1" s="15"/>
      <c r="E1" s="15"/>
      <c r="F1" s="15"/>
      <c r="G1" s="15"/>
      <c r="H1" s="15"/>
      <c r="I1" s="15"/>
      <c r="J1" s="15"/>
      <c r="K1" s="15"/>
      <c r="L1" s="15"/>
      <c r="M1" s="15"/>
      <c r="N1" s="15"/>
      <c r="O1" s="15"/>
      <c r="P1" s="15"/>
      <c r="Q1" s="15"/>
      <c r="R1" s="15"/>
      <c r="S1" s="15"/>
      <c r="T1" s="15"/>
      <c r="U1" s="15"/>
      <c r="V1" s="15"/>
      <c r="W1" s="15"/>
      <c r="X1" s="15"/>
      <c r="Y1" s="288" t="s">
        <v>72</v>
      </c>
      <c r="Z1" s="288"/>
      <c r="AA1" s="15"/>
      <c r="AB1" s="15"/>
      <c r="AC1" s="15"/>
    </row>
    <row r="2" spans="1:29" s="216" customFormat="1" ht="73.5" customHeight="1" thickBot="1" x14ac:dyDescent="0.5">
      <c r="A2" s="215" t="s">
        <v>77</v>
      </c>
      <c r="B2" s="215" t="s">
        <v>153</v>
      </c>
      <c r="C2" s="215" t="s">
        <v>154</v>
      </c>
      <c r="D2" s="215" t="s">
        <v>155</v>
      </c>
      <c r="E2" s="215" t="s">
        <v>156</v>
      </c>
      <c r="F2" s="215" t="s">
        <v>157</v>
      </c>
      <c r="G2" s="215" t="s">
        <v>158</v>
      </c>
      <c r="H2" s="215" t="s">
        <v>78</v>
      </c>
      <c r="I2" s="215" t="s">
        <v>79</v>
      </c>
      <c r="J2" s="215" t="s">
        <v>80</v>
      </c>
      <c r="K2" s="215" t="s">
        <v>159</v>
      </c>
      <c r="L2" s="215" t="s">
        <v>160</v>
      </c>
      <c r="M2" s="215" t="s">
        <v>161</v>
      </c>
      <c r="N2" s="215" t="s">
        <v>81</v>
      </c>
      <c r="O2" s="215" t="s">
        <v>82</v>
      </c>
      <c r="P2" s="215" t="s">
        <v>83</v>
      </c>
      <c r="Q2" s="215" t="s">
        <v>85</v>
      </c>
      <c r="R2" s="215" t="s">
        <v>88</v>
      </c>
      <c r="S2" s="215" t="s">
        <v>87</v>
      </c>
      <c r="T2" s="215" t="s">
        <v>162</v>
      </c>
      <c r="U2" s="215" t="s">
        <v>163</v>
      </c>
      <c r="V2" s="215" t="s">
        <v>164</v>
      </c>
      <c r="W2" s="215" t="s">
        <v>165</v>
      </c>
      <c r="X2" s="215" t="s">
        <v>166</v>
      </c>
      <c r="Y2" s="215" t="s">
        <v>98</v>
      </c>
      <c r="Z2" s="215" t="str">
        <f>"سرمایه فوت با تعدیل "&amp;(100*Info!$F$67)&amp;" درصد"</f>
        <v>سرمایه فوت با تعدیل 0 درصد</v>
      </c>
      <c r="AA2" s="215" t="str">
        <f>"حق‌بیمه پیشنهادی"</f>
        <v>حق‌بیمه پیشنهادی</v>
      </c>
      <c r="AB2" s="215" t="s">
        <v>101</v>
      </c>
      <c r="AC2" s="215" t="s">
        <v>167</v>
      </c>
    </row>
    <row r="3" spans="1:29" s="220" customFormat="1" ht="18.75" x14ac:dyDescent="0.45">
      <c r="A3" s="217">
        <f>IF(AB3&lt;&gt;"",AA3-(B3+C3+D3),"")</f>
        <v>0</v>
      </c>
      <c r="B3" s="21">
        <f>Rates2!$C$18*AA3</f>
        <v>0</v>
      </c>
      <c r="C3" s="21">
        <f>Rates2!$C$20*'جدول نمونه2'!AA3</f>
        <v>0</v>
      </c>
      <c r="D3" s="21">
        <f>Rates2!$C$19*W3</f>
        <v>0</v>
      </c>
      <c r="E3" s="21" t="str">
        <f>IF(AC3="","",F3/VLOOKUP(Info!$C$69,Rates2!$AA$13:$AB$19,2,0))</f>
        <v/>
      </c>
      <c r="F3" s="21" t="str">
        <f>IF(AC3="","",G3+J3)</f>
        <v/>
      </c>
      <c r="G3" s="21" t="str">
        <f>IF(AC3="","",H3+I3+P3+U3)</f>
        <v/>
      </c>
      <c r="H3" s="21" t="e">
        <f>IF(AB3&lt;&gt;"",Rates2!$Y$10*(P3+U3),"")</f>
        <v>#N/A</v>
      </c>
      <c r="I3" s="21" t="e">
        <f>IF(AB3&lt;&gt;"",(Rates2!$AA$10+Rates2!$Z$10)*(P3+U3),"")</f>
        <v>#N/A</v>
      </c>
      <c r="J3" s="21" t="str">
        <f>IF(AC3="","",K3*(P3+U3))</f>
        <v/>
      </c>
      <c r="K3" s="218" t="str">
        <f>IF(AC3="","",(VLOOKUP(Info!$C$56,Rates2!$AA$13:$AB$19,2,0)/((1-(1+L3)^(-VLOOKUP(Info!$C$56,Rates2!$AA$13:$AB$19,2,0)))*((1+L3)/L3)))-1)</f>
        <v/>
      </c>
      <c r="L3" s="218" t="str">
        <f>IF(AC3="","",(((1+M3)^(1/VLOOKUP(Info!$C$69,Rates2!$AA$13:$AB$19,2,0)))-1))</f>
        <v/>
      </c>
      <c r="M3" s="219">
        <f>IF(AC3&lt;&gt;"",0.1,0)</f>
        <v>0</v>
      </c>
      <c r="N3" s="21">
        <f>IF(Q3="",0,Q3)+IF(R3="",0,R3)+IF(S3="",0,S3)</f>
        <v>0</v>
      </c>
      <c r="O3" s="21">
        <f>IF(X3&lt;&gt;"",Info!$L$75*X3,"")</f>
        <v>0</v>
      </c>
      <c r="P3" s="21" t="e">
        <f>T3</f>
        <v>#N/A</v>
      </c>
      <c r="Q3" s="21">
        <f>U3*Rates2!$C$22</f>
        <v>0</v>
      </c>
      <c r="R3" s="21">
        <f>IF(AC3&lt;=5,Rates2!$B$24*Z3,0)</f>
        <v>0</v>
      </c>
      <c r="S3" s="21">
        <f>Rates2!$C$23*U3</f>
        <v>0</v>
      </c>
      <c r="T3" s="21" t="e">
        <f>IF(AB3&lt;71,Y3*0.0008*(1+(LOOKUP(Info!$I$67,Rates2!$O:$O,Rates2!$N:$N)/100)),0)</f>
        <v>#N/A</v>
      </c>
      <c r="U3" s="21">
        <f>IF(AC3&lt;=5,(V3+(Rates2!$B$27*'جدول نمونه2'!Z3))/(1-Rates2!$B$28),(V3+(Rates2!$B$27*'جدول نمونه2'!Z3)-(Rates2!$B$27*'جدول نمونه2'!Z3))/(1-Rates2!$B$28))</f>
        <v>0</v>
      </c>
      <c r="V3" s="21">
        <f>X3+O3</f>
        <v>0</v>
      </c>
      <c r="W3" s="21">
        <f>AA3</f>
        <v>0</v>
      </c>
      <c r="X3" s="21">
        <f>IF(AB3&gt;=0,(Z3*LOOKUP(AB3,Rates2!$U$2:$U$108,Rates2!$T$2:$T$108))/SQRT(1.1),0)</f>
        <v>0</v>
      </c>
      <c r="Y3" s="21">
        <f>IF(AND(AB3&gt;=0,AB3&lt;=Rates2!$W$3),Z3*(Info!$L$73),Z3)</f>
        <v>0</v>
      </c>
      <c r="Z3" s="21">
        <f>IF(AND(AB3&gt;=0,AC3&lt;&gt;""),Info!$F$56,0)</f>
        <v>0</v>
      </c>
      <c r="AA3" s="21">
        <f>IF(AB3&gt;=0,Info!$F$65,"")</f>
        <v>0</v>
      </c>
      <c r="AB3" s="21">
        <f>IF(AC3&lt;&gt;"",IF(Info!$F$63+AC3-1&lt;=Rates2!$W$11,Info!$F$63+AC3-1,0),0)</f>
        <v>0</v>
      </c>
      <c r="AC3" s="147" t="str">
        <f>IF(AND(Info!C67&gt;=0,Info!I58= "بله"),1,"")</f>
        <v/>
      </c>
    </row>
    <row r="4" spans="1:29" s="220" customFormat="1" ht="18.75" x14ac:dyDescent="0.45">
      <c r="A4" s="221"/>
      <c r="B4" s="24"/>
      <c r="C4" s="24"/>
      <c r="D4" s="24"/>
      <c r="E4" s="24" t="str">
        <f>IF(AC4="","",F4/VLOOKUP(Info!$C$69,Rates2!$AA$13:$AB$19,2,0))</f>
        <v/>
      </c>
      <c r="F4" s="24" t="str">
        <f t="shared" ref="F4:F67" si="0">IF(AC4="","",G4+J4)</f>
        <v/>
      </c>
      <c r="G4" s="24" t="str">
        <f t="shared" ref="G4:G67" si="1">IF(AC4="","",H4+I4+P4+U4)</f>
        <v/>
      </c>
      <c r="H4" s="24" t="e">
        <f>IF(AB4&lt;&gt;"",Rates2!$Y$10*(P4+U4),"")</f>
        <v>#N/A</v>
      </c>
      <c r="I4" s="24" t="e">
        <f>IF(AB4&lt;&gt;"",(Rates2!$AA$10+Rates2!$Z$10)*(P4+U4),"")</f>
        <v>#N/A</v>
      </c>
      <c r="J4" s="24" t="str">
        <f t="shared" ref="J4:J67" si="2">IF(AC4="","",K4*(P4+U4))</f>
        <v/>
      </c>
      <c r="K4" s="222" t="str">
        <f>IF(AC4="","",(VLOOKUP(Info!$C$56,Rates2!$AA$13:$AB$19,2,0)/((1-(1+L4)^(-VLOOKUP(Info!$C$56,Rates2!$AA$13:$AB$19,2,0)))*((1+L4)/L4)))-1)</f>
        <v/>
      </c>
      <c r="L4" s="222" t="str">
        <f>IF(AC4="","",(((1+M4)^(1/VLOOKUP(Info!$C$69,Rates2!$AA$13:$AB$19,2,0)))-1))</f>
        <v/>
      </c>
      <c r="M4" s="223">
        <f t="shared" ref="M4:M67" si="3">IF(AC4&lt;&gt;"",0.1,0)</f>
        <v>0</v>
      </c>
      <c r="N4" s="24">
        <f t="shared" ref="N4:N67" si="4">IF(Q4="",0,Q4)+IF(R4="",0,R4)+IF(S4="",0,S4)</f>
        <v>0</v>
      </c>
      <c r="O4" s="24">
        <f>IF(X4&lt;&gt;"",Info!$L$75*X4,"")</f>
        <v>0</v>
      </c>
      <c r="P4" s="24" t="e">
        <f>T4</f>
        <v>#N/A</v>
      </c>
      <c r="Q4" s="24">
        <f>U4*Rates2!$C$22</f>
        <v>0</v>
      </c>
      <c r="R4" s="24">
        <f>IF(AC4&lt;=5,Rates2!$B$24*Z4,0)</f>
        <v>0</v>
      </c>
      <c r="S4" s="24">
        <f>Rates2!$C$23*U4</f>
        <v>0</v>
      </c>
      <c r="T4" s="24" t="e">
        <f>IF(AB4&lt;71,Y4*0.0008*(1+(LOOKUP(Info!$I$67,Rates2!$O:$O,Rates2!$N:$N)/100)),0)</f>
        <v>#N/A</v>
      </c>
      <c r="U4" s="24">
        <f>IF(AC4&lt;=5,(V4+(Rates2!$B$27*'جدول نمونه2'!Z4))/(1-Rates2!$B$28),(V4+(Rates2!$B$27*'جدول نمونه2'!Z4)-(Rates2!$B$27*'جدول نمونه2'!Z4))/(1-Rates2!$B$28))</f>
        <v>0</v>
      </c>
      <c r="V4" s="24">
        <f t="shared" ref="V4:V67" si="5">X4+O4</f>
        <v>0</v>
      </c>
      <c r="W4" s="24">
        <v>0</v>
      </c>
      <c r="X4" s="24">
        <f>IF(AB4&lt;&gt;0,(Z4*LOOKUP(AB4,Rates2!$U$2:$U$108,Rates2!$T$2:$T$108))/SQRT(1.1),0)</f>
        <v>0</v>
      </c>
      <c r="Y4" s="24">
        <f>IF(AND(AB4&gt;=0,AB4&lt;=Rates2!$W$3),Z4*(Info!$L$73),Z4)</f>
        <v>0</v>
      </c>
      <c r="Z4" s="24">
        <f>IF(AND(AB4&gt;=0,AC4&lt;&gt;""),Z3*(1+Info!$F$67),0)</f>
        <v>0</v>
      </c>
      <c r="AA4" s="24">
        <v>0</v>
      </c>
      <c r="AB4" s="24">
        <f>IF(AC4&lt;&gt;"",IF(Info!$F$63+AC4-1&lt;=Rates2!$W$11,Info!$F$63+AC4-1,0),0)</f>
        <v>0</v>
      </c>
      <c r="AC4" s="146" t="str">
        <f>IF(AB3&lt;&gt;"",IF(AND(AC3&lt;&gt;"",AB3+1&lt;=Rates2!$W$11),IF(AC3&lt;&gt;0,IF(AC3+1&lt;=Info!$C$67,AC3+1,""),0),""),"")</f>
        <v/>
      </c>
    </row>
    <row r="5" spans="1:29" s="220" customFormat="1" ht="18.75" x14ac:dyDescent="0.45">
      <c r="A5" s="224"/>
      <c r="B5" s="25"/>
      <c r="C5" s="25"/>
      <c r="D5" s="25"/>
      <c r="E5" s="25" t="str">
        <f>IF(AC5="","",F5/VLOOKUP(Info!$C$69,Rates2!$AA$13:$AB$19,2,0))</f>
        <v/>
      </c>
      <c r="F5" s="25" t="str">
        <f t="shared" si="0"/>
        <v/>
      </c>
      <c r="G5" s="25" t="str">
        <f t="shared" si="1"/>
        <v/>
      </c>
      <c r="H5" s="25" t="e">
        <f>IF(AB5&lt;&gt;"",Rates2!$Y$10*(P5+U5),"")</f>
        <v>#N/A</v>
      </c>
      <c r="I5" s="25" t="e">
        <f>IF(AB5&lt;&gt;"",(Rates2!$AA$10+Rates2!$Z$10)*(P5+U5),"")</f>
        <v>#N/A</v>
      </c>
      <c r="J5" s="25" t="str">
        <f t="shared" si="2"/>
        <v/>
      </c>
      <c r="K5" s="225" t="str">
        <f>IF(AC5="","",(VLOOKUP(Info!$C$56,Rates2!$AA$13:$AB$19,2,0)/((1-(1+L5)^(-VLOOKUP(Info!$C$56,Rates2!$AA$13:$AB$19,2,0)))*((1+L5)/L5)))-1)</f>
        <v/>
      </c>
      <c r="L5" s="225" t="str">
        <f>IF(AC5="","",(((1+M5)^(1/VLOOKUP(Info!$C$69,Rates2!$AA$13:$AB$19,2,0)))-1))</f>
        <v/>
      </c>
      <c r="M5" s="226">
        <f t="shared" si="3"/>
        <v>0</v>
      </c>
      <c r="N5" s="25">
        <f t="shared" si="4"/>
        <v>0</v>
      </c>
      <c r="O5" s="25">
        <f>IF(X5&lt;&gt;"",Info!$L$75*X5,"")</f>
        <v>0</v>
      </c>
      <c r="P5" s="25" t="e">
        <f t="shared" ref="P5:P68" si="6">T5</f>
        <v>#N/A</v>
      </c>
      <c r="Q5" s="25">
        <f>U5*Rates2!$C$22</f>
        <v>0</v>
      </c>
      <c r="R5" s="25">
        <f>IF(AC5&lt;=5,Rates2!$B$24*Z5,0)</f>
        <v>0</v>
      </c>
      <c r="S5" s="25">
        <f>Rates2!$C$23*U5</f>
        <v>0</v>
      </c>
      <c r="T5" s="25" t="e">
        <f>IF(AB5&lt;71,Y5*0.0008*(1+(LOOKUP(Info!$I$67,Rates2!$O:$O,Rates2!$N:$N)/100)),0)</f>
        <v>#N/A</v>
      </c>
      <c r="U5" s="25">
        <f>IF(AC5&lt;=5,(V5+(Rates2!$B$27*'جدول نمونه2'!Z5))/(1-Rates2!$B$28),(V5+(Rates2!$B$27*'جدول نمونه2'!Z5)-(Rates2!$B$27*'جدول نمونه2'!Z5))/(1-Rates2!$B$28))</f>
        <v>0</v>
      </c>
      <c r="V5" s="25">
        <f>X5+O5</f>
        <v>0</v>
      </c>
      <c r="W5" s="25">
        <v>0</v>
      </c>
      <c r="X5" s="25">
        <f>IF(AB5&lt;&gt;0,(Z5*LOOKUP(AB5,Rates2!$U$2:$U$108,Rates2!$T$2:$T$108))/SQRT(1.1),0)</f>
        <v>0</v>
      </c>
      <c r="Y5" s="25">
        <f>IF(AND(AB5&gt;=0,AB5&lt;=Rates2!$W$3),Z5*(Info!$L$73),Z5)</f>
        <v>0</v>
      </c>
      <c r="Z5" s="25">
        <f>IF(AND(AB5&gt;=0,AC5&lt;&gt;""),Z4*(1+Info!$F$67),0)</f>
        <v>0</v>
      </c>
      <c r="AA5" s="25">
        <f>IF(AB5&lt;&gt;0,AA4*(1+Info!$F$65),0)</f>
        <v>0</v>
      </c>
      <c r="AB5" s="25">
        <f>IF(AC5&lt;&gt;"",IF(Info!$F$63+AC5-1&lt;=Rates2!$W$11,Info!$F$63+AC5-1,0),0)</f>
        <v>0</v>
      </c>
      <c r="AC5" s="145" t="str">
        <f>IF(AB4&lt;&gt;"",IF(AND(AC4&lt;&gt;"",AB4+1&lt;=Rates2!$W$11),IF(AC4&lt;&gt;0,IF(AC4+1&lt;=Info!$C$67,AC4+1,""),0),""),"")</f>
        <v/>
      </c>
    </row>
    <row r="6" spans="1:29" s="220" customFormat="1" ht="18.75" x14ac:dyDescent="0.45">
      <c r="A6" s="221"/>
      <c r="B6" s="24"/>
      <c r="C6" s="24"/>
      <c r="D6" s="24"/>
      <c r="E6" s="24" t="str">
        <f>IF(AC6="","",F6/VLOOKUP(Info!$C$69,Rates2!$AA$13:$AB$19,2,0))</f>
        <v/>
      </c>
      <c r="F6" s="24" t="str">
        <f t="shared" si="0"/>
        <v/>
      </c>
      <c r="G6" s="24" t="str">
        <f t="shared" si="1"/>
        <v/>
      </c>
      <c r="H6" s="24" t="e">
        <f>IF(AB6&lt;&gt;"",Rates2!$Y$10*(P6+U6),"")</f>
        <v>#N/A</v>
      </c>
      <c r="I6" s="24" t="e">
        <f>IF(AB6&lt;&gt;"",(Rates2!$AA$10+Rates2!$Z$10)*(P6+U6),"")</f>
        <v>#N/A</v>
      </c>
      <c r="J6" s="24" t="str">
        <f t="shared" si="2"/>
        <v/>
      </c>
      <c r="K6" s="222" t="str">
        <f>IF(AC6="","",(VLOOKUP(Info!$C$56,Rates2!$AA$13:$AB$19,2,0)/((1-(1+L6)^(-VLOOKUP(Info!$C$56,Rates2!$AA$13:$AB$19,2,0)))*((1+L6)/L6)))-1)</f>
        <v/>
      </c>
      <c r="L6" s="222" t="str">
        <f>IF(AC6="","",(((1+M6)^(1/VLOOKUP(Info!$C$69,Rates2!$AA$13:$AB$19,2,0)))-1))</f>
        <v/>
      </c>
      <c r="M6" s="223">
        <f t="shared" si="3"/>
        <v>0</v>
      </c>
      <c r="N6" s="24">
        <f t="shared" si="4"/>
        <v>0</v>
      </c>
      <c r="O6" s="24">
        <f>IF(X6&lt;&gt;"",Info!$L$75*X6,"")</f>
        <v>0</v>
      </c>
      <c r="P6" s="24" t="e">
        <f t="shared" si="6"/>
        <v>#N/A</v>
      </c>
      <c r="Q6" s="24">
        <f>U6*Rates2!$C$22</f>
        <v>0</v>
      </c>
      <c r="R6" s="24">
        <f>IF(AC6&lt;=5,Rates2!$B$24*Z6,0)</f>
        <v>0</v>
      </c>
      <c r="S6" s="24">
        <f>Rates2!$C$23*U6</f>
        <v>0</v>
      </c>
      <c r="T6" s="24" t="e">
        <f>IF(AB6&lt;71,Y6*0.0008*(1+(LOOKUP(Info!$I$67,Rates2!$O:$O,Rates2!$N:$N)/100)),0)</f>
        <v>#N/A</v>
      </c>
      <c r="U6" s="24">
        <f>IF(AC6&lt;=5,(V6+(Rates2!$B$27*'جدول نمونه2'!Z6))/(1-Rates2!$B$28),(V6+(Rates2!$B$27*'جدول نمونه2'!Z6)-(Rates2!$B$27*'جدول نمونه2'!Z6))/(1-Rates2!$B$28))</f>
        <v>0</v>
      </c>
      <c r="V6" s="24">
        <f t="shared" si="5"/>
        <v>0</v>
      </c>
      <c r="W6" s="24">
        <v>0</v>
      </c>
      <c r="X6" s="24">
        <f>IF(AB6&lt;&gt;0,(Z6*LOOKUP(AB6,Rates2!$U$2:$U$108,Rates2!$T$2:$T$108))/SQRT(1.1),0)</f>
        <v>0</v>
      </c>
      <c r="Y6" s="24">
        <f>IF(AND(AB6&gt;=0,AB6&lt;=Rates2!$W$3),Z6*(Info!$L$73),Z6)</f>
        <v>0</v>
      </c>
      <c r="Z6" s="24">
        <f>IF(AND(AB6&gt;=0,AC6&lt;&gt;""),Z5*(1+Info!$F$67),0)</f>
        <v>0</v>
      </c>
      <c r="AA6" s="24">
        <f>IF(AB6&lt;&gt;0,AA5*(1+Info!$F$65),0)</f>
        <v>0</v>
      </c>
      <c r="AB6" s="24">
        <f>IF(AC6&lt;&gt;"",IF(Info!$F$63+AC6-1&lt;=Rates2!$W$11,Info!$F$63+AC6-1,0),0)</f>
        <v>0</v>
      </c>
      <c r="AC6" s="146" t="str">
        <f>IF(AB5&lt;&gt;"",IF(AND(AC5&lt;&gt;"",AB5+1&lt;=Rates2!$W$11),IF(AC5&lt;&gt;0,IF(AC5+1&lt;=Info!$C$67,AC5+1,""),0),""),"")</f>
        <v/>
      </c>
    </row>
    <row r="7" spans="1:29" s="220" customFormat="1" ht="18.75" x14ac:dyDescent="0.45">
      <c r="A7" s="224"/>
      <c r="B7" s="25"/>
      <c r="C7" s="25"/>
      <c r="D7" s="25"/>
      <c r="E7" s="25" t="str">
        <f>IF(AC7="","",F7/VLOOKUP(Info!$C$69,Rates2!$AA$13:$AB$19,2,0))</f>
        <v/>
      </c>
      <c r="F7" s="25" t="str">
        <f t="shared" si="0"/>
        <v/>
      </c>
      <c r="G7" s="25" t="str">
        <f t="shared" si="1"/>
        <v/>
      </c>
      <c r="H7" s="25" t="e">
        <f>IF(AB7&lt;&gt;"",Rates2!$Y$10*(P7+U7),"")</f>
        <v>#N/A</v>
      </c>
      <c r="I7" s="25" t="e">
        <f>IF(AB7&lt;&gt;"",(Rates2!$AA$10+Rates2!$Z$10)*(P7+U7),"")</f>
        <v>#N/A</v>
      </c>
      <c r="J7" s="25" t="str">
        <f t="shared" si="2"/>
        <v/>
      </c>
      <c r="K7" s="225" t="str">
        <f>IF(AC7="","",(VLOOKUP(Info!$C$56,Rates2!$AA$13:$AB$19,2,0)/((1-(1+L7)^(-VLOOKUP(Info!$C$56,Rates2!$AA$13:$AB$19,2,0)))*((1+L7)/L7)))-1)</f>
        <v/>
      </c>
      <c r="L7" s="225" t="str">
        <f>IF(AC7="","",(((1+M7)^(1/VLOOKUP(Info!$C$69,Rates2!$AA$13:$AB$19,2,0)))-1))</f>
        <v/>
      </c>
      <c r="M7" s="226">
        <f t="shared" si="3"/>
        <v>0</v>
      </c>
      <c r="N7" s="25">
        <f t="shared" si="4"/>
        <v>0</v>
      </c>
      <c r="O7" s="25">
        <f>IF(X7&lt;&gt;"",Info!$L$75*X7,"")</f>
        <v>0</v>
      </c>
      <c r="P7" s="25" t="e">
        <f t="shared" si="6"/>
        <v>#N/A</v>
      </c>
      <c r="Q7" s="25">
        <f>U7*Rates2!$C$22</f>
        <v>0</v>
      </c>
      <c r="R7" s="25">
        <f>IF(AC7&lt;=5,Rates2!$B$24*Z7,0)</f>
        <v>0</v>
      </c>
      <c r="S7" s="25">
        <f>Rates2!$C$23*U7</f>
        <v>0</v>
      </c>
      <c r="T7" s="25" t="e">
        <f>IF(AB7&lt;71,Y7*0.0008*(1+(LOOKUP(Info!$I$67,Rates2!$O:$O,Rates2!$N:$N)/100)),0)</f>
        <v>#N/A</v>
      </c>
      <c r="U7" s="25">
        <f>IF(AC7&lt;=5,(V7+(Rates2!$B$27*'جدول نمونه2'!Z7))/(1-Rates2!$B$28),(V7+(Rates2!$B$27*'جدول نمونه2'!Z7)-(Rates2!$B$27*'جدول نمونه2'!Z7))/(1-Rates2!$B$28))</f>
        <v>0</v>
      </c>
      <c r="V7" s="25">
        <f t="shared" si="5"/>
        <v>0</v>
      </c>
      <c r="W7" s="25">
        <v>0</v>
      </c>
      <c r="X7" s="25">
        <f>IF(AB7&lt;&gt;0,(Z7*LOOKUP(AB7,Rates2!$U$2:$U$108,Rates2!$T$2:$T$108))/SQRT(1.1),0)</f>
        <v>0</v>
      </c>
      <c r="Y7" s="25">
        <f>IF(AND(AB7&gt;=0,AB7&lt;=Rates2!$W$3),Z7*(Info!$L$73),Z7)</f>
        <v>0</v>
      </c>
      <c r="Z7" s="25">
        <f>IF(AND(AB7&gt;=0,AC7&lt;&gt;""),Z6*(1+Info!$F$67),0)</f>
        <v>0</v>
      </c>
      <c r="AA7" s="25">
        <f>IF(AB7&lt;&gt;0,AA6*(1+Info!$F$65),0)</f>
        <v>0</v>
      </c>
      <c r="AB7" s="25">
        <f>IF(AC7&lt;&gt;"",IF(Info!$F$63+AC7-1&lt;=Rates2!$W$11,Info!$F$63+AC7-1,0),0)</f>
        <v>0</v>
      </c>
      <c r="AC7" s="145" t="str">
        <f>IF(AB6&lt;&gt;"",IF(AND(AC6&lt;&gt;"",AB6+1&lt;=Rates2!$W$11),IF(AC6&lt;&gt;0,IF(AC6+1&lt;=Info!$C$67,AC6+1,""),0),""),"")</f>
        <v/>
      </c>
    </row>
    <row r="8" spans="1:29" s="220" customFormat="1" ht="18.75" x14ac:dyDescent="0.45">
      <c r="A8" s="221"/>
      <c r="B8" s="24"/>
      <c r="C8" s="24"/>
      <c r="D8" s="24"/>
      <c r="E8" s="24" t="str">
        <f>IF(AC8="","",F8/VLOOKUP(Info!$C$69,Rates2!$AA$13:$AB$19,2,0))</f>
        <v/>
      </c>
      <c r="F8" s="24" t="str">
        <f t="shared" si="0"/>
        <v/>
      </c>
      <c r="G8" s="24" t="str">
        <f>IF(AC8="","",H8+I8+P8+U8)</f>
        <v/>
      </c>
      <c r="H8" s="24" t="e">
        <f>IF(AB8&lt;&gt;"",Rates2!$Y$10*(P8+U8),"")</f>
        <v>#N/A</v>
      </c>
      <c r="I8" s="24" t="e">
        <f>IF(AB8&lt;&gt;"",(Rates2!$AA$10+Rates2!$Z$10)*(P8+U8),"")</f>
        <v>#N/A</v>
      </c>
      <c r="J8" s="24" t="str">
        <f t="shared" si="2"/>
        <v/>
      </c>
      <c r="K8" s="222" t="str">
        <f>IF(AC8="","",(VLOOKUP(Info!$C$56,Rates2!$AA$13:$AB$19,2,0)/((1-(1+L8)^(-VLOOKUP(Info!$C$56,Rates2!$AA$13:$AB$19,2,0)))*((1+L8)/L8)))-1)</f>
        <v/>
      </c>
      <c r="L8" s="222" t="str">
        <f>IF(AC8="","",(((1+M8)^(1/VLOOKUP(Info!$C$69,Rates2!$AA$13:$AB$19,2,0)))-1))</f>
        <v/>
      </c>
      <c r="M8" s="223">
        <f t="shared" si="3"/>
        <v>0</v>
      </c>
      <c r="N8" s="24">
        <f t="shared" si="4"/>
        <v>0</v>
      </c>
      <c r="O8" s="24">
        <f>IF(X8&lt;&gt;"",Info!$L$75*X8,"")</f>
        <v>0</v>
      </c>
      <c r="P8" s="24" t="e">
        <f t="shared" si="6"/>
        <v>#N/A</v>
      </c>
      <c r="Q8" s="24">
        <f>U8*Rates2!$C$22</f>
        <v>0</v>
      </c>
      <c r="R8" s="24">
        <f>IF(AC8&lt;=5,Rates2!$B$24*Z8,0)</f>
        <v>0</v>
      </c>
      <c r="S8" s="24">
        <f>Rates2!$C$23*U8</f>
        <v>0</v>
      </c>
      <c r="T8" s="24" t="e">
        <f>IF(AB8&lt;71,Y8*0.0008*(1+(LOOKUP(Info!$I$67,Rates2!$O:$O,Rates2!$N:$N)/100)),0)</f>
        <v>#N/A</v>
      </c>
      <c r="U8" s="24">
        <f>IF(AC8&lt;=5,(V8+(Rates2!$B$27*'جدول نمونه2'!Z8))/(1-Rates2!$B$28),(V8+(Rates2!$B$27*'جدول نمونه2'!Z8)-(Rates2!$B$27*'جدول نمونه2'!Z8))/(1-Rates2!$B$28))</f>
        <v>0</v>
      </c>
      <c r="V8" s="24">
        <f t="shared" si="5"/>
        <v>0</v>
      </c>
      <c r="W8" s="24">
        <v>0</v>
      </c>
      <c r="X8" s="24">
        <f>IF(AB8&lt;&gt;0,(Z8*LOOKUP(AB8,Rates2!$U$2:$U$108,Rates2!$T$2:$T$108))/SQRT(1.1),0)</f>
        <v>0</v>
      </c>
      <c r="Y8" s="24">
        <f>IF(AND(AB8&gt;=0,AB8&lt;=Rates2!$W$3),Z8*(Info!$L$73),Z8)</f>
        <v>0</v>
      </c>
      <c r="Z8" s="24">
        <f>IF(AND(AB8&gt;=0,AC8&lt;&gt;""),Z7*(1+Info!$F$67),0)</f>
        <v>0</v>
      </c>
      <c r="AA8" s="24">
        <f>IF(AB8&lt;&gt;0,AA7*(1+Info!$F$65),0)</f>
        <v>0</v>
      </c>
      <c r="AB8" s="24">
        <f>IF(AC8&lt;&gt;"",IF(Info!$F$63+AC8-1&lt;=Rates2!$W$11,Info!$F$63+AC8-1,0),0)</f>
        <v>0</v>
      </c>
      <c r="AC8" s="146" t="str">
        <f>IF(AB7&lt;&gt;"",IF(AND(AC7&lt;&gt;"",AB7+1&lt;=Rates2!$W$11),IF(AC7&lt;&gt;0,IF(AC7+1&lt;=Info!$C$67,AC7+1,""),0),""),"")</f>
        <v/>
      </c>
    </row>
    <row r="9" spans="1:29" s="220" customFormat="1" ht="18.75" x14ac:dyDescent="0.45">
      <c r="A9" s="224"/>
      <c r="B9" s="25"/>
      <c r="C9" s="25"/>
      <c r="D9" s="25"/>
      <c r="E9" s="25" t="str">
        <f>IF(AC9="","",F9/VLOOKUP(Info!$C$69,Rates2!$AA$13:$AB$19,2,0))</f>
        <v/>
      </c>
      <c r="F9" s="25" t="str">
        <f t="shared" si="0"/>
        <v/>
      </c>
      <c r="G9" s="25" t="str">
        <f t="shared" si="1"/>
        <v/>
      </c>
      <c r="H9" s="25" t="e">
        <f>IF(AB9&lt;&gt;"",Rates2!$Y$10*(P9+U9),"")</f>
        <v>#N/A</v>
      </c>
      <c r="I9" s="25" t="e">
        <f>IF(AB9&lt;&gt;"",(Rates2!$AA$10+Rates2!$Z$10)*(P9+U9),"")</f>
        <v>#N/A</v>
      </c>
      <c r="J9" s="25" t="str">
        <f t="shared" si="2"/>
        <v/>
      </c>
      <c r="K9" s="225" t="str">
        <f>IF(AC9="","",(VLOOKUP(Info!$C$56,Rates2!$AA$13:$AB$19,2,0)/((1-(1+L9)^(-VLOOKUP(Info!$C$56,Rates2!$AA$13:$AB$19,2,0)))*((1+L9)/L9)))-1)</f>
        <v/>
      </c>
      <c r="L9" s="225" t="str">
        <f>IF(AC9="","",(((1+M9)^(1/VLOOKUP(Info!$C$69,Rates2!$AA$13:$AB$19,2,0)))-1))</f>
        <v/>
      </c>
      <c r="M9" s="226">
        <f t="shared" si="3"/>
        <v>0</v>
      </c>
      <c r="N9" s="25">
        <f t="shared" si="4"/>
        <v>0</v>
      </c>
      <c r="O9" s="25">
        <f>IF(X9&lt;&gt;"",Info!$L$75*X9,"")</f>
        <v>0</v>
      </c>
      <c r="P9" s="25" t="e">
        <f t="shared" si="6"/>
        <v>#N/A</v>
      </c>
      <c r="Q9" s="25">
        <f>U9*Rates2!$C$22</f>
        <v>0</v>
      </c>
      <c r="R9" s="25">
        <f>IF(AC9&lt;=5,Rates2!$B$24*Z9,0)</f>
        <v>0</v>
      </c>
      <c r="S9" s="25">
        <f>Rates2!$C$23*U9</f>
        <v>0</v>
      </c>
      <c r="T9" s="25" t="e">
        <f>IF(AB9&lt;71,Y9*0.0008*(1+(LOOKUP(Info!$I$67,Rates2!$O:$O,Rates2!$N:$N)/100)),0)</f>
        <v>#N/A</v>
      </c>
      <c r="U9" s="25">
        <f>IF(AC9&lt;=5,(V9+(Rates2!$B$27*'جدول نمونه2'!Z9))/(1-Rates2!$B$28),(V9+(Rates2!$B$27*'جدول نمونه2'!Z9)-(Rates2!$B$27*'جدول نمونه2'!Z9))/(1-Rates2!$B$28))</f>
        <v>0</v>
      </c>
      <c r="V9" s="25">
        <f t="shared" si="5"/>
        <v>0</v>
      </c>
      <c r="W9" s="25">
        <v>0</v>
      </c>
      <c r="X9" s="25">
        <f>IF(AB9&lt;&gt;0,(Z9*LOOKUP(AB9,Rates2!$U$2:$U$108,Rates2!$T$2:$T$108))/SQRT(1.1),0)</f>
        <v>0</v>
      </c>
      <c r="Y9" s="25">
        <f>IF(AND(AB9&gt;=0,AB9&lt;=Rates2!$W$3),Z9*(Info!$L$73),Z9)</f>
        <v>0</v>
      </c>
      <c r="Z9" s="25">
        <f>IF(AND(AB9&gt;=0,AC9&lt;&gt;""),Z8*(1+Info!$F$67),0)</f>
        <v>0</v>
      </c>
      <c r="AA9" s="25">
        <f>IF(AB9&lt;&gt;0,AA8*(1+Info!$F$65),0)</f>
        <v>0</v>
      </c>
      <c r="AB9" s="25">
        <f>IF(AC9&lt;&gt;"",IF(Info!$F$63+AC9-1&lt;=Rates2!$W$11,Info!$F$63+AC9-1,0),0)</f>
        <v>0</v>
      </c>
      <c r="AC9" s="145" t="str">
        <f>IF(AB8&lt;&gt;"",IF(AND(AC8&lt;&gt;"",AB8+1&lt;=Rates2!$W$11),IF(AC8&lt;&gt;0,IF(AC8+1&lt;=Info!$C$67,AC8+1,""),0),""),"")</f>
        <v/>
      </c>
    </row>
    <row r="10" spans="1:29" s="220" customFormat="1" ht="18.75" x14ac:dyDescent="0.45">
      <c r="A10" s="221"/>
      <c r="B10" s="24"/>
      <c r="C10" s="24"/>
      <c r="D10" s="24"/>
      <c r="E10" s="24" t="str">
        <f>IF(AC10="","",F10/VLOOKUP(Info!$C$69,Rates2!$AA$13:$AB$19,2,0))</f>
        <v/>
      </c>
      <c r="F10" s="24" t="str">
        <f t="shared" si="0"/>
        <v/>
      </c>
      <c r="G10" s="24" t="str">
        <f t="shared" si="1"/>
        <v/>
      </c>
      <c r="H10" s="24" t="e">
        <f>IF(AB10&lt;&gt;"",Rates2!$Y$10*(P10+U10),"")</f>
        <v>#N/A</v>
      </c>
      <c r="I10" s="24" t="e">
        <f>IF(AB10&lt;&gt;"",(Rates2!$AA$10+Rates2!$Z$10)*(P10+U10),"")</f>
        <v>#N/A</v>
      </c>
      <c r="J10" s="24" t="str">
        <f t="shared" si="2"/>
        <v/>
      </c>
      <c r="K10" s="222" t="str">
        <f>IF(AC10="","",(VLOOKUP(Info!$C$56,Rates2!$AA$13:$AB$19,2,0)/((1-(1+L10)^(-VLOOKUP(Info!$C$56,Rates2!$AA$13:$AB$19,2,0)))*((1+L10)/L10)))-1)</f>
        <v/>
      </c>
      <c r="L10" s="222" t="str">
        <f>IF(AC10="","",(((1+M10)^(1/VLOOKUP(Info!$C$69,Rates2!$AA$13:$AB$19,2,0)))-1))</f>
        <v/>
      </c>
      <c r="M10" s="223">
        <f t="shared" si="3"/>
        <v>0</v>
      </c>
      <c r="N10" s="24">
        <f t="shared" si="4"/>
        <v>0</v>
      </c>
      <c r="O10" s="24">
        <f>IF(X10&lt;&gt;"",Info!$L$75*X10,"")</f>
        <v>0</v>
      </c>
      <c r="P10" s="24" t="e">
        <f t="shared" si="6"/>
        <v>#N/A</v>
      </c>
      <c r="Q10" s="24">
        <f>U10*Rates2!$C$22</f>
        <v>0</v>
      </c>
      <c r="R10" s="24">
        <f>IF(AC10&lt;=5,Rates2!$B$24*Z10,0)</f>
        <v>0</v>
      </c>
      <c r="S10" s="24">
        <f>Rates2!$C$23*U10</f>
        <v>0</v>
      </c>
      <c r="T10" s="24" t="e">
        <f>IF(AB10&lt;71,Y10*0.0008*(1+(LOOKUP(Info!$I$67,Rates2!$O:$O,Rates2!$N:$N)/100)),0)</f>
        <v>#N/A</v>
      </c>
      <c r="U10" s="24">
        <f>IF(AC10&lt;=5,(V10+(Rates2!$B$27*'جدول نمونه2'!Z10))/(1-Rates2!$B$28),(V10+(Rates2!$B$27*'جدول نمونه2'!Z10)-(Rates2!$B$27*'جدول نمونه2'!Z10))/(1-Rates2!$B$28))</f>
        <v>0</v>
      </c>
      <c r="V10" s="24">
        <f t="shared" si="5"/>
        <v>0</v>
      </c>
      <c r="W10" s="24">
        <v>0</v>
      </c>
      <c r="X10" s="24">
        <f>IF(AB10&lt;&gt;0,(Z10*LOOKUP(AB10,Rates2!$U$2:$U$108,Rates2!$T$2:$T$108))/SQRT(1.1),0)</f>
        <v>0</v>
      </c>
      <c r="Y10" s="24">
        <f>IF(AND(AB10&gt;=0,AB10&lt;=Rates2!$W$3),Z10*(Info!$L$73),Z10)</f>
        <v>0</v>
      </c>
      <c r="Z10" s="24">
        <f>IF(AND(AB10&gt;=0,AC10&lt;&gt;""),Z9*(1+Info!$F$67),0)</f>
        <v>0</v>
      </c>
      <c r="AA10" s="24">
        <f>IF(AB10&lt;&gt;0,AA9*(1+Info!$F$65),0)</f>
        <v>0</v>
      </c>
      <c r="AB10" s="24">
        <f>IF(AC10&lt;&gt;"",IF(Info!$F$63+AC10-1&lt;=Rates2!$W$11,Info!$F$63+AC10-1,0),0)</f>
        <v>0</v>
      </c>
      <c r="AC10" s="146" t="str">
        <f>IF(AB9&lt;&gt;"",IF(AND(AC9&lt;&gt;"",AB9+1&lt;=Rates2!$W$11),IF(AC9&lt;&gt;0,IF(AC9+1&lt;=Info!$C$67,AC9+1,""),0),""),"")</f>
        <v/>
      </c>
    </row>
    <row r="11" spans="1:29" s="220" customFormat="1" ht="18.75" x14ac:dyDescent="0.45">
      <c r="A11" s="224"/>
      <c r="B11" s="25"/>
      <c r="C11" s="25"/>
      <c r="D11" s="25"/>
      <c r="E11" s="25" t="str">
        <f>IF(AC11="","",F11/VLOOKUP(Info!$C$69,Rates2!$AA$13:$AB$19,2,0))</f>
        <v/>
      </c>
      <c r="F11" s="25" t="str">
        <f t="shared" si="0"/>
        <v/>
      </c>
      <c r="G11" s="25" t="str">
        <f t="shared" si="1"/>
        <v/>
      </c>
      <c r="H11" s="25" t="e">
        <f>IF(AB11&lt;&gt;"",Rates2!$Y$10*(P11+U11),"")</f>
        <v>#N/A</v>
      </c>
      <c r="I11" s="25" t="e">
        <f>IF(AB11&lt;&gt;"",(Rates2!$AA$10+Rates2!$Z$10)*(P11+U11),"")</f>
        <v>#N/A</v>
      </c>
      <c r="J11" s="25" t="str">
        <f t="shared" si="2"/>
        <v/>
      </c>
      <c r="K11" s="225" t="str">
        <f>IF(AC11="","",(VLOOKUP(Info!$C$56,Rates2!$AA$13:$AB$19,2,0)/((1-(1+L11)^(-VLOOKUP(Info!$C$56,Rates2!$AA$13:$AB$19,2,0)))*((1+L11)/L11)))-1)</f>
        <v/>
      </c>
      <c r="L11" s="225" t="str">
        <f>IF(AC11="","",(((1+M11)^(1/VLOOKUP(Info!$C$69,Rates2!$AA$13:$AB$19,2,0)))-1))</f>
        <v/>
      </c>
      <c r="M11" s="226">
        <f t="shared" si="3"/>
        <v>0</v>
      </c>
      <c r="N11" s="25">
        <f t="shared" si="4"/>
        <v>0</v>
      </c>
      <c r="O11" s="25">
        <f>IF(X11&lt;&gt;"",Info!$L$75*X11,"")</f>
        <v>0</v>
      </c>
      <c r="P11" s="25" t="e">
        <f t="shared" si="6"/>
        <v>#N/A</v>
      </c>
      <c r="Q11" s="25">
        <f>U11*Rates2!$C$22</f>
        <v>0</v>
      </c>
      <c r="R11" s="25">
        <f>IF(AC11&lt;=5,Rates2!$B$24*Z11,0)</f>
        <v>0</v>
      </c>
      <c r="S11" s="25">
        <f>Rates2!$C$23*U11</f>
        <v>0</v>
      </c>
      <c r="T11" s="25" t="e">
        <f>IF(AB11&lt;71,Y11*0.0008*(1+(LOOKUP(Info!$I$67,Rates2!$O:$O,Rates2!$N:$N)/100)),0)</f>
        <v>#N/A</v>
      </c>
      <c r="U11" s="25">
        <f>IF(AC11&lt;=5,(V11+(Rates2!$B$27*'جدول نمونه2'!Z11))/(1-Rates2!$B$28),(V11+(Rates2!$B$27*'جدول نمونه2'!Z11)-(Rates2!$B$27*'جدول نمونه2'!Z11))/(1-Rates2!$B$28))</f>
        <v>0</v>
      </c>
      <c r="V11" s="25">
        <f t="shared" si="5"/>
        <v>0</v>
      </c>
      <c r="W11" s="25">
        <v>0</v>
      </c>
      <c r="X11" s="25">
        <f>IF(AB11&lt;&gt;0,(Z11*LOOKUP(AB11,Rates2!$U$2:$U$108,Rates2!$T$2:$T$108))/SQRT(1.1),0)</f>
        <v>0</v>
      </c>
      <c r="Y11" s="25">
        <f>IF(AND(AB11&gt;=0,AB11&lt;=Rates2!$W$3),Z11*(Info!$L$73),Z11)</f>
        <v>0</v>
      </c>
      <c r="Z11" s="25">
        <f>IF(AND(AB11&gt;=0,AC11&lt;&gt;""),Z10*(1+Info!$F$67),0)</f>
        <v>0</v>
      </c>
      <c r="AA11" s="25">
        <f>IF(AB11&lt;&gt;0,AA10*(1+Info!$F$65),0)</f>
        <v>0</v>
      </c>
      <c r="AB11" s="25">
        <f>IF(AC11&lt;&gt;"",IF(Info!$F$63+AC11-1&lt;=Rates2!$W$11,Info!$F$63+AC11-1,0),0)</f>
        <v>0</v>
      </c>
      <c r="AC11" s="145" t="str">
        <f>IF(AB10&lt;&gt;"",IF(AND(AC10&lt;&gt;"",AB10+1&lt;=Rates2!$W$11),IF(AC10&lt;&gt;0,IF(AC10+1&lt;=Info!$C$67,AC10+1,""),0),""),"")</f>
        <v/>
      </c>
    </row>
    <row r="12" spans="1:29" s="220" customFormat="1" ht="18.75" x14ac:dyDescent="0.45">
      <c r="A12" s="221"/>
      <c r="B12" s="24"/>
      <c r="C12" s="24"/>
      <c r="D12" s="24"/>
      <c r="E12" s="24" t="str">
        <f>IF(AC12="","",F12/VLOOKUP(Info!$C$69,Rates2!$AA$13:$AB$19,2,0))</f>
        <v/>
      </c>
      <c r="F12" s="24" t="str">
        <f t="shared" si="0"/>
        <v/>
      </c>
      <c r="G12" s="24" t="str">
        <f t="shared" si="1"/>
        <v/>
      </c>
      <c r="H12" s="24" t="e">
        <f>IF(AB12&lt;&gt;"",Rates2!$Y$10*(P12+U12),"")</f>
        <v>#N/A</v>
      </c>
      <c r="I12" s="24" t="e">
        <f>IF(AB12&lt;&gt;"",(Rates2!$AA$10+Rates2!$Z$10)*(P12+U12),"")</f>
        <v>#N/A</v>
      </c>
      <c r="J12" s="24" t="str">
        <f t="shared" si="2"/>
        <v/>
      </c>
      <c r="K12" s="222" t="str">
        <f>IF(AC12="","",(VLOOKUP(Info!$C$56,Rates2!$AA$13:$AB$19,2,0)/((1-(1+L12)^(-VLOOKUP(Info!$C$56,Rates2!$AA$13:$AB$19,2,0)))*((1+L12)/L12)))-1)</f>
        <v/>
      </c>
      <c r="L12" s="222" t="str">
        <f>IF(AC12="","",(((1+M12)^(1/VLOOKUP(Info!$C$69,Rates2!$AA$13:$AB$19,2,0)))-1))</f>
        <v/>
      </c>
      <c r="M12" s="223">
        <f t="shared" si="3"/>
        <v>0</v>
      </c>
      <c r="N12" s="24">
        <f t="shared" si="4"/>
        <v>0</v>
      </c>
      <c r="O12" s="24">
        <f>IF(X12&lt;&gt;"",Info!$L$75*X12,"")</f>
        <v>0</v>
      </c>
      <c r="P12" s="24" t="e">
        <f t="shared" si="6"/>
        <v>#N/A</v>
      </c>
      <c r="Q12" s="24">
        <f>U12*Rates2!$C$22</f>
        <v>0</v>
      </c>
      <c r="R12" s="24">
        <f>IF(AC12&lt;=5,Rates2!$B$24*Z12,0)</f>
        <v>0</v>
      </c>
      <c r="S12" s="24">
        <f>Rates2!$C$23*U12</f>
        <v>0</v>
      </c>
      <c r="T12" s="24" t="e">
        <f>IF(AB12&lt;71,Y12*0.0008*(1+(LOOKUP(Info!$I$67,Rates2!$O:$O,Rates2!$N:$N)/100)),0)</f>
        <v>#N/A</v>
      </c>
      <c r="U12" s="24">
        <f>IF(AC12&lt;=5,(V12+(Rates2!$B$27*'جدول نمونه2'!Z12))/(1-Rates2!$B$28),(V12+(Rates2!$B$27*'جدول نمونه2'!Z12)-(Rates2!$B$27*'جدول نمونه2'!Z12))/(1-Rates2!$B$28))</f>
        <v>0</v>
      </c>
      <c r="V12" s="24">
        <f t="shared" si="5"/>
        <v>0</v>
      </c>
      <c r="W12" s="24">
        <v>0</v>
      </c>
      <c r="X12" s="24">
        <f>IF(AB12&lt;&gt;0,(Z12*LOOKUP(AB12,Rates2!$U$2:$U$108,Rates2!$T$2:$T$108))/SQRT(1.1),0)</f>
        <v>0</v>
      </c>
      <c r="Y12" s="24">
        <f>IF(AND(AB12&gt;=0,AB12&lt;=Rates2!$W$3),Z12*(Info!$L$73),Z12)</f>
        <v>0</v>
      </c>
      <c r="Z12" s="24">
        <f>IF(AND(AB12&gt;=0,AC12&lt;&gt;""),Z11*(1+Info!$F$67),0)</f>
        <v>0</v>
      </c>
      <c r="AA12" s="24">
        <f>IF(AB12&lt;&gt;0,AA11*(1+Info!$F$65),0)</f>
        <v>0</v>
      </c>
      <c r="AB12" s="24">
        <f>IF(AC12&lt;&gt;"",IF(Info!$F$63+AC12-1&lt;=Rates2!$W$11,Info!$F$63+AC12-1,0),0)</f>
        <v>0</v>
      </c>
      <c r="AC12" s="146" t="str">
        <f>IF(AB11&lt;&gt;"",IF(AND(AC11&lt;&gt;"",AB11+1&lt;=Rates2!$W$11),IF(AC11&lt;&gt;0,IF(AC11+1&lt;=Info!$C$67,AC11+1,""),0),""),"")</f>
        <v/>
      </c>
    </row>
    <row r="13" spans="1:29" s="220" customFormat="1" ht="18.75" x14ac:dyDescent="0.45">
      <c r="A13" s="224"/>
      <c r="B13" s="25"/>
      <c r="C13" s="25"/>
      <c r="D13" s="25"/>
      <c r="E13" s="25" t="str">
        <f>IF(AC13="","",F13/VLOOKUP(Info!$C$69,Rates2!$AA$13:$AB$19,2,0))</f>
        <v/>
      </c>
      <c r="F13" s="25" t="str">
        <f t="shared" si="0"/>
        <v/>
      </c>
      <c r="G13" s="25" t="str">
        <f t="shared" si="1"/>
        <v/>
      </c>
      <c r="H13" s="25" t="e">
        <f>IF(AB13&lt;&gt;"",Rates2!$Y$10*(P13+U13),"")</f>
        <v>#N/A</v>
      </c>
      <c r="I13" s="25" t="e">
        <f>IF(AB13&lt;&gt;"",(Rates2!$AA$10+Rates2!$Z$10)*(P13+U13),"")</f>
        <v>#N/A</v>
      </c>
      <c r="J13" s="25" t="str">
        <f t="shared" si="2"/>
        <v/>
      </c>
      <c r="K13" s="225" t="str">
        <f>IF(AC13="","",(VLOOKUP(Info!$C$56,Rates2!$AA$13:$AB$19,2,0)/((1-(1+L13)^(-VLOOKUP(Info!$C$56,Rates2!$AA$13:$AB$19,2,0)))*((1+L13)/L13)))-1)</f>
        <v/>
      </c>
      <c r="L13" s="225" t="str">
        <f>IF(AC13="","",(((1+M13)^(1/VLOOKUP(Info!$C$69,Rates2!$AA$13:$AB$19,2,0)))-1))</f>
        <v/>
      </c>
      <c r="M13" s="226">
        <f t="shared" si="3"/>
        <v>0</v>
      </c>
      <c r="N13" s="25">
        <f t="shared" si="4"/>
        <v>0</v>
      </c>
      <c r="O13" s="25">
        <f>IF(X13&lt;&gt;"",Info!$L$75*X13,"")</f>
        <v>0</v>
      </c>
      <c r="P13" s="25" t="e">
        <f t="shared" si="6"/>
        <v>#N/A</v>
      </c>
      <c r="Q13" s="25">
        <f>U13*Rates2!$C$22</f>
        <v>0</v>
      </c>
      <c r="R13" s="25">
        <f>IF(AC13&lt;=5,Rates2!$B$24*Z13,0)</f>
        <v>0</v>
      </c>
      <c r="S13" s="25">
        <f>Rates2!$C$23*U13</f>
        <v>0</v>
      </c>
      <c r="T13" s="25" t="e">
        <f>IF(AB13&lt;71,Y13*0.0008*(1+(LOOKUP(Info!$I$67,Rates2!$O:$O,Rates2!$N:$N)/100)),0)</f>
        <v>#N/A</v>
      </c>
      <c r="U13" s="25">
        <f>IF(AC13&lt;=5,(V13+(Rates2!$B$27*'جدول نمونه2'!Z13))/(1-Rates2!$B$28),(V13+(Rates2!$B$27*'جدول نمونه2'!Z13)-(Rates2!$B$27*'جدول نمونه2'!Z13))/(1-Rates2!$B$28))</f>
        <v>0</v>
      </c>
      <c r="V13" s="25">
        <f t="shared" si="5"/>
        <v>0</v>
      </c>
      <c r="W13" s="25">
        <v>0</v>
      </c>
      <c r="X13" s="25">
        <f>IF(AB13&lt;&gt;0,(Z13*LOOKUP(AB13,Rates2!$U$2:$U$108,Rates2!$T$2:$T$108))/SQRT(1.1),0)</f>
        <v>0</v>
      </c>
      <c r="Y13" s="25">
        <f>IF(AND(AB13&gt;=0,AB13&lt;=Rates2!$W$3),Z13*(Info!$L$73),Z13)</f>
        <v>0</v>
      </c>
      <c r="Z13" s="25">
        <f>IF(AND(AB13&gt;=0,AC13&lt;&gt;""),Z12*(1+Info!$F$67),0)</f>
        <v>0</v>
      </c>
      <c r="AA13" s="25">
        <f>IF(AB13&lt;&gt;0,AA12*(1+Info!$F$65),0)</f>
        <v>0</v>
      </c>
      <c r="AB13" s="25">
        <f>IF(AC13&lt;&gt;"",IF(Info!$F$63+AC13-1&lt;=Rates2!$W$11,Info!$F$63+AC13-1,0),0)</f>
        <v>0</v>
      </c>
      <c r="AC13" s="145" t="str">
        <f>IF(AB12&lt;&gt;"",IF(AND(AC12&lt;&gt;"",AB12+1&lt;=Rates2!$W$11),IF(AC12&lt;&gt;0,IF(AC12+1&lt;=Info!$C$67,AC12+1,""),0),""),"")</f>
        <v/>
      </c>
    </row>
    <row r="14" spans="1:29" s="220" customFormat="1" ht="18.75" x14ac:dyDescent="0.45">
      <c r="A14" s="221"/>
      <c r="B14" s="24"/>
      <c r="C14" s="24"/>
      <c r="D14" s="24"/>
      <c r="E14" s="24" t="str">
        <f>IF(AC14="","",F14/VLOOKUP(Info!$C$69,Rates2!$AA$13:$AB$19,2,0))</f>
        <v/>
      </c>
      <c r="F14" s="24" t="str">
        <f t="shared" si="0"/>
        <v/>
      </c>
      <c r="G14" s="24" t="str">
        <f t="shared" si="1"/>
        <v/>
      </c>
      <c r="H14" s="24" t="e">
        <f>IF(AB14&lt;&gt;"",Rates2!$Y$10*(P14+U14),"")</f>
        <v>#N/A</v>
      </c>
      <c r="I14" s="24" t="e">
        <f>IF(AB14&lt;&gt;"",(Rates2!$AA$10+Rates2!$Z$10)*(P14+U14),"")</f>
        <v>#N/A</v>
      </c>
      <c r="J14" s="24" t="str">
        <f t="shared" si="2"/>
        <v/>
      </c>
      <c r="K14" s="222" t="str">
        <f>IF(AC14="","",(VLOOKUP(Info!$C$56,Rates2!$AA$13:$AB$19,2,0)/((1-(1+L14)^(-VLOOKUP(Info!$C$56,Rates2!$AA$13:$AB$19,2,0)))*((1+L14)/L14)))-1)</f>
        <v/>
      </c>
      <c r="L14" s="222" t="str">
        <f>IF(AC14="","",(((1+M14)^(1/VLOOKUP(Info!$C$69,Rates2!$AA$13:$AB$19,2,0)))-1))</f>
        <v/>
      </c>
      <c r="M14" s="223">
        <f t="shared" si="3"/>
        <v>0</v>
      </c>
      <c r="N14" s="24">
        <f t="shared" si="4"/>
        <v>0</v>
      </c>
      <c r="O14" s="24">
        <f>IF(X14&lt;&gt;"",Info!$L$75*X14,"")</f>
        <v>0</v>
      </c>
      <c r="P14" s="24" t="e">
        <f>T14</f>
        <v>#N/A</v>
      </c>
      <c r="Q14" s="24">
        <f>U14*Rates2!$C$22</f>
        <v>0</v>
      </c>
      <c r="R14" s="24">
        <f>IF(AC14&lt;=5,Rates2!$B$24*Z14,0)</f>
        <v>0</v>
      </c>
      <c r="S14" s="24">
        <f>Rates2!$C$23*U14</f>
        <v>0</v>
      </c>
      <c r="T14" s="24" t="e">
        <f>IF(AB14&lt;71,Y14*0.0008*(1+(LOOKUP(Info!$I$67,Rates2!$O:$O,Rates2!$N:$N)/100)),0)</f>
        <v>#N/A</v>
      </c>
      <c r="U14" s="24">
        <f>IF(AC14&lt;=5,(V14+(Rates2!$B$27*'جدول نمونه2'!Z14))/(1-Rates2!$B$28),(V14+(Rates2!$B$27*'جدول نمونه2'!Z14)-(Rates2!$B$27*'جدول نمونه2'!Z14))/(1-Rates2!$B$28))</f>
        <v>0</v>
      </c>
      <c r="V14" s="24">
        <f t="shared" si="5"/>
        <v>0</v>
      </c>
      <c r="W14" s="24">
        <v>0</v>
      </c>
      <c r="X14" s="24">
        <f>IF(AB14&lt;&gt;0,(Z14*LOOKUP(AB14,Rates2!$U$2:$U$108,Rates2!$T$2:$T$108))/SQRT(1.1),0)</f>
        <v>0</v>
      </c>
      <c r="Y14" s="24">
        <f>IF(AND(AB14&gt;=0,AB14&lt;=Rates2!$W$3),Z14*(Info!$L$73),Z14)</f>
        <v>0</v>
      </c>
      <c r="Z14" s="24">
        <f>IF(AND(AB14&gt;=0,AC14&lt;&gt;""),Z13*(1+Info!$F$67),0)</f>
        <v>0</v>
      </c>
      <c r="AA14" s="24">
        <f>IF(AB14&lt;&gt;0,AA13*(1+Info!$F$65),0)</f>
        <v>0</v>
      </c>
      <c r="AB14" s="24">
        <f>IF(AC14&lt;&gt;"",IF(Info!$F$63+AC14-1&lt;=Rates2!$W$11,Info!$F$63+AC14-1,0),0)</f>
        <v>0</v>
      </c>
      <c r="AC14" s="146" t="str">
        <f>IF(AB13&lt;&gt;"",IF(AND(AC13&lt;&gt;"",AB13+1&lt;=Rates2!$W$11),IF(AC13&lt;&gt;0,IF(AC13+1&lt;=Info!$C$67,AC13+1,""),0),""),"")</f>
        <v/>
      </c>
    </row>
    <row r="15" spans="1:29" s="220" customFormat="1" ht="18.75" x14ac:dyDescent="0.45">
      <c r="A15" s="224"/>
      <c r="B15" s="25"/>
      <c r="C15" s="25"/>
      <c r="D15" s="25"/>
      <c r="E15" s="25" t="str">
        <f>IF(AC15="","",F15/VLOOKUP(Info!$C$69,Rates2!$AA$13:$AB$19,2,0))</f>
        <v/>
      </c>
      <c r="F15" s="25" t="str">
        <f>IF(AC15="","",G15+J15)</f>
        <v/>
      </c>
      <c r="G15" s="25" t="str">
        <f>IF(AC15="","",H15+I15+P15+U15)</f>
        <v/>
      </c>
      <c r="H15" s="25" t="e">
        <f>IF(AB15&lt;&gt;"",Rates2!$Y$10*(P15+U15),"")</f>
        <v>#N/A</v>
      </c>
      <c r="I15" s="25" t="e">
        <f>IF(AB15&lt;&gt;"",(Rates2!$AA$10+Rates2!$Z$10)*(P15+U15),"")</f>
        <v>#N/A</v>
      </c>
      <c r="J15" s="25" t="str">
        <f t="shared" si="2"/>
        <v/>
      </c>
      <c r="K15" s="225" t="str">
        <f>IF(AC15="","",(VLOOKUP(Info!$C$56,Rates2!$AA$13:$AB$19,2,0)/((1-(1+L15)^(-VLOOKUP(Info!$C$56,Rates2!$AA$13:$AB$19,2,0)))*((1+L15)/L15)))-1)</f>
        <v/>
      </c>
      <c r="L15" s="225" t="str">
        <f>IF(AC15="","",(((1+M15)^(1/VLOOKUP(Info!$C$69,Rates2!$AA$13:$AB$19,2,0)))-1))</f>
        <v/>
      </c>
      <c r="M15" s="226">
        <f t="shared" si="3"/>
        <v>0</v>
      </c>
      <c r="N15" s="25">
        <f t="shared" si="4"/>
        <v>0</v>
      </c>
      <c r="O15" s="25">
        <f>IF(X15&lt;&gt;"",Info!$L$75*X15,"")</f>
        <v>0</v>
      </c>
      <c r="P15" s="25" t="e">
        <f t="shared" si="6"/>
        <v>#N/A</v>
      </c>
      <c r="Q15" s="25">
        <f>U15*Rates2!$C$22</f>
        <v>0</v>
      </c>
      <c r="R15" s="25">
        <f>IF(AC15&lt;=5,Rates2!$B$24*Z15,0)</f>
        <v>0</v>
      </c>
      <c r="S15" s="25">
        <f>Rates2!$C$23*U15</f>
        <v>0</v>
      </c>
      <c r="T15" s="25" t="e">
        <f>IF(AB15&lt;71,Y15*0.0008*(1+(LOOKUP(Info!$I$67,Rates2!$O:$O,Rates2!$N:$N)/100)),0)</f>
        <v>#N/A</v>
      </c>
      <c r="U15" s="25">
        <f>IF(AC15&lt;=5,(V15+(Rates2!$B$27*'جدول نمونه2'!Z15))/(1-Rates2!$B$28),(V15+(Rates2!$B$27*'جدول نمونه2'!Z15)-(Rates2!$B$27*'جدول نمونه2'!Z15))/(1-Rates2!$B$28))</f>
        <v>0</v>
      </c>
      <c r="V15" s="25">
        <f t="shared" si="5"/>
        <v>0</v>
      </c>
      <c r="W15" s="25">
        <v>0</v>
      </c>
      <c r="X15" s="25">
        <f>IF(AB15&lt;&gt;0,(Z15*LOOKUP(AB15,Rates2!$U$2:$U$108,Rates2!$T$2:$T$108))/SQRT(1.1),0)</f>
        <v>0</v>
      </c>
      <c r="Y15" s="25">
        <f>IF(AND(AB15&gt;=0,AB15&lt;=Rates2!$W$3),Z15*(Info!$L$73),Z15)</f>
        <v>0</v>
      </c>
      <c r="Z15" s="25">
        <f>IF(AND(AB15&gt;=0,AC15&lt;&gt;""),Z14*(1+Info!$F$67),0)</f>
        <v>0</v>
      </c>
      <c r="AA15" s="25">
        <f>IF(AB15&lt;&gt;0,AA14*(1+Info!$F$65),0)</f>
        <v>0</v>
      </c>
      <c r="AB15" s="25">
        <f>IF(AC15&lt;&gt;"",IF(Info!$F$63+AC15-1&lt;=Rates2!$W$11,Info!$F$63+AC15-1,0),0)</f>
        <v>0</v>
      </c>
      <c r="AC15" s="145" t="str">
        <f>IF(AB14&lt;&gt;"",IF(AND(AC14&lt;&gt;"",AB14+1&lt;=Rates2!$W$11),IF(AC14&lt;&gt;0,IF(AC14+1&lt;=Info!$C$67,AC14+1,""),0),""),"")</f>
        <v/>
      </c>
    </row>
    <row r="16" spans="1:29" s="220" customFormat="1" ht="18.75" x14ac:dyDescent="0.45">
      <c r="A16" s="221"/>
      <c r="B16" s="24"/>
      <c r="C16" s="24"/>
      <c r="D16" s="24"/>
      <c r="E16" s="24" t="str">
        <f>IF(AC16="","",F16/VLOOKUP(Info!$C$69,Rates2!$AA$13:$AB$19,2,0))</f>
        <v/>
      </c>
      <c r="F16" s="24" t="str">
        <f t="shared" si="0"/>
        <v/>
      </c>
      <c r="G16" s="24" t="str">
        <f t="shared" si="1"/>
        <v/>
      </c>
      <c r="H16" s="24" t="e">
        <f>IF(AB16&lt;&gt;"",Rates2!$Y$10*(P16+U16),"")</f>
        <v>#N/A</v>
      </c>
      <c r="I16" s="24" t="e">
        <f>IF(AB16&lt;&gt;"",(Rates2!$AA$10+Rates2!$Z$10)*(P16+U16),"")</f>
        <v>#N/A</v>
      </c>
      <c r="J16" s="24" t="str">
        <f t="shared" si="2"/>
        <v/>
      </c>
      <c r="K16" s="222" t="str">
        <f>IF(AC16="","",(VLOOKUP(Info!$C$56,Rates2!$AA$13:$AB$19,2,0)/((1-(1+L16)^(-VLOOKUP(Info!$C$56,Rates2!$AA$13:$AB$19,2,0)))*((1+L16)/L16)))-1)</f>
        <v/>
      </c>
      <c r="L16" s="222" t="str">
        <f>IF(AC16="","",(((1+M16)^(1/VLOOKUP(Info!$C$69,Rates2!$AA$13:$AB$19,2,0)))-1))</f>
        <v/>
      </c>
      <c r="M16" s="223">
        <f t="shared" si="3"/>
        <v>0</v>
      </c>
      <c r="N16" s="24">
        <f t="shared" si="4"/>
        <v>0</v>
      </c>
      <c r="O16" s="24">
        <f>IF(X16&lt;&gt;"",Info!$L$75*X16,"")</f>
        <v>0</v>
      </c>
      <c r="P16" s="24" t="e">
        <f t="shared" si="6"/>
        <v>#N/A</v>
      </c>
      <c r="Q16" s="24">
        <f>U16*Rates2!$C$22</f>
        <v>0</v>
      </c>
      <c r="R16" s="24">
        <f>IF(AC16&lt;=5,Rates2!$B$24*Z16,0)</f>
        <v>0</v>
      </c>
      <c r="S16" s="24">
        <f>Rates2!$C$23*U16</f>
        <v>0</v>
      </c>
      <c r="T16" s="24" t="e">
        <f>IF(AB16&lt;71,Y16*0.0008*(1+(LOOKUP(Info!$I$67,Rates2!$O:$O,Rates2!$N:$N)/100)),0)</f>
        <v>#N/A</v>
      </c>
      <c r="U16" s="24">
        <f>IF(AC16&lt;=5,(V16+(Rates2!$B$27*'جدول نمونه2'!Z16))/(1-Rates2!$B$28),(V16+(Rates2!$B$27*'جدول نمونه2'!Z16)-(Rates2!$B$27*'جدول نمونه2'!Z16))/(1-Rates2!$B$28))</f>
        <v>0</v>
      </c>
      <c r="V16" s="24">
        <f t="shared" si="5"/>
        <v>0</v>
      </c>
      <c r="W16" s="24">
        <v>0</v>
      </c>
      <c r="X16" s="24">
        <f>IF(AB16&lt;&gt;0,(Z16*LOOKUP(AB16,Rates2!$U$2:$U$108,Rates2!$T$2:$T$108))/SQRT(1.1),0)</f>
        <v>0</v>
      </c>
      <c r="Y16" s="24">
        <f>IF(AND(AB16&gt;=0,AB16&lt;=Rates2!$W$3),Z16*(Info!$L$73),Z16)</f>
        <v>0</v>
      </c>
      <c r="Z16" s="24">
        <f>IF(AND(AB16&gt;=0,AC16&lt;&gt;""),Z15*(1+Info!$F$67),0)</f>
        <v>0</v>
      </c>
      <c r="AA16" s="24">
        <f>IF(AB16&lt;&gt;0,AA15*(1+Info!$F$65),0)</f>
        <v>0</v>
      </c>
      <c r="AB16" s="24">
        <f>IF(AC16&lt;&gt;"",IF(Info!$F$63+AC16-1&lt;=Rates2!$W$11,Info!$F$63+AC16-1,0),0)</f>
        <v>0</v>
      </c>
      <c r="AC16" s="146" t="str">
        <f>IF(AB15&lt;&gt;"",IF(AND(AC15&lt;&gt;"",AB15+1&lt;=Rates2!$W$11),IF(AC15&lt;&gt;0,IF(AC15+1&lt;=Info!$C$67,AC15+1,""),0),""),"")</f>
        <v/>
      </c>
    </row>
    <row r="17" spans="1:29" s="220" customFormat="1" ht="18.75" x14ac:dyDescent="0.45">
      <c r="A17" s="224"/>
      <c r="B17" s="25"/>
      <c r="C17" s="25"/>
      <c r="D17" s="25"/>
      <c r="E17" s="25" t="str">
        <f>IF(AC17="","",F17/VLOOKUP(Info!$C$69,Rates2!$AA$13:$AB$19,2,0))</f>
        <v/>
      </c>
      <c r="F17" s="25" t="str">
        <f t="shared" si="0"/>
        <v/>
      </c>
      <c r="G17" s="25" t="str">
        <f t="shared" si="1"/>
        <v/>
      </c>
      <c r="H17" s="25" t="e">
        <f>IF(AB17&lt;&gt;"",Rates2!$Y$10*(P17+U17),"")</f>
        <v>#N/A</v>
      </c>
      <c r="I17" s="25" t="e">
        <f>IF(AB17&lt;&gt;"",(Rates2!$AA$10+Rates2!$Z$10)*(P17+U17),"")</f>
        <v>#N/A</v>
      </c>
      <c r="J17" s="25" t="str">
        <f t="shared" si="2"/>
        <v/>
      </c>
      <c r="K17" s="225" t="str">
        <f>IF(AC17="","",(VLOOKUP(Info!$C$56,Rates2!$AA$13:$AB$19,2,0)/((1-(1+L17)^(-VLOOKUP(Info!$C$56,Rates2!$AA$13:$AB$19,2,0)))*((1+L17)/L17)))-1)</f>
        <v/>
      </c>
      <c r="L17" s="225" t="str">
        <f>IF(AC17="","",(((1+M17)^(1/VLOOKUP(Info!$C$69,Rates2!$AA$13:$AB$19,2,0)))-1))</f>
        <v/>
      </c>
      <c r="M17" s="226">
        <f t="shared" si="3"/>
        <v>0</v>
      </c>
      <c r="N17" s="25">
        <f t="shared" si="4"/>
        <v>0</v>
      </c>
      <c r="O17" s="25">
        <f>IF(X17&lt;&gt;"",Info!$L$75*X17,"")</f>
        <v>0</v>
      </c>
      <c r="P17" s="25" t="e">
        <f t="shared" si="6"/>
        <v>#N/A</v>
      </c>
      <c r="Q17" s="25">
        <f>U17*Rates2!$C$22</f>
        <v>0</v>
      </c>
      <c r="R17" s="25">
        <f>IF(AC17&lt;=5,Rates2!$B$24*Z17,0)</f>
        <v>0</v>
      </c>
      <c r="S17" s="25">
        <f>Rates2!$C$23*U17</f>
        <v>0</v>
      </c>
      <c r="T17" s="25" t="e">
        <f>IF(AB17&lt;71,Y17*0.0008*(1+(LOOKUP(Info!$I$67,Rates2!$O:$O,Rates2!$N:$N)/100)),0)</f>
        <v>#N/A</v>
      </c>
      <c r="U17" s="25">
        <f>IF(AC17&lt;=5,(V17+(Rates2!$B$27*'جدول نمونه2'!Z17))/(1-Rates2!$B$28),(V17+(Rates2!$B$27*'جدول نمونه2'!Z17)-(Rates2!$B$27*'جدول نمونه2'!Z17))/(1-Rates2!$B$28))</f>
        <v>0</v>
      </c>
      <c r="V17" s="25">
        <f t="shared" si="5"/>
        <v>0</v>
      </c>
      <c r="W17" s="25">
        <v>0</v>
      </c>
      <c r="X17" s="25">
        <f>IF(AB17&lt;&gt;0,(Z17*LOOKUP(AB17,Rates2!$U$2:$U$108,Rates2!$T$2:$T$108))/SQRT(1.1),0)</f>
        <v>0</v>
      </c>
      <c r="Y17" s="25">
        <f>IF(AND(AB17&gt;=0,AB17&lt;=Rates2!$W$3),Z17*(Info!$L$73),Z17)</f>
        <v>0</v>
      </c>
      <c r="Z17" s="25">
        <f>IF(AND(AB17&gt;=0,AC17&lt;&gt;""),Z16*(1+Info!$F$67),0)</f>
        <v>0</v>
      </c>
      <c r="AA17" s="25">
        <f>IF(AB17&lt;&gt;0,AA16*(1+Info!$F$65),0)</f>
        <v>0</v>
      </c>
      <c r="AB17" s="25">
        <f>IF(AC17&lt;&gt;"",IF(Info!$F$63+AC17-1&lt;=Rates2!$W$11,Info!$F$63+AC17-1,0),0)</f>
        <v>0</v>
      </c>
      <c r="AC17" s="145" t="str">
        <f>IF(AB16&lt;&gt;"",IF(AND(AC16&lt;&gt;"",AB16+1&lt;=Rates2!$W$11),IF(AC16&lt;&gt;0,IF(AC16+1&lt;=Info!$C$67,AC16+1,""),0),""),"")</f>
        <v/>
      </c>
    </row>
    <row r="18" spans="1:29" s="220" customFormat="1" ht="18.75" x14ac:dyDescent="0.45">
      <c r="A18" s="221"/>
      <c r="B18" s="24"/>
      <c r="C18" s="24"/>
      <c r="D18" s="24"/>
      <c r="E18" s="24" t="str">
        <f>IF(AC18="","",F18/VLOOKUP(Info!$C$69,Rates2!$AA$13:$AB$19,2,0))</f>
        <v/>
      </c>
      <c r="F18" s="24" t="str">
        <f t="shared" si="0"/>
        <v/>
      </c>
      <c r="G18" s="24" t="str">
        <f t="shared" si="1"/>
        <v/>
      </c>
      <c r="H18" s="24" t="e">
        <f>IF(AB18&lt;&gt;"",Rates2!$Y$10*(P18+U18),"")</f>
        <v>#N/A</v>
      </c>
      <c r="I18" s="24" t="e">
        <f>IF(AB18&lt;&gt;"",(Rates2!$AA$10+Rates2!$Z$10)*(P18+U18),"")</f>
        <v>#N/A</v>
      </c>
      <c r="J18" s="24" t="str">
        <f t="shared" si="2"/>
        <v/>
      </c>
      <c r="K18" s="222" t="str">
        <f>IF(AC18="","",(VLOOKUP(Info!$C$56,Rates2!$AA$13:$AB$19,2,0)/((1-(1+L18)^(-VLOOKUP(Info!$C$56,Rates2!$AA$13:$AB$19,2,0)))*((1+L18)/L18)))-1)</f>
        <v/>
      </c>
      <c r="L18" s="222" t="str">
        <f>IF(AC18="","",(((1+M18)^(1/VLOOKUP(Info!$C$69,Rates2!$AA$13:$AB$19,2,0)))-1))</f>
        <v/>
      </c>
      <c r="M18" s="223">
        <f t="shared" si="3"/>
        <v>0</v>
      </c>
      <c r="N18" s="24">
        <f t="shared" si="4"/>
        <v>0</v>
      </c>
      <c r="O18" s="24">
        <f>IF(X18&lt;&gt;"",Info!$L$75*X18,"")</f>
        <v>0</v>
      </c>
      <c r="P18" s="24" t="e">
        <f t="shared" si="6"/>
        <v>#N/A</v>
      </c>
      <c r="Q18" s="24">
        <f>U18*Rates2!$C$22</f>
        <v>0</v>
      </c>
      <c r="R18" s="24">
        <f>IF(AC18&lt;=5,Rates2!$B$24*Z18,0)</f>
        <v>0</v>
      </c>
      <c r="S18" s="24">
        <f>Rates2!$C$23*U18</f>
        <v>0</v>
      </c>
      <c r="T18" s="24" t="e">
        <f>IF(AB18&lt;71,Y18*0.0008*(1+(LOOKUP(Info!$I$67,Rates2!$O:$O,Rates2!$N:$N)/100)),0)</f>
        <v>#N/A</v>
      </c>
      <c r="U18" s="24">
        <f>IF(AC18&lt;=5,(V18+(Rates2!$B$27*'جدول نمونه2'!Z18))/(1-Rates2!$B$28),(V18+(Rates2!$B$27*'جدول نمونه2'!Z18)-(Rates2!$B$27*'جدول نمونه2'!Z18))/(1-Rates2!$B$28))</f>
        <v>0</v>
      </c>
      <c r="V18" s="24">
        <f t="shared" si="5"/>
        <v>0</v>
      </c>
      <c r="W18" s="24">
        <v>0</v>
      </c>
      <c r="X18" s="24">
        <f>IF(AB18&lt;&gt;0,(Z18*LOOKUP(AB18,Rates2!$U$2:$U$108,Rates2!$T$2:$T$108))/SQRT(1.1),0)</f>
        <v>0</v>
      </c>
      <c r="Y18" s="24">
        <f>IF(AND(AB18&gt;=0,AB18&lt;=Rates2!$W$3),Z18*(Info!$L$73),Z18)</f>
        <v>0</v>
      </c>
      <c r="Z18" s="24">
        <f>IF(AND(AB18&gt;=0,AC18&lt;&gt;""),Z17*(1+Info!$F$67),0)</f>
        <v>0</v>
      </c>
      <c r="AA18" s="24">
        <f>IF(AB18&lt;&gt;0,AA17*(1+Info!$F$65),0)</f>
        <v>0</v>
      </c>
      <c r="AB18" s="24">
        <f>IF(AC18&lt;&gt;"",IF(Info!$F$63+AC18-1&lt;=Rates2!$W$11,Info!$F$63+AC18-1,0),0)</f>
        <v>0</v>
      </c>
      <c r="AC18" s="146" t="str">
        <f>IF(AB17&lt;&gt;"",IF(AND(AC17&lt;&gt;"",AB17+1&lt;=Rates2!$W$11),IF(AC17&lt;&gt;0,IF(AC17+1&lt;=Info!$C$67,AC17+1,""),0),""),"")</f>
        <v/>
      </c>
    </row>
    <row r="19" spans="1:29" s="220" customFormat="1" ht="18.75" x14ac:dyDescent="0.45">
      <c r="A19" s="224"/>
      <c r="B19" s="25"/>
      <c r="C19" s="25"/>
      <c r="D19" s="25"/>
      <c r="E19" s="25" t="str">
        <f>IF(AC19="","",F19/VLOOKUP(Info!$C$69,Rates2!$AA$13:$AB$19,2,0))</f>
        <v/>
      </c>
      <c r="F19" s="25" t="str">
        <f t="shared" si="0"/>
        <v/>
      </c>
      <c r="G19" s="25" t="str">
        <f t="shared" si="1"/>
        <v/>
      </c>
      <c r="H19" s="25" t="e">
        <f>IF(AB19&lt;&gt;"",Rates2!$Y$10*(P19+U19),"")</f>
        <v>#N/A</v>
      </c>
      <c r="I19" s="25" t="e">
        <f>IF(AB19&lt;&gt;"",(Rates2!$AA$10+Rates2!$Z$10)*(P19+U19),"")</f>
        <v>#N/A</v>
      </c>
      <c r="J19" s="25" t="str">
        <f t="shared" si="2"/>
        <v/>
      </c>
      <c r="K19" s="225" t="str">
        <f>IF(AC19="","",(VLOOKUP(Info!$C$56,Rates2!$AA$13:$AB$19,2,0)/((1-(1+L19)^(-VLOOKUP(Info!$C$56,Rates2!$AA$13:$AB$19,2,0)))*((1+L19)/L19)))-1)</f>
        <v/>
      </c>
      <c r="L19" s="225" t="str">
        <f>IF(AC19="","",(((1+M19)^(1/VLOOKUP(Info!$C$69,Rates2!$AA$13:$AB$19,2,0)))-1))</f>
        <v/>
      </c>
      <c r="M19" s="226">
        <f t="shared" si="3"/>
        <v>0</v>
      </c>
      <c r="N19" s="25">
        <f t="shared" si="4"/>
        <v>0</v>
      </c>
      <c r="O19" s="25">
        <f>IF(X19&lt;&gt;"",Info!$L$75*X19,"")</f>
        <v>0</v>
      </c>
      <c r="P19" s="25" t="e">
        <f t="shared" si="6"/>
        <v>#N/A</v>
      </c>
      <c r="Q19" s="25">
        <f>U19*Rates2!$C$22</f>
        <v>0</v>
      </c>
      <c r="R19" s="25">
        <f>IF(AC19&lt;=5,Rates2!$B$24*Z19,0)</f>
        <v>0</v>
      </c>
      <c r="S19" s="25">
        <f>Rates2!$C$23*U19</f>
        <v>0</v>
      </c>
      <c r="T19" s="25" t="e">
        <f>IF(AB19&lt;71,Y19*0.0008*(1+(LOOKUP(Info!$I$67,Rates2!$O:$O,Rates2!$N:$N)/100)),0)</f>
        <v>#N/A</v>
      </c>
      <c r="U19" s="25">
        <f>IF(AC19&lt;=5,(V19+(Rates2!$B$27*'جدول نمونه2'!Z19))/(1-Rates2!$B$28),(V19+(Rates2!$B$27*'جدول نمونه2'!Z19)-(Rates2!$B$27*'جدول نمونه2'!Z19))/(1-Rates2!$B$28))</f>
        <v>0</v>
      </c>
      <c r="V19" s="25">
        <f t="shared" si="5"/>
        <v>0</v>
      </c>
      <c r="W19" s="25">
        <v>0</v>
      </c>
      <c r="X19" s="25">
        <f>IF(AB19&lt;&gt;0,(Z19*LOOKUP(AB19,Rates2!$U$2:$U$108,Rates2!$T$2:$T$108))/SQRT(1.1),0)</f>
        <v>0</v>
      </c>
      <c r="Y19" s="25">
        <f>IF(AND(AB19&gt;=0,AB19&lt;=Rates2!$W$3),Z19*(Info!$L$73),Z19)</f>
        <v>0</v>
      </c>
      <c r="Z19" s="25">
        <f>IF(AND(AB19&gt;=0,AC19&lt;&gt;""),Z18*(1+Info!$F$67),0)</f>
        <v>0</v>
      </c>
      <c r="AA19" s="25">
        <f>IF(AB19&lt;&gt;0,AA18*(1+Info!$F$65),0)</f>
        <v>0</v>
      </c>
      <c r="AB19" s="25">
        <f>IF(AC19&lt;&gt;"",IF(Info!$F$63+AC19-1&lt;=Rates2!$W$11,Info!$F$63+AC19-1,0),0)</f>
        <v>0</v>
      </c>
      <c r="AC19" s="145" t="str">
        <f>IF(AB18&lt;&gt;"",IF(AND(AC18&lt;&gt;"",AB18+1&lt;=Rates2!$W$11),IF(AC18&lt;&gt;0,IF(AC18+1&lt;=Info!$C$67,AC18+1,""),0),""),"")</f>
        <v/>
      </c>
    </row>
    <row r="20" spans="1:29" s="220" customFormat="1" ht="18.75" x14ac:dyDescent="0.45">
      <c r="A20" s="221"/>
      <c r="B20" s="24"/>
      <c r="C20" s="24"/>
      <c r="D20" s="24"/>
      <c r="E20" s="24" t="str">
        <f>IF(AC20="","",F20/VLOOKUP(Info!$C$69,Rates2!$AA$13:$AB$19,2,0))</f>
        <v/>
      </c>
      <c r="F20" s="24" t="str">
        <f t="shared" si="0"/>
        <v/>
      </c>
      <c r="G20" s="24" t="str">
        <f t="shared" si="1"/>
        <v/>
      </c>
      <c r="H20" s="24" t="e">
        <f>IF(AB20&lt;&gt;"",Rates2!$Y$10*(P20+U20),"")</f>
        <v>#N/A</v>
      </c>
      <c r="I20" s="24" t="e">
        <f>IF(AB20&lt;&gt;"",(Rates2!$AA$10+Rates2!$Z$10)*(P20+U20),"")</f>
        <v>#N/A</v>
      </c>
      <c r="J20" s="24" t="str">
        <f t="shared" si="2"/>
        <v/>
      </c>
      <c r="K20" s="222" t="str">
        <f>IF(AC20="","",(VLOOKUP(Info!$C$56,Rates2!$AA$13:$AB$19,2,0)/((1-(1+L20)^(-VLOOKUP(Info!$C$56,Rates2!$AA$13:$AB$19,2,0)))*((1+L20)/L20)))-1)</f>
        <v/>
      </c>
      <c r="L20" s="222" t="str">
        <f>IF(AC20="","",(((1+M20)^(1/VLOOKUP(Info!$C$69,Rates2!$AA$13:$AB$19,2,0)))-1))</f>
        <v/>
      </c>
      <c r="M20" s="223">
        <f t="shared" si="3"/>
        <v>0</v>
      </c>
      <c r="N20" s="24">
        <f t="shared" si="4"/>
        <v>0</v>
      </c>
      <c r="O20" s="24">
        <f>IF(X20&lt;&gt;"",Info!$L$75*X20,"")</f>
        <v>0</v>
      </c>
      <c r="P20" s="24" t="e">
        <f t="shared" si="6"/>
        <v>#N/A</v>
      </c>
      <c r="Q20" s="24">
        <f>U20*Rates2!$C$22</f>
        <v>0</v>
      </c>
      <c r="R20" s="24">
        <f>IF(AC20&lt;=5,Rates2!$B$24*Z20,0)</f>
        <v>0</v>
      </c>
      <c r="S20" s="24">
        <f>Rates2!$C$23*U20</f>
        <v>0</v>
      </c>
      <c r="T20" s="24" t="e">
        <f>IF(AB20&lt;71,Y20*0.0008*(1+(LOOKUP(Info!$I$67,Rates2!$O:$O,Rates2!$N:$N)/100)),0)</f>
        <v>#N/A</v>
      </c>
      <c r="U20" s="24">
        <f>IF(AC20&lt;=5,(V20+(Rates2!$B$27*'جدول نمونه2'!Z20))/(1-Rates2!$B$28),(V20+(Rates2!$B$27*'جدول نمونه2'!Z20)-(Rates2!$B$27*'جدول نمونه2'!Z20))/(1-Rates2!$B$28))</f>
        <v>0</v>
      </c>
      <c r="V20" s="24">
        <f t="shared" si="5"/>
        <v>0</v>
      </c>
      <c r="W20" s="24">
        <v>0</v>
      </c>
      <c r="X20" s="24">
        <f>IF(AB20&lt;&gt;0,(Z20*LOOKUP(AB20,Rates2!$U$2:$U$108,Rates2!$T$2:$T$108))/SQRT(1.1),0)</f>
        <v>0</v>
      </c>
      <c r="Y20" s="24">
        <f>IF(AND(AB20&gt;=0,AB20&lt;=Rates2!$W$3),Z20*(Info!$L$73),Z20)</f>
        <v>0</v>
      </c>
      <c r="Z20" s="24">
        <f>IF(AND(AB20&gt;=0,AC20&lt;&gt;""),Z19*(1+Info!$F$67),0)</f>
        <v>0</v>
      </c>
      <c r="AA20" s="24">
        <f>IF(AB20&lt;&gt;0,AA19*(1+Info!$F$65),0)</f>
        <v>0</v>
      </c>
      <c r="AB20" s="24">
        <f>IF(AC20&lt;&gt;"",IF(Info!$F$63+AC20-1&lt;=Rates2!$W$11,Info!$F$63+AC20-1,0),0)</f>
        <v>0</v>
      </c>
      <c r="AC20" s="146" t="str">
        <f>IF(AB19&lt;&gt;"",IF(AND(AC19&lt;&gt;"",AB19+1&lt;=Rates2!$W$11),IF(AC19&lt;&gt;0,IF(AC19+1&lt;=Info!$C$67,AC19+1,""),0),""),"")</f>
        <v/>
      </c>
    </row>
    <row r="21" spans="1:29" s="220" customFormat="1" ht="18.75" x14ac:dyDescent="0.45">
      <c r="A21" s="224"/>
      <c r="B21" s="25"/>
      <c r="C21" s="25"/>
      <c r="D21" s="25"/>
      <c r="E21" s="25" t="str">
        <f>IF(AC21="","",F21/VLOOKUP(Info!$C$69,Rates2!$AA$13:$AB$19,2,0))</f>
        <v/>
      </c>
      <c r="F21" s="25" t="str">
        <f t="shared" si="0"/>
        <v/>
      </c>
      <c r="G21" s="25" t="str">
        <f t="shared" si="1"/>
        <v/>
      </c>
      <c r="H21" s="25" t="e">
        <f>IF(AB21&lt;&gt;"",Rates2!$Y$10*(P21+U21),"")</f>
        <v>#N/A</v>
      </c>
      <c r="I21" s="25" t="e">
        <f>IF(AB21&lt;&gt;"",(Rates2!$AA$10+Rates2!$Z$10)*(P21+U21),"")</f>
        <v>#N/A</v>
      </c>
      <c r="J21" s="25" t="str">
        <f t="shared" si="2"/>
        <v/>
      </c>
      <c r="K21" s="225" t="str">
        <f>IF(AC21="","",(VLOOKUP(Info!$C$56,Rates2!$AA$13:$AB$19,2,0)/((1-(1+L21)^(-VLOOKUP(Info!$C$56,Rates2!$AA$13:$AB$19,2,0)))*((1+L21)/L21)))-1)</f>
        <v/>
      </c>
      <c r="L21" s="225" t="str">
        <f>IF(AC21="","",(((1+M21)^(1/VLOOKUP(Info!$C$69,Rates2!$AA$13:$AB$19,2,0)))-1))</f>
        <v/>
      </c>
      <c r="M21" s="226">
        <f t="shared" si="3"/>
        <v>0</v>
      </c>
      <c r="N21" s="25">
        <f t="shared" si="4"/>
        <v>0</v>
      </c>
      <c r="O21" s="25">
        <f>IF(X21&lt;&gt;"",Info!$L$75*X21,"")</f>
        <v>0</v>
      </c>
      <c r="P21" s="25" t="e">
        <f t="shared" si="6"/>
        <v>#N/A</v>
      </c>
      <c r="Q21" s="25">
        <f>U21*Rates2!$C$22</f>
        <v>0</v>
      </c>
      <c r="R21" s="25">
        <f>IF(AC21&lt;=5,Rates2!$B$24*Z21,0)</f>
        <v>0</v>
      </c>
      <c r="S21" s="25">
        <f>Rates2!$C$23*U21</f>
        <v>0</v>
      </c>
      <c r="T21" s="25" t="e">
        <f>IF(AB21&lt;71,Y21*0.0008*(1+(LOOKUP(Info!$I$67,Rates2!$O:$O,Rates2!$N:$N)/100)),0)</f>
        <v>#N/A</v>
      </c>
      <c r="U21" s="25">
        <f>IF(AC21&lt;=5,(V21+(Rates2!$B$27*'جدول نمونه2'!Z21))/(1-Rates2!$B$28),(V21+(Rates2!$B$27*'جدول نمونه2'!Z21)-(Rates2!$B$27*'جدول نمونه2'!Z21))/(1-Rates2!$B$28))</f>
        <v>0</v>
      </c>
      <c r="V21" s="25">
        <f t="shared" si="5"/>
        <v>0</v>
      </c>
      <c r="W21" s="25">
        <v>0</v>
      </c>
      <c r="X21" s="25">
        <f>IF(AB21&lt;&gt;0,(Z21*LOOKUP(AB21,Rates2!$U$2:$U$108,Rates2!$T$2:$T$108))/SQRT(1.1),0)</f>
        <v>0</v>
      </c>
      <c r="Y21" s="25">
        <f>IF(AND(AB21&gt;=0,AB21&lt;=Rates2!$W$3),Z21*(Info!$L$73),Z21)</f>
        <v>0</v>
      </c>
      <c r="Z21" s="25">
        <f>IF(AND(AB21&gt;=0,AC21&lt;&gt;""),Z20*(1+Info!$F$67),0)</f>
        <v>0</v>
      </c>
      <c r="AA21" s="25">
        <f>IF(AB21&lt;&gt;0,AA20*(1+Info!$F$65),0)</f>
        <v>0</v>
      </c>
      <c r="AB21" s="25">
        <f>IF(AC21&lt;&gt;"",IF(Info!$F$63+AC21-1&lt;=Rates2!$W$11,Info!$F$63+AC21-1,0),0)</f>
        <v>0</v>
      </c>
      <c r="AC21" s="145" t="str">
        <f>IF(AB20&lt;&gt;"",IF(AND(AC20&lt;&gt;"",AB20+1&lt;=Rates2!$W$11),IF(AC20&lt;&gt;0,IF(AC20+1&lt;=Info!$C$67,AC20+1,""),0),""),"")</f>
        <v/>
      </c>
    </row>
    <row r="22" spans="1:29" s="220" customFormat="1" ht="18.75" x14ac:dyDescent="0.45">
      <c r="A22" s="221"/>
      <c r="B22" s="24"/>
      <c r="C22" s="24"/>
      <c r="D22" s="24"/>
      <c r="E22" s="24" t="str">
        <f>IF(AC22="","",F22/VLOOKUP(Info!$C$69,Rates2!$AA$13:$AB$19,2,0))</f>
        <v/>
      </c>
      <c r="F22" s="24" t="str">
        <f t="shared" si="0"/>
        <v/>
      </c>
      <c r="G22" s="24" t="str">
        <f t="shared" si="1"/>
        <v/>
      </c>
      <c r="H22" s="24" t="e">
        <f>IF(AB22&lt;&gt;"",Rates2!$Y$10*(P22+U22),"")</f>
        <v>#N/A</v>
      </c>
      <c r="I22" s="24" t="e">
        <f>IF(AB22&lt;&gt;"",(Rates2!$AA$10+Rates2!$Z$10)*(P22+U22),"")</f>
        <v>#N/A</v>
      </c>
      <c r="J22" s="24" t="str">
        <f t="shared" si="2"/>
        <v/>
      </c>
      <c r="K22" s="222" t="str">
        <f>IF(AC22="","",(VLOOKUP(Info!$C$56,Rates2!$AA$13:$AB$19,2,0)/((1-(1+L22)^(-VLOOKUP(Info!$C$56,Rates2!$AA$13:$AB$19,2,0)))*((1+L22)/L22)))-1)</f>
        <v/>
      </c>
      <c r="L22" s="222" t="str">
        <f>IF(AC22="","",(((1+M22)^(1/VLOOKUP(Info!$C$69,Rates2!$AA$13:$AB$19,2,0)))-1))</f>
        <v/>
      </c>
      <c r="M22" s="223">
        <f t="shared" si="3"/>
        <v>0</v>
      </c>
      <c r="N22" s="24">
        <f t="shared" si="4"/>
        <v>0</v>
      </c>
      <c r="O22" s="24">
        <f>IF(X22&lt;&gt;"",Info!$L$75*X22,"")</f>
        <v>0</v>
      </c>
      <c r="P22" s="24" t="e">
        <f t="shared" si="6"/>
        <v>#N/A</v>
      </c>
      <c r="Q22" s="24">
        <f>U22*Rates2!$C$22</f>
        <v>0</v>
      </c>
      <c r="R22" s="24">
        <f>IF(AC22&lt;=5,Rates2!$B$24*Z22,0)</f>
        <v>0</v>
      </c>
      <c r="S22" s="24">
        <f>Rates2!$C$23*U22</f>
        <v>0</v>
      </c>
      <c r="T22" s="24" t="e">
        <f>IF(AB22&lt;71,Y22*0.0008*(1+(LOOKUP(Info!$I$67,Rates2!$O:$O,Rates2!$N:$N)/100)),0)</f>
        <v>#N/A</v>
      </c>
      <c r="U22" s="24">
        <f>IF(AC22&lt;=5,(V22+(Rates2!$B$27*'جدول نمونه2'!Z22))/(1-Rates2!$B$28),(V22+(Rates2!$B$27*'جدول نمونه2'!Z22)-(Rates2!$B$27*'جدول نمونه2'!Z22))/(1-Rates2!$B$28))</f>
        <v>0</v>
      </c>
      <c r="V22" s="24">
        <f t="shared" si="5"/>
        <v>0</v>
      </c>
      <c r="W22" s="24">
        <v>0</v>
      </c>
      <c r="X22" s="24">
        <f>IF(AB22&lt;&gt;0,(Z22*LOOKUP(AB22,Rates2!$U$2:$U$108,Rates2!$T$2:$T$108))/SQRT(1.1),0)</f>
        <v>0</v>
      </c>
      <c r="Y22" s="24">
        <f>IF(AND(AB22&gt;=0,AB22&lt;=Rates2!$W$3),Z22*(Info!$L$73),Z22)</f>
        <v>0</v>
      </c>
      <c r="Z22" s="24">
        <f>IF(AND(AB22&gt;=0,AC22&lt;&gt;""),Z21*(1+Info!$F$67),0)</f>
        <v>0</v>
      </c>
      <c r="AA22" s="24">
        <f>IF(AB22&lt;&gt;0,AA21*(1+Info!$F$65),0)</f>
        <v>0</v>
      </c>
      <c r="AB22" s="24">
        <f>IF(AC22&lt;&gt;"",IF(Info!$F$63+AC22-1&lt;=Rates2!$W$11,Info!$F$63+AC22-1,0),0)</f>
        <v>0</v>
      </c>
      <c r="AC22" s="146" t="str">
        <f>IF(AB21&lt;&gt;"",IF(AND(AC21&lt;&gt;"",AB21+1&lt;=Rates2!$W$11),IF(AC21&lt;&gt;0,IF(AC21+1&lt;=Info!$C$67,AC21+1,""),0),""),"")</f>
        <v/>
      </c>
    </row>
    <row r="23" spans="1:29" s="220" customFormat="1" ht="18.75" x14ac:dyDescent="0.45">
      <c r="A23" s="224"/>
      <c r="B23" s="25"/>
      <c r="C23" s="25"/>
      <c r="D23" s="25"/>
      <c r="E23" s="25" t="str">
        <f>IF(AC23="","",F23/VLOOKUP(Info!$C$69,Rates2!$AA$13:$AB$19,2,0))</f>
        <v/>
      </c>
      <c r="F23" s="25" t="str">
        <f t="shared" si="0"/>
        <v/>
      </c>
      <c r="G23" s="25" t="str">
        <f t="shared" si="1"/>
        <v/>
      </c>
      <c r="H23" s="25" t="e">
        <f>IF(AB23&lt;&gt;"",Rates2!$Y$10*(P23+U23),"")</f>
        <v>#N/A</v>
      </c>
      <c r="I23" s="25" t="e">
        <f>IF(AB23&lt;&gt;"",(Rates2!$AA$10+Rates2!$Z$10)*(P23+U23),"")</f>
        <v>#N/A</v>
      </c>
      <c r="J23" s="25" t="str">
        <f t="shared" si="2"/>
        <v/>
      </c>
      <c r="K23" s="225" t="str">
        <f>IF(AC23="","",(VLOOKUP(Info!$C$56,Rates2!$AA$13:$AB$19,2,0)/((1-(1+L23)^(-VLOOKUP(Info!$C$56,Rates2!$AA$13:$AB$19,2,0)))*((1+L23)/L23)))-1)</f>
        <v/>
      </c>
      <c r="L23" s="225" t="str">
        <f>IF(AC23="","",(((1+M23)^(1/VLOOKUP(Info!$C$69,Rates2!$AA$13:$AB$19,2,0)))-1))</f>
        <v/>
      </c>
      <c r="M23" s="226">
        <f t="shared" si="3"/>
        <v>0</v>
      </c>
      <c r="N23" s="25">
        <f t="shared" si="4"/>
        <v>0</v>
      </c>
      <c r="O23" s="25">
        <f>IF(X23&lt;&gt;"",Info!$L$75*X23,"")</f>
        <v>0</v>
      </c>
      <c r="P23" s="25" t="e">
        <f t="shared" si="6"/>
        <v>#N/A</v>
      </c>
      <c r="Q23" s="25">
        <f>U23*Rates2!$C$22</f>
        <v>0</v>
      </c>
      <c r="R23" s="25">
        <f>IF(AC23&lt;=5,Rates2!$B$24*Z23,0)</f>
        <v>0</v>
      </c>
      <c r="S23" s="25">
        <f>Rates2!$C$23*U23</f>
        <v>0</v>
      </c>
      <c r="T23" s="25" t="e">
        <f>IF(AB23&lt;71,Y23*0.0008*(1+(LOOKUP(Info!$I$67,Rates2!$O:$O,Rates2!$N:$N)/100)),0)</f>
        <v>#N/A</v>
      </c>
      <c r="U23" s="25">
        <f>IF(AC23&lt;=5,(V23+(Rates2!$B$27*'جدول نمونه2'!Z23))/(1-Rates2!$B$28),(V23+(Rates2!$B$27*'جدول نمونه2'!Z23)-(Rates2!$B$27*'جدول نمونه2'!Z23))/(1-Rates2!$B$28))</f>
        <v>0</v>
      </c>
      <c r="V23" s="25">
        <f t="shared" si="5"/>
        <v>0</v>
      </c>
      <c r="W23" s="25">
        <v>0</v>
      </c>
      <c r="X23" s="25">
        <f>IF(AB23&lt;&gt;0,(Z23*LOOKUP(AB23,Rates2!$U$2:$U$108,Rates2!$T$2:$T$108))/SQRT(1.1),0)</f>
        <v>0</v>
      </c>
      <c r="Y23" s="25">
        <f>IF(AND(AB23&gt;=0,AB23&lt;=Rates2!$W$3),Z23*(Info!$L$73),Z23)</f>
        <v>0</v>
      </c>
      <c r="Z23" s="25">
        <f>IF(AND(AB23&gt;=0,AC23&lt;&gt;""),Z22*(1+Info!$F$67),0)</f>
        <v>0</v>
      </c>
      <c r="AA23" s="25">
        <f>IF(AB23&lt;&gt;0,AA22*(1+Info!$F$65),0)</f>
        <v>0</v>
      </c>
      <c r="AB23" s="25">
        <f>IF(AC23&lt;&gt;"",IF(Info!$F$63+AC23-1&lt;=Rates2!$W$11,Info!$F$63+AC23-1,0),0)</f>
        <v>0</v>
      </c>
      <c r="AC23" s="145" t="str">
        <f>IF(AB22&lt;&gt;"",IF(AND(AC22&lt;&gt;"",AB22+1&lt;=Rates2!$W$11),IF(AC22&lt;&gt;0,IF(AC22+1&lt;=Info!$C$67,AC22+1,""),0),""),"")</f>
        <v/>
      </c>
    </row>
    <row r="24" spans="1:29" s="220" customFormat="1" ht="18.75" x14ac:dyDescent="0.45">
      <c r="A24" s="221"/>
      <c r="B24" s="24"/>
      <c r="C24" s="24"/>
      <c r="D24" s="24"/>
      <c r="E24" s="24" t="str">
        <f>IF(AC24="","",F24/VLOOKUP(Info!$C$69,Rates2!$AA$13:$AB$19,2,0))</f>
        <v/>
      </c>
      <c r="F24" s="24" t="str">
        <f t="shared" si="0"/>
        <v/>
      </c>
      <c r="G24" s="24" t="str">
        <f t="shared" si="1"/>
        <v/>
      </c>
      <c r="H24" s="24" t="e">
        <f>IF(AB24&lt;&gt;"",Rates2!$Y$10*(P24+U24),"")</f>
        <v>#N/A</v>
      </c>
      <c r="I24" s="24" t="e">
        <f>IF(AB24&lt;&gt;"",(Rates2!$AA$10+Rates2!$Z$10)*(P24+U24),"")</f>
        <v>#N/A</v>
      </c>
      <c r="J24" s="24" t="str">
        <f t="shared" si="2"/>
        <v/>
      </c>
      <c r="K24" s="222" t="str">
        <f>IF(AC24="","",(VLOOKUP(Info!$C$56,Rates2!$AA$13:$AB$19,2,0)/((1-(1+L24)^(-VLOOKUP(Info!$C$56,Rates2!$AA$13:$AB$19,2,0)))*((1+L24)/L24)))-1)</f>
        <v/>
      </c>
      <c r="L24" s="222" t="str">
        <f>IF(AC24="","",(((1+M24)^(1/VLOOKUP(Info!$C$69,Rates2!$AA$13:$AB$19,2,0)))-1))</f>
        <v/>
      </c>
      <c r="M24" s="223">
        <f t="shared" si="3"/>
        <v>0</v>
      </c>
      <c r="N24" s="24">
        <f t="shared" si="4"/>
        <v>0</v>
      </c>
      <c r="O24" s="24">
        <f>IF(X24&lt;&gt;"",Info!$L$75*X24,"")</f>
        <v>0</v>
      </c>
      <c r="P24" s="24" t="e">
        <f t="shared" si="6"/>
        <v>#N/A</v>
      </c>
      <c r="Q24" s="24">
        <f>U24*Rates2!$C$22</f>
        <v>0</v>
      </c>
      <c r="R24" s="24">
        <f>IF(AC24&lt;=5,Rates2!$B$24*Z24,0)</f>
        <v>0</v>
      </c>
      <c r="S24" s="24">
        <f>Rates2!$C$23*U24</f>
        <v>0</v>
      </c>
      <c r="T24" s="24" t="e">
        <f>IF(AB24&lt;71,Y24*0.0008*(1+(LOOKUP(Info!$I$67,Rates2!$O:$O,Rates2!$N:$N)/100)),0)</f>
        <v>#N/A</v>
      </c>
      <c r="U24" s="24">
        <f>IF(AC24&lt;=5,(V24+(Rates2!$B$27*'جدول نمونه2'!Z24))/(1-Rates2!$B$28),(V24+(Rates2!$B$27*'جدول نمونه2'!Z24)-(Rates2!$B$27*'جدول نمونه2'!Z24))/(1-Rates2!$B$28))</f>
        <v>0</v>
      </c>
      <c r="V24" s="24">
        <f t="shared" si="5"/>
        <v>0</v>
      </c>
      <c r="W24" s="24">
        <v>0</v>
      </c>
      <c r="X24" s="24">
        <f>IF(AB24&lt;&gt;0,(Z24*LOOKUP(AB24,Rates2!$U$2:$U$108,Rates2!$T$2:$T$108))/SQRT(1.1),0)</f>
        <v>0</v>
      </c>
      <c r="Y24" s="24">
        <f>IF(AND(AB24&gt;=0,AB24&lt;=Rates2!$W$3),Z24*(Info!$L$73),Z24)</f>
        <v>0</v>
      </c>
      <c r="Z24" s="24">
        <f>IF(AND(AB24&gt;=0,AC24&lt;&gt;""),Z23*(1+Info!$F$67),0)</f>
        <v>0</v>
      </c>
      <c r="AA24" s="24">
        <f>IF(AB24&lt;&gt;0,AA23*(1+Info!$F$65),0)</f>
        <v>0</v>
      </c>
      <c r="AB24" s="24">
        <f>IF(AC24&lt;&gt;"",IF(Info!$F$63+AC24-1&lt;=Rates2!$W$11,Info!$F$63+AC24-1,0),0)</f>
        <v>0</v>
      </c>
      <c r="AC24" s="146" t="str">
        <f>IF(AB23&lt;&gt;"",IF(AND(AC23&lt;&gt;"",AB23+1&lt;=Rates2!$W$11),IF(AC23&lt;&gt;0,IF(AC23+1&lt;=Info!$C$67,AC23+1,""),0),""),"")</f>
        <v/>
      </c>
    </row>
    <row r="25" spans="1:29" s="220" customFormat="1" ht="18.75" x14ac:dyDescent="0.45">
      <c r="A25" s="224"/>
      <c r="B25" s="25"/>
      <c r="C25" s="25"/>
      <c r="D25" s="25"/>
      <c r="E25" s="25" t="str">
        <f>IF(AC25="","",F25/VLOOKUP(Info!$C$69,Rates2!$AA$13:$AB$19,2,0))</f>
        <v/>
      </c>
      <c r="F25" s="25" t="str">
        <f t="shared" si="0"/>
        <v/>
      </c>
      <c r="G25" s="25" t="str">
        <f t="shared" si="1"/>
        <v/>
      </c>
      <c r="H25" s="25" t="e">
        <f>IF(AB25&lt;&gt;"",Rates2!$Y$10*(P25+U25),"")</f>
        <v>#N/A</v>
      </c>
      <c r="I25" s="25" t="e">
        <f>IF(AB25&lt;&gt;"",(Rates2!$AA$10+Rates2!$Z$10)*(P25+U25),"")</f>
        <v>#N/A</v>
      </c>
      <c r="J25" s="25" t="str">
        <f t="shared" si="2"/>
        <v/>
      </c>
      <c r="K25" s="225" t="str">
        <f>IF(AC25="","",(VLOOKUP(Info!$C$56,Rates2!$AA$13:$AB$19,2,0)/((1-(1+L25)^(-VLOOKUP(Info!$C$56,Rates2!$AA$13:$AB$19,2,0)))*((1+L25)/L25)))-1)</f>
        <v/>
      </c>
      <c r="L25" s="225" t="str">
        <f>IF(AC25="","",(((1+M25)^(1/VLOOKUP(Info!$C$69,Rates2!$AA$13:$AB$19,2,0)))-1))</f>
        <v/>
      </c>
      <c r="M25" s="226">
        <f t="shared" si="3"/>
        <v>0</v>
      </c>
      <c r="N25" s="25">
        <f t="shared" si="4"/>
        <v>0</v>
      </c>
      <c r="O25" s="25">
        <f>IF(X25&lt;&gt;"",Info!$L$75*X25,"")</f>
        <v>0</v>
      </c>
      <c r="P25" s="25" t="e">
        <f t="shared" si="6"/>
        <v>#N/A</v>
      </c>
      <c r="Q25" s="25">
        <f>U25*Rates2!$C$22</f>
        <v>0</v>
      </c>
      <c r="R25" s="25">
        <f>IF(AC25&lt;=5,Rates2!$B$24*Z25,0)</f>
        <v>0</v>
      </c>
      <c r="S25" s="25">
        <f>Rates2!$C$23*U25</f>
        <v>0</v>
      </c>
      <c r="T25" s="25" t="e">
        <f>IF(AB25&lt;71,Y25*0.0008*(1+(LOOKUP(Info!$I$67,Rates2!$O:$O,Rates2!$N:$N)/100)),0)</f>
        <v>#N/A</v>
      </c>
      <c r="U25" s="25">
        <f>IF(AC25&lt;=5,(V25+(Rates2!$B$27*'جدول نمونه2'!Z25))/(1-Rates2!$B$28),(V25+(Rates2!$B$27*'جدول نمونه2'!Z25)-(Rates2!$B$27*'جدول نمونه2'!Z25))/(1-Rates2!$B$28))</f>
        <v>0</v>
      </c>
      <c r="V25" s="25">
        <f t="shared" si="5"/>
        <v>0</v>
      </c>
      <c r="W25" s="25">
        <v>0</v>
      </c>
      <c r="X25" s="25">
        <f>IF(AB25&lt;&gt;0,(Z25*LOOKUP(AB25,Rates2!$U$2:$U$108,Rates2!$T$2:$T$108))/SQRT(1.1),0)</f>
        <v>0</v>
      </c>
      <c r="Y25" s="25">
        <f>IF(AND(AB25&gt;=0,AB25&lt;=Rates2!$W$3),Z25*(Info!$L$73),Z25)</f>
        <v>0</v>
      </c>
      <c r="Z25" s="25">
        <f>IF(AND(AB25&gt;=0,AC25&lt;&gt;""),Z24*(1+Info!$F$67),0)</f>
        <v>0</v>
      </c>
      <c r="AA25" s="25">
        <f>IF(AB25&lt;&gt;0,AA24*(1+Info!$F$65),0)</f>
        <v>0</v>
      </c>
      <c r="AB25" s="25">
        <f>IF(AC25&lt;&gt;"",IF(Info!$F$63+AC25-1&lt;=Rates2!$W$11,Info!$F$63+AC25-1,0),0)</f>
        <v>0</v>
      </c>
      <c r="AC25" s="145" t="str">
        <f>IF(AB24&lt;&gt;"",IF(AND(AC24&lt;&gt;"",AB24+1&lt;=Rates2!$W$11),IF(AC24&lt;&gt;0,IF(AC24+1&lt;=Info!$C$67,AC24+1,""),0),""),"")</f>
        <v/>
      </c>
    </row>
    <row r="26" spans="1:29" s="220" customFormat="1" ht="18.75" x14ac:dyDescent="0.45">
      <c r="A26" s="221"/>
      <c r="B26" s="24"/>
      <c r="C26" s="24"/>
      <c r="D26" s="24"/>
      <c r="E26" s="24" t="str">
        <f>IF(AC26="","",F26/VLOOKUP(Info!$C$69,Rates2!$AA$13:$AB$19,2,0))</f>
        <v/>
      </c>
      <c r="F26" s="24" t="str">
        <f t="shared" si="0"/>
        <v/>
      </c>
      <c r="G26" s="24" t="str">
        <f t="shared" si="1"/>
        <v/>
      </c>
      <c r="H26" s="24" t="e">
        <f>IF(AB26&lt;&gt;"",Rates2!$Y$10*(P26+U26),"")</f>
        <v>#N/A</v>
      </c>
      <c r="I26" s="24" t="e">
        <f>IF(AB26&lt;&gt;"",(Rates2!$AA$10+Rates2!$Z$10)*(P26+U26),"")</f>
        <v>#N/A</v>
      </c>
      <c r="J26" s="24" t="str">
        <f t="shared" si="2"/>
        <v/>
      </c>
      <c r="K26" s="222" t="str">
        <f>IF(AC26="","",(VLOOKUP(Info!$C$56,Rates2!$AA$13:$AB$19,2,0)/((1-(1+L26)^(-VLOOKUP(Info!$C$56,Rates2!$AA$13:$AB$19,2,0)))*((1+L26)/L26)))-1)</f>
        <v/>
      </c>
      <c r="L26" s="222" t="str">
        <f>IF(AC26="","",(((1+M26)^(1/VLOOKUP(Info!$C$69,Rates2!$AA$13:$AB$19,2,0)))-1))</f>
        <v/>
      </c>
      <c r="M26" s="223">
        <f t="shared" si="3"/>
        <v>0</v>
      </c>
      <c r="N26" s="24">
        <f t="shared" si="4"/>
        <v>0</v>
      </c>
      <c r="O26" s="24">
        <f>IF(X26&lt;&gt;"",Info!$L$75*X26,"")</f>
        <v>0</v>
      </c>
      <c r="P26" s="24" t="e">
        <f t="shared" si="6"/>
        <v>#N/A</v>
      </c>
      <c r="Q26" s="24">
        <f>U26*Rates2!$C$22</f>
        <v>0</v>
      </c>
      <c r="R26" s="24">
        <f>IF(AC26&lt;=5,Rates2!$B$24*Z26,0)</f>
        <v>0</v>
      </c>
      <c r="S26" s="24">
        <f>Rates2!$C$23*U26</f>
        <v>0</v>
      </c>
      <c r="T26" s="24" t="e">
        <f>IF(AB26&lt;71,Y26*0.0008*(1+(LOOKUP(Info!$I$67,Rates2!$O:$O,Rates2!$N:$N)/100)),0)</f>
        <v>#N/A</v>
      </c>
      <c r="U26" s="24">
        <f>IF(AC26&lt;=5,(V26+(Rates2!$B$27*'جدول نمونه2'!Z26))/(1-Rates2!$B$28),(V26+(Rates2!$B$27*'جدول نمونه2'!Z26)-(Rates2!$B$27*'جدول نمونه2'!Z26))/(1-Rates2!$B$28))</f>
        <v>0</v>
      </c>
      <c r="V26" s="24">
        <f t="shared" si="5"/>
        <v>0</v>
      </c>
      <c r="W26" s="24">
        <v>0</v>
      </c>
      <c r="X26" s="24">
        <f>IF(AB26&lt;&gt;0,(Z26*LOOKUP(AB26,Rates2!$U$2:$U$108,Rates2!$T$2:$T$108))/SQRT(1.1),0)</f>
        <v>0</v>
      </c>
      <c r="Y26" s="24">
        <f>IF(AND(AB26&gt;=0,AB26&lt;=Rates2!$W$3),Z26*(Info!$L$73),Z26)</f>
        <v>0</v>
      </c>
      <c r="Z26" s="24">
        <f>IF(AND(AB26&gt;=0,AC26&lt;&gt;""),Z25*(1+Info!$F$67),0)</f>
        <v>0</v>
      </c>
      <c r="AA26" s="24">
        <f>IF(AB26&lt;&gt;0,AA25*(1+Info!$F$65),0)</f>
        <v>0</v>
      </c>
      <c r="AB26" s="24">
        <f>IF(AC26&lt;&gt;"",IF(Info!$F$63+AC26-1&lt;=Rates2!$W$11,Info!$F$63+AC26-1,0),0)</f>
        <v>0</v>
      </c>
      <c r="AC26" s="146" t="str">
        <f>IF(AB25&lt;&gt;"",IF(AND(AC25&lt;&gt;"",AB25+1&lt;=Rates2!$W$11),IF(AC25&lt;&gt;0,IF(AC25+1&lt;=Info!$C$67,AC25+1,""),0),""),"")</f>
        <v/>
      </c>
    </row>
    <row r="27" spans="1:29" s="220" customFormat="1" ht="18.75" x14ac:dyDescent="0.45">
      <c r="A27" s="224"/>
      <c r="B27" s="25"/>
      <c r="C27" s="25"/>
      <c r="D27" s="25"/>
      <c r="E27" s="25" t="str">
        <f>IF(AC27="","",F27/VLOOKUP(Info!$C$69,Rates2!$AA$13:$AB$19,2,0))</f>
        <v/>
      </c>
      <c r="F27" s="25" t="str">
        <f t="shared" si="0"/>
        <v/>
      </c>
      <c r="G27" s="25" t="str">
        <f t="shared" si="1"/>
        <v/>
      </c>
      <c r="H27" s="25" t="e">
        <f>IF(AB27&lt;&gt;"",Rates2!$Y$10*(P27+U27),"")</f>
        <v>#N/A</v>
      </c>
      <c r="I27" s="25" t="e">
        <f>IF(AB27&lt;&gt;"",(Rates2!$AA$10+Rates2!$Z$10)*(P27+U27),"")</f>
        <v>#N/A</v>
      </c>
      <c r="J27" s="25" t="str">
        <f t="shared" si="2"/>
        <v/>
      </c>
      <c r="K27" s="225" t="str">
        <f>IF(AC27="","",(VLOOKUP(Info!$C$56,Rates2!$AA$13:$AB$19,2,0)/((1-(1+L27)^(-VLOOKUP(Info!$C$56,Rates2!$AA$13:$AB$19,2,0)))*((1+L27)/L27)))-1)</f>
        <v/>
      </c>
      <c r="L27" s="225" t="str">
        <f>IF(AC27="","",(((1+M27)^(1/VLOOKUP(Info!$C$69,Rates2!$AA$13:$AB$19,2,0)))-1))</f>
        <v/>
      </c>
      <c r="M27" s="226">
        <f t="shared" si="3"/>
        <v>0</v>
      </c>
      <c r="N27" s="25">
        <f t="shared" si="4"/>
        <v>0</v>
      </c>
      <c r="O27" s="25">
        <f>IF(X27&lt;&gt;"",Info!$L$75*X27,"")</f>
        <v>0</v>
      </c>
      <c r="P27" s="25" t="e">
        <f t="shared" si="6"/>
        <v>#N/A</v>
      </c>
      <c r="Q27" s="25">
        <f>U27*Rates2!$C$22</f>
        <v>0</v>
      </c>
      <c r="R27" s="25">
        <f>IF(AC27&lt;=5,Rates2!$B$24*Z27,0)</f>
        <v>0</v>
      </c>
      <c r="S27" s="25">
        <f>Rates2!$C$23*U27</f>
        <v>0</v>
      </c>
      <c r="T27" s="25" t="e">
        <f>IF(AB27&lt;71,Y27*0.0008*(1+(LOOKUP(Info!$I$67,Rates2!$O:$O,Rates2!$N:$N)/100)),0)</f>
        <v>#N/A</v>
      </c>
      <c r="U27" s="25">
        <f>IF(AC27&lt;=5,(V27+(Rates2!$B$27*'جدول نمونه2'!Z27))/(1-Rates2!$B$28),(V27+(Rates2!$B$27*'جدول نمونه2'!Z27)-(Rates2!$B$27*'جدول نمونه2'!Z27))/(1-Rates2!$B$28))</f>
        <v>0</v>
      </c>
      <c r="V27" s="25">
        <f t="shared" si="5"/>
        <v>0</v>
      </c>
      <c r="W27" s="25">
        <v>0</v>
      </c>
      <c r="X27" s="25">
        <f>IF(AB27&lt;&gt;0,(Z27*LOOKUP(AB27,Rates2!$U$2:$U$108,Rates2!$T$2:$T$108))/SQRT(1.1),0)</f>
        <v>0</v>
      </c>
      <c r="Y27" s="25">
        <f>IF(AND(AB27&gt;=0,AB27&lt;=Rates2!$W$3),Z27*(Info!$L$73),Z27)</f>
        <v>0</v>
      </c>
      <c r="Z27" s="25">
        <f>IF(AND(AB27&gt;=0,AC27&lt;&gt;""),Z26*(1+Info!$F$67),0)</f>
        <v>0</v>
      </c>
      <c r="AA27" s="25">
        <f>IF(AB27&lt;&gt;0,AA26*(1+Info!$F$65),0)</f>
        <v>0</v>
      </c>
      <c r="AB27" s="25">
        <f>IF(AC27&lt;&gt;"",IF(Info!$F$63+AC27-1&lt;=Rates2!$W$11,Info!$F$63+AC27-1,0),0)</f>
        <v>0</v>
      </c>
      <c r="AC27" s="145" t="str">
        <f>IF(AB26&lt;&gt;"",IF(AND(AC26&lt;&gt;"",AB26+1&lt;=Rates2!$W$11),IF(AC26&lt;&gt;0,IF(AC26+1&lt;=Info!$C$67,AC26+1,""),0),""),"")</f>
        <v/>
      </c>
    </row>
    <row r="28" spans="1:29" s="220" customFormat="1" ht="18.75" x14ac:dyDescent="0.45">
      <c r="A28" s="221"/>
      <c r="B28" s="24"/>
      <c r="C28" s="24"/>
      <c r="D28" s="24"/>
      <c r="E28" s="24" t="str">
        <f>IF(AC28="","",F28/VLOOKUP(Info!$C$69,Rates2!$AA$13:$AB$19,2,0))</f>
        <v/>
      </c>
      <c r="F28" s="24" t="str">
        <f t="shared" si="0"/>
        <v/>
      </c>
      <c r="G28" s="24" t="str">
        <f t="shared" si="1"/>
        <v/>
      </c>
      <c r="H28" s="24" t="e">
        <f>IF(AB28&lt;&gt;"",Rates2!$Y$10*(P28+U28),"")</f>
        <v>#N/A</v>
      </c>
      <c r="I28" s="24" t="e">
        <f>IF(AB28&lt;&gt;"",(Rates2!$AA$10+Rates2!$Z$10)*(P28+U28),"")</f>
        <v>#N/A</v>
      </c>
      <c r="J28" s="24" t="str">
        <f t="shared" si="2"/>
        <v/>
      </c>
      <c r="K28" s="222" t="str">
        <f>IF(AC28="","",(VLOOKUP(Info!$C$56,Rates2!$AA$13:$AB$19,2,0)/((1-(1+L28)^(-VLOOKUP(Info!$C$56,Rates2!$AA$13:$AB$19,2,0)))*((1+L28)/L28)))-1)</f>
        <v/>
      </c>
      <c r="L28" s="222" t="str">
        <f>IF(AC28="","",(((1+M28)^(1/VLOOKUP(Info!$C$69,Rates2!$AA$13:$AB$19,2,0)))-1))</f>
        <v/>
      </c>
      <c r="M28" s="223">
        <f t="shared" si="3"/>
        <v>0</v>
      </c>
      <c r="N28" s="24">
        <f t="shared" si="4"/>
        <v>0</v>
      </c>
      <c r="O28" s="24">
        <f>IF(X28&lt;&gt;"",Info!$L$75*X28,"")</f>
        <v>0</v>
      </c>
      <c r="P28" s="24" t="e">
        <f t="shared" si="6"/>
        <v>#N/A</v>
      </c>
      <c r="Q28" s="24">
        <f>U28*Rates2!$C$22</f>
        <v>0</v>
      </c>
      <c r="R28" s="24">
        <f>IF(AC28&lt;=5,Rates2!$B$24*Z28,0)</f>
        <v>0</v>
      </c>
      <c r="S28" s="24">
        <f>Rates2!$C$23*U28</f>
        <v>0</v>
      </c>
      <c r="T28" s="24" t="e">
        <f>IF(AB28&lt;71,Y28*0.0008*(1+(LOOKUP(Info!$I$67,Rates2!$O:$O,Rates2!$N:$N)/100)),0)</f>
        <v>#N/A</v>
      </c>
      <c r="U28" s="24">
        <f>IF(AC28&lt;=5,(V28+(Rates2!$B$27*'جدول نمونه2'!Z28))/(1-Rates2!$B$28),(V28+(Rates2!$B$27*'جدول نمونه2'!Z28)-(Rates2!$B$27*'جدول نمونه2'!Z28))/(1-Rates2!$B$28))</f>
        <v>0</v>
      </c>
      <c r="V28" s="24">
        <f t="shared" si="5"/>
        <v>0</v>
      </c>
      <c r="W28" s="24">
        <v>0</v>
      </c>
      <c r="X28" s="24">
        <f>IF(AB28&lt;&gt;0,(Z28*LOOKUP(AB28,Rates2!$U$2:$U$108,Rates2!$T$2:$T$108))/SQRT(1.1),0)</f>
        <v>0</v>
      </c>
      <c r="Y28" s="24">
        <f>IF(AND(AB28&gt;=0,AB28&lt;=Rates2!$W$3),Z28*(Info!$L$73),Z28)</f>
        <v>0</v>
      </c>
      <c r="Z28" s="24">
        <f>IF(AND(AB28&gt;=0,AC28&lt;&gt;""),Z27*(1+Info!$F$67),0)</f>
        <v>0</v>
      </c>
      <c r="AA28" s="24">
        <f>IF(AB28&lt;&gt;0,AA27*(1+Info!$F$65),0)</f>
        <v>0</v>
      </c>
      <c r="AB28" s="24">
        <f>IF(AC28&lt;&gt;"",IF(Info!$F$63+AC28-1&lt;=Rates2!$W$11,Info!$F$63+AC28-1,0),0)</f>
        <v>0</v>
      </c>
      <c r="AC28" s="146" t="str">
        <f>IF(AB27&lt;&gt;"",IF(AND(AC27&lt;&gt;"",AB27+1&lt;=Rates2!$W$11),IF(AC27&lt;&gt;0,IF(AC27+1&lt;=Info!$C$67,AC27+1,""),0),""),"")</f>
        <v/>
      </c>
    </row>
    <row r="29" spans="1:29" s="220" customFormat="1" ht="18.75" x14ac:dyDescent="0.45">
      <c r="A29" s="224"/>
      <c r="B29" s="25"/>
      <c r="C29" s="25"/>
      <c r="D29" s="25"/>
      <c r="E29" s="25" t="str">
        <f>IF(AC29="","",F29/VLOOKUP(Info!$C$69,Rates2!$AA$13:$AB$19,2,0))</f>
        <v/>
      </c>
      <c r="F29" s="25" t="str">
        <f t="shared" si="0"/>
        <v/>
      </c>
      <c r="G29" s="25" t="str">
        <f t="shared" si="1"/>
        <v/>
      </c>
      <c r="H29" s="25" t="e">
        <f>IF(AB29&lt;&gt;"",Rates2!$Y$10*(P29+U29),"")</f>
        <v>#N/A</v>
      </c>
      <c r="I29" s="25" t="e">
        <f>IF(AB29&lt;&gt;"",(Rates2!$AA$10+Rates2!$Z$10)*(P29+U29),"")</f>
        <v>#N/A</v>
      </c>
      <c r="J29" s="25" t="str">
        <f t="shared" si="2"/>
        <v/>
      </c>
      <c r="K29" s="225" t="str">
        <f>IF(AC29="","",(VLOOKUP(Info!$C$56,Rates2!$AA$13:$AB$19,2,0)/((1-(1+L29)^(-VLOOKUP(Info!$C$56,Rates2!$AA$13:$AB$19,2,0)))*((1+L29)/L29)))-1)</f>
        <v/>
      </c>
      <c r="L29" s="225" t="str">
        <f>IF(AC29="","",(((1+M29)^(1/VLOOKUP(Info!$C$69,Rates2!$AA$13:$AB$19,2,0)))-1))</f>
        <v/>
      </c>
      <c r="M29" s="226">
        <f t="shared" si="3"/>
        <v>0</v>
      </c>
      <c r="N29" s="25">
        <f t="shared" si="4"/>
        <v>0</v>
      </c>
      <c r="O29" s="25">
        <f>IF(X29&lt;&gt;"",Info!$L$75*X29,"")</f>
        <v>0</v>
      </c>
      <c r="P29" s="25" t="e">
        <f t="shared" si="6"/>
        <v>#N/A</v>
      </c>
      <c r="Q29" s="25">
        <f>U29*Rates2!$C$22</f>
        <v>0</v>
      </c>
      <c r="R29" s="25">
        <f>IF(AC29&lt;=5,Rates2!$B$24*Z29,0)</f>
        <v>0</v>
      </c>
      <c r="S29" s="25">
        <f>Rates2!$C$23*U29</f>
        <v>0</v>
      </c>
      <c r="T29" s="25" t="e">
        <f>IF(AB29&lt;71,Y29*0.0008*(1+(LOOKUP(Info!$I$67,Rates2!$O:$O,Rates2!$N:$N)/100)),0)</f>
        <v>#N/A</v>
      </c>
      <c r="U29" s="25">
        <f>IF(AC29&lt;=5,(V29+(Rates2!$B$27*'جدول نمونه2'!Z29))/(1-Rates2!$B$28),(V29+(Rates2!$B$27*'جدول نمونه2'!Z29)-(Rates2!$B$27*'جدول نمونه2'!Z29))/(1-Rates2!$B$28))</f>
        <v>0</v>
      </c>
      <c r="V29" s="25">
        <f t="shared" si="5"/>
        <v>0</v>
      </c>
      <c r="W29" s="25">
        <v>0</v>
      </c>
      <c r="X29" s="25">
        <f>IF(AB29&lt;&gt;0,(Z29*LOOKUP(AB29,Rates2!$U$2:$U$108,Rates2!$T$2:$T$108))/SQRT(1.1),0)</f>
        <v>0</v>
      </c>
      <c r="Y29" s="25">
        <f>IF(AND(AB29&gt;=0,AB29&lt;=Rates2!$W$3),Z29*(Info!$L$73),Z29)</f>
        <v>0</v>
      </c>
      <c r="Z29" s="25">
        <f>IF(AND(AB29&gt;=0,AC29&lt;&gt;""),Z28*(1+Info!$F$67),0)</f>
        <v>0</v>
      </c>
      <c r="AA29" s="25">
        <f>IF(AB29&lt;&gt;0,AA28*(1+Info!$F$65),0)</f>
        <v>0</v>
      </c>
      <c r="AB29" s="25">
        <f>IF(AC29&lt;&gt;"",IF(Info!$F$63+AC29-1&lt;=Rates2!$W$11,Info!$F$63+AC29-1,0),0)</f>
        <v>0</v>
      </c>
      <c r="AC29" s="145" t="str">
        <f>IF(AB28&lt;&gt;"",IF(AND(AC28&lt;&gt;"",AB28+1&lt;=Rates2!$W$11),IF(AC28&lt;&gt;0,IF(AC28+1&lt;=Info!$C$67,AC28+1,""),0),""),"")</f>
        <v/>
      </c>
    </row>
    <row r="30" spans="1:29" s="220" customFormat="1" ht="18.75" x14ac:dyDescent="0.45">
      <c r="A30" s="221"/>
      <c r="B30" s="24"/>
      <c r="C30" s="24"/>
      <c r="D30" s="24"/>
      <c r="E30" s="24" t="str">
        <f>IF(AC30="","",F30/VLOOKUP(Info!$C$69,Rates2!$AA$13:$AB$19,2,0))</f>
        <v/>
      </c>
      <c r="F30" s="24" t="str">
        <f t="shared" si="0"/>
        <v/>
      </c>
      <c r="G30" s="24" t="str">
        <f t="shared" si="1"/>
        <v/>
      </c>
      <c r="H30" s="24" t="e">
        <f>IF(AB30&lt;&gt;"",Rates2!$Y$10*(P30+U30),"")</f>
        <v>#N/A</v>
      </c>
      <c r="I30" s="24" t="e">
        <f>IF(AB30&lt;&gt;"",(Rates2!$AA$10+Rates2!$Z$10)*(P30+U30),"")</f>
        <v>#N/A</v>
      </c>
      <c r="J30" s="24" t="str">
        <f t="shared" si="2"/>
        <v/>
      </c>
      <c r="K30" s="222" t="str">
        <f>IF(AC30="","",(VLOOKUP(Info!$C$56,Rates2!$AA$13:$AB$19,2,0)/((1-(1+L30)^(-VLOOKUP(Info!$C$56,Rates2!$AA$13:$AB$19,2,0)))*((1+L30)/L30)))-1)</f>
        <v/>
      </c>
      <c r="L30" s="222" t="str">
        <f>IF(AC30="","",(((1+M30)^(1/VLOOKUP(Info!$C$69,Rates2!$AA$13:$AB$19,2,0)))-1))</f>
        <v/>
      </c>
      <c r="M30" s="223">
        <f t="shared" si="3"/>
        <v>0</v>
      </c>
      <c r="N30" s="24">
        <f t="shared" si="4"/>
        <v>0</v>
      </c>
      <c r="O30" s="24">
        <f>IF(X30&lt;&gt;"",Info!$L$75*X30,"")</f>
        <v>0</v>
      </c>
      <c r="P30" s="24" t="e">
        <f t="shared" si="6"/>
        <v>#N/A</v>
      </c>
      <c r="Q30" s="24">
        <f>U30*Rates2!$C$22</f>
        <v>0</v>
      </c>
      <c r="R30" s="24">
        <f>IF(AC30&lt;=5,Rates2!$B$24*Z30,0)</f>
        <v>0</v>
      </c>
      <c r="S30" s="24">
        <f>Rates2!$C$23*U30</f>
        <v>0</v>
      </c>
      <c r="T30" s="24" t="e">
        <f>IF(AB30&lt;71,Y30*0.0008*(1+(LOOKUP(Info!$I$67,Rates2!$O:$O,Rates2!$N:$N)/100)),0)</f>
        <v>#N/A</v>
      </c>
      <c r="U30" s="24">
        <f>IF(AC30&lt;=5,(V30+(Rates2!$B$27*'جدول نمونه2'!Z30))/(1-Rates2!$B$28),(V30+(Rates2!$B$27*'جدول نمونه2'!Z30)-(Rates2!$B$27*'جدول نمونه2'!Z30))/(1-Rates2!$B$28))</f>
        <v>0</v>
      </c>
      <c r="V30" s="24">
        <f t="shared" si="5"/>
        <v>0</v>
      </c>
      <c r="W30" s="24">
        <v>0</v>
      </c>
      <c r="X30" s="24">
        <f>IF(AB30&lt;&gt;0,(Z30*LOOKUP(AB30,Rates2!$U$2:$U$108,Rates2!$T$2:$T$108))/SQRT(1.1),0)</f>
        <v>0</v>
      </c>
      <c r="Y30" s="24">
        <f>IF(AND(AB30&gt;=0,AB30&lt;=Rates2!$W$3),Z30*(Info!$L$73),Z30)</f>
        <v>0</v>
      </c>
      <c r="Z30" s="24">
        <f>IF(AND(AB30&gt;=0,AC30&lt;&gt;""),Z29*(1+Info!$F$67),0)</f>
        <v>0</v>
      </c>
      <c r="AA30" s="24">
        <f>IF(AB30&lt;&gt;0,AA29*(1+Info!$F$65),0)</f>
        <v>0</v>
      </c>
      <c r="AB30" s="24">
        <f>IF(AC30&lt;&gt;"",IF(Info!$F$63+AC30-1&lt;=Rates2!$W$11,Info!$F$63+AC30-1,0),0)</f>
        <v>0</v>
      </c>
      <c r="AC30" s="146" t="str">
        <f>IF(AB29&lt;&gt;"",IF(AND(AC29&lt;&gt;"",AB29+1&lt;=Rates2!$W$11),IF(AC29&lt;&gt;0,IF(AC29+1&lt;=Info!$C$67,AC29+1,""),0),""),"")</f>
        <v/>
      </c>
    </row>
    <row r="31" spans="1:29" s="220" customFormat="1" ht="18.75" x14ac:dyDescent="0.45">
      <c r="A31" s="224"/>
      <c r="B31" s="25"/>
      <c r="C31" s="25"/>
      <c r="D31" s="25"/>
      <c r="E31" s="25" t="str">
        <f>IF(AC31="","",F31/VLOOKUP(Info!$C$69,Rates2!$AA$13:$AB$19,2,0))</f>
        <v/>
      </c>
      <c r="F31" s="25" t="str">
        <f t="shared" si="0"/>
        <v/>
      </c>
      <c r="G31" s="25" t="str">
        <f t="shared" si="1"/>
        <v/>
      </c>
      <c r="H31" s="25" t="e">
        <f>IF(AB31&lt;&gt;"",Rates2!$Y$10*(P31+U31),"")</f>
        <v>#N/A</v>
      </c>
      <c r="I31" s="25" t="e">
        <f>IF(AB31&lt;&gt;"",(Rates2!$AA$10+Rates2!$Z$10)*(P31+U31),"")</f>
        <v>#N/A</v>
      </c>
      <c r="J31" s="25" t="str">
        <f t="shared" si="2"/>
        <v/>
      </c>
      <c r="K31" s="225" t="str">
        <f>IF(AC31="","",(VLOOKUP(Info!$C$56,Rates2!$AA$13:$AB$19,2,0)/((1-(1+L31)^(-VLOOKUP(Info!$C$56,Rates2!$AA$13:$AB$19,2,0)))*((1+L31)/L31)))-1)</f>
        <v/>
      </c>
      <c r="L31" s="225" t="str">
        <f>IF(AC31="","",(((1+M31)^(1/VLOOKUP(Info!$C$69,Rates2!$AA$13:$AB$19,2,0)))-1))</f>
        <v/>
      </c>
      <c r="M31" s="226">
        <f t="shared" si="3"/>
        <v>0</v>
      </c>
      <c r="N31" s="25">
        <f t="shared" si="4"/>
        <v>0</v>
      </c>
      <c r="O31" s="25">
        <f>IF(X31&lt;&gt;"",Info!$L$75*X31,"")</f>
        <v>0</v>
      </c>
      <c r="P31" s="25" t="e">
        <f t="shared" si="6"/>
        <v>#N/A</v>
      </c>
      <c r="Q31" s="25">
        <f>U31*Rates2!$C$22</f>
        <v>0</v>
      </c>
      <c r="R31" s="25">
        <f>IF(AC31&lt;=5,Rates2!$B$24*Z31,0)</f>
        <v>0</v>
      </c>
      <c r="S31" s="25">
        <f>Rates2!$C$23*U31</f>
        <v>0</v>
      </c>
      <c r="T31" s="25" t="e">
        <f>IF(AB31&lt;71,Y31*0.0008*(1+(LOOKUP(Info!$I$67,Rates2!$O:$O,Rates2!$N:$N)/100)),0)</f>
        <v>#N/A</v>
      </c>
      <c r="U31" s="25">
        <f>IF(AC31&lt;=5,(V31+(Rates2!$B$27*'جدول نمونه2'!Z31))/(1-Rates2!$B$28),(V31+(Rates2!$B$27*'جدول نمونه2'!Z31)-(Rates2!$B$27*'جدول نمونه2'!Z31))/(1-Rates2!$B$28))</f>
        <v>0</v>
      </c>
      <c r="V31" s="25">
        <f t="shared" si="5"/>
        <v>0</v>
      </c>
      <c r="W31" s="25">
        <v>0</v>
      </c>
      <c r="X31" s="25">
        <f>IF(AB31&lt;&gt;0,(Z31*LOOKUP(AB31,Rates2!$U$2:$U$108,Rates2!$T$2:$T$108))/SQRT(1.1),0)</f>
        <v>0</v>
      </c>
      <c r="Y31" s="25">
        <f>IF(AND(AB31&gt;=0,AB31&lt;=Rates2!$W$3),Z31*(Info!$L$73),Z31)</f>
        <v>0</v>
      </c>
      <c r="Z31" s="25">
        <f>IF(AND(AB31&gt;=0,AC31&lt;&gt;""),Z30*(1+Info!$F$67),0)</f>
        <v>0</v>
      </c>
      <c r="AA31" s="25">
        <f>IF(AB31&lt;&gt;0,AA30*(1+Info!$F$65),0)</f>
        <v>0</v>
      </c>
      <c r="AB31" s="25">
        <f>IF(AC31&lt;&gt;"",IF(Info!$F$63+AC31-1&lt;=Rates2!$W$11,Info!$F$63+AC31-1,0),0)</f>
        <v>0</v>
      </c>
      <c r="AC31" s="145" t="str">
        <f>IF(AB30&lt;&gt;"",IF(AND(AC30&lt;&gt;"",AB30+1&lt;=Rates2!$W$11),IF(AC30&lt;&gt;0,IF(AC30+1&lt;=Info!$C$67,AC30+1,""),0),""),"")</f>
        <v/>
      </c>
    </row>
    <row r="32" spans="1:29" s="220" customFormat="1" ht="18.75" x14ac:dyDescent="0.45">
      <c r="A32" s="221"/>
      <c r="B32" s="24"/>
      <c r="C32" s="24"/>
      <c r="D32" s="24"/>
      <c r="E32" s="24" t="str">
        <f>IF(AC32="","",F32/VLOOKUP(Info!$C$69,Rates2!$AA$13:$AB$19,2,0))</f>
        <v/>
      </c>
      <c r="F32" s="24" t="str">
        <f t="shared" si="0"/>
        <v/>
      </c>
      <c r="G32" s="24" t="str">
        <f t="shared" si="1"/>
        <v/>
      </c>
      <c r="H32" s="24" t="e">
        <f>IF(AB32&lt;&gt;"",Rates2!$Y$10*(P32+U32),"")</f>
        <v>#N/A</v>
      </c>
      <c r="I32" s="24" t="e">
        <f>IF(AB32&lt;&gt;"",(Rates2!$AA$10+Rates2!$Z$10)*(P32+U32),"")</f>
        <v>#N/A</v>
      </c>
      <c r="J32" s="24" t="str">
        <f t="shared" si="2"/>
        <v/>
      </c>
      <c r="K32" s="222" t="str">
        <f>IF(AC32="","",(VLOOKUP(Info!$C$56,Rates2!$AA$13:$AB$19,2,0)/((1-(1+L32)^(-VLOOKUP(Info!$C$56,Rates2!$AA$13:$AB$19,2,0)))*((1+L32)/L32)))-1)</f>
        <v/>
      </c>
      <c r="L32" s="222" t="str">
        <f>IF(AC32="","",(((1+M32)^(1/VLOOKUP(Info!$C$69,Rates2!$AA$13:$AB$19,2,0)))-1))</f>
        <v/>
      </c>
      <c r="M32" s="223">
        <f t="shared" si="3"/>
        <v>0</v>
      </c>
      <c r="N32" s="24">
        <f t="shared" si="4"/>
        <v>0</v>
      </c>
      <c r="O32" s="24">
        <f>IF(X32&lt;&gt;"",Info!$L$75*X32,"")</f>
        <v>0</v>
      </c>
      <c r="P32" s="24" t="e">
        <f t="shared" si="6"/>
        <v>#N/A</v>
      </c>
      <c r="Q32" s="24">
        <f>U32*Rates2!$C$22</f>
        <v>0</v>
      </c>
      <c r="R32" s="24">
        <f>IF(AC32&lt;=5,Rates2!$B$24*Z32,0)</f>
        <v>0</v>
      </c>
      <c r="S32" s="24">
        <f>Rates2!$C$23*U32</f>
        <v>0</v>
      </c>
      <c r="T32" s="24" t="e">
        <f>IF(AB32&lt;71,Y32*0.0008*(1+(LOOKUP(Info!$I$67,Rates2!$O:$O,Rates2!$N:$N)/100)),0)</f>
        <v>#N/A</v>
      </c>
      <c r="U32" s="24">
        <f>IF(AC32&lt;=5,(V32+(Rates2!$B$27*'جدول نمونه2'!Z32))/(1-Rates2!$B$28),(V32+(Rates2!$B$27*'جدول نمونه2'!Z32)-(Rates2!$B$27*'جدول نمونه2'!Z32))/(1-Rates2!$B$28))</f>
        <v>0</v>
      </c>
      <c r="V32" s="24">
        <f t="shared" si="5"/>
        <v>0</v>
      </c>
      <c r="W32" s="24">
        <v>0</v>
      </c>
      <c r="X32" s="24">
        <f>IF(AB32&lt;&gt;0,(Z32*LOOKUP(AB32,Rates2!$U$2:$U$108,Rates2!$T$2:$T$108))/SQRT(1.1),0)</f>
        <v>0</v>
      </c>
      <c r="Y32" s="24">
        <f>IF(AND(AB32&gt;=0,AB32&lt;=Rates2!$W$3),Z32*(Info!$L$73),Z32)</f>
        <v>0</v>
      </c>
      <c r="Z32" s="24">
        <f>IF(AND(AB32&gt;=0,AC32&lt;&gt;""),Z31*(1+Info!$F$67),0)</f>
        <v>0</v>
      </c>
      <c r="AA32" s="24">
        <f>IF(AB32&lt;&gt;0,AA31*(1+Info!$F$65),0)</f>
        <v>0</v>
      </c>
      <c r="AB32" s="24">
        <f>IF(AC32&lt;&gt;"",IF(Info!$F$63+AC32-1&lt;=Rates2!$W$11,Info!$F$63+AC32-1,0),0)</f>
        <v>0</v>
      </c>
      <c r="AC32" s="146" t="str">
        <f>IF(AB31&lt;&gt;"",IF(AND(AC31&lt;&gt;"",AB31+1&lt;=Rates2!$W$11),IF(AC31&lt;&gt;0,IF(AC31+1&lt;=Info!$C$67,AC31+1,""),0),""),"")</f>
        <v/>
      </c>
    </row>
    <row r="33" spans="1:29" s="220" customFormat="1" ht="18.75" x14ac:dyDescent="0.45">
      <c r="A33" s="224"/>
      <c r="B33" s="25"/>
      <c r="C33" s="25"/>
      <c r="D33" s="25"/>
      <c r="E33" s="25" t="str">
        <f>IF(AC33="","",F33/VLOOKUP(Info!$C$69,Rates2!$AA$13:$AB$19,2,0))</f>
        <v/>
      </c>
      <c r="F33" s="25" t="str">
        <f t="shared" si="0"/>
        <v/>
      </c>
      <c r="G33" s="25" t="str">
        <f t="shared" si="1"/>
        <v/>
      </c>
      <c r="H33" s="25" t="e">
        <f>IF(AB33&lt;&gt;"",Rates2!$Y$10*(P33+U33),"")</f>
        <v>#N/A</v>
      </c>
      <c r="I33" s="25" t="e">
        <f>IF(AB33&lt;&gt;"",(Rates2!$AA$10+Rates2!$Z$10)*(P33+U33),"")</f>
        <v>#N/A</v>
      </c>
      <c r="J33" s="25" t="str">
        <f t="shared" si="2"/>
        <v/>
      </c>
      <c r="K33" s="225" t="str">
        <f>IF(AC33="","",(VLOOKUP(Info!$C$56,Rates2!$AA$13:$AB$19,2,0)/((1-(1+L33)^(-VLOOKUP(Info!$C$56,Rates2!$AA$13:$AB$19,2,0)))*((1+L33)/L33)))-1)</f>
        <v/>
      </c>
      <c r="L33" s="225" t="str">
        <f>IF(AC33="","",(((1+M33)^(1/VLOOKUP(Info!$C$69,Rates2!$AA$13:$AB$19,2,0)))-1))</f>
        <v/>
      </c>
      <c r="M33" s="226">
        <f t="shared" si="3"/>
        <v>0</v>
      </c>
      <c r="N33" s="25">
        <f t="shared" si="4"/>
        <v>0</v>
      </c>
      <c r="O33" s="25">
        <f>IF(X33&lt;&gt;"",Info!$L$75*X33,"")</f>
        <v>0</v>
      </c>
      <c r="P33" s="25" t="e">
        <f t="shared" si="6"/>
        <v>#N/A</v>
      </c>
      <c r="Q33" s="25">
        <f>U33*Rates2!$C$22</f>
        <v>0</v>
      </c>
      <c r="R33" s="25">
        <f>IF(AC33&lt;=5,Rates2!$B$24*Z33,0)</f>
        <v>0</v>
      </c>
      <c r="S33" s="25">
        <f>Rates2!$C$23*U33</f>
        <v>0</v>
      </c>
      <c r="T33" s="25" t="e">
        <f>IF(AB33&lt;71,Y33*0.0008*(1+(LOOKUP(Info!$I$67,Rates2!$O:$O,Rates2!$N:$N)/100)),0)</f>
        <v>#N/A</v>
      </c>
      <c r="U33" s="25">
        <f>IF(AC33&lt;=5,(V33+(Rates2!$B$27*'جدول نمونه2'!Z33))/(1-Rates2!$B$28),(V33+(Rates2!$B$27*'جدول نمونه2'!Z33)-(Rates2!$B$27*'جدول نمونه2'!Z33))/(1-Rates2!$B$28))</f>
        <v>0</v>
      </c>
      <c r="V33" s="25">
        <f t="shared" si="5"/>
        <v>0</v>
      </c>
      <c r="W33" s="25">
        <v>0</v>
      </c>
      <c r="X33" s="25">
        <f>IF(AB33&lt;&gt;0,(Z33*LOOKUP(AB33,Rates2!$U$2:$U$108,Rates2!$T$2:$T$108))/SQRT(1.1),0)</f>
        <v>0</v>
      </c>
      <c r="Y33" s="25">
        <f>IF(AND(AB33&gt;=0,AB33&lt;=Rates2!$W$3),Z33*(Info!$L$73),Z33)</f>
        <v>0</v>
      </c>
      <c r="Z33" s="25">
        <f>IF(AND(AB33&gt;=0,AC33&lt;&gt;""),Z32*(1+Info!$F$67),0)</f>
        <v>0</v>
      </c>
      <c r="AA33" s="25">
        <f>IF(AB33&lt;&gt;0,AA32*(1+Info!$F$65),0)</f>
        <v>0</v>
      </c>
      <c r="AB33" s="25">
        <f>IF(AC33&lt;&gt;"",IF(Info!$F$63+AC33-1&lt;=Rates2!$W$11,Info!$F$63+AC33-1,0),0)</f>
        <v>0</v>
      </c>
      <c r="AC33" s="145" t="str">
        <f>IF(AB32&lt;&gt;"",IF(AND(AC32&lt;&gt;"",AB32+1&lt;=Rates2!$W$11),IF(AC32&lt;&gt;0,IF(AC32+1&lt;=Info!$C$67,AC32+1,""),0),""),"")</f>
        <v/>
      </c>
    </row>
    <row r="34" spans="1:29" s="220" customFormat="1" ht="18.75" x14ac:dyDescent="0.45">
      <c r="A34" s="221"/>
      <c r="B34" s="24"/>
      <c r="C34" s="24"/>
      <c r="D34" s="24"/>
      <c r="E34" s="24" t="str">
        <f>IF(AC34="","",F34/VLOOKUP(Info!$C$69,Rates2!$AA$13:$AB$19,2,0))</f>
        <v/>
      </c>
      <c r="F34" s="24" t="str">
        <f t="shared" si="0"/>
        <v/>
      </c>
      <c r="G34" s="24" t="str">
        <f t="shared" si="1"/>
        <v/>
      </c>
      <c r="H34" s="24" t="e">
        <f>IF(AB34&lt;&gt;"",Rates2!$Y$10*(P34+U34),"")</f>
        <v>#N/A</v>
      </c>
      <c r="I34" s="24" t="e">
        <f>IF(AB34&lt;&gt;"",(Rates2!$AA$10+Rates2!$Z$10)*(P34+U34),"")</f>
        <v>#N/A</v>
      </c>
      <c r="J34" s="24" t="str">
        <f t="shared" si="2"/>
        <v/>
      </c>
      <c r="K34" s="222" t="str">
        <f>IF(AC34="","",(VLOOKUP(Info!$C$56,Rates2!$AA$13:$AB$19,2,0)/((1-(1+L34)^(-VLOOKUP(Info!$C$56,Rates2!$AA$13:$AB$19,2,0)))*((1+L34)/L34)))-1)</f>
        <v/>
      </c>
      <c r="L34" s="222" t="str">
        <f>IF(AC34="","",(((1+M34)^(1/VLOOKUP(Info!$C$69,Rates2!$AA$13:$AB$19,2,0)))-1))</f>
        <v/>
      </c>
      <c r="M34" s="223">
        <f t="shared" si="3"/>
        <v>0</v>
      </c>
      <c r="N34" s="24">
        <f t="shared" si="4"/>
        <v>0</v>
      </c>
      <c r="O34" s="24">
        <f>IF(X34&lt;&gt;"",Info!$L$75*X34,"")</f>
        <v>0</v>
      </c>
      <c r="P34" s="24" t="e">
        <f t="shared" si="6"/>
        <v>#N/A</v>
      </c>
      <c r="Q34" s="24">
        <f>U34*Rates2!$C$22</f>
        <v>0</v>
      </c>
      <c r="R34" s="24">
        <f>IF(AC34&lt;=5,Rates2!$B$24*Z34,0)</f>
        <v>0</v>
      </c>
      <c r="S34" s="24">
        <f>Rates2!$C$23*U34</f>
        <v>0</v>
      </c>
      <c r="T34" s="24" t="e">
        <f>IF(AB34&lt;71,Y34*0.0008*(1+(LOOKUP(Info!$I$67,Rates2!$O:$O,Rates2!$N:$N)/100)),0)</f>
        <v>#N/A</v>
      </c>
      <c r="U34" s="24">
        <f>IF(AC34&lt;=5,(V34+(Rates2!$B$27*'جدول نمونه2'!Z34))/(1-Rates2!$B$28),(V34+(Rates2!$B$27*'جدول نمونه2'!Z34)-(Rates2!$B$27*'جدول نمونه2'!Z34))/(1-Rates2!$B$28))</f>
        <v>0</v>
      </c>
      <c r="V34" s="24">
        <f t="shared" si="5"/>
        <v>0</v>
      </c>
      <c r="W34" s="24">
        <v>0</v>
      </c>
      <c r="X34" s="24">
        <f>IF(AB34&lt;&gt;0,(Z34*LOOKUP(AB34,Rates2!$U$2:$U$108,Rates2!$T$2:$T$108))/SQRT(1.1),0)</f>
        <v>0</v>
      </c>
      <c r="Y34" s="24">
        <f>IF(AND(AB34&gt;=0,AB34&lt;=Rates2!$W$3),Z34*(Info!$L$73),Z34)</f>
        <v>0</v>
      </c>
      <c r="Z34" s="24">
        <f>IF(AND(AB34&gt;=0,AC34&lt;&gt;""),Z33*(1+Info!$F$67),0)</f>
        <v>0</v>
      </c>
      <c r="AA34" s="24">
        <f>IF(AB34&lt;&gt;0,AA33*(1+Info!$F$65),0)</f>
        <v>0</v>
      </c>
      <c r="AB34" s="24">
        <f>IF(AC34&lt;&gt;"",IF(Info!$F$63+AC34-1&lt;=Rates2!$W$11,Info!$F$63+AC34-1,0),0)</f>
        <v>0</v>
      </c>
      <c r="AC34" s="146" t="str">
        <f>IF(AB33&lt;&gt;"",IF(AND(AC33&lt;&gt;"",AB33+1&lt;=Rates2!$W$11),IF(AC33&lt;&gt;0,IF(AC33+1&lt;=Info!$C$67,AC33+1,""),0),""),"")</f>
        <v/>
      </c>
    </row>
    <row r="35" spans="1:29" s="220" customFormat="1" ht="18.75" x14ac:dyDescent="0.45">
      <c r="A35" s="224"/>
      <c r="B35" s="25"/>
      <c r="C35" s="25"/>
      <c r="D35" s="25"/>
      <c r="E35" s="25" t="str">
        <f>IF(AC35="","",F35/VLOOKUP(Info!$C$69,Rates2!$AA$13:$AB$19,2,0))</f>
        <v/>
      </c>
      <c r="F35" s="25" t="str">
        <f t="shared" si="0"/>
        <v/>
      </c>
      <c r="G35" s="25" t="str">
        <f t="shared" si="1"/>
        <v/>
      </c>
      <c r="H35" s="25" t="e">
        <f>IF(AB35&lt;&gt;"",Rates2!$Y$10*(P35+U35),"")</f>
        <v>#N/A</v>
      </c>
      <c r="I35" s="25" t="e">
        <f>IF(AB35&lt;&gt;"",(Rates2!$AA$10+Rates2!$Z$10)*(P35+U35),"")</f>
        <v>#N/A</v>
      </c>
      <c r="J35" s="25" t="str">
        <f t="shared" si="2"/>
        <v/>
      </c>
      <c r="K35" s="225" t="str">
        <f>IF(AC35="","",(VLOOKUP(Info!$C$56,Rates2!$AA$13:$AB$19,2,0)/((1-(1+L35)^(-VLOOKUP(Info!$C$56,Rates2!$AA$13:$AB$19,2,0)))*((1+L35)/L35)))-1)</f>
        <v/>
      </c>
      <c r="L35" s="225" t="str">
        <f>IF(AC35="","",(((1+M35)^(1/VLOOKUP(Info!$C$69,Rates2!$AA$13:$AB$19,2,0)))-1))</f>
        <v/>
      </c>
      <c r="M35" s="226">
        <f t="shared" si="3"/>
        <v>0</v>
      </c>
      <c r="N35" s="25">
        <f t="shared" si="4"/>
        <v>0</v>
      </c>
      <c r="O35" s="25">
        <f>IF(X35&lt;&gt;"",Info!$L$75*X35,"")</f>
        <v>0</v>
      </c>
      <c r="P35" s="25" t="e">
        <f t="shared" si="6"/>
        <v>#N/A</v>
      </c>
      <c r="Q35" s="25">
        <f>U35*Rates2!$C$22</f>
        <v>0</v>
      </c>
      <c r="R35" s="25">
        <f>IF(AC35&lt;=5,Rates2!$B$24*Z35,0)</f>
        <v>0</v>
      </c>
      <c r="S35" s="25">
        <f>Rates2!$C$23*U35</f>
        <v>0</v>
      </c>
      <c r="T35" s="25" t="e">
        <f>IF(AB35&lt;71,Y35*0.0008*(1+(LOOKUP(Info!$I$67,Rates2!$O:$O,Rates2!$N:$N)/100)),0)</f>
        <v>#N/A</v>
      </c>
      <c r="U35" s="25">
        <f>IF(AC35&lt;=5,(V35+(Rates2!$B$27*'جدول نمونه2'!Z35))/(1-Rates2!$B$28),(V35+(Rates2!$B$27*'جدول نمونه2'!Z35)-(Rates2!$B$27*'جدول نمونه2'!Z35))/(1-Rates2!$B$28))</f>
        <v>0</v>
      </c>
      <c r="V35" s="25">
        <f t="shared" si="5"/>
        <v>0</v>
      </c>
      <c r="W35" s="25">
        <v>0</v>
      </c>
      <c r="X35" s="25">
        <f>IF(AB35&lt;&gt;0,(Z35*LOOKUP(AB35,Rates2!$U$2:$U$108,Rates2!$T$2:$T$108))/SQRT(1.1),0)</f>
        <v>0</v>
      </c>
      <c r="Y35" s="25">
        <f>IF(AND(AB35&gt;=0,AB35&lt;=Rates2!$W$3),Z35*(Info!$L$73),Z35)</f>
        <v>0</v>
      </c>
      <c r="Z35" s="25">
        <f>IF(AND(AB35&gt;=0,AC35&lt;&gt;""),Z34*(1+Info!$F$67),0)</f>
        <v>0</v>
      </c>
      <c r="AA35" s="25">
        <f>IF(AB35&lt;&gt;0,AA34*(1+Info!$F$65),0)</f>
        <v>0</v>
      </c>
      <c r="AB35" s="25">
        <f>IF(AC35&lt;&gt;"",IF(Info!$F$63+AC35-1&lt;=Rates2!$W$11,Info!$F$63+AC35-1,0),0)</f>
        <v>0</v>
      </c>
      <c r="AC35" s="145" t="str">
        <f>IF(AB34&lt;&gt;"",IF(AND(AC34&lt;&gt;"",AB34+1&lt;=Rates2!$W$11),IF(AC34&lt;&gt;0,IF(AC34+1&lt;=Info!$C$67,AC34+1,""),0),""),"")</f>
        <v/>
      </c>
    </row>
    <row r="36" spans="1:29" s="220" customFormat="1" ht="18.75" x14ac:dyDescent="0.45">
      <c r="A36" s="221"/>
      <c r="B36" s="24"/>
      <c r="C36" s="24"/>
      <c r="D36" s="24"/>
      <c r="E36" s="24" t="str">
        <f>IF(AC36="","",F36/VLOOKUP(Info!$C$69,Rates2!$AA$13:$AB$19,2,0))</f>
        <v/>
      </c>
      <c r="F36" s="24" t="str">
        <f t="shared" si="0"/>
        <v/>
      </c>
      <c r="G36" s="24" t="str">
        <f t="shared" si="1"/>
        <v/>
      </c>
      <c r="H36" s="24" t="e">
        <f>IF(AB36&lt;&gt;"",Rates2!$Y$10*(P36+U36),"")</f>
        <v>#N/A</v>
      </c>
      <c r="I36" s="24" t="e">
        <f>IF(AB36&lt;&gt;"",(Rates2!$AA$10+Rates2!$Z$10)*(P36+U36),"")</f>
        <v>#N/A</v>
      </c>
      <c r="J36" s="24" t="str">
        <f t="shared" si="2"/>
        <v/>
      </c>
      <c r="K36" s="222" t="str">
        <f>IF(AC36="","",(VLOOKUP(Info!$C$56,Rates2!$AA$13:$AB$19,2,0)/((1-(1+L36)^(-VLOOKUP(Info!$C$56,Rates2!$AA$13:$AB$19,2,0)))*((1+L36)/L36)))-1)</f>
        <v/>
      </c>
      <c r="L36" s="222" t="str">
        <f>IF(AC36="","",(((1+M36)^(1/VLOOKUP(Info!$C$69,Rates2!$AA$13:$AB$19,2,0)))-1))</f>
        <v/>
      </c>
      <c r="M36" s="223">
        <f t="shared" si="3"/>
        <v>0</v>
      </c>
      <c r="N36" s="24">
        <f t="shared" si="4"/>
        <v>0</v>
      </c>
      <c r="O36" s="24">
        <f>IF(X36&lt;&gt;"",Info!$L$75*X36,"")</f>
        <v>0</v>
      </c>
      <c r="P36" s="24" t="e">
        <f t="shared" si="6"/>
        <v>#N/A</v>
      </c>
      <c r="Q36" s="24">
        <f>U36*Rates2!$C$22</f>
        <v>0</v>
      </c>
      <c r="R36" s="24">
        <f>IF(AC36&lt;=5,Rates2!$B$24*Z36,0)</f>
        <v>0</v>
      </c>
      <c r="S36" s="24">
        <f>Rates2!$C$23*U36</f>
        <v>0</v>
      </c>
      <c r="T36" s="24" t="e">
        <f>IF(AB36&lt;71,Y36*0.0008*(1+(LOOKUP(Info!$I$67,Rates2!$O:$O,Rates2!$N:$N)/100)),0)</f>
        <v>#N/A</v>
      </c>
      <c r="U36" s="24">
        <f>IF(AC36&lt;=5,(V36+(Rates2!$B$27*'جدول نمونه2'!Z36))/(1-Rates2!$B$28),(V36+(Rates2!$B$27*'جدول نمونه2'!Z36)-(Rates2!$B$27*'جدول نمونه2'!Z36))/(1-Rates2!$B$28))</f>
        <v>0</v>
      </c>
      <c r="V36" s="24">
        <f t="shared" si="5"/>
        <v>0</v>
      </c>
      <c r="W36" s="24">
        <v>0</v>
      </c>
      <c r="X36" s="24">
        <f>IF(AB36&lt;&gt;0,(Z36*LOOKUP(AB36,Rates2!$U$2:$U$108,Rates2!$T$2:$T$108))/SQRT(1.1),0)</f>
        <v>0</v>
      </c>
      <c r="Y36" s="24">
        <f>IF(AND(AB36&gt;=0,AB36&lt;=Rates2!$W$3),Z36*(Info!$L$73),Z36)</f>
        <v>0</v>
      </c>
      <c r="Z36" s="24">
        <f>IF(AND(AB36&gt;=0,AC36&lt;&gt;""),Z35*(1+Info!$F$67),0)</f>
        <v>0</v>
      </c>
      <c r="AA36" s="24">
        <f>IF(AB36&lt;&gt;0,AA35*(1+Info!$F$65),0)</f>
        <v>0</v>
      </c>
      <c r="AB36" s="24">
        <f>IF(AC36&lt;&gt;"",IF(Info!$F$63+AC36-1&lt;=Rates2!$W$11,Info!$F$63+AC36-1,0),0)</f>
        <v>0</v>
      </c>
      <c r="AC36" s="146" t="str">
        <f>IF(AB35&lt;&gt;"",IF(AND(AC35&lt;&gt;"",AB35+1&lt;=Rates2!$W$11),IF(AC35&lt;&gt;0,IF(AC35+1&lt;=Info!$C$67,AC35+1,""),0),""),"")</f>
        <v/>
      </c>
    </row>
    <row r="37" spans="1:29" s="220" customFormat="1" ht="18.75" x14ac:dyDescent="0.45">
      <c r="A37" s="224"/>
      <c r="B37" s="25"/>
      <c r="C37" s="25"/>
      <c r="D37" s="25"/>
      <c r="E37" s="25" t="str">
        <f>IF(AC37="","",F37/VLOOKUP(Info!$C$69,Rates2!$AA$13:$AB$19,2,0))</f>
        <v/>
      </c>
      <c r="F37" s="25" t="str">
        <f t="shared" si="0"/>
        <v/>
      </c>
      <c r="G37" s="25" t="str">
        <f t="shared" si="1"/>
        <v/>
      </c>
      <c r="H37" s="25" t="e">
        <f>IF(AB37&lt;&gt;"",Rates2!$Y$10*(P37+U37),"")</f>
        <v>#N/A</v>
      </c>
      <c r="I37" s="25" t="e">
        <f>IF(AB37&lt;&gt;"",(Rates2!$AA$10+Rates2!$Z$10)*(P37+U37),"")</f>
        <v>#N/A</v>
      </c>
      <c r="J37" s="25" t="str">
        <f t="shared" si="2"/>
        <v/>
      </c>
      <c r="K37" s="225" t="str">
        <f>IF(AC37="","",(VLOOKUP(Info!$C$56,Rates2!$AA$13:$AB$19,2,0)/((1-(1+L37)^(-VLOOKUP(Info!$C$56,Rates2!$AA$13:$AB$19,2,0)))*((1+L37)/L37)))-1)</f>
        <v/>
      </c>
      <c r="L37" s="225" t="str">
        <f>IF(AC37="","",(((1+M37)^(1/VLOOKUP(Info!$C$69,Rates2!$AA$13:$AB$19,2,0)))-1))</f>
        <v/>
      </c>
      <c r="M37" s="226">
        <f t="shared" si="3"/>
        <v>0</v>
      </c>
      <c r="N37" s="25">
        <f t="shared" si="4"/>
        <v>0</v>
      </c>
      <c r="O37" s="25">
        <f>IF(X37&lt;&gt;"",Info!$L$75*X37,"")</f>
        <v>0</v>
      </c>
      <c r="P37" s="25" t="e">
        <f t="shared" si="6"/>
        <v>#N/A</v>
      </c>
      <c r="Q37" s="25">
        <f>U37*Rates2!$C$22</f>
        <v>0</v>
      </c>
      <c r="R37" s="25">
        <f>IF(AC37&lt;=5,Rates2!$B$24*Z37,0)</f>
        <v>0</v>
      </c>
      <c r="S37" s="25">
        <f>Rates2!$C$23*U37</f>
        <v>0</v>
      </c>
      <c r="T37" s="25" t="e">
        <f>IF(AB37&lt;71,Y37*0.0008*(1+(LOOKUP(Info!$I$67,Rates2!$O:$O,Rates2!$N:$N)/100)),0)</f>
        <v>#N/A</v>
      </c>
      <c r="U37" s="25">
        <f>IF(AC37&lt;=5,(V37+(Rates2!$B$27*'جدول نمونه2'!Z37))/(1-Rates2!$B$28),(V37+(Rates2!$B$27*'جدول نمونه2'!Z37)-(Rates2!$B$27*'جدول نمونه2'!Z37))/(1-Rates2!$B$28))</f>
        <v>0</v>
      </c>
      <c r="V37" s="25">
        <f t="shared" si="5"/>
        <v>0</v>
      </c>
      <c r="W37" s="25">
        <v>0</v>
      </c>
      <c r="X37" s="25">
        <f>IF(AB37&lt;&gt;0,(Z37*LOOKUP(AB37,Rates2!$U$2:$U$108,Rates2!$T$2:$T$108))/SQRT(1.1),0)</f>
        <v>0</v>
      </c>
      <c r="Y37" s="25">
        <f>IF(AND(AB37&gt;=0,AB37&lt;=Rates2!$W$3),Z37*(Info!$L$73),Z37)</f>
        <v>0</v>
      </c>
      <c r="Z37" s="25">
        <f>IF(AND(AB37&gt;=0,AC37&lt;&gt;""),Z36*(1+Info!$F$67),0)</f>
        <v>0</v>
      </c>
      <c r="AA37" s="25">
        <f>IF(AB37&lt;&gt;0,AA36*(1+Info!$F$65),0)</f>
        <v>0</v>
      </c>
      <c r="AB37" s="25">
        <f>IF(AC37&lt;&gt;"",IF(Info!$F$63+AC37-1&lt;=Rates2!$W$11,Info!$F$63+AC37-1,0),0)</f>
        <v>0</v>
      </c>
      <c r="AC37" s="145" t="str">
        <f>IF(AB36&lt;&gt;"",IF(AND(AC36&lt;&gt;"",AB36+1&lt;=Rates2!$W$11),IF(AC36&lt;&gt;0,IF(AC36+1&lt;=Info!$C$67,AC36+1,""),0),""),"")</f>
        <v/>
      </c>
    </row>
    <row r="38" spans="1:29" s="220" customFormat="1" ht="18.75" x14ac:dyDescent="0.45">
      <c r="A38" s="221"/>
      <c r="B38" s="24"/>
      <c r="C38" s="24"/>
      <c r="D38" s="24"/>
      <c r="E38" s="24" t="str">
        <f>IF(AC38="","",F38/VLOOKUP(Info!$C$69,Rates2!$AA$13:$AB$19,2,0))</f>
        <v/>
      </c>
      <c r="F38" s="24" t="str">
        <f t="shared" si="0"/>
        <v/>
      </c>
      <c r="G38" s="24" t="str">
        <f t="shared" si="1"/>
        <v/>
      </c>
      <c r="H38" s="24" t="e">
        <f>IF(AB38&lt;&gt;"",Rates2!$Y$10*(P38+U38),"")</f>
        <v>#N/A</v>
      </c>
      <c r="I38" s="24" t="e">
        <f>IF(AB38&lt;&gt;"",(Rates2!$AA$10+Rates2!$Z$10)*(P38+U38),"")</f>
        <v>#N/A</v>
      </c>
      <c r="J38" s="24" t="str">
        <f t="shared" si="2"/>
        <v/>
      </c>
      <c r="K38" s="222" t="str">
        <f>IF(AC38="","",(VLOOKUP(Info!$C$56,Rates2!$AA$13:$AB$19,2,0)/((1-(1+L38)^(-VLOOKUP(Info!$C$56,Rates2!$AA$13:$AB$19,2,0)))*((1+L38)/L38)))-1)</f>
        <v/>
      </c>
      <c r="L38" s="222" t="str">
        <f>IF(AC38="","",(((1+M38)^(1/VLOOKUP(Info!$C$69,Rates2!$AA$13:$AB$19,2,0)))-1))</f>
        <v/>
      </c>
      <c r="M38" s="223">
        <f t="shared" si="3"/>
        <v>0</v>
      </c>
      <c r="N38" s="24">
        <f t="shared" si="4"/>
        <v>0</v>
      </c>
      <c r="O38" s="24">
        <f>IF(X38&lt;&gt;"",Info!$L$75*X38,"")</f>
        <v>0</v>
      </c>
      <c r="P38" s="24" t="e">
        <f t="shared" si="6"/>
        <v>#N/A</v>
      </c>
      <c r="Q38" s="24">
        <f>U38*Rates2!$C$22</f>
        <v>0</v>
      </c>
      <c r="R38" s="24">
        <f>IF(AC38&lt;=5,Rates2!$B$24*Z38,0)</f>
        <v>0</v>
      </c>
      <c r="S38" s="24">
        <f>Rates2!$C$23*U38</f>
        <v>0</v>
      </c>
      <c r="T38" s="24" t="e">
        <f>IF(AB38&lt;71,Y38*0.0008*(1+(LOOKUP(Info!$I$67,Rates2!$O:$O,Rates2!$N:$N)/100)),0)</f>
        <v>#N/A</v>
      </c>
      <c r="U38" s="24">
        <f>IF(AC38&lt;=5,(V38+(Rates2!$B$27*'جدول نمونه2'!Z38))/(1-Rates2!$B$28),(V38+(Rates2!$B$27*'جدول نمونه2'!Z38)-(Rates2!$B$27*'جدول نمونه2'!Z38))/(1-Rates2!$B$28))</f>
        <v>0</v>
      </c>
      <c r="V38" s="24">
        <f t="shared" si="5"/>
        <v>0</v>
      </c>
      <c r="W38" s="24">
        <v>0</v>
      </c>
      <c r="X38" s="24">
        <f>IF(AB38&lt;&gt;0,(Z38*LOOKUP(AB38,Rates2!$U$2:$U$108,Rates2!$T$2:$T$108))/SQRT(1.1),0)</f>
        <v>0</v>
      </c>
      <c r="Y38" s="24">
        <f>IF(AND(AB38&gt;=0,AB38&lt;=Rates2!$W$3),Z38*(Info!$L$73),Z38)</f>
        <v>0</v>
      </c>
      <c r="Z38" s="24">
        <f>IF(AND(AB38&gt;=0,AC38&lt;&gt;""),Z37*(1+Info!$F$67),0)</f>
        <v>0</v>
      </c>
      <c r="AA38" s="24">
        <f>IF(AB38&lt;&gt;0,AA37*(1+Info!$F$65),0)</f>
        <v>0</v>
      </c>
      <c r="AB38" s="24">
        <f>IF(AC38&lt;&gt;"",IF(Info!$F$63+AC38-1&lt;=Rates2!$W$11,Info!$F$63+AC38-1,0),0)</f>
        <v>0</v>
      </c>
      <c r="AC38" s="146" t="str">
        <f>IF(AB37&lt;&gt;"",IF(AND(AC37&lt;&gt;"",AB37+1&lt;=Rates2!$W$11),IF(AC37&lt;&gt;0,IF(AC37+1&lt;=Info!$C$67,AC37+1,""),0),""),"")</f>
        <v/>
      </c>
    </row>
    <row r="39" spans="1:29" s="220" customFormat="1" ht="18.75" x14ac:dyDescent="0.45">
      <c r="A39" s="224"/>
      <c r="B39" s="25"/>
      <c r="C39" s="25"/>
      <c r="D39" s="25"/>
      <c r="E39" s="25" t="str">
        <f>IF(AC39="","",F39/VLOOKUP(Info!$C$69,Rates2!$AA$13:$AB$19,2,0))</f>
        <v/>
      </c>
      <c r="F39" s="25" t="str">
        <f t="shared" si="0"/>
        <v/>
      </c>
      <c r="G39" s="25" t="str">
        <f t="shared" si="1"/>
        <v/>
      </c>
      <c r="H39" s="25" t="e">
        <f>IF(AB39&lt;&gt;"",Rates2!$Y$10*(P39+U39),"")</f>
        <v>#N/A</v>
      </c>
      <c r="I39" s="25" t="e">
        <f>IF(AB39&lt;&gt;"",(Rates2!$AA$10+Rates2!$Z$10)*(P39+U39),"")</f>
        <v>#N/A</v>
      </c>
      <c r="J39" s="25" t="str">
        <f t="shared" si="2"/>
        <v/>
      </c>
      <c r="K39" s="225" t="str">
        <f>IF(AC39="","",(VLOOKUP(Info!$C$56,Rates2!$AA$13:$AB$19,2,0)/((1-(1+L39)^(-VLOOKUP(Info!$C$56,Rates2!$AA$13:$AB$19,2,0)))*((1+L39)/L39)))-1)</f>
        <v/>
      </c>
      <c r="L39" s="225" t="str">
        <f>IF(AC39="","",(((1+M39)^(1/VLOOKUP(Info!$C$69,Rates2!$AA$13:$AB$19,2,0)))-1))</f>
        <v/>
      </c>
      <c r="M39" s="226">
        <f t="shared" si="3"/>
        <v>0</v>
      </c>
      <c r="N39" s="25">
        <f t="shared" si="4"/>
        <v>0</v>
      </c>
      <c r="O39" s="25">
        <f>IF(X39&lt;&gt;"",Info!$L$75*X39,"")</f>
        <v>0</v>
      </c>
      <c r="P39" s="25" t="e">
        <f t="shared" si="6"/>
        <v>#N/A</v>
      </c>
      <c r="Q39" s="25">
        <f>U39*Rates2!$C$22</f>
        <v>0</v>
      </c>
      <c r="R39" s="25">
        <f>IF(AC39&lt;=5,Rates2!$B$24*Z39,0)</f>
        <v>0</v>
      </c>
      <c r="S39" s="25">
        <f>Rates2!$C$23*U39</f>
        <v>0</v>
      </c>
      <c r="T39" s="25" t="e">
        <f>IF(AB39&lt;71,Y39*0.0008*(1+(LOOKUP(Info!$I$67,Rates2!$O:$O,Rates2!$N:$N)/100)),0)</f>
        <v>#N/A</v>
      </c>
      <c r="U39" s="25">
        <f>IF(AC39&lt;=5,(V39+(Rates2!$B$27*'جدول نمونه2'!Z39))/(1-Rates2!$B$28),(V39+(Rates2!$B$27*'جدول نمونه2'!Z39)-(Rates2!$B$27*'جدول نمونه2'!Z39))/(1-Rates2!$B$28))</f>
        <v>0</v>
      </c>
      <c r="V39" s="25">
        <f t="shared" si="5"/>
        <v>0</v>
      </c>
      <c r="W39" s="25">
        <v>0</v>
      </c>
      <c r="X39" s="25">
        <f>IF(AB39&lt;&gt;0,(Z39*LOOKUP(AB39,Rates2!$U$2:$U$108,Rates2!$T$2:$T$108))/SQRT(1.1),0)</f>
        <v>0</v>
      </c>
      <c r="Y39" s="25">
        <f>IF(AND(AB39&gt;=0,AB39&lt;=Rates2!$W$3),Z39*(Info!$L$73),Z39)</f>
        <v>0</v>
      </c>
      <c r="Z39" s="25">
        <f>IF(AND(AB39&gt;=0,AC39&lt;&gt;""),Z38*(1+Info!$F$67),0)</f>
        <v>0</v>
      </c>
      <c r="AA39" s="25">
        <f>IF(AB39&lt;&gt;0,AA38*(1+Info!$F$65),0)</f>
        <v>0</v>
      </c>
      <c r="AB39" s="25">
        <f>IF(AC39&lt;&gt;"",IF(Info!$F$63+AC39-1&lt;=Rates2!$W$11,Info!$F$63+AC39-1,0),0)</f>
        <v>0</v>
      </c>
      <c r="AC39" s="145" t="str">
        <f>IF(AB38&lt;&gt;"",IF(AND(AC38&lt;&gt;"",AB38+1&lt;=Rates2!$W$11),IF(AC38&lt;&gt;0,IF(AC38+1&lt;=Info!$C$67,AC38+1,""),0),""),"")</f>
        <v/>
      </c>
    </row>
    <row r="40" spans="1:29" s="220" customFormat="1" ht="18.75" x14ac:dyDescent="0.45">
      <c r="A40" s="221"/>
      <c r="B40" s="24"/>
      <c r="C40" s="24"/>
      <c r="D40" s="24"/>
      <c r="E40" s="24" t="str">
        <f>IF(AC40="","",F40/VLOOKUP(Info!$C$69,Rates2!$AA$13:$AB$19,2,0))</f>
        <v/>
      </c>
      <c r="F40" s="24" t="str">
        <f t="shared" si="0"/>
        <v/>
      </c>
      <c r="G40" s="24" t="str">
        <f t="shared" si="1"/>
        <v/>
      </c>
      <c r="H40" s="24" t="e">
        <f>IF(AB40&lt;&gt;"",Rates2!$Y$10*(P40+U40),"")</f>
        <v>#N/A</v>
      </c>
      <c r="I40" s="24" t="e">
        <f>IF(AB40&lt;&gt;"",(Rates2!$AA$10+Rates2!$Z$10)*(P40+U40),"")</f>
        <v>#N/A</v>
      </c>
      <c r="J40" s="24" t="str">
        <f t="shared" si="2"/>
        <v/>
      </c>
      <c r="K40" s="222" t="str">
        <f>IF(AC40="","",(VLOOKUP(Info!$C$56,Rates2!$AA$13:$AB$19,2,0)/((1-(1+L40)^(-VLOOKUP(Info!$C$56,Rates2!$AA$13:$AB$19,2,0)))*((1+L40)/L40)))-1)</f>
        <v/>
      </c>
      <c r="L40" s="222" t="str">
        <f>IF(AC40="","",(((1+M40)^(1/VLOOKUP(Info!$C$69,Rates2!$AA$13:$AB$19,2,0)))-1))</f>
        <v/>
      </c>
      <c r="M40" s="223">
        <f t="shared" si="3"/>
        <v>0</v>
      </c>
      <c r="N40" s="24">
        <f t="shared" si="4"/>
        <v>0</v>
      </c>
      <c r="O40" s="24">
        <f>IF(X40&lt;&gt;"",Info!$L$75*X40,"")</f>
        <v>0</v>
      </c>
      <c r="P40" s="24" t="e">
        <f t="shared" si="6"/>
        <v>#N/A</v>
      </c>
      <c r="Q40" s="24">
        <f>U40*Rates2!$C$22</f>
        <v>0</v>
      </c>
      <c r="R40" s="24">
        <f>IF(AC40&lt;=5,Rates2!$B$24*Z40,0)</f>
        <v>0</v>
      </c>
      <c r="S40" s="24">
        <f>Rates2!$C$23*U40</f>
        <v>0</v>
      </c>
      <c r="T40" s="24" t="e">
        <f>IF(AB40&lt;71,Y40*0.0008*(1+(LOOKUP(Info!$I$67,Rates2!$O:$O,Rates2!$N:$N)/100)),0)</f>
        <v>#N/A</v>
      </c>
      <c r="U40" s="24">
        <f>IF(AC40&lt;=5,(V40+(Rates2!$B$27*'جدول نمونه2'!Z40))/(1-Rates2!$B$28),(V40+(Rates2!$B$27*'جدول نمونه2'!Z40)-(Rates2!$B$27*'جدول نمونه2'!Z40))/(1-Rates2!$B$28))</f>
        <v>0</v>
      </c>
      <c r="V40" s="24">
        <f t="shared" si="5"/>
        <v>0</v>
      </c>
      <c r="W40" s="24">
        <v>0</v>
      </c>
      <c r="X40" s="24">
        <f>IF(AB40&lt;&gt;0,(Z40*LOOKUP(AB40,Rates2!$U$2:$U$108,Rates2!$T$2:$T$108))/SQRT(1.1),0)</f>
        <v>0</v>
      </c>
      <c r="Y40" s="24">
        <f>IF(AND(AB40&gt;=0,AB40&lt;=Rates2!$W$3),Z40*(Info!$L$73),Z40)</f>
        <v>0</v>
      </c>
      <c r="Z40" s="24">
        <f>IF(AND(AB40&gt;=0,AC40&lt;&gt;""),Z39*(1+Info!$F$67),0)</f>
        <v>0</v>
      </c>
      <c r="AA40" s="24">
        <f>IF(AB40&lt;&gt;0,AA39*(1+Info!$F$65),0)</f>
        <v>0</v>
      </c>
      <c r="AB40" s="24">
        <f>IF(AC40&lt;&gt;"",IF(Info!$F$63+AC40-1&lt;=Rates2!$W$11,Info!$F$63+AC40-1,0),0)</f>
        <v>0</v>
      </c>
      <c r="AC40" s="146" t="str">
        <f>IF(AB39&lt;&gt;"",IF(AND(AC39&lt;&gt;"",AB39+1&lt;=Rates2!$W$11),IF(AC39&lt;&gt;0,IF(AC39+1&lt;=Info!$C$67,AC39+1,""),0),""),"")</f>
        <v/>
      </c>
    </row>
    <row r="41" spans="1:29" s="220" customFormat="1" ht="18.75" x14ac:dyDescent="0.45">
      <c r="A41" s="224"/>
      <c r="B41" s="25"/>
      <c r="C41" s="25"/>
      <c r="D41" s="25"/>
      <c r="E41" s="25" t="str">
        <f>IF(AC41="","",F41/VLOOKUP(Info!$C$69,Rates2!$AA$13:$AB$19,2,0))</f>
        <v/>
      </c>
      <c r="F41" s="25" t="str">
        <f t="shared" si="0"/>
        <v/>
      </c>
      <c r="G41" s="25" t="str">
        <f t="shared" si="1"/>
        <v/>
      </c>
      <c r="H41" s="25" t="e">
        <f>IF(AB41&lt;&gt;"",Rates2!$Y$10*(P41+U41),"")</f>
        <v>#N/A</v>
      </c>
      <c r="I41" s="25" t="e">
        <f>IF(AB41&lt;&gt;"",(Rates2!$AA$10+Rates2!$Z$10)*(P41+U41),"")</f>
        <v>#N/A</v>
      </c>
      <c r="J41" s="25" t="str">
        <f t="shared" si="2"/>
        <v/>
      </c>
      <c r="K41" s="225" t="str">
        <f>IF(AC41="","",(VLOOKUP(Info!$C$56,Rates2!$AA$13:$AB$19,2,0)/((1-(1+L41)^(-VLOOKUP(Info!$C$56,Rates2!$AA$13:$AB$19,2,0)))*((1+L41)/L41)))-1)</f>
        <v/>
      </c>
      <c r="L41" s="225" t="str">
        <f>IF(AC41="","",(((1+M41)^(1/VLOOKUP(Info!$C$69,Rates2!$AA$13:$AB$19,2,0)))-1))</f>
        <v/>
      </c>
      <c r="M41" s="226">
        <f t="shared" si="3"/>
        <v>0</v>
      </c>
      <c r="N41" s="25">
        <f t="shared" si="4"/>
        <v>0</v>
      </c>
      <c r="O41" s="25">
        <f>IF(X41&lt;&gt;"",Info!$L$75*X41,"")</f>
        <v>0</v>
      </c>
      <c r="P41" s="25" t="e">
        <f t="shared" si="6"/>
        <v>#N/A</v>
      </c>
      <c r="Q41" s="25">
        <f>U41*Rates2!$C$22</f>
        <v>0</v>
      </c>
      <c r="R41" s="25">
        <f>IF(AC41&lt;=5,Rates2!$B$24*Z41,0)</f>
        <v>0</v>
      </c>
      <c r="S41" s="25">
        <f>Rates2!$C$23*U41</f>
        <v>0</v>
      </c>
      <c r="T41" s="25" t="e">
        <f>IF(AB41&lt;71,Y41*0.0008*(1+(LOOKUP(Info!$I$67,Rates2!$O:$O,Rates2!$N:$N)/100)),0)</f>
        <v>#N/A</v>
      </c>
      <c r="U41" s="25">
        <f>IF(AC41&lt;=5,(V41+(Rates2!$B$27*'جدول نمونه2'!Z41))/(1-Rates2!$B$28),(V41+(Rates2!$B$27*'جدول نمونه2'!Z41)-(Rates2!$B$27*'جدول نمونه2'!Z41))/(1-Rates2!$B$28))</f>
        <v>0</v>
      </c>
      <c r="V41" s="25">
        <f t="shared" si="5"/>
        <v>0</v>
      </c>
      <c r="W41" s="25">
        <v>0</v>
      </c>
      <c r="X41" s="25">
        <f>IF(AB41&lt;&gt;0,(Z41*LOOKUP(AB41,Rates2!$U$2:$U$108,Rates2!$T$2:$T$108))/SQRT(1.1),0)</f>
        <v>0</v>
      </c>
      <c r="Y41" s="25">
        <f>IF(AND(AB41&gt;=0,AB41&lt;=Rates2!$W$3),Z41*(Info!$L$73),Z41)</f>
        <v>0</v>
      </c>
      <c r="Z41" s="25">
        <f>IF(AND(AB41&gt;=0,AC41&lt;&gt;""),Z40*(1+Info!$F$67),0)</f>
        <v>0</v>
      </c>
      <c r="AA41" s="25">
        <f>IF(AB41&lt;&gt;0,AA40*(1+Info!$F$65),0)</f>
        <v>0</v>
      </c>
      <c r="AB41" s="25">
        <f>IF(AC41&lt;&gt;"",IF(Info!$F$63+AC41-1&lt;=Rates2!$W$11,Info!$F$63+AC41-1,0),0)</f>
        <v>0</v>
      </c>
      <c r="AC41" s="145" t="str">
        <f>IF(AB40&lt;&gt;"",IF(AND(AC40&lt;&gt;"",AB40+1&lt;=Rates2!$W$11),IF(AC40&lt;&gt;0,IF(AC40+1&lt;=Info!$C$67,AC40+1,""),0),""),"")</f>
        <v/>
      </c>
    </row>
    <row r="42" spans="1:29" s="220" customFormat="1" ht="18.75" x14ac:dyDescent="0.45">
      <c r="A42" s="221"/>
      <c r="B42" s="24"/>
      <c r="C42" s="24"/>
      <c r="D42" s="24"/>
      <c r="E42" s="24" t="str">
        <f>IF(AC42="","",F42/VLOOKUP(Info!$C$69,Rates2!$AA$13:$AB$19,2,0))</f>
        <v/>
      </c>
      <c r="F42" s="24" t="str">
        <f t="shared" si="0"/>
        <v/>
      </c>
      <c r="G42" s="24" t="str">
        <f t="shared" si="1"/>
        <v/>
      </c>
      <c r="H42" s="24" t="e">
        <f>IF(AB42&lt;&gt;"",Rates2!$Y$10*(P42+U42),"")</f>
        <v>#N/A</v>
      </c>
      <c r="I42" s="24" t="e">
        <f>IF(AB42&lt;&gt;"",(Rates2!$AA$10+Rates2!$Z$10)*(P42+U42),"")</f>
        <v>#N/A</v>
      </c>
      <c r="J42" s="24" t="str">
        <f t="shared" si="2"/>
        <v/>
      </c>
      <c r="K42" s="222" t="str">
        <f>IF(AC42="","",(VLOOKUP(Info!$C$56,Rates2!$AA$13:$AB$19,2,0)/((1-(1+L42)^(-VLOOKUP(Info!$C$56,Rates2!$AA$13:$AB$19,2,0)))*((1+L42)/L42)))-1)</f>
        <v/>
      </c>
      <c r="L42" s="222" t="str">
        <f>IF(AC42="","",(((1+M42)^(1/VLOOKUP(Info!$C$69,Rates2!$AA$13:$AB$19,2,0)))-1))</f>
        <v/>
      </c>
      <c r="M42" s="223">
        <f t="shared" si="3"/>
        <v>0</v>
      </c>
      <c r="N42" s="24">
        <f t="shared" si="4"/>
        <v>0</v>
      </c>
      <c r="O42" s="24">
        <f>IF(X42&lt;&gt;"",Info!$L$75*X42,"")</f>
        <v>0</v>
      </c>
      <c r="P42" s="24" t="e">
        <f t="shared" si="6"/>
        <v>#N/A</v>
      </c>
      <c r="Q42" s="24">
        <f>U42*Rates2!$C$22</f>
        <v>0</v>
      </c>
      <c r="R42" s="24">
        <f>IF(AC42&lt;=5,Rates2!$B$24*Z42,0)</f>
        <v>0</v>
      </c>
      <c r="S42" s="24">
        <f>Rates2!$C$23*U42</f>
        <v>0</v>
      </c>
      <c r="T42" s="24" t="e">
        <f>IF(AB42&lt;71,Y42*0.0008*(1+(LOOKUP(Info!$I$67,Rates2!$O:$O,Rates2!$N:$N)/100)),0)</f>
        <v>#N/A</v>
      </c>
      <c r="U42" s="24">
        <f>IF(AC42&lt;=5,(V42+(Rates2!$B$27*'جدول نمونه2'!Z42))/(1-Rates2!$B$28),(V42+(Rates2!$B$27*'جدول نمونه2'!Z42)-(Rates2!$B$27*'جدول نمونه2'!Z42))/(1-Rates2!$B$28))</f>
        <v>0</v>
      </c>
      <c r="V42" s="24">
        <f t="shared" si="5"/>
        <v>0</v>
      </c>
      <c r="W42" s="24">
        <v>0</v>
      </c>
      <c r="X42" s="24">
        <f>IF(AB42&lt;&gt;0,(Z42*LOOKUP(AB42,Rates2!$U$2:$U$108,Rates2!$T$2:$T$108))/SQRT(1.1),0)</f>
        <v>0</v>
      </c>
      <c r="Y42" s="24">
        <f>IF(AND(AB42&gt;=0,AB42&lt;=Rates2!$W$3),Z42*(Info!$L$73),Z42)</f>
        <v>0</v>
      </c>
      <c r="Z42" s="24">
        <f>IF(AND(AB42&gt;=0,AC42&lt;&gt;""),Z41*(1+Info!$F$67),0)</f>
        <v>0</v>
      </c>
      <c r="AA42" s="24">
        <f>IF(AB42&lt;&gt;0,AA41*(1+Info!$F$65),0)</f>
        <v>0</v>
      </c>
      <c r="AB42" s="24">
        <f>IF(AC42&lt;&gt;"",IF(Info!$F$63+AC42-1&lt;=Rates2!$W$11,Info!$F$63+AC42-1,0),0)</f>
        <v>0</v>
      </c>
      <c r="AC42" s="146" t="str">
        <f>IF(AB41&lt;&gt;"",IF(AND(AC41&lt;&gt;"",AB41+1&lt;=Rates2!$W$11),IF(AC41&lt;&gt;0,IF(AC41+1&lt;=Info!$C$67,AC41+1,""),0),""),"")</f>
        <v/>
      </c>
    </row>
    <row r="43" spans="1:29" s="220" customFormat="1" ht="18.75" x14ac:dyDescent="0.45">
      <c r="A43" s="224"/>
      <c r="B43" s="25"/>
      <c r="C43" s="25"/>
      <c r="D43" s="25"/>
      <c r="E43" s="25" t="str">
        <f>IF(AC43="","",F43/VLOOKUP(Info!$C$69,Rates2!$AA$13:$AB$19,2,0))</f>
        <v/>
      </c>
      <c r="F43" s="25" t="str">
        <f t="shared" si="0"/>
        <v/>
      </c>
      <c r="G43" s="25" t="str">
        <f t="shared" si="1"/>
        <v/>
      </c>
      <c r="H43" s="25" t="e">
        <f>IF(AB43&lt;&gt;"",Rates2!$Y$10*(P43+U43),"")</f>
        <v>#N/A</v>
      </c>
      <c r="I43" s="25" t="e">
        <f>IF(AB43&lt;&gt;"",(Rates2!$AA$10+Rates2!$Z$10)*(P43+U43),"")</f>
        <v>#N/A</v>
      </c>
      <c r="J43" s="25" t="str">
        <f t="shared" si="2"/>
        <v/>
      </c>
      <c r="K43" s="225" t="str">
        <f>IF(AC43="","",(VLOOKUP(Info!$C$56,Rates2!$AA$13:$AB$19,2,0)/((1-(1+L43)^(-VLOOKUP(Info!$C$56,Rates2!$AA$13:$AB$19,2,0)))*((1+L43)/L43)))-1)</f>
        <v/>
      </c>
      <c r="L43" s="225" t="str">
        <f>IF(AC43="","",(((1+M43)^(1/VLOOKUP(Info!$C$69,Rates2!$AA$13:$AB$19,2,0)))-1))</f>
        <v/>
      </c>
      <c r="M43" s="226">
        <f t="shared" si="3"/>
        <v>0</v>
      </c>
      <c r="N43" s="25">
        <f t="shared" si="4"/>
        <v>0</v>
      </c>
      <c r="O43" s="25">
        <f>IF(X43&lt;&gt;"",Info!$L$75*X43,"")</f>
        <v>0</v>
      </c>
      <c r="P43" s="25" t="e">
        <f t="shared" si="6"/>
        <v>#N/A</v>
      </c>
      <c r="Q43" s="25">
        <f>U43*Rates2!$C$22</f>
        <v>0</v>
      </c>
      <c r="R43" s="25">
        <f>IF(AC43&lt;=5,Rates2!$B$24*Z43,0)</f>
        <v>0</v>
      </c>
      <c r="S43" s="25">
        <f>Rates2!$C$23*U43</f>
        <v>0</v>
      </c>
      <c r="T43" s="25" t="e">
        <f>IF(AB43&lt;71,Y43*0.0008*(1+(LOOKUP(Info!$I$67,Rates2!$O:$O,Rates2!$N:$N)/100)),0)</f>
        <v>#N/A</v>
      </c>
      <c r="U43" s="25">
        <f>IF(AC43&lt;=5,(V43+(Rates2!$B$27*'جدول نمونه2'!Z43))/(1-Rates2!$B$28),(V43+(Rates2!$B$27*'جدول نمونه2'!Z43)-(Rates2!$B$27*'جدول نمونه2'!Z43))/(1-Rates2!$B$28))</f>
        <v>0</v>
      </c>
      <c r="V43" s="25">
        <f t="shared" si="5"/>
        <v>0</v>
      </c>
      <c r="W43" s="25">
        <v>0</v>
      </c>
      <c r="X43" s="25">
        <f>IF(AB43&lt;&gt;0,(Z43*LOOKUP(AB43,Rates2!$U$2:$U$108,Rates2!$T$2:$T$108))/SQRT(1.1),0)</f>
        <v>0</v>
      </c>
      <c r="Y43" s="25">
        <f>IF(AND(AB43&gt;=0,AB43&lt;=Rates2!$W$3),Z43*(Info!$L$73),Z43)</f>
        <v>0</v>
      </c>
      <c r="Z43" s="25">
        <f>IF(AND(AB43&gt;=0,AC43&lt;&gt;""),Z42*(1+Info!$F$67),0)</f>
        <v>0</v>
      </c>
      <c r="AA43" s="25">
        <f>IF(AB43&lt;&gt;0,AA42*(1+Info!$F$65),0)</f>
        <v>0</v>
      </c>
      <c r="AB43" s="25">
        <f>IF(AC43&lt;&gt;"",IF(Info!$F$63+AC43-1&lt;=Rates2!$W$11,Info!$F$63+AC43-1,0),0)</f>
        <v>0</v>
      </c>
      <c r="AC43" s="145" t="str">
        <f>IF(AB42&lt;&gt;"",IF(AND(AC42&lt;&gt;"",AB42+1&lt;=Rates2!$W$11),IF(AC42&lt;&gt;0,IF(AC42+1&lt;=Info!$C$67,AC42+1,""),0),""),"")</f>
        <v/>
      </c>
    </row>
    <row r="44" spans="1:29" s="220" customFormat="1" ht="18.75" x14ac:dyDescent="0.45">
      <c r="A44" s="221"/>
      <c r="B44" s="24"/>
      <c r="C44" s="24"/>
      <c r="D44" s="24"/>
      <c r="E44" s="24" t="str">
        <f>IF(AC44="","",F44/VLOOKUP(Info!$C$69,Rates2!$AA$13:$AB$19,2,0))</f>
        <v/>
      </c>
      <c r="F44" s="24" t="str">
        <f t="shared" si="0"/>
        <v/>
      </c>
      <c r="G44" s="24" t="str">
        <f t="shared" si="1"/>
        <v/>
      </c>
      <c r="H44" s="24" t="e">
        <f>IF(AB44&lt;&gt;"",Rates2!$Y$10*(P44+U44),"")</f>
        <v>#N/A</v>
      </c>
      <c r="I44" s="24" t="e">
        <f>IF(AB44&lt;&gt;"",(Rates2!$AA$10+Rates2!$Z$10)*(P44+U44),"")</f>
        <v>#N/A</v>
      </c>
      <c r="J44" s="24" t="str">
        <f t="shared" si="2"/>
        <v/>
      </c>
      <c r="K44" s="222" t="str">
        <f>IF(AC44="","",(VLOOKUP(Info!$C$56,Rates2!$AA$13:$AB$19,2,0)/((1-(1+L44)^(-VLOOKUP(Info!$C$56,Rates2!$AA$13:$AB$19,2,0)))*((1+L44)/L44)))-1)</f>
        <v/>
      </c>
      <c r="L44" s="222" t="str">
        <f>IF(AC44="","",(((1+M44)^(1/VLOOKUP(Info!$C$69,Rates2!$AA$13:$AB$19,2,0)))-1))</f>
        <v/>
      </c>
      <c r="M44" s="223">
        <f t="shared" si="3"/>
        <v>0</v>
      </c>
      <c r="N44" s="24">
        <f t="shared" si="4"/>
        <v>0</v>
      </c>
      <c r="O44" s="24">
        <f>IF(X44&lt;&gt;"",Info!$L$75*X44,"")</f>
        <v>0</v>
      </c>
      <c r="P44" s="24" t="e">
        <f t="shared" si="6"/>
        <v>#N/A</v>
      </c>
      <c r="Q44" s="24">
        <f>U44*Rates2!$C$22</f>
        <v>0</v>
      </c>
      <c r="R44" s="24">
        <f>IF(AC44&lt;=5,Rates2!$B$24*Z44,0)</f>
        <v>0</v>
      </c>
      <c r="S44" s="24">
        <f>Rates2!$C$23*U44</f>
        <v>0</v>
      </c>
      <c r="T44" s="24" t="e">
        <f>IF(AB44&lt;71,Y44*0.0008*(1+(LOOKUP(Info!$I$67,Rates2!$O:$O,Rates2!$N:$N)/100)),0)</f>
        <v>#N/A</v>
      </c>
      <c r="U44" s="24">
        <f>IF(AC44&lt;=5,(V44+(Rates2!$B$27*'جدول نمونه2'!Z44))/(1-Rates2!$B$28),(V44+(Rates2!$B$27*'جدول نمونه2'!Z44)-(Rates2!$B$27*'جدول نمونه2'!Z44))/(1-Rates2!$B$28))</f>
        <v>0</v>
      </c>
      <c r="V44" s="24">
        <f t="shared" si="5"/>
        <v>0</v>
      </c>
      <c r="W44" s="24">
        <v>0</v>
      </c>
      <c r="X44" s="24">
        <f>IF(AB44&lt;&gt;0,(Z44*LOOKUP(AB44,Rates2!$U$2:$U$108,Rates2!$T$2:$T$108))/SQRT(1.1),0)</f>
        <v>0</v>
      </c>
      <c r="Y44" s="24">
        <f>IF(AND(AB44&gt;=0,AB44&lt;=Rates2!$W$3),Z44*(Info!$L$73),Z44)</f>
        <v>0</v>
      </c>
      <c r="Z44" s="24">
        <f>IF(AND(AB44&gt;=0,AC44&lt;&gt;""),Z43*(1+Info!$F$67),0)</f>
        <v>0</v>
      </c>
      <c r="AA44" s="24">
        <f>IF(AB44&lt;&gt;0,AA43*(1+Info!$F$65),0)</f>
        <v>0</v>
      </c>
      <c r="AB44" s="24">
        <f>IF(AC44&lt;&gt;"",IF(Info!$F$63+AC44-1&lt;=Rates2!$W$11,Info!$F$63+AC44-1,0),0)</f>
        <v>0</v>
      </c>
      <c r="AC44" s="146" t="str">
        <f>IF(AB43&lt;&gt;"",IF(AND(AC43&lt;&gt;"",AB43+1&lt;=Rates2!$W$11),IF(AC43&lt;&gt;0,IF(AC43+1&lt;=Info!$C$67,AC43+1,""),0),""),"")</f>
        <v/>
      </c>
    </row>
    <row r="45" spans="1:29" s="220" customFormat="1" ht="18.75" x14ac:dyDescent="0.45">
      <c r="A45" s="224"/>
      <c r="B45" s="25"/>
      <c r="C45" s="25"/>
      <c r="D45" s="25"/>
      <c r="E45" s="25" t="str">
        <f>IF(AC45="","",F45/VLOOKUP(Info!$C$69,Rates2!$AA$13:$AB$19,2,0))</f>
        <v/>
      </c>
      <c r="F45" s="25" t="str">
        <f t="shared" si="0"/>
        <v/>
      </c>
      <c r="G45" s="25" t="str">
        <f t="shared" si="1"/>
        <v/>
      </c>
      <c r="H45" s="25" t="e">
        <f>IF(AB45&lt;&gt;"",Rates2!$Y$10*(P45+U45),"")</f>
        <v>#N/A</v>
      </c>
      <c r="I45" s="25" t="e">
        <f>IF(AB45&lt;&gt;"",(Rates2!$AA$10+Rates2!$Z$10)*(P45+U45),"")</f>
        <v>#N/A</v>
      </c>
      <c r="J45" s="25" t="str">
        <f t="shared" si="2"/>
        <v/>
      </c>
      <c r="K45" s="225" t="str">
        <f>IF(AC45="","",(VLOOKUP(Info!$C$56,Rates2!$AA$13:$AB$19,2,0)/((1-(1+L45)^(-VLOOKUP(Info!$C$56,Rates2!$AA$13:$AB$19,2,0)))*((1+L45)/L45)))-1)</f>
        <v/>
      </c>
      <c r="L45" s="225" t="str">
        <f>IF(AC45="","",(((1+M45)^(1/VLOOKUP(Info!$C$69,Rates2!$AA$13:$AB$19,2,0)))-1))</f>
        <v/>
      </c>
      <c r="M45" s="226">
        <f t="shared" si="3"/>
        <v>0</v>
      </c>
      <c r="N45" s="25">
        <f t="shared" si="4"/>
        <v>0</v>
      </c>
      <c r="O45" s="25">
        <f>IF(X45&lt;&gt;"",Info!$L$75*X45,"")</f>
        <v>0</v>
      </c>
      <c r="P45" s="25" t="e">
        <f t="shared" si="6"/>
        <v>#N/A</v>
      </c>
      <c r="Q45" s="25">
        <f>U45*Rates2!$C$22</f>
        <v>0</v>
      </c>
      <c r="R45" s="25">
        <f>IF(AC45&lt;=5,Rates2!$B$24*Z45,0)</f>
        <v>0</v>
      </c>
      <c r="S45" s="25">
        <f>Rates2!$C$23*U45</f>
        <v>0</v>
      </c>
      <c r="T45" s="25" t="e">
        <f>IF(AB45&lt;71,Y45*0.0008*(1+(LOOKUP(Info!$I$67,Rates2!$O:$O,Rates2!$N:$N)/100)),0)</f>
        <v>#N/A</v>
      </c>
      <c r="U45" s="25">
        <f>IF(AC45&lt;=5,(V45+(Rates2!$B$27*'جدول نمونه2'!Z45))/(1-Rates2!$B$28),(V45+(Rates2!$B$27*'جدول نمونه2'!Z45)-(Rates2!$B$27*'جدول نمونه2'!Z45))/(1-Rates2!$B$28))</f>
        <v>0</v>
      </c>
      <c r="V45" s="25">
        <f t="shared" si="5"/>
        <v>0</v>
      </c>
      <c r="W45" s="25">
        <v>0</v>
      </c>
      <c r="X45" s="25">
        <f>IF(AB45&lt;&gt;0,(Z45*LOOKUP(AB45,Rates2!$U$2:$U$108,Rates2!$T$2:$T$108))/SQRT(1.1),0)</f>
        <v>0</v>
      </c>
      <c r="Y45" s="25">
        <f>IF(AND(AB45&gt;=0,AB45&lt;=Rates2!$W$3),Z45*(Info!$L$73),Z45)</f>
        <v>0</v>
      </c>
      <c r="Z45" s="25">
        <f>IF(AND(AB45&gt;=0,AC45&lt;&gt;""),Z44*(1+Info!$F$67),0)</f>
        <v>0</v>
      </c>
      <c r="AA45" s="25">
        <f>IF(AB45&lt;&gt;0,AA44*(1+Info!$F$65),0)</f>
        <v>0</v>
      </c>
      <c r="AB45" s="25">
        <f>IF(AC45&lt;&gt;"",IF(Info!$F$63+AC45-1&lt;=Rates2!$W$11,Info!$F$63+AC45-1,0),0)</f>
        <v>0</v>
      </c>
      <c r="AC45" s="145" t="str">
        <f>IF(AB44&lt;&gt;"",IF(AND(AC44&lt;&gt;"",AB44+1&lt;=Rates2!$W$11),IF(AC44&lt;&gt;0,IF(AC44+1&lt;=Info!$C$67,AC44+1,""),0),""),"")</f>
        <v/>
      </c>
    </row>
    <row r="46" spans="1:29" s="220" customFormat="1" ht="18.75" x14ac:dyDescent="0.45">
      <c r="A46" s="221"/>
      <c r="B46" s="24"/>
      <c r="C46" s="24"/>
      <c r="D46" s="24"/>
      <c r="E46" s="24" t="str">
        <f>IF(AC46="","",F46/VLOOKUP(Info!$C$69,Rates2!$AA$13:$AB$19,2,0))</f>
        <v/>
      </c>
      <c r="F46" s="24" t="str">
        <f t="shared" si="0"/>
        <v/>
      </c>
      <c r="G46" s="24" t="str">
        <f t="shared" si="1"/>
        <v/>
      </c>
      <c r="H46" s="24" t="e">
        <f>IF(AB46&lt;&gt;"",Rates2!$Y$10*(P46+U46),"")</f>
        <v>#N/A</v>
      </c>
      <c r="I46" s="24" t="e">
        <f>IF(AB46&lt;&gt;"",(Rates2!$AA$10+Rates2!$Z$10)*(P46+U46),"")</f>
        <v>#N/A</v>
      </c>
      <c r="J46" s="24" t="str">
        <f t="shared" si="2"/>
        <v/>
      </c>
      <c r="K46" s="222" t="str">
        <f>IF(AC46="","",(VLOOKUP(Info!$C$56,Rates2!$AA$13:$AB$19,2,0)/((1-(1+L46)^(-VLOOKUP(Info!$C$56,Rates2!$AA$13:$AB$19,2,0)))*((1+L46)/L46)))-1)</f>
        <v/>
      </c>
      <c r="L46" s="222" t="str">
        <f>IF(AC46="","",(((1+M46)^(1/VLOOKUP(Info!$C$69,Rates2!$AA$13:$AB$19,2,0)))-1))</f>
        <v/>
      </c>
      <c r="M46" s="223">
        <f t="shared" si="3"/>
        <v>0</v>
      </c>
      <c r="N46" s="24">
        <f t="shared" si="4"/>
        <v>0</v>
      </c>
      <c r="O46" s="24">
        <f>IF(X46&lt;&gt;"",Info!$L$75*X46,"")</f>
        <v>0</v>
      </c>
      <c r="P46" s="24" t="e">
        <f t="shared" si="6"/>
        <v>#N/A</v>
      </c>
      <c r="Q46" s="24">
        <f>U46*Rates2!$C$22</f>
        <v>0</v>
      </c>
      <c r="R46" s="24">
        <f>IF(AC46&lt;=5,Rates2!$B$24*Z46,0)</f>
        <v>0</v>
      </c>
      <c r="S46" s="24">
        <f>Rates2!$C$23*U46</f>
        <v>0</v>
      </c>
      <c r="T46" s="24" t="e">
        <f>IF(AB46&lt;71,Y46*0.0008*(1+(LOOKUP(Info!$I$67,Rates2!$O:$O,Rates2!$N:$N)/100)),0)</f>
        <v>#N/A</v>
      </c>
      <c r="U46" s="24">
        <f>IF(AC46&lt;=5,(V46+(Rates2!$B$27*'جدول نمونه2'!Z46))/(1-Rates2!$B$28),(V46+(Rates2!$B$27*'جدول نمونه2'!Z46)-(Rates2!$B$27*'جدول نمونه2'!Z46))/(1-Rates2!$B$28))</f>
        <v>0</v>
      </c>
      <c r="V46" s="24">
        <f t="shared" si="5"/>
        <v>0</v>
      </c>
      <c r="W46" s="24">
        <v>0</v>
      </c>
      <c r="X46" s="24">
        <f>IF(AB46&lt;&gt;0,(Z46*LOOKUP(AB46,Rates2!$U$2:$U$108,Rates2!$T$2:$T$108))/SQRT(1.1),0)</f>
        <v>0</v>
      </c>
      <c r="Y46" s="24">
        <f>IF(AND(AB46&gt;=0,AB46&lt;=Rates2!$W$3),Z46*(Info!$L$73),Z46)</f>
        <v>0</v>
      </c>
      <c r="Z46" s="24">
        <f>IF(AND(AB46&gt;=0,AC46&lt;&gt;""),Z45*(1+Info!$F$67),0)</f>
        <v>0</v>
      </c>
      <c r="AA46" s="24">
        <f>IF(AB46&lt;&gt;0,AA45*(1+Info!$F$65),0)</f>
        <v>0</v>
      </c>
      <c r="AB46" s="24">
        <f>IF(AC46&lt;&gt;"",IF(Info!$F$63+AC46-1&lt;=Rates2!$W$11,Info!$F$63+AC46-1,0),0)</f>
        <v>0</v>
      </c>
      <c r="AC46" s="146" t="str">
        <f>IF(AB45&lt;&gt;"",IF(AND(AC45&lt;&gt;"",AB45+1&lt;=Rates2!$W$11),IF(AC45&lt;&gt;0,IF(AC45+1&lt;=Info!$C$67,AC45+1,""),0),""),"")</f>
        <v/>
      </c>
    </row>
    <row r="47" spans="1:29" s="220" customFormat="1" ht="18.75" x14ac:dyDescent="0.45">
      <c r="A47" s="224"/>
      <c r="B47" s="25"/>
      <c r="C47" s="25"/>
      <c r="D47" s="25"/>
      <c r="E47" s="25" t="str">
        <f>IF(AC47="","",F47/VLOOKUP(Info!$C$69,Rates2!$AA$13:$AB$19,2,0))</f>
        <v/>
      </c>
      <c r="F47" s="25" t="str">
        <f t="shared" si="0"/>
        <v/>
      </c>
      <c r="G47" s="25" t="str">
        <f t="shared" si="1"/>
        <v/>
      </c>
      <c r="H47" s="25" t="e">
        <f>IF(AB47&lt;&gt;"",Rates2!$Y$10*(P47+U47),"")</f>
        <v>#N/A</v>
      </c>
      <c r="I47" s="25" t="e">
        <f>IF(AB47&lt;&gt;"",(Rates2!$AA$10+Rates2!$Z$10)*(P47+U47),"")</f>
        <v>#N/A</v>
      </c>
      <c r="J47" s="25" t="str">
        <f t="shared" si="2"/>
        <v/>
      </c>
      <c r="K47" s="225" t="str">
        <f>IF(AC47="","",(VLOOKUP(Info!$C$56,Rates2!$AA$13:$AB$19,2,0)/((1-(1+L47)^(-VLOOKUP(Info!$C$56,Rates2!$AA$13:$AB$19,2,0)))*((1+L47)/L47)))-1)</f>
        <v/>
      </c>
      <c r="L47" s="225" t="str">
        <f>IF(AC47="","",(((1+M47)^(1/VLOOKUP(Info!$C$69,Rates2!$AA$13:$AB$19,2,0)))-1))</f>
        <v/>
      </c>
      <c r="M47" s="226">
        <f t="shared" si="3"/>
        <v>0</v>
      </c>
      <c r="N47" s="25">
        <f t="shared" si="4"/>
        <v>0</v>
      </c>
      <c r="O47" s="25">
        <f>IF(X47&lt;&gt;"",Info!$L$75*X47,"")</f>
        <v>0</v>
      </c>
      <c r="P47" s="25" t="e">
        <f t="shared" si="6"/>
        <v>#N/A</v>
      </c>
      <c r="Q47" s="25">
        <f>U47*Rates2!$C$22</f>
        <v>0</v>
      </c>
      <c r="R47" s="25">
        <f>IF(AC47&lt;=5,Rates2!$B$24*Z47,0)</f>
        <v>0</v>
      </c>
      <c r="S47" s="25">
        <f>Rates2!$C$23*U47</f>
        <v>0</v>
      </c>
      <c r="T47" s="25" t="e">
        <f>IF(AB47&lt;71,Y47*0.0008*(1+(LOOKUP(Info!$I$67,Rates2!$O:$O,Rates2!$N:$N)/100)),0)</f>
        <v>#N/A</v>
      </c>
      <c r="U47" s="25">
        <f>IF(AC47&lt;=5,(V47+(Rates2!$B$27*'جدول نمونه2'!Z47))/(1-Rates2!$B$28),(V47+(Rates2!$B$27*'جدول نمونه2'!Z47)-(Rates2!$B$27*'جدول نمونه2'!Z47))/(1-Rates2!$B$28))</f>
        <v>0</v>
      </c>
      <c r="V47" s="25">
        <f t="shared" si="5"/>
        <v>0</v>
      </c>
      <c r="W47" s="25">
        <v>0</v>
      </c>
      <c r="X47" s="25">
        <f>IF(AB47&lt;&gt;0,(Z47*LOOKUP(AB47,Rates2!$U$2:$U$108,Rates2!$T$2:$T$108))/SQRT(1.1),0)</f>
        <v>0</v>
      </c>
      <c r="Y47" s="25">
        <f>IF(AND(AB47&gt;=0,AB47&lt;=Rates2!$W$3),Z47*(Info!$L$73),Z47)</f>
        <v>0</v>
      </c>
      <c r="Z47" s="25">
        <f>IF(AND(AB47&gt;=0,AC47&lt;&gt;""),Z46*(1+Info!$F$67),0)</f>
        <v>0</v>
      </c>
      <c r="AA47" s="25">
        <f>IF(AB47&lt;&gt;0,AA46*(1+Info!$F$65),0)</f>
        <v>0</v>
      </c>
      <c r="AB47" s="25">
        <f>IF(AC47&lt;&gt;"",IF(Info!$F$63+AC47-1&lt;=Rates2!$W$11,Info!$F$63+AC47-1,0),0)</f>
        <v>0</v>
      </c>
      <c r="AC47" s="145" t="str">
        <f>IF(AB46&lt;&gt;"",IF(AND(AC46&lt;&gt;"",AB46+1&lt;=Rates2!$W$11),IF(AC46&lt;&gt;0,IF(AC46+1&lt;=Info!$C$67,AC46+1,""),0),""),"")</f>
        <v/>
      </c>
    </row>
    <row r="48" spans="1:29" s="220" customFormat="1" ht="18.75" x14ac:dyDescent="0.45">
      <c r="A48" s="221"/>
      <c r="B48" s="24"/>
      <c r="C48" s="24"/>
      <c r="D48" s="24"/>
      <c r="E48" s="24" t="str">
        <f>IF(AC48="","",F48/VLOOKUP(Info!$C$69,Rates2!$AA$13:$AB$19,2,0))</f>
        <v/>
      </c>
      <c r="F48" s="24" t="str">
        <f t="shared" si="0"/>
        <v/>
      </c>
      <c r="G48" s="24" t="str">
        <f t="shared" si="1"/>
        <v/>
      </c>
      <c r="H48" s="24" t="e">
        <f>IF(AB48&lt;&gt;"",Rates2!$Y$10*(P48+U48),"")</f>
        <v>#N/A</v>
      </c>
      <c r="I48" s="24" t="e">
        <f>IF(AB48&lt;&gt;"",(Rates2!$AA$10+Rates2!$Z$10)*(P48+U48),"")</f>
        <v>#N/A</v>
      </c>
      <c r="J48" s="24" t="str">
        <f t="shared" si="2"/>
        <v/>
      </c>
      <c r="K48" s="222" t="str">
        <f>IF(AC48="","",(VLOOKUP(Info!$C$56,Rates2!$AA$13:$AB$19,2,0)/((1-(1+L48)^(-VLOOKUP(Info!$C$56,Rates2!$AA$13:$AB$19,2,0)))*((1+L48)/L48)))-1)</f>
        <v/>
      </c>
      <c r="L48" s="222" t="str">
        <f>IF(AC48="","",(((1+M48)^(1/VLOOKUP(Info!$C$69,Rates2!$AA$13:$AB$19,2,0)))-1))</f>
        <v/>
      </c>
      <c r="M48" s="223">
        <f t="shared" si="3"/>
        <v>0</v>
      </c>
      <c r="N48" s="24">
        <f t="shared" si="4"/>
        <v>0</v>
      </c>
      <c r="O48" s="24">
        <f>IF(X48&lt;&gt;"",Info!$L$75*X48,"")</f>
        <v>0</v>
      </c>
      <c r="P48" s="24" t="e">
        <f t="shared" si="6"/>
        <v>#N/A</v>
      </c>
      <c r="Q48" s="24">
        <f>U48*Rates2!$C$22</f>
        <v>0</v>
      </c>
      <c r="R48" s="24">
        <f>IF(AC48&lt;=5,Rates2!$B$24*Z48,0)</f>
        <v>0</v>
      </c>
      <c r="S48" s="24">
        <f>Rates2!$C$23*U48</f>
        <v>0</v>
      </c>
      <c r="T48" s="24" t="e">
        <f>IF(AB48&lt;71,Y48*0.0008*(1+(LOOKUP(Info!$I$67,Rates2!$O:$O,Rates2!$N:$N)/100)),0)</f>
        <v>#N/A</v>
      </c>
      <c r="U48" s="24">
        <f>IF(AC48&lt;=5,(V48+(Rates2!$B$27*'جدول نمونه2'!Z48))/(1-Rates2!$B$28),(V48+(Rates2!$B$27*'جدول نمونه2'!Z48)-(Rates2!$B$27*'جدول نمونه2'!Z48))/(1-Rates2!$B$28))</f>
        <v>0</v>
      </c>
      <c r="V48" s="24">
        <f t="shared" si="5"/>
        <v>0</v>
      </c>
      <c r="W48" s="24">
        <v>0</v>
      </c>
      <c r="X48" s="24">
        <f>IF(AB48&lt;&gt;0,(Z48*LOOKUP(AB48,Rates2!$U$2:$U$108,Rates2!$T$2:$T$108))/SQRT(1.1),0)</f>
        <v>0</v>
      </c>
      <c r="Y48" s="24">
        <f>IF(AND(AB48&gt;=0,AB48&lt;=Rates2!$W$3),Z48*(Info!$L$73),Z48)</f>
        <v>0</v>
      </c>
      <c r="Z48" s="24">
        <f>IF(AND(AB48&gt;=0,AC48&lt;&gt;""),Z47*(1+Info!$F$67),0)</f>
        <v>0</v>
      </c>
      <c r="AA48" s="24">
        <f>IF(AB48&lt;&gt;0,AA47*(1+Info!$F$65),0)</f>
        <v>0</v>
      </c>
      <c r="AB48" s="24">
        <f>IF(AC48&lt;&gt;"",IF(Info!$F$63+AC48-1&lt;=Rates2!$W$11,Info!$F$63+AC48-1,0),0)</f>
        <v>0</v>
      </c>
      <c r="AC48" s="146" t="str">
        <f>IF(AB47&lt;&gt;"",IF(AND(AC47&lt;&gt;"",AB47+1&lt;=Rates2!$W$11),IF(AC47&lt;&gt;0,IF(AC47+1&lt;=Info!$C$67,AC47+1,""),0),""),"")</f>
        <v/>
      </c>
    </row>
    <row r="49" spans="1:29" s="220" customFormat="1" ht="18.75" x14ac:dyDescent="0.45">
      <c r="A49" s="224"/>
      <c r="B49" s="25"/>
      <c r="C49" s="25"/>
      <c r="D49" s="25"/>
      <c r="E49" s="25" t="str">
        <f>IF(AC49="","",F49/VLOOKUP(Info!$C$69,Rates2!$AA$13:$AB$19,2,0))</f>
        <v/>
      </c>
      <c r="F49" s="25" t="str">
        <f t="shared" si="0"/>
        <v/>
      </c>
      <c r="G49" s="25" t="str">
        <f t="shared" si="1"/>
        <v/>
      </c>
      <c r="H49" s="25" t="e">
        <f>IF(AB49&lt;&gt;"",Rates2!$Y$10*(P49+U49),"")</f>
        <v>#N/A</v>
      </c>
      <c r="I49" s="25" t="e">
        <f>IF(AB49&lt;&gt;"",(Rates2!$AA$10+Rates2!$Z$10)*(P49+U49),"")</f>
        <v>#N/A</v>
      </c>
      <c r="J49" s="25" t="str">
        <f t="shared" si="2"/>
        <v/>
      </c>
      <c r="K49" s="225" t="str">
        <f>IF(AC49="","",(VLOOKUP(Info!$C$56,Rates2!$AA$13:$AB$19,2,0)/((1-(1+L49)^(-VLOOKUP(Info!$C$56,Rates2!$AA$13:$AB$19,2,0)))*((1+L49)/L49)))-1)</f>
        <v/>
      </c>
      <c r="L49" s="225" t="str">
        <f>IF(AC49="","",(((1+M49)^(1/VLOOKUP(Info!$C$69,Rates2!$AA$13:$AB$19,2,0)))-1))</f>
        <v/>
      </c>
      <c r="M49" s="226">
        <f t="shared" si="3"/>
        <v>0</v>
      </c>
      <c r="N49" s="25">
        <f t="shared" si="4"/>
        <v>0</v>
      </c>
      <c r="O49" s="25">
        <f>IF(X49&lt;&gt;"",Info!$L$75*X49,"")</f>
        <v>0</v>
      </c>
      <c r="P49" s="25" t="e">
        <f t="shared" si="6"/>
        <v>#N/A</v>
      </c>
      <c r="Q49" s="25">
        <f>U49*Rates2!$C$22</f>
        <v>0</v>
      </c>
      <c r="R49" s="25">
        <f>IF(AC49&lt;=5,Rates2!$B$24*Z49,0)</f>
        <v>0</v>
      </c>
      <c r="S49" s="25">
        <f>Rates2!$C$23*U49</f>
        <v>0</v>
      </c>
      <c r="T49" s="25" t="e">
        <f>IF(AB49&lt;71,Y49*0.0008*(1+(LOOKUP(Info!$I$67,Rates2!$O:$O,Rates2!$N:$N)/100)),0)</f>
        <v>#N/A</v>
      </c>
      <c r="U49" s="25">
        <f>IF(AC49&lt;=5,(V49+(Rates2!$B$27*'جدول نمونه2'!Z49))/(1-Rates2!$B$28),(V49+(Rates2!$B$27*'جدول نمونه2'!Z49)-(Rates2!$B$27*'جدول نمونه2'!Z49))/(1-Rates2!$B$28))</f>
        <v>0</v>
      </c>
      <c r="V49" s="25">
        <f t="shared" si="5"/>
        <v>0</v>
      </c>
      <c r="W49" s="25">
        <v>0</v>
      </c>
      <c r="X49" s="25">
        <f>IF(AB49&lt;&gt;0,(Z49*LOOKUP(AB49,Rates2!$U$2:$U$108,Rates2!$T$2:$T$108))/SQRT(1.1),0)</f>
        <v>0</v>
      </c>
      <c r="Y49" s="25">
        <f>IF(AND(AB49&gt;=0,AB49&lt;=Rates2!$W$3),Z49*(Info!$L$73),Z49)</f>
        <v>0</v>
      </c>
      <c r="Z49" s="25">
        <f>IF(AND(AB49&gt;=0,AC49&lt;&gt;""),Z48*(1+Info!$F$67),0)</f>
        <v>0</v>
      </c>
      <c r="AA49" s="25">
        <f>IF(AB49&lt;&gt;0,AA48*(1+Info!$F$65),0)</f>
        <v>0</v>
      </c>
      <c r="AB49" s="25">
        <f>IF(AC49&lt;&gt;"",IF(Info!$F$63+AC49-1&lt;=Rates2!$W$11,Info!$F$63+AC49-1,0),0)</f>
        <v>0</v>
      </c>
      <c r="AC49" s="145" t="str">
        <f>IF(AB48&lt;&gt;"",IF(AND(AC48&lt;&gt;"",AB48+1&lt;=Rates2!$W$11),IF(AC48&lt;&gt;0,IF(AC48+1&lt;=Info!$C$67,AC48+1,""),0),""),"")</f>
        <v/>
      </c>
    </row>
    <row r="50" spans="1:29" s="220" customFormat="1" ht="18.75" x14ac:dyDescent="0.45">
      <c r="A50" s="221"/>
      <c r="B50" s="24"/>
      <c r="C50" s="24"/>
      <c r="D50" s="24"/>
      <c r="E50" s="24" t="str">
        <f>IF(AC50="","",F50/VLOOKUP(Info!$C$69,Rates2!$AA$13:$AB$19,2,0))</f>
        <v/>
      </c>
      <c r="F50" s="24" t="str">
        <f t="shared" si="0"/>
        <v/>
      </c>
      <c r="G50" s="24" t="str">
        <f t="shared" si="1"/>
        <v/>
      </c>
      <c r="H50" s="24" t="e">
        <f>IF(AB50&lt;&gt;"",Rates2!$Y$10*(P50+U50),"")</f>
        <v>#N/A</v>
      </c>
      <c r="I50" s="24" t="e">
        <f>IF(AB50&lt;&gt;"",(Rates2!$AA$10+Rates2!$Z$10)*(P50+U50),"")</f>
        <v>#N/A</v>
      </c>
      <c r="J50" s="24" t="str">
        <f t="shared" si="2"/>
        <v/>
      </c>
      <c r="K50" s="222" t="str">
        <f>IF(AC50="","",(VLOOKUP(Info!$C$56,Rates2!$AA$13:$AB$19,2,0)/((1-(1+L50)^(-VLOOKUP(Info!$C$56,Rates2!$AA$13:$AB$19,2,0)))*((1+L50)/L50)))-1)</f>
        <v/>
      </c>
      <c r="L50" s="222" t="str">
        <f>IF(AC50="","",(((1+M50)^(1/VLOOKUP(Info!$C$69,Rates2!$AA$13:$AB$19,2,0)))-1))</f>
        <v/>
      </c>
      <c r="M50" s="223">
        <f t="shared" si="3"/>
        <v>0</v>
      </c>
      <c r="N50" s="24">
        <f t="shared" si="4"/>
        <v>0</v>
      </c>
      <c r="O50" s="24">
        <f>IF(X50&lt;&gt;"",Info!$L$75*X50,"")</f>
        <v>0</v>
      </c>
      <c r="P50" s="24" t="e">
        <f t="shared" si="6"/>
        <v>#N/A</v>
      </c>
      <c r="Q50" s="24">
        <f>U50*Rates2!$C$22</f>
        <v>0</v>
      </c>
      <c r="R50" s="24">
        <f>IF(AC50&lt;=5,Rates2!$B$24*Z50,0)</f>
        <v>0</v>
      </c>
      <c r="S50" s="24">
        <f>Rates2!$C$23*U50</f>
        <v>0</v>
      </c>
      <c r="T50" s="24" t="e">
        <f>IF(AB50&lt;71,Y50*0.0008*(1+(LOOKUP(Info!$I$67,Rates2!$O:$O,Rates2!$N:$N)/100)),0)</f>
        <v>#N/A</v>
      </c>
      <c r="U50" s="24">
        <f>IF(AC50&lt;=5,(V50+(Rates2!$B$27*'جدول نمونه2'!Z50))/(1-Rates2!$B$28),(V50+(Rates2!$B$27*'جدول نمونه2'!Z50)-(Rates2!$B$27*'جدول نمونه2'!Z50))/(1-Rates2!$B$28))</f>
        <v>0</v>
      </c>
      <c r="V50" s="24">
        <f t="shared" si="5"/>
        <v>0</v>
      </c>
      <c r="W50" s="24">
        <v>0</v>
      </c>
      <c r="X50" s="24">
        <f>IF(AB50&lt;&gt;0,(Z50*LOOKUP(AB50,Rates2!$U$2:$U$108,Rates2!$T$2:$T$108))/SQRT(1.1),0)</f>
        <v>0</v>
      </c>
      <c r="Y50" s="24">
        <f>IF(AND(AB50&gt;=0,AB50&lt;=Rates2!$W$3),Z50*(Info!$L$73),Z50)</f>
        <v>0</v>
      </c>
      <c r="Z50" s="24">
        <f>IF(AND(AB50&gt;=0,AC50&lt;&gt;""),Z49*(1+Info!$F$67),0)</f>
        <v>0</v>
      </c>
      <c r="AA50" s="24">
        <f>IF(AB50&lt;&gt;0,AA49*(1+Info!$F$65),0)</f>
        <v>0</v>
      </c>
      <c r="AB50" s="24">
        <f>IF(AC50&lt;&gt;"",IF(Info!$F$63+AC50-1&lt;=Rates2!$W$11,Info!$F$63+AC50-1,0),0)</f>
        <v>0</v>
      </c>
      <c r="AC50" s="146" t="str">
        <f>IF(AB49&lt;&gt;"",IF(AND(AC49&lt;&gt;"",AB49+1&lt;=Rates2!$W$11),IF(AC49&lt;&gt;0,IF(AC49+1&lt;=Info!$C$67,AC49+1,""),0),""),"")</f>
        <v/>
      </c>
    </row>
    <row r="51" spans="1:29" s="220" customFormat="1" ht="18.75" x14ac:dyDescent="0.45">
      <c r="A51" s="224"/>
      <c r="B51" s="25"/>
      <c r="C51" s="25"/>
      <c r="D51" s="25"/>
      <c r="E51" s="25" t="str">
        <f>IF(AC51="","",F51/VLOOKUP(Info!$C$69,Rates2!$AA$13:$AB$19,2,0))</f>
        <v/>
      </c>
      <c r="F51" s="25" t="str">
        <f t="shared" si="0"/>
        <v/>
      </c>
      <c r="G51" s="25" t="str">
        <f t="shared" si="1"/>
        <v/>
      </c>
      <c r="H51" s="25" t="e">
        <f>IF(AB51&lt;&gt;"",Rates2!$Y$10*(P51+U51),"")</f>
        <v>#N/A</v>
      </c>
      <c r="I51" s="25" t="e">
        <f>IF(AB51&lt;&gt;"",(Rates2!$AA$10+Rates2!$Z$10)*(P51+U51),"")</f>
        <v>#N/A</v>
      </c>
      <c r="J51" s="25" t="str">
        <f t="shared" si="2"/>
        <v/>
      </c>
      <c r="K51" s="225" t="str">
        <f>IF(AC51="","",(VLOOKUP(Info!$C$56,Rates2!$AA$13:$AB$19,2,0)/((1-(1+L51)^(-VLOOKUP(Info!$C$56,Rates2!$AA$13:$AB$19,2,0)))*((1+L51)/L51)))-1)</f>
        <v/>
      </c>
      <c r="L51" s="225" t="str">
        <f>IF(AC51="","",(((1+M51)^(1/VLOOKUP(Info!$C$69,Rates2!$AA$13:$AB$19,2,0)))-1))</f>
        <v/>
      </c>
      <c r="M51" s="226">
        <f t="shared" si="3"/>
        <v>0</v>
      </c>
      <c r="N51" s="25">
        <f t="shared" si="4"/>
        <v>0</v>
      </c>
      <c r="O51" s="25">
        <f>IF(X51&lt;&gt;"",Info!$L$75*X51,"")</f>
        <v>0</v>
      </c>
      <c r="P51" s="25" t="e">
        <f t="shared" si="6"/>
        <v>#N/A</v>
      </c>
      <c r="Q51" s="25">
        <f>U51*Rates2!$C$22</f>
        <v>0</v>
      </c>
      <c r="R51" s="25">
        <f>IF(AC51&lt;=5,Rates2!$B$24*Z51,0)</f>
        <v>0</v>
      </c>
      <c r="S51" s="25">
        <f>Rates2!$C$23*U51</f>
        <v>0</v>
      </c>
      <c r="T51" s="25" t="e">
        <f>IF(AB51&lt;71,Y51*0.0008*(1+(LOOKUP(Info!$I$67,Rates2!$O:$O,Rates2!$N:$N)/100)),0)</f>
        <v>#N/A</v>
      </c>
      <c r="U51" s="25">
        <f>IF(AC51&lt;=5,(V51+(Rates2!$B$27*'جدول نمونه2'!Z51))/(1-Rates2!$B$28),(V51+(Rates2!$B$27*'جدول نمونه2'!Z51)-(Rates2!$B$27*'جدول نمونه2'!Z51))/(1-Rates2!$B$28))</f>
        <v>0</v>
      </c>
      <c r="V51" s="25">
        <f t="shared" si="5"/>
        <v>0</v>
      </c>
      <c r="W51" s="25">
        <v>0</v>
      </c>
      <c r="X51" s="25">
        <f>IF(AB51&lt;&gt;0,(Z51*LOOKUP(AB51,Rates2!$U$2:$U$108,Rates2!$T$2:$T$108))/SQRT(1.1),0)</f>
        <v>0</v>
      </c>
      <c r="Y51" s="25">
        <f>IF(AND(AB51&gt;=0,AB51&lt;=Rates2!$W$3),Z51*(Info!$L$73),Z51)</f>
        <v>0</v>
      </c>
      <c r="Z51" s="25">
        <f>IF(AND(AB51&gt;=0,AC51&lt;&gt;""),Z50*(1+Info!$F$67),0)</f>
        <v>0</v>
      </c>
      <c r="AA51" s="25">
        <f>IF(AB51&lt;&gt;0,AA50*(1+Info!$F$65),0)</f>
        <v>0</v>
      </c>
      <c r="AB51" s="25">
        <f>IF(AC51&lt;&gt;"",IF(Info!$F$63+AC51-1&lt;=Rates2!$W$11,Info!$F$63+AC51-1,0),0)</f>
        <v>0</v>
      </c>
      <c r="AC51" s="145" t="str">
        <f>IF(AB50&lt;&gt;"",IF(AND(AC50&lt;&gt;"",AB50+1&lt;=Rates2!$W$11),IF(AC50&lt;&gt;0,IF(AC50+1&lt;=Info!$C$67,AC50+1,""),0),""),"")</f>
        <v/>
      </c>
    </row>
    <row r="52" spans="1:29" s="220" customFormat="1" ht="18.75" x14ac:dyDescent="0.45">
      <c r="A52" s="221"/>
      <c r="B52" s="24"/>
      <c r="C52" s="24"/>
      <c r="D52" s="24"/>
      <c r="E52" s="24" t="str">
        <f>IF(AC52="","",F52/VLOOKUP(Info!$C$69,Rates2!$AA$13:$AB$19,2,0))</f>
        <v/>
      </c>
      <c r="F52" s="24" t="str">
        <f t="shared" si="0"/>
        <v/>
      </c>
      <c r="G52" s="24" t="str">
        <f t="shared" si="1"/>
        <v/>
      </c>
      <c r="H52" s="24" t="e">
        <f>IF(AB52&lt;&gt;"",Rates2!$Y$10*(P52+U52),"")</f>
        <v>#N/A</v>
      </c>
      <c r="I52" s="24" t="e">
        <f>IF(AB52&lt;&gt;"",(Rates2!$AA$10+Rates2!$Z$10)*(P52+U52),"")</f>
        <v>#N/A</v>
      </c>
      <c r="J52" s="24" t="str">
        <f t="shared" si="2"/>
        <v/>
      </c>
      <c r="K52" s="222" t="str">
        <f>IF(AC52="","",(VLOOKUP(Info!$C$56,Rates2!$AA$13:$AB$19,2,0)/((1-(1+L52)^(-VLOOKUP(Info!$C$56,Rates2!$AA$13:$AB$19,2,0)))*((1+L52)/L52)))-1)</f>
        <v/>
      </c>
      <c r="L52" s="222" t="str">
        <f>IF(AC52="","",(((1+M52)^(1/VLOOKUP(Info!$C$69,Rates2!$AA$13:$AB$19,2,0)))-1))</f>
        <v/>
      </c>
      <c r="M52" s="223">
        <f t="shared" si="3"/>
        <v>0</v>
      </c>
      <c r="N52" s="24">
        <f t="shared" si="4"/>
        <v>0</v>
      </c>
      <c r="O52" s="24">
        <f>IF(X52&lt;&gt;"",Info!$L$75*X52,"")</f>
        <v>0</v>
      </c>
      <c r="P52" s="24" t="e">
        <f t="shared" si="6"/>
        <v>#N/A</v>
      </c>
      <c r="Q52" s="24">
        <f>U52*Rates2!$C$22</f>
        <v>0</v>
      </c>
      <c r="R52" s="24">
        <f>IF(AC52&lt;=5,Rates2!$B$24*Z52,0)</f>
        <v>0</v>
      </c>
      <c r="S52" s="24">
        <f>Rates2!$C$23*U52</f>
        <v>0</v>
      </c>
      <c r="T52" s="24" t="e">
        <f>IF(AB52&lt;71,Y52*0.0008*(1+(LOOKUP(Info!$I$67,Rates2!$O:$O,Rates2!$N:$N)/100)),0)</f>
        <v>#N/A</v>
      </c>
      <c r="U52" s="24">
        <f>IF(AC52&lt;=5,(V52+(Rates2!$B$27*'جدول نمونه2'!Z52))/(1-Rates2!$B$28),(V52+(Rates2!$B$27*'جدول نمونه2'!Z52)-(Rates2!$B$27*'جدول نمونه2'!Z52))/(1-Rates2!$B$28))</f>
        <v>0</v>
      </c>
      <c r="V52" s="24">
        <f t="shared" si="5"/>
        <v>0</v>
      </c>
      <c r="W52" s="24">
        <v>0</v>
      </c>
      <c r="X52" s="24">
        <f>IF(AB52&lt;&gt;0,(Z52*LOOKUP(AB52,Rates2!$U$2:$U$108,Rates2!$T$2:$T$108))/SQRT(1.1),0)</f>
        <v>0</v>
      </c>
      <c r="Y52" s="24">
        <f>IF(AND(AB52&gt;=0,AB52&lt;=Rates2!$W$3),Z52*(Info!$L$73),Z52)</f>
        <v>0</v>
      </c>
      <c r="Z52" s="24">
        <f>IF(AND(AB52&gt;=0,AC52&lt;&gt;""),Z51*(1+Info!$F$67),0)</f>
        <v>0</v>
      </c>
      <c r="AA52" s="24">
        <f>IF(AB52&lt;&gt;0,AA51*(1+Info!$F$65),0)</f>
        <v>0</v>
      </c>
      <c r="AB52" s="24">
        <f>IF(AC52&lt;&gt;"",IF(Info!$F$63+AC52-1&lt;=Rates2!$W$11,Info!$F$63+AC52-1,0),0)</f>
        <v>0</v>
      </c>
      <c r="AC52" s="146" t="str">
        <f>IF(AB51&lt;&gt;"",IF(AND(AC51&lt;&gt;"",AB51+1&lt;=Rates2!$W$11),IF(AC51&lt;&gt;0,IF(AC51+1&lt;=Info!$C$67,AC51+1,""),0),""),"")</f>
        <v/>
      </c>
    </row>
    <row r="53" spans="1:29" s="220" customFormat="1" ht="18.75" x14ac:dyDescent="0.45">
      <c r="A53" s="224"/>
      <c r="B53" s="25"/>
      <c r="C53" s="25"/>
      <c r="D53" s="25"/>
      <c r="E53" s="25" t="str">
        <f>IF(AC53="","",F53/VLOOKUP(Info!$C$69,Rates2!$AA$13:$AB$19,2,0))</f>
        <v/>
      </c>
      <c r="F53" s="25" t="str">
        <f t="shared" si="0"/>
        <v/>
      </c>
      <c r="G53" s="25" t="str">
        <f t="shared" si="1"/>
        <v/>
      </c>
      <c r="H53" s="25" t="e">
        <f>IF(AB53&lt;&gt;"",Rates2!$Y$10*(P53+U53),"")</f>
        <v>#N/A</v>
      </c>
      <c r="I53" s="25" t="e">
        <f>IF(AB53&lt;&gt;"",(Rates2!$AA$10+Rates2!$Z$10)*(P53+U53),"")</f>
        <v>#N/A</v>
      </c>
      <c r="J53" s="25" t="str">
        <f t="shared" si="2"/>
        <v/>
      </c>
      <c r="K53" s="225" t="str">
        <f>IF(AC53="","",(VLOOKUP(Info!$C$56,Rates2!$AA$13:$AB$19,2,0)/((1-(1+L53)^(-VLOOKUP(Info!$C$56,Rates2!$AA$13:$AB$19,2,0)))*((1+L53)/L53)))-1)</f>
        <v/>
      </c>
      <c r="L53" s="225" t="str">
        <f>IF(AC53="","",(((1+M53)^(1/VLOOKUP(Info!$C$69,Rates2!$AA$13:$AB$19,2,0)))-1))</f>
        <v/>
      </c>
      <c r="M53" s="226">
        <f t="shared" si="3"/>
        <v>0</v>
      </c>
      <c r="N53" s="25">
        <f t="shared" si="4"/>
        <v>0</v>
      </c>
      <c r="O53" s="25">
        <f>IF(X53&lt;&gt;"",Info!$L$75*X53,"")</f>
        <v>0</v>
      </c>
      <c r="P53" s="25" t="e">
        <f t="shared" si="6"/>
        <v>#N/A</v>
      </c>
      <c r="Q53" s="25">
        <f>U53*Rates2!$C$22</f>
        <v>0</v>
      </c>
      <c r="R53" s="25">
        <f>IF(AC53&lt;=5,Rates2!$B$24*Z53,0)</f>
        <v>0</v>
      </c>
      <c r="S53" s="25">
        <f>Rates2!$C$23*U53</f>
        <v>0</v>
      </c>
      <c r="T53" s="25" t="e">
        <f>IF(AB53&lt;71,Y53*0.0008*(1+(LOOKUP(Info!$I$67,Rates2!$O:$O,Rates2!$N:$N)/100)),0)</f>
        <v>#N/A</v>
      </c>
      <c r="U53" s="25">
        <f>IF(AC53&lt;=5,(V53+(Rates2!$B$27*'جدول نمونه2'!Z53))/(1-Rates2!$B$28),(V53+(Rates2!$B$27*'جدول نمونه2'!Z53)-(Rates2!$B$27*'جدول نمونه2'!Z53))/(1-Rates2!$B$28))</f>
        <v>0</v>
      </c>
      <c r="V53" s="25">
        <f t="shared" si="5"/>
        <v>0</v>
      </c>
      <c r="W53" s="25">
        <v>0</v>
      </c>
      <c r="X53" s="25">
        <f>IF(AB53&lt;&gt;0,(Z53*LOOKUP(AB53,Rates2!$U$2:$U$108,Rates2!$T$2:$T$108))/SQRT(1.1),0)</f>
        <v>0</v>
      </c>
      <c r="Y53" s="25">
        <f>IF(AND(AB53&gt;=0,AB53&lt;=Rates2!$W$3),Z53*(Info!$L$73),Z53)</f>
        <v>0</v>
      </c>
      <c r="Z53" s="25">
        <f>IF(AND(AB53&gt;=0,AC53&lt;&gt;""),Z52*(1+Info!$F$67),0)</f>
        <v>0</v>
      </c>
      <c r="AA53" s="25">
        <f>IF(AB53&lt;&gt;0,AA52*(1+Info!$F$65),0)</f>
        <v>0</v>
      </c>
      <c r="AB53" s="25">
        <f>IF(AC53&lt;&gt;"",IF(Info!$F$63+AC53-1&lt;=Rates2!$W$11,Info!$F$63+AC53-1,0),0)</f>
        <v>0</v>
      </c>
      <c r="AC53" s="145" t="str">
        <f>IF(AB52&lt;&gt;"",IF(AND(AC52&lt;&gt;"",AB52+1&lt;=Rates2!$W$11),IF(AC52&lt;&gt;0,IF(AC52+1&lt;=Info!$C$67,AC52+1,""),0),""),"")</f>
        <v/>
      </c>
    </row>
    <row r="54" spans="1:29" s="220" customFormat="1" ht="18.75" x14ac:dyDescent="0.45">
      <c r="A54" s="221"/>
      <c r="B54" s="24"/>
      <c r="C54" s="24"/>
      <c r="D54" s="24"/>
      <c r="E54" s="24" t="str">
        <f>IF(AC54="","",F54/VLOOKUP(Info!$C$69,Rates2!$AA$13:$AB$19,2,0))</f>
        <v/>
      </c>
      <c r="F54" s="24" t="str">
        <f t="shared" si="0"/>
        <v/>
      </c>
      <c r="G54" s="24" t="str">
        <f t="shared" si="1"/>
        <v/>
      </c>
      <c r="H54" s="24" t="e">
        <f>IF(AB54&lt;&gt;"",Rates2!$Y$10*(P54+U54),"")</f>
        <v>#N/A</v>
      </c>
      <c r="I54" s="24" t="e">
        <f>IF(AB54&lt;&gt;"",(Rates2!$AA$10+Rates2!$Z$10)*(P54+U54),"")</f>
        <v>#N/A</v>
      </c>
      <c r="J54" s="24" t="str">
        <f t="shared" si="2"/>
        <v/>
      </c>
      <c r="K54" s="222" t="str">
        <f>IF(AC54="","",(VLOOKUP(Info!$C$56,Rates2!$AA$13:$AB$19,2,0)/((1-(1+L54)^(-VLOOKUP(Info!$C$56,Rates2!$AA$13:$AB$19,2,0)))*((1+L54)/L54)))-1)</f>
        <v/>
      </c>
      <c r="L54" s="222" t="str">
        <f>IF(AC54="","",(((1+M54)^(1/VLOOKUP(Info!$C$69,Rates2!$AA$13:$AB$19,2,0)))-1))</f>
        <v/>
      </c>
      <c r="M54" s="223">
        <f t="shared" si="3"/>
        <v>0</v>
      </c>
      <c r="N54" s="24">
        <f t="shared" si="4"/>
        <v>0</v>
      </c>
      <c r="O54" s="24">
        <f>IF(X54&lt;&gt;"",Info!$L$75*X54,"")</f>
        <v>0</v>
      </c>
      <c r="P54" s="24" t="e">
        <f t="shared" si="6"/>
        <v>#N/A</v>
      </c>
      <c r="Q54" s="24">
        <f>U54*Rates2!$C$22</f>
        <v>0</v>
      </c>
      <c r="R54" s="24">
        <f>IF(AC54&lt;=5,Rates2!$B$24*Z54,0)</f>
        <v>0</v>
      </c>
      <c r="S54" s="24">
        <f>Rates2!$C$23*U54</f>
        <v>0</v>
      </c>
      <c r="T54" s="24" t="e">
        <f>IF(AB54&lt;71,Y54*0.0008*(1+(LOOKUP(Info!$I$67,Rates2!$O:$O,Rates2!$N:$N)/100)),0)</f>
        <v>#N/A</v>
      </c>
      <c r="U54" s="24">
        <f>IF(AC54&lt;=5,(V54+(Rates2!$B$27*'جدول نمونه2'!Z54))/(1-Rates2!$B$28),(V54+(Rates2!$B$27*'جدول نمونه2'!Z54)-(Rates2!$B$27*'جدول نمونه2'!Z54))/(1-Rates2!$B$28))</f>
        <v>0</v>
      </c>
      <c r="V54" s="24">
        <f t="shared" si="5"/>
        <v>0</v>
      </c>
      <c r="W54" s="24">
        <v>0</v>
      </c>
      <c r="X54" s="24">
        <f>IF(AB54&lt;&gt;0,(Z54*LOOKUP(AB54,Rates2!$U$2:$U$108,Rates2!$T$2:$T$108))/SQRT(1.1),0)</f>
        <v>0</v>
      </c>
      <c r="Y54" s="24">
        <f>IF(AND(AB54&gt;=0,AB54&lt;=Rates2!$W$3),Z54*(Info!$L$73),Z54)</f>
        <v>0</v>
      </c>
      <c r="Z54" s="24">
        <f>IF(AND(AB54&gt;=0,AC54&lt;&gt;""),Z53*(1+Info!$F$67),0)</f>
        <v>0</v>
      </c>
      <c r="AA54" s="24">
        <f>IF(AB54&lt;&gt;0,AA53*(1+Info!$F$65),0)</f>
        <v>0</v>
      </c>
      <c r="AB54" s="24">
        <f>IF(AC54&lt;&gt;"",IF(Info!$F$63+AC54-1&lt;=Rates2!$W$11,Info!$F$63+AC54-1,0),0)</f>
        <v>0</v>
      </c>
      <c r="AC54" s="146" t="str">
        <f>IF(AB53&lt;&gt;"",IF(AND(AC53&lt;&gt;"",AB53+1&lt;=Rates2!$W$11),IF(AC53&lt;&gt;0,IF(AC53+1&lt;=Info!$C$67,AC53+1,""),0),""),"")</f>
        <v/>
      </c>
    </row>
    <row r="55" spans="1:29" s="220" customFormat="1" ht="18.75" x14ac:dyDescent="0.45">
      <c r="A55" s="224"/>
      <c r="B55" s="25"/>
      <c r="C55" s="25"/>
      <c r="D55" s="25"/>
      <c r="E55" s="25" t="str">
        <f>IF(AC55="","",F55/VLOOKUP(Info!$C$69,Rates2!$AA$13:$AB$19,2,0))</f>
        <v/>
      </c>
      <c r="F55" s="25" t="str">
        <f t="shared" si="0"/>
        <v/>
      </c>
      <c r="G55" s="25" t="str">
        <f t="shared" si="1"/>
        <v/>
      </c>
      <c r="H55" s="25" t="e">
        <f>IF(AB55&lt;&gt;"",Rates2!$Y$10*(P55+U55),"")</f>
        <v>#N/A</v>
      </c>
      <c r="I55" s="25" t="e">
        <f>IF(AB55&lt;&gt;"",(Rates2!$AA$10+Rates2!$Z$10)*(P55+U55),"")</f>
        <v>#N/A</v>
      </c>
      <c r="J55" s="25" t="str">
        <f t="shared" si="2"/>
        <v/>
      </c>
      <c r="K55" s="225" t="str">
        <f>IF(AC55="","",(VLOOKUP(Info!$C$56,Rates2!$AA$13:$AB$19,2,0)/((1-(1+L55)^(-VLOOKUP(Info!$C$56,Rates2!$AA$13:$AB$19,2,0)))*((1+L55)/L55)))-1)</f>
        <v/>
      </c>
      <c r="L55" s="225" t="str">
        <f>IF(AC55="","",(((1+M55)^(1/VLOOKUP(Info!$C$69,Rates2!$AA$13:$AB$19,2,0)))-1))</f>
        <v/>
      </c>
      <c r="M55" s="226">
        <f t="shared" si="3"/>
        <v>0</v>
      </c>
      <c r="N55" s="25">
        <f t="shared" si="4"/>
        <v>0</v>
      </c>
      <c r="O55" s="25">
        <f>IF(X55&lt;&gt;"",Info!$L$75*X55,"")</f>
        <v>0</v>
      </c>
      <c r="P55" s="25" t="e">
        <f t="shared" si="6"/>
        <v>#N/A</v>
      </c>
      <c r="Q55" s="25">
        <f>U55*Rates2!$C$22</f>
        <v>0</v>
      </c>
      <c r="R55" s="25">
        <f>IF(AC55&lt;=5,Rates2!$B$24*Z55,0)</f>
        <v>0</v>
      </c>
      <c r="S55" s="25">
        <f>Rates2!$C$23*U55</f>
        <v>0</v>
      </c>
      <c r="T55" s="25" t="e">
        <f>IF(AB55&lt;71,Y55*0.0008*(1+(LOOKUP(Info!$I$67,Rates2!$O:$O,Rates2!$N:$N)/100)),0)</f>
        <v>#N/A</v>
      </c>
      <c r="U55" s="25">
        <f>IF(AC55&lt;=5,(V55+(Rates2!$B$27*'جدول نمونه2'!Z55))/(1-Rates2!$B$28),(V55+(Rates2!$B$27*'جدول نمونه2'!Z55)-(Rates2!$B$27*'جدول نمونه2'!Z55))/(1-Rates2!$B$28))</f>
        <v>0</v>
      </c>
      <c r="V55" s="25">
        <f t="shared" si="5"/>
        <v>0</v>
      </c>
      <c r="W55" s="25">
        <v>0</v>
      </c>
      <c r="X55" s="25">
        <f>IF(AB55&lt;&gt;0,(Z55*LOOKUP(AB55,Rates2!$U$2:$U$108,Rates2!$T$2:$T$108))/SQRT(1.1),0)</f>
        <v>0</v>
      </c>
      <c r="Y55" s="25">
        <f>IF(AND(AB55&gt;=0,AB55&lt;=Rates2!$W$3),Z55*(Info!$L$73),Z55)</f>
        <v>0</v>
      </c>
      <c r="Z55" s="25">
        <f>IF(AND(AB55&gt;=0,AC55&lt;&gt;""),Z54*(1+Info!$F$67),0)</f>
        <v>0</v>
      </c>
      <c r="AA55" s="25">
        <f>IF(AB55&lt;&gt;0,AA54*(1+Info!$F$65),0)</f>
        <v>0</v>
      </c>
      <c r="AB55" s="25">
        <f>IF(AC55&lt;&gt;"",IF(Info!$F$63+AC55-1&lt;=Rates2!$W$11,Info!$F$63+AC55-1,0),0)</f>
        <v>0</v>
      </c>
      <c r="AC55" s="145" t="str">
        <f>IF(AB54&lt;&gt;"",IF(AND(AC54&lt;&gt;"",AB54+1&lt;=Rates2!$W$11),IF(AC54&lt;&gt;0,IF(AC54+1&lt;=Info!$C$67,AC54+1,""),0),""),"")</f>
        <v/>
      </c>
    </row>
    <row r="56" spans="1:29" s="220" customFormat="1" ht="18.75" x14ac:dyDescent="0.45">
      <c r="A56" s="221"/>
      <c r="B56" s="24"/>
      <c r="C56" s="24"/>
      <c r="D56" s="24"/>
      <c r="E56" s="24" t="str">
        <f>IF(AC56="","",F56/VLOOKUP(Info!$C$69,Rates2!$AA$13:$AB$19,2,0))</f>
        <v/>
      </c>
      <c r="F56" s="24" t="str">
        <f t="shared" si="0"/>
        <v/>
      </c>
      <c r="G56" s="24" t="str">
        <f t="shared" si="1"/>
        <v/>
      </c>
      <c r="H56" s="24" t="e">
        <f>IF(AB56&lt;&gt;"",Rates2!$Y$10*(P56+U56),"")</f>
        <v>#N/A</v>
      </c>
      <c r="I56" s="24" t="e">
        <f>IF(AB56&lt;&gt;"",(Rates2!$AA$10+Rates2!$Z$10)*(P56+U56),"")</f>
        <v>#N/A</v>
      </c>
      <c r="J56" s="24" t="str">
        <f t="shared" si="2"/>
        <v/>
      </c>
      <c r="K56" s="222" t="str">
        <f>IF(AC56="","",(VLOOKUP(Info!$C$56,Rates2!$AA$13:$AB$19,2,0)/((1-(1+L56)^(-VLOOKUP(Info!$C$56,Rates2!$AA$13:$AB$19,2,0)))*((1+L56)/L56)))-1)</f>
        <v/>
      </c>
      <c r="L56" s="222" t="str">
        <f>IF(AC56="","",(((1+M56)^(1/VLOOKUP(Info!$C$69,Rates2!$AA$13:$AB$19,2,0)))-1))</f>
        <v/>
      </c>
      <c r="M56" s="223">
        <f t="shared" si="3"/>
        <v>0</v>
      </c>
      <c r="N56" s="24">
        <f t="shared" si="4"/>
        <v>0</v>
      </c>
      <c r="O56" s="24">
        <f>IF(X56&lt;&gt;"",Info!$L$75*X56,"")</f>
        <v>0</v>
      </c>
      <c r="P56" s="24" t="e">
        <f t="shared" si="6"/>
        <v>#N/A</v>
      </c>
      <c r="Q56" s="24">
        <f>U56*Rates2!$C$22</f>
        <v>0</v>
      </c>
      <c r="R56" s="24">
        <f>IF(AC56&lt;=5,Rates2!$B$24*Z56,0)</f>
        <v>0</v>
      </c>
      <c r="S56" s="24">
        <f>Rates2!$C$23*U56</f>
        <v>0</v>
      </c>
      <c r="T56" s="24" t="e">
        <f>IF(AB56&lt;71,Y56*0.0008*(1+(LOOKUP(Info!$I$67,Rates2!$O:$O,Rates2!$N:$N)/100)),0)</f>
        <v>#N/A</v>
      </c>
      <c r="U56" s="24">
        <f>IF(AC56&lt;=5,(V56+(Rates2!$B$27*'جدول نمونه2'!Z56))/(1-Rates2!$B$28),(V56+(Rates2!$B$27*'جدول نمونه2'!Z56)-(Rates2!$B$27*'جدول نمونه2'!Z56))/(1-Rates2!$B$28))</f>
        <v>0</v>
      </c>
      <c r="V56" s="24">
        <f t="shared" si="5"/>
        <v>0</v>
      </c>
      <c r="W56" s="24">
        <v>0</v>
      </c>
      <c r="X56" s="24">
        <f>IF(AB56&lt;&gt;0,(Z56*LOOKUP(AB56,Rates2!$U$2:$U$108,Rates2!$T$2:$T$108))/SQRT(1.1),0)</f>
        <v>0</v>
      </c>
      <c r="Y56" s="24">
        <f>IF(AND(AB56&gt;=0,AB56&lt;=Rates2!$W$3),Z56*(Info!$L$73),Z56)</f>
        <v>0</v>
      </c>
      <c r="Z56" s="24">
        <f>IF(AND(AB56&gt;=0,AC56&lt;&gt;""),Z55*(1+Info!$F$67),0)</f>
        <v>0</v>
      </c>
      <c r="AA56" s="24">
        <f>IF(AB56&lt;&gt;0,AA55*(1+Info!$F$65),0)</f>
        <v>0</v>
      </c>
      <c r="AB56" s="24">
        <f>IF(AC56&lt;&gt;"",IF(Info!$F$63+AC56-1&lt;=Rates2!$W$11,Info!$F$63+AC56-1,0),0)</f>
        <v>0</v>
      </c>
      <c r="AC56" s="146" t="str">
        <f>IF(AB55&lt;&gt;"",IF(AND(AC55&lt;&gt;"",AB55+1&lt;=Rates2!$W$11),IF(AC55&lt;&gt;0,IF(AC55+1&lt;=Info!$C$67,AC55+1,""),0),""),"")</f>
        <v/>
      </c>
    </row>
    <row r="57" spans="1:29" s="220" customFormat="1" ht="18.75" x14ac:dyDescent="0.45">
      <c r="A57" s="224"/>
      <c r="B57" s="25"/>
      <c r="C57" s="25"/>
      <c r="D57" s="25"/>
      <c r="E57" s="25" t="str">
        <f>IF(AC57="","",F57/VLOOKUP(Info!$C$69,Rates2!$AA$13:$AB$19,2,0))</f>
        <v/>
      </c>
      <c r="F57" s="25" t="str">
        <f t="shared" si="0"/>
        <v/>
      </c>
      <c r="G57" s="25" t="str">
        <f t="shared" si="1"/>
        <v/>
      </c>
      <c r="H57" s="25" t="e">
        <f>IF(AB57&lt;&gt;"",Rates2!$Y$10*(P57+U57),"")</f>
        <v>#N/A</v>
      </c>
      <c r="I57" s="25" t="e">
        <f>IF(AB57&lt;&gt;"",(Rates2!$AA$10+Rates2!$Z$10)*(P57+U57),"")</f>
        <v>#N/A</v>
      </c>
      <c r="J57" s="25" t="str">
        <f t="shared" si="2"/>
        <v/>
      </c>
      <c r="K57" s="225" t="str">
        <f>IF(AC57="","",(VLOOKUP(Info!$C$56,Rates2!$AA$13:$AB$19,2,0)/((1-(1+L57)^(-VLOOKUP(Info!$C$56,Rates2!$AA$13:$AB$19,2,0)))*((1+L57)/L57)))-1)</f>
        <v/>
      </c>
      <c r="L57" s="225" t="str">
        <f>IF(AC57="","",(((1+M57)^(1/VLOOKUP(Info!$C$69,Rates2!$AA$13:$AB$19,2,0)))-1))</f>
        <v/>
      </c>
      <c r="M57" s="226">
        <f t="shared" si="3"/>
        <v>0</v>
      </c>
      <c r="N57" s="25">
        <f t="shared" si="4"/>
        <v>0</v>
      </c>
      <c r="O57" s="25">
        <f>IF(X57&lt;&gt;"",Info!$L$75*X57,"")</f>
        <v>0</v>
      </c>
      <c r="P57" s="25" t="e">
        <f t="shared" si="6"/>
        <v>#N/A</v>
      </c>
      <c r="Q57" s="25">
        <f>U57*Rates2!$C$22</f>
        <v>0</v>
      </c>
      <c r="R57" s="25">
        <f>IF(AC57&lt;=5,Rates2!$B$24*Z57,0)</f>
        <v>0</v>
      </c>
      <c r="S57" s="25">
        <f>Rates2!$C$23*U57</f>
        <v>0</v>
      </c>
      <c r="T57" s="25" t="e">
        <f>IF(AB57&lt;71,Y57*0.0008*(1+(LOOKUP(Info!$I$67,Rates2!$O:$O,Rates2!$N:$N)/100)),0)</f>
        <v>#N/A</v>
      </c>
      <c r="U57" s="25">
        <f>IF(AC57&lt;=5,(V57+(Rates2!$B$27*'جدول نمونه2'!Z57))/(1-Rates2!$B$28),(V57+(Rates2!$B$27*'جدول نمونه2'!Z57)-(Rates2!$B$27*'جدول نمونه2'!Z57))/(1-Rates2!$B$28))</f>
        <v>0</v>
      </c>
      <c r="V57" s="25">
        <f t="shared" si="5"/>
        <v>0</v>
      </c>
      <c r="W57" s="25">
        <v>0</v>
      </c>
      <c r="X57" s="25">
        <f>IF(AB57&lt;&gt;0,(Z57*LOOKUP(AB57,Rates2!$U$2:$U$108,Rates2!$T$2:$T$108))/SQRT(1.1),0)</f>
        <v>0</v>
      </c>
      <c r="Y57" s="25">
        <f>IF(AND(AB57&gt;=0,AB57&lt;=Rates2!$W$3),Z57*(Info!$L$73),Z57)</f>
        <v>0</v>
      </c>
      <c r="Z57" s="25">
        <f>IF(AND(AB57&gt;=0,AC57&lt;&gt;""),Z56*(1+Info!$F$67),0)</f>
        <v>0</v>
      </c>
      <c r="AA57" s="25">
        <f>IF(AB57&lt;&gt;0,AA56*(1+Info!$F$65),0)</f>
        <v>0</v>
      </c>
      <c r="AB57" s="25">
        <f>IF(AC57&lt;&gt;"",IF(Info!$F$63+AC57-1&lt;=Rates2!$W$11,Info!$F$63+AC57-1,0),0)</f>
        <v>0</v>
      </c>
      <c r="AC57" s="145" t="str">
        <f>IF(AB56&lt;&gt;"",IF(AND(AC56&lt;&gt;"",AB56+1&lt;=Rates2!$W$11),IF(AC56&lt;&gt;0,IF(AC56+1&lt;=Info!$C$67,AC56+1,""),0),""),"")</f>
        <v/>
      </c>
    </row>
    <row r="58" spans="1:29" s="220" customFormat="1" ht="18.75" x14ac:dyDescent="0.45">
      <c r="A58" s="221"/>
      <c r="B58" s="24"/>
      <c r="C58" s="24"/>
      <c r="D58" s="24"/>
      <c r="E58" s="24" t="str">
        <f>IF(AC58="","",F58/VLOOKUP(Info!$C$69,Rates2!$AA$13:$AB$19,2,0))</f>
        <v/>
      </c>
      <c r="F58" s="24" t="str">
        <f t="shared" si="0"/>
        <v/>
      </c>
      <c r="G58" s="24" t="str">
        <f t="shared" si="1"/>
        <v/>
      </c>
      <c r="H58" s="24" t="e">
        <f>IF(AB58&lt;&gt;"",Rates2!$Y$10*(P58+U58),"")</f>
        <v>#N/A</v>
      </c>
      <c r="I58" s="24" t="e">
        <f>IF(AB58&lt;&gt;"",(Rates2!$AA$10+Rates2!$Z$10)*(P58+U58),"")</f>
        <v>#N/A</v>
      </c>
      <c r="J58" s="24" t="str">
        <f t="shared" si="2"/>
        <v/>
      </c>
      <c r="K58" s="222" t="str">
        <f>IF(AC58="","",(VLOOKUP(Info!$C$56,Rates2!$AA$13:$AB$19,2,0)/((1-(1+L58)^(-VLOOKUP(Info!$C$56,Rates2!$AA$13:$AB$19,2,0)))*((1+L58)/L58)))-1)</f>
        <v/>
      </c>
      <c r="L58" s="222" t="str">
        <f>IF(AC58="","",(((1+M58)^(1/VLOOKUP(Info!$C$69,Rates2!$AA$13:$AB$19,2,0)))-1))</f>
        <v/>
      </c>
      <c r="M58" s="223">
        <f t="shared" si="3"/>
        <v>0</v>
      </c>
      <c r="N58" s="24">
        <f t="shared" si="4"/>
        <v>0</v>
      </c>
      <c r="O58" s="24">
        <f>IF(X58&lt;&gt;"",Info!$L$75*X58,"")</f>
        <v>0</v>
      </c>
      <c r="P58" s="24" t="e">
        <f t="shared" si="6"/>
        <v>#N/A</v>
      </c>
      <c r="Q58" s="24">
        <f>U58*Rates2!$C$22</f>
        <v>0</v>
      </c>
      <c r="R58" s="24">
        <f>IF(AC58&lt;=5,Rates2!$B$24*Z58,0)</f>
        <v>0</v>
      </c>
      <c r="S58" s="24">
        <f>Rates2!$C$23*U58</f>
        <v>0</v>
      </c>
      <c r="T58" s="24" t="e">
        <f>IF(AB58&lt;71,Y58*0.0008*(1+(LOOKUP(Info!$I$67,Rates2!$O:$O,Rates2!$N:$N)/100)),0)</f>
        <v>#N/A</v>
      </c>
      <c r="U58" s="24">
        <f>IF(AC58&lt;=5,(V58+(Rates2!$B$27*'جدول نمونه2'!Z58))/(1-Rates2!$B$28),(V58+(Rates2!$B$27*'جدول نمونه2'!Z58)-(Rates2!$B$27*'جدول نمونه2'!Z58))/(1-Rates2!$B$28))</f>
        <v>0</v>
      </c>
      <c r="V58" s="24">
        <f t="shared" si="5"/>
        <v>0</v>
      </c>
      <c r="W58" s="24">
        <v>0</v>
      </c>
      <c r="X58" s="24">
        <f>IF(AB58&lt;&gt;0,(Z58*LOOKUP(AB58,Rates2!$U$2:$U$108,Rates2!$T$2:$T$108))/SQRT(1.1),0)</f>
        <v>0</v>
      </c>
      <c r="Y58" s="24">
        <f>IF(AND(AB58&gt;=0,AB58&lt;=Rates2!$W$3),Z58*(Info!$L$73),Z58)</f>
        <v>0</v>
      </c>
      <c r="Z58" s="24">
        <f>IF(AND(AB58&gt;=0,AC58&lt;&gt;""),Z57*(1+Info!$F$67),0)</f>
        <v>0</v>
      </c>
      <c r="AA58" s="24">
        <f>IF(AB58&lt;&gt;0,AA57*(1+Info!$F$65),0)</f>
        <v>0</v>
      </c>
      <c r="AB58" s="24">
        <f>IF(AC58&lt;&gt;"",IF(Info!$F$63+AC58-1&lt;=Rates2!$W$11,Info!$F$63+AC58-1,0),0)</f>
        <v>0</v>
      </c>
      <c r="AC58" s="146" t="str">
        <f>IF(AB57&lt;&gt;"",IF(AND(AC57&lt;&gt;"",AB57+1&lt;=Rates2!$W$11),IF(AC57&lt;&gt;0,IF(AC57+1&lt;=Info!$C$67,AC57+1,""),0),""),"")</f>
        <v/>
      </c>
    </row>
    <row r="59" spans="1:29" s="220" customFormat="1" ht="18.75" x14ac:dyDescent="0.45">
      <c r="A59" s="224"/>
      <c r="B59" s="25"/>
      <c r="C59" s="25"/>
      <c r="D59" s="25"/>
      <c r="E59" s="25" t="str">
        <f>IF(AC59="","",F59/VLOOKUP(Info!$C$69,Rates2!$AA$13:$AB$19,2,0))</f>
        <v/>
      </c>
      <c r="F59" s="25" t="str">
        <f t="shared" si="0"/>
        <v/>
      </c>
      <c r="G59" s="25" t="str">
        <f t="shared" si="1"/>
        <v/>
      </c>
      <c r="H59" s="25" t="e">
        <f>IF(AB59&lt;&gt;"",Rates2!$Y$10*(P59+U59),"")</f>
        <v>#N/A</v>
      </c>
      <c r="I59" s="25" t="e">
        <f>IF(AB59&lt;&gt;"",(Rates2!$AA$10+Rates2!$Z$10)*(P59+U59),"")</f>
        <v>#N/A</v>
      </c>
      <c r="J59" s="25" t="str">
        <f t="shared" si="2"/>
        <v/>
      </c>
      <c r="K59" s="225" t="str">
        <f>IF(AC59="","",(VLOOKUP(Info!$C$56,Rates2!$AA$13:$AB$19,2,0)/((1-(1+L59)^(-VLOOKUP(Info!$C$56,Rates2!$AA$13:$AB$19,2,0)))*((1+L59)/L59)))-1)</f>
        <v/>
      </c>
      <c r="L59" s="225" t="str">
        <f>IF(AC59="","",(((1+M59)^(1/VLOOKUP(Info!$C$69,Rates2!$AA$13:$AB$19,2,0)))-1))</f>
        <v/>
      </c>
      <c r="M59" s="226">
        <f t="shared" si="3"/>
        <v>0</v>
      </c>
      <c r="N59" s="25">
        <f t="shared" si="4"/>
        <v>0</v>
      </c>
      <c r="O59" s="25">
        <f>IF(X59&lt;&gt;"",Info!$L$75*X59,"")</f>
        <v>0</v>
      </c>
      <c r="P59" s="25" t="e">
        <f t="shared" si="6"/>
        <v>#N/A</v>
      </c>
      <c r="Q59" s="25">
        <f>U59*Rates2!$C$22</f>
        <v>0</v>
      </c>
      <c r="R59" s="25">
        <f>IF(AC59&lt;=5,Rates2!$B$24*Z59,0)</f>
        <v>0</v>
      </c>
      <c r="S59" s="25">
        <f>Rates2!$C$23*U59</f>
        <v>0</v>
      </c>
      <c r="T59" s="25" t="e">
        <f>IF(AB59&lt;71,Y59*0.0008*(1+(LOOKUP(Info!$I$67,Rates2!$O:$O,Rates2!$N:$N)/100)),0)</f>
        <v>#N/A</v>
      </c>
      <c r="U59" s="25">
        <f>IF(AC59&lt;=5,(V59+(Rates2!$B$27*'جدول نمونه2'!Z59))/(1-Rates2!$B$28),(V59+(Rates2!$B$27*'جدول نمونه2'!Z59)-(Rates2!$B$27*'جدول نمونه2'!Z59))/(1-Rates2!$B$28))</f>
        <v>0</v>
      </c>
      <c r="V59" s="25">
        <f t="shared" si="5"/>
        <v>0</v>
      </c>
      <c r="W59" s="25">
        <v>0</v>
      </c>
      <c r="X59" s="25">
        <f>IF(AB59&lt;&gt;0,(Z59*LOOKUP(AB59,Rates2!$U$2:$U$108,Rates2!$T$2:$T$108))/SQRT(1.1),0)</f>
        <v>0</v>
      </c>
      <c r="Y59" s="25">
        <f>IF(AND(AB59&gt;=0,AB59&lt;=Rates2!$W$3),Z59*(Info!$L$73),Z59)</f>
        <v>0</v>
      </c>
      <c r="Z59" s="25">
        <f>IF(AND(AB59&gt;=0,AC59&lt;&gt;""),Z58*(1+Info!$F$67),0)</f>
        <v>0</v>
      </c>
      <c r="AA59" s="25">
        <f>IF(AB59&lt;&gt;0,AA58*(1+Info!$F$65),0)</f>
        <v>0</v>
      </c>
      <c r="AB59" s="25">
        <f>IF(AC59&lt;&gt;"",IF(Info!$F$63+AC59-1&lt;=Rates2!$W$11,Info!$F$63+AC59-1,0),0)</f>
        <v>0</v>
      </c>
      <c r="AC59" s="145" t="str">
        <f>IF(AB58&lt;&gt;"",IF(AND(AC58&lt;&gt;"",AB58+1&lt;=Rates2!$W$11),IF(AC58&lt;&gt;0,IF(AC58+1&lt;=Info!$C$67,AC58+1,""),0),""),"")</f>
        <v/>
      </c>
    </row>
    <row r="60" spans="1:29" s="220" customFormat="1" ht="18.75" x14ac:dyDescent="0.45">
      <c r="A60" s="221"/>
      <c r="B60" s="24"/>
      <c r="C60" s="24"/>
      <c r="D60" s="24"/>
      <c r="E60" s="24" t="str">
        <f>IF(AC60="","",F60/VLOOKUP(Info!$C$69,Rates2!$AA$13:$AB$19,2,0))</f>
        <v/>
      </c>
      <c r="F60" s="24" t="str">
        <f t="shared" si="0"/>
        <v/>
      </c>
      <c r="G60" s="24" t="str">
        <f t="shared" si="1"/>
        <v/>
      </c>
      <c r="H60" s="24" t="e">
        <f>IF(AB60&lt;&gt;"",Rates2!$Y$10*(P60+U60),"")</f>
        <v>#N/A</v>
      </c>
      <c r="I60" s="24" t="e">
        <f>IF(AB60&lt;&gt;"",(Rates2!$AA$10+Rates2!$Z$10)*(P60+U60),"")</f>
        <v>#N/A</v>
      </c>
      <c r="J60" s="24" t="str">
        <f t="shared" si="2"/>
        <v/>
      </c>
      <c r="K60" s="222" t="str">
        <f>IF(AC60="","",(VLOOKUP(Info!$C$56,Rates2!$AA$13:$AB$19,2,0)/((1-(1+L60)^(-VLOOKUP(Info!$C$56,Rates2!$AA$13:$AB$19,2,0)))*((1+L60)/L60)))-1)</f>
        <v/>
      </c>
      <c r="L60" s="222" t="str">
        <f>IF(AC60="","",(((1+M60)^(1/VLOOKUP(Info!$C$69,Rates2!$AA$13:$AB$19,2,0)))-1))</f>
        <v/>
      </c>
      <c r="M60" s="223">
        <f t="shared" si="3"/>
        <v>0</v>
      </c>
      <c r="N60" s="24">
        <f t="shared" si="4"/>
        <v>0</v>
      </c>
      <c r="O60" s="24">
        <f>IF(X60&lt;&gt;"",Info!$L$75*X60,"")</f>
        <v>0</v>
      </c>
      <c r="P60" s="24" t="e">
        <f t="shared" si="6"/>
        <v>#N/A</v>
      </c>
      <c r="Q60" s="24">
        <f>U60*Rates2!$C$22</f>
        <v>0</v>
      </c>
      <c r="R60" s="24">
        <f>IF(AC60&lt;=5,Rates2!$B$24*Z60,0)</f>
        <v>0</v>
      </c>
      <c r="S60" s="24">
        <f>Rates2!$C$23*U60</f>
        <v>0</v>
      </c>
      <c r="T60" s="24" t="e">
        <f>IF(AB60&lt;71,Y60*0.0008*(1+(LOOKUP(Info!$I$67,Rates2!$O:$O,Rates2!$N:$N)/100)),0)</f>
        <v>#N/A</v>
      </c>
      <c r="U60" s="24">
        <f>IF(AC60&lt;=5,(V60+(Rates2!$B$27*'جدول نمونه2'!Z60))/(1-Rates2!$B$28),(V60+(Rates2!$B$27*'جدول نمونه2'!Z60)-(Rates2!$B$27*'جدول نمونه2'!Z60))/(1-Rates2!$B$28))</f>
        <v>0</v>
      </c>
      <c r="V60" s="24">
        <f t="shared" si="5"/>
        <v>0</v>
      </c>
      <c r="W60" s="24">
        <v>0</v>
      </c>
      <c r="X60" s="24">
        <f>IF(AB60&lt;&gt;0,(Z60*LOOKUP(AB60,Rates2!$U$2:$U$108,Rates2!$T$2:$T$108))/SQRT(1.1),0)</f>
        <v>0</v>
      </c>
      <c r="Y60" s="24">
        <f>IF(AND(AB60&gt;=0,AB60&lt;=Rates2!$W$3),Z60*(Info!$L$73),Z60)</f>
        <v>0</v>
      </c>
      <c r="Z60" s="24">
        <f>IF(AND(AB60&gt;=0,AC60&lt;&gt;""),Z59*(1+Info!$F$67),0)</f>
        <v>0</v>
      </c>
      <c r="AA60" s="24">
        <f>IF(AB60&lt;&gt;0,AA59*(1+Info!$F$65),0)</f>
        <v>0</v>
      </c>
      <c r="AB60" s="24">
        <f>IF(AC60&lt;&gt;"",IF(Info!$F$63+AC60-1&lt;=Rates2!$W$11,Info!$F$63+AC60-1,0),0)</f>
        <v>0</v>
      </c>
      <c r="AC60" s="146" t="str">
        <f>IF(AB59&lt;&gt;"",IF(AND(AC59&lt;&gt;"",AB59+1&lt;=Rates2!$W$11),IF(AC59&lt;&gt;0,IF(AC59+1&lt;=Info!$C$67,AC59+1,""),0),""),"")</f>
        <v/>
      </c>
    </row>
    <row r="61" spans="1:29" s="220" customFormat="1" ht="18.75" x14ac:dyDescent="0.45">
      <c r="A61" s="224"/>
      <c r="B61" s="25"/>
      <c r="C61" s="25"/>
      <c r="D61" s="25"/>
      <c r="E61" s="25" t="str">
        <f>IF(AC61="","",F61/VLOOKUP(Info!$C$69,Rates2!$AA$13:$AB$19,2,0))</f>
        <v/>
      </c>
      <c r="F61" s="25" t="str">
        <f t="shared" si="0"/>
        <v/>
      </c>
      <c r="G61" s="25" t="str">
        <f t="shared" si="1"/>
        <v/>
      </c>
      <c r="H61" s="25" t="e">
        <f>IF(AB61&lt;&gt;"",Rates2!$Y$10*(P61+U61),"")</f>
        <v>#N/A</v>
      </c>
      <c r="I61" s="25" t="e">
        <f>IF(AB61&lt;&gt;"",(Rates2!$AA$10+Rates2!$Z$10)*(P61+U61),"")</f>
        <v>#N/A</v>
      </c>
      <c r="J61" s="25" t="str">
        <f t="shared" si="2"/>
        <v/>
      </c>
      <c r="K61" s="225" t="str">
        <f>IF(AC61="","",(VLOOKUP(Info!$C$56,Rates2!$AA$13:$AB$19,2,0)/((1-(1+L61)^(-VLOOKUP(Info!$C$56,Rates2!$AA$13:$AB$19,2,0)))*((1+L61)/L61)))-1)</f>
        <v/>
      </c>
      <c r="L61" s="225" t="str">
        <f>IF(AC61="","",(((1+M61)^(1/VLOOKUP(Info!$C$69,Rates2!$AA$13:$AB$19,2,0)))-1))</f>
        <v/>
      </c>
      <c r="M61" s="226">
        <f t="shared" si="3"/>
        <v>0</v>
      </c>
      <c r="N61" s="25">
        <f t="shared" si="4"/>
        <v>0</v>
      </c>
      <c r="O61" s="25">
        <f>IF(X61&lt;&gt;"",Info!$L$75*X61,"")</f>
        <v>0</v>
      </c>
      <c r="P61" s="25" t="e">
        <f t="shared" si="6"/>
        <v>#N/A</v>
      </c>
      <c r="Q61" s="25">
        <f>U61*Rates2!$C$22</f>
        <v>0</v>
      </c>
      <c r="R61" s="25">
        <f>IF(AC61&lt;=5,Rates2!$B$24*Z61,0)</f>
        <v>0</v>
      </c>
      <c r="S61" s="25">
        <f>Rates2!$C$23*U61</f>
        <v>0</v>
      </c>
      <c r="T61" s="25" t="e">
        <f>IF(AB61&lt;71,Y61*0.0008*(1+(LOOKUP(Info!$I$67,Rates2!$O:$O,Rates2!$N:$N)/100)),0)</f>
        <v>#N/A</v>
      </c>
      <c r="U61" s="25">
        <f>IF(AC61&lt;=5,(V61+(Rates2!$B$27*'جدول نمونه2'!Z61))/(1-Rates2!$B$28),(V61+(Rates2!$B$27*'جدول نمونه2'!Z61)-(Rates2!$B$27*'جدول نمونه2'!Z61))/(1-Rates2!$B$28))</f>
        <v>0</v>
      </c>
      <c r="V61" s="25">
        <f t="shared" si="5"/>
        <v>0</v>
      </c>
      <c r="W61" s="25">
        <v>0</v>
      </c>
      <c r="X61" s="25">
        <f>IF(AB61&lt;&gt;0,(Z61*LOOKUP(AB61,Rates2!$U$2:$U$108,Rates2!$T$2:$T$108))/SQRT(1.1),0)</f>
        <v>0</v>
      </c>
      <c r="Y61" s="25">
        <f>IF(AND(AB61&gt;=0,AB61&lt;=Rates2!$W$3),Z61*(Info!$L$73),Z61)</f>
        <v>0</v>
      </c>
      <c r="Z61" s="25">
        <f>IF(AND(AB61&gt;=0,AC61&lt;&gt;""),Z60*(1+Info!$F$67),0)</f>
        <v>0</v>
      </c>
      <c r="AA61" s="25">
        <f>IF(AB61&lt;&gt;0,AA60*(1+Info!$F$65),0)</f>
        <v>0</v>
      </c>
      <c r="AB61" s="25">
        <f>IF(AC61&lt;&gt;"",IF(Info!$F$63+AC61-1&lt;=Rates2!$W$11,Info!$F$63+AC61-1,0),0)</f>
        <v>0</v>
      </c>
      <c r="AC61" s="145" t="str">
        <f>IF(AB60&lt;&gt;"",IF(AND(AC60&lt;&gt;"",AB60+1&lt;=Rates2!$W$11),IF(AC60&lt;&gt;0,IF(AC60+1&lt;=Info!$C$67,AC60+1,""),0),""),"")</f>
        <v/>
      </c>
    </row>
    <row r="62" spans="1:29" s="220" customFormat="1" ht="18.75" x14ac:dyDescent="0.45">
      <c r="A62" s="221"/>
      <c r="B62" s="24"/>
      <c r="C62" s="24"/>
      <c r="D62" s="24"/>
      <c r="E62" s="24" t="str">
        <f>IF(AC62="","",F62/VLOOKUP(Info!$C$69,Rates2!$AA$13:$AB$19,2,0))</f>
        <v/>
      </c>
      <c r="F62" s="24" t="str">
        <f t="shared" si="0"/>
        <v/>
      </c>
      <c r="G62" s="24" t="str">
        <f t="shared" si="1"/>
        <v/>
      </c>
      <c r="H62" s="24" t="e">
        <f>IF(AB62&lt;&gt;"",Rates2!$Y$10*(P62+U62),"")</f>
        <v>#N/A</v>
      </c>
      <c r="I62" s="24" t="e">
        <f>IF(AB62&lt;&gt;"",(Rates2!$AA$10+Rates2!$Z$10)*(P62+U62),"")</f>
        <v>#N/A</v>
      </c>
      <c r="J62" s="24" t="str">
        <f t="shared" si="2"/>
        <v/>
      </c>
      <c r="K62" s="222" t="str">
        <f>IF(AC62="","",(VLOOKUP(Info!$C$56,Rates2!$AA$13:$AB$19,2,0)/((1-(1+L62)^(-VLOOKUP(Info!$C$56,Rates2!$AA$13:$AB$19,2,0)))*((1+L62)/L62)))-1)</f>
        <v/>
      </c>
      <c r="L62" s="222" t="str">
        <f>IF(AC62="","",(((1+M62)^(1/VLOOKUP(Info!$C$69,Rates2!$AA$13:$AB$19,2,0)))-1))</f>
        <v/>
      </c>
      <c r="M62" s="223">
        <f t="shared" si="3"/>
        <v>0</v>
      </c>
      <c r="N62" s="24">
        <f t="shared" si="4"/>
        <v>0</v>
      </c>
      <c r="O62" s="24">
        <f>IF(X62&lt;&gt;"",Info!$L$75*X62,"")</f>
        <v>0</v>
      </c>
      <c r="P62" s="24" t="e">
        <f t="shared" si="6"/>
        <v>#N/A</v>
      </c>
      <c r="Q62" s="24">
        <f>U62*Rates2!$C$22</f>
        <v>0</v>
      </c>
      <c r="R62" s="24">
        <f>IF(AC62&lt;=5,Rates2!$B$24*Z62,0)</f>
        <v>0</v>
      </c>
      <c r="S62" s="24">
        <f>Rates2!$C$23*U62</f>
        <v>0</v>
      </c>
      <c r="T62" s="24" t="e">
        <f>IF(AB62&lt;71,Y62*0.0008*(1+(LOOKUP(Info!$I$67,Rates2!$O:$O,Rates2!$N:$N)/100)),0)</f>
        <v>#N/A</v>
      </c>
      <c r="U62" s="24">
        <f>IF(AC62&lt;=5,(V62+(Rates2!$B$27*'جدول نمونه2'!Z62))/(1-Rates2!$B$28),(V62+(Rates2!$B$27*'جدول نمونه2'!Z62)-(Rates2!$B$27*'جدول نمونه2'!Z62))/(1-Rates2!$B$28))</f>
        <v>0</v>
      </c>
      <c r="V62" s="24">
        <f t="shared" si="5"/>
        <v>0</v>
      </c>
      <c r="W62" s="24">
        <v>0</v>
      </c>
      <c r="X62" s="24">
        <f>IF(AB62&lt;&gt;0,(Z62*LOOKUP(AB62,Rates2!$U$2:$U$108,Rates2!$T$2:$T$108))/SQRT(1.1),0)</f>
        <v>0</v>
      </c>
      <c r="Y62" s="24">
        <f>IF(AND(AB62&gt;=0,AB62&lt;=Rates2!$W$3),Z62*(Info!$L$73),Z62)</f>
        <v>0</v>
      </c>
      <c r="Z62" s="24">
        <f>IF(AND(AB62&gt;=0,AC62&lt;&gt;""),Z61*(1+Info!$F$67),0)</f>
        <v>0</v>
      </c>
      <c r="AA62" s="24">
        <f>IF(AB62&lt;&gt;0,AA61*(1+Info!$F$65),0)</f>
        <v>0</v>
      </c>
      <c r="AB62" s="24">
        <f>IF(AC62&lt;&gt;"",IF(Info!$F$63+AC62-1&lt;=Rates2!$W$11,Info!$F$63+AC62-1,0),0)</f>
        <v>0</v>
      </c>
      <c r="AC62" s="146" t="str">
        <f>IF(AB61&lt;&gt;"",IF(AND(AC61&lt;&gt;"",AB61+1&lt;=Rates2!$W$11),IF(AC61&lt;&gt;0,IF(AC61+1&lt;=Info!$C$67,AC61+1,""),0),""),"")</f>
        <v/>
      </c>
    </row>
    <row r="63" spans="1:29" s="220" customFormat="1" ht="18.75" x14ac:dyDescent="0.45">
      <c r="A63" s="224"/>
      <c r="B63" s="25"/>
      <c r="C63" s="25"/>
      <c r="D63" s="25"/>
      <c r="E63" s="25" t="str">
        <f>IF(AC63="","",F63/VLOOKUP(Info!$C$69,Rates2!$AA$13:$AB$19,2,0))</f>
        <v/>
      </c>
      <c r="F63" s="25" t="str">
        <f t="shared" si="0"/>
        <v/>
      </c>
      <c r="G63" s="25" t="str">
        <f t="shared" si="1"/>
        <v/>
      </c>
      <c r="H63" s="25" t="e">
        <f>IF(AB63&lt;&gt;"",Rates2!$Y$10*(P63+U63),"")</f>
        <v>#N/A</v>
      </c>
      <c r="I63" s="25" t="e">
        <f>IF(AB63&lt;&gt;"",(Rates2!$AA$10+Rates2!$Z$10)*(P63+U63),"")</f>
        <v>#N/A</v>
      </c>
      <c r="J63" s="25" t="str">
        <f t="shared" si="2"/>
        <v/>
      </c>
      <c r="K63" s="225" t="str">
        <f>IF(AC63="","",(VLOOKUP(Info!$C$56,Rates2!$AA$13:$AB$19,2,0)/((1-(1+L63)^(-VLOOKUP(Info!$C$56,Rates2!$AA$13:$AB$19,2,0)))*((1+L63)/L63)))-1)</f>
        <v/>
      </c>
      <c r="L63" s="225" t="str">
        <f>IF(AC63="","",(((1+M63)^(1/VLOOKUP(Info!$C$69,Rates2!$AA$13:$AB$19,2,0)))-1))</f>
        <v/>
      </c>
      <c r="M63" s="226">
        <f t="shared" si="3"/>
        <v>0</v>
      </c>
      <c r="N63" s="25">
        <f t="shared" si="4"/>
        <v>0</v>
      </c>
      <c r="O63" s="25">
        <f>IF(X63&lt;&gt;"",Info!$L$75*X63,"")</f>
        <v>0</v>
      </c>
      <c r="P63" s="25" t="e">
        <f t="shared" si="6"/>
        <v>#N/A</v>
      </c>
      <c r="Q63" s="25">
        <f>U63*Rates2!$C$22</f>
        <v>0</v>
      </c>
      <c r="R63" s="25">
        <f>IF(AC63&lt;=5,Rates2!$B$24*Z63,0)</f>
        <v>0</v>
      </c>
      <c r="S63" s="25">
        <f>Rates2!$C$23*U63</f>
        <v>0</v>
      </c>
      <c r="T63" s="25" t="e">
        <f>IF(AB63&lt;71,Y63*0.0008*(1+(LOOKUP(Info!$I$67,Rates2!$O:$O,Rates2!$N:$N)/100)),0)</f>
        <v>#N/A</v>
      </c>
      <c r="U63" s="25">
        <f>IF(AC63&lt;=5,(V63+(Rates2!$B$27*'جدول نمونه2'!Z63))/(1-Rates2!$B$28),(V63+(Rates2!$B$27*'جدول نمونه2'!Z63)-(Rates2!$B$27*'جدول نمونه2'!Z63))/(1-Rates2!$B$28))</f>
        <v>0</v>
      </c>
      <c r="V63" s="25">
        <f t="shared" si="5"/>
        <v>0</v>
      </c>
      <c r="W63" s="25">
        <v>0</v>
      </c>
      <c r="X63" s="25">
        <f>IF(AB63&lt;&gt;0,(Z63*LOOKUP(AB63,Rates2!$U$2:$U$108,Rates2!$T$2:$T$108))/SQRT(1.1),0)</f>
        <v>0</v>
      </c>
      <c r="Y63" s="25">
        <f>IF(AND(AB63&gt;=0,AB63&lt;=Rates2!$W$3),Z63*(Info!$L$73),Z63)</f>
        <v>0</v>
      </c>
      <c r="Z63" s="25">
        <f>IF(AND(AB63&gt;=0,AC63&lt;&gt;""),Z62*(1+Info!$F$67),0)</f>
        <v>0</v>
      </c>
      <c r="AA63" s="25">
        <f>IF(AB63&lt;&gt;0,AA62*(1+Info!$F$65),0)</f>
        <v>0</v>
      </c>
      <c r="AB63" s="25">
        <f>IF(AC63&lt;&gt;"",IF(Info!$F$63+AC63-1&lt;=Rates2!$W$11,Info!$F$63+AC63-1,0),0)</f>
        <v>0</v>
      </c>
      <c r="AC63" s="145" t="str">
        <f>IF(AB62&lt;&gt;"",IF(AND(AC62&lt;&gt;"",AB62+1&lt;=Rates2!$W$11),IF(AC62&lt;&gt;0,IF(AC62+1&lt;=Info!$C$67,AC62+1,""),0),""),"")</f>
        <v/>
      </c>
    </row>
    <row r="64" spans="1:29" s="220" customFormat="1" ht="18.75" x14ac:dyDescent="0.45">
      <c r="A64" s="221"/>
      <c r="B64" s="24"/>
      <c r="C64" s="24"/>
      <c r="D64" s="24"/>
      <c r="E64" s="24" t="str">
        <f>IF(AC64="","",F64/VLOOKUP(Info!$C$69,Rates2!$AA$13:$AB$19,2,0))</f>
        <v/>
      </c>
      <c r="F64" s="24" t="str">
        <f t="shared" si="0"/>
        <v/>
      </c>
      <c r="G64" s="24" t="str">
        <f t="shared" si="1"/>
        <v/>
      </c>
      <c r="H64" s="24" t="e">
        <f>IF(AB64&lt;&gt;"",Rates2!$Y$10*(P64+U64),"")</f>
        <v>#N/A</v>
      </c>
      <c r="I64" s="24" t="e">
        <f>IF(AB64&lt;&gt;"",(Rates2!$AA$10+Rates2!$Z$10)*(P64+U64),"")</f>
        <v>#N/A</v>
      </c>
      <c r="J64" s="24" t="str">
        <f t="shared" si="2"/>
        <v/>
      </c>
      <c r="K64" s="222" t="str">
        <f>IF(AC64="","",(VLOOKUP(Info!$C$56,Rates2!$AA$13:$AB$19,2,0)/((1-(1+L64)^(-VLOOKUP(Info!$C$56,Rates2!$AA$13:$AB$19,2,0)))*((1+L64)/L64)))-1)</f>
        <v/>
      </c>
      <c r="L64" s="222" t="str">
        <f>IF(AC64="","",(((1+M64)^(1/VLOOKUP(Info!$C$69,Rates2!$AA$13:$AB$19,2,0)))-1))</f>
        <v/>
      </c>
      <c r="M64" s="223">
        <f t="shared" si="3"/>
        <v>0</v>
      </c>
      <c r="N64" s="24">
        <f t="shared" si="4"/>
        <v>0</v>
      </c>
      <c r="O64" s="24">
        <f>IF(X64&lt;&gt;"",Info!$L$75*X64,"")</f>
        <v>0</v>
      </c>
      <c r="P64" s="24" t="e">
        <f t="shared" si="6"/>
        <v>#N/A</v>
      </c>
      <c r="Q64" s="24">
        <f>U64*Rates2!$C$22</f>
        <v>0</v>
      </c>
      <c r="R64" s="24">
        <f>IF(AC64&lt;=5,Rates2!$B$24*Z64,0)</f>
        <v>0</v>
      </c>
      <c r="S64" s="24">
        <f>Rates2!$C$23*U64</f>
        <v>0</v>
      </c>
      <c r="T64" s="24" t="e">
        <f>IF(AB64&lt;71,Y64*0.0008*(1+(LOOKUP(Info!$I$67,Rates2!$O:$O,Rates2!$N:$N)/100)),0)</f>
        <v>#N/A</v>
      </c>
      <c r="U64" s="24">
        <f>IF(AC64&lt;=5,(V64+(Rates2!$B$27*'جدول نمونه2'!Z64))/(1-Rates2!$B$28),(V64+(Rates2!$B$27*'جدول نمونه2'!Z64)-(Rates2!$B$27*'جدول نمونه2'!Z64))/(1-Rates2!$B$28))</f>
        <v>0</v>
      </c>
      <c r="V64" s="24">
        <f t="shared" si="5"/>
        <v>0</v>
      </c>
      <c r="W64" s="24">
        <v>0</v>
      </c>
      <c r="X64" s="24">
        <f>IF(AB64&lt;&gt;0,(Z64*LOOKUP(AB64,Rates2!$U$2:$U$108,Rates2!$T$2:$T$108))/SQRT(1.1),0)</f>
        <v>0</v>
      </c>
      <c r="Y64" s="24">
        <f>IF(AND(AB64&gt;=0,AB64&lt;=Rates2!$W$3),Z64*(Info!$L$73),Z64)</f>
        <v>0</v>
      </c>
      <c r="Z64" s="24">
        <f>IF(AND(AB64&gt;=0,AC64&lt;&gt;""),Z63*(1+Info!$F$67),0)</f>
        <v>0</v>
      </c>
      <c r="AA64" s="24">
        <f>IF(AB64&lt;&gt;0,AA63*(1+Info!$F$65),0)</f>
        <v>0</v>
      </c>
      <c r="AB64" s="24">
        <f>IF(AC64&lt;&gt;"",IF(Info!$F$63+AC64-1&lt;=Rates2!$W$11,Info!$F$63+AC64-1,0),0)</f>
        <v>0</v>
      </c>
      <c r="AC64" s="146" t="str">
        <f>IF(AB63&lt;&gt;"",IF(AND(AC63&lt;&gt;"",AB63+1&lt;=Rates2!$W$11),IF(AC63&lt;&gt;0,IF(AC63+1&lt;=Info!$C$67,AC63+1,""),0),""),"")</f>
        <v/>
      </c>
    </row>
    <row r="65" spans="1:29" s="220" customFormat="1" ht="18.75" x14ac:dyDescent="0.45">
      <c r="A65" s="224"/>
      <c r="B65" s="25"/>
      <c r="C65" s="25"/>
      <c r="D65" s="25"/>
      <c r="E65" s="25" t="str">
        <f>IF(AC65="","",F65/VLOOKUP(Info!$C$69,Rates2!$AA$13:$AB$19,2,0))</f>
        <v/>
      </c>
      <c r="F65" s="25" t="str">
        <f t="shared" si="0"/>
        <v/>
      </c>
      <c r="G65" s="25" t="str">
        <f t="shared" si="1"/>
        <v/>
      </c>
      <c r="H65" s="25" t="e">
        <f>IF(AB65&lt;&gt;"",Rates2!$Y$10*(P65+U65),"")</f>
        <v>#N/A</v>
      </c>
      <c r="I65" s="25" t="e">
        <f>IF(AB65&lt;&gt;"",(Rates2!$AA$10+Rates2!$Z$10)*(P65+U65),"")</f>
        <v>#N/A</v>
      </c>
      <c r="J65" s="25" t="str">
        <f t="shared" si="2"/>
        <v/>
      </c>
      <c r="K65" s="225" t="str">
        <f>IF(AC65="","",(VLOOKUP(Info!$C$56,Rates2!$AA$13:$AB$19,2,0)/((1-(1+L65)^(-VLOOKUP(Info!$C$56,Rates2!$AA$13:$AB$19,2,0)))*((1+L65)/L65)))-1)</f>
        <v/>
      </c>
      <c r="L65" s="225" t="str">
        <f>IF(AC65="","",(((1+M65)^(1/VLOOKUP(Info!$C$69,Rates2!$AA$13:$AB$19,2,0)))-1))</f>
        <v/>
      </c>
      <c r="M65" s="226">
        <f t="shared" si="3"/>
        <v>0</v>
      </c>
      <c r="N65" s="25">
        <f t="shared" si="4"/>
        <v>0</v>
      </c>
      <c r="O65" s="25">
        <f>IF(X65&lt;&gt;"",Info!$L$75*X65,"")</f>
        <v>0</v>
      </c>
      <c r="P65" s="25" t="e">
        <f t="shared" si="6"/>
        <v>#N/A</v>
      </c>
      <c r="Q65" s="25">
        <f>U65*Rates2!$C$22</f>
        <v>0</v>
      </c>
      <c r="R65" s="25">
        <f>IF(AC65&lt;=5,Rates2!$B$24*Z65,0)</f>
        <v>0</v>
      </c>
      <c r="S65" s="25">
        <f>Rates2!$C$23*U65</f>
        <v>0</v>
      </c>
      <c r="T65" s="25" t="e">
        <f>IF(AB65&lt;71,Y65*0.0008*(1+(LOOKUP(Info!$I$67,Rates2!$O:$O,Rates2!$N:$N)/100)),0)</f>
        <v>#N/A</v>
      </c>
      <c r="U65" s="25">
        <f>IF(AC65&lt;=5,(V65+(Rates2!$B$27*'جدول نمونه2'!Z65))/(1-Rates2!$B$28),(V65+(Rates2!$B$27*'جدول نمونه2'!Z65)-(Rates2!$B$27*'جدول نمونه2'!Z65))/(1-Rates2!$B$28))</f>
        <v>0</v>
      </c>
      <c r="V65" s="25">
        <f t="shared" si="5"/>
        <v>0</v>
      </c>
      <c r="W65" s="25">
        <v>0</v>
      </c>
      <c r="X65" s="25">
        <f>IF(AB65&lt;&gt;0,(Z65*LOOKUP(AB65,Rates2!$U$2:$U$108,Rates2!$T$2:$T$108))/SQRT(1.1),0)</f>
        <v>0</v>
      </c>
      <c r="Y65" s="25">
        <f>IF(AND(AB65&gt;=0,AB65&lt;=Rates2!$W$3),Z65*(Info!$L$73),Z65)</f>
        <v>0</v>
      </c>
      <c r="Z65" s="25">
        <f>IF(AND(AB65&gt;=0,AC65&lt;&gt;""),Z64*(1+Info!$F$67),0)</f>
        <v>0</v>
      </c>
      <c r="AA65" s="25">
        <f>IF(AB65&lt;&gt;0,AA64*(1+Info!$F$65),0)</f>
        <v>0</v>
      </c>
      <c r="AB65" s="25">
        <f>IF(AC65&lt;&gt;"",IF(Info!$F$63+AC65-1&lt;=Rates2!$W$11,Info!$F$63+AC65-1,0),0)</f>
        <v>0</v>
      </c>
      <c r="AC65" s="145" t="str">
        <f>IF(AB64&lt;&gt;"",IF(AND(AC64&lt;&gt;"",AB64+1&lt;=Rates2!$W$11),IF(AC64&lt;&gt;0,IF(AC64+1&lt;=Info!$C$67,AC64+1,""),0),""),"")</f>
        <v/>
      </c>
    </row>
    <row r="66" spans="1:29" s="220" customFormat="1" ht="18.75" x14ac:dyDescent="0.45">
      <c r="A66" s="221"/>
      <c r="B66" s="24"/>
      <c r="C66" s="24"/>
      <c r="D66" s="24"/>
      <c r="E66" s="24" t="str">
        <f>IF(AC66="","",F66/VLOOKUP(Info!$C$69,Rates2!$AA$13:$AB$19,2,0))</f>
        <v/>
      </c>
      <c r="F66" s="24" t="str">
        <f t="shared" si="0"/>
        <v/>
      </c>
      <c r="G66" s="24" t="str">
        <f t="shared" si="1"/>
        <v/>
      </c>
      <c r="H66" s="24" t="e">
        <f>IF(AB66&lt;&gt;"",Rates2!$Y$10*(P66+U66),"")</f>
        <v>#N/A</v>
      </c>
      <c r="I66" s="24" t="e">
        <f>IF(AB66&lt;&gt;"",(Rates2!$AA$10+Rates2!$Z$10)*(P66+U66),"")</f>
        <v>#N/A</v>
      </c>
      <c r="J66" s="24" t="str">
        <f t="shared" si="2"/>
        <v/>
      </c>
      <c r="K66" s="222" t="str">
        <f>IF(AC66="","",(VLOOKUP(Info!$C$56,Rates2!$AA$13:$AB$19,2,0)/((1-(1+L66)^(-VLOOKUP(Info!$C$56,Rates2!$AA$13:$AB$19,2,0)))*((1+L66)/L66)))-1)</f>
        <v/>
      </c>
      <c r="L66" s="222" t="str">
        <f>IF(AC66="","",(((1+M66)^(1/VLOOKUP(Info!$C$69,Rates2!$AA$13:$AB$19,2,0)))-1))</f>
        <v/>
      </c>
      <c r="M66" s="223">
        <f t="shared" si="3"/>
        <v>0</v>
      </c>
      <c r="N66" s="24">
        <f t="shared" si="4"/>
        <v>0</v>
      </c>
      <c r="O66" s="24">
        <f>IF(X66&lt;&gt;"",Info!$L$75*X66,"")</f>
        <v>0</v>
      </c>
      <c r="P66" s="24" t="e">
        <f t="shared" si="6"/>
        <v>#N/A</v>
      </c>
      <c r="Q66" s="24">
        <f>U66*Rates2!$C$22</f>
        <v>0</v>
      </c>
      <c r="R66" s="24">
        <f>IF(AC66&lt;=5,Rates2!$B$24*Z66,0)</f>
        <v>0</v>
      </c>
      <c r="S66" s="24">
        <f>Rates2!$C$23*U66</f>
        <v>0</v>
      </c>
      <c r="T66" s="24" t="e">
        <f>IF(AB66&lt;71,Y66*0.0008*(1+(LOOKUP(Info!$I$67,Rates2!$O:$O,Rates2!$N:$N)/100)),0)</f>
        <v>#N/A</v>
      </c>
      <c r="U66" s="24">
        <f>IF(AC66&lt;=5,(V66+(Rates2!$B$27*'جدول نمونه2'!Z66))/(1-Rates2!$B$28),(V66+(Rates2!$B$27*'جدول نمونه2'!Z66)-(Rates2!$B$27*'جدول نمونه2'!Z66))/(1-Rates2!$B$28))</f>
        <v>0</v>
      </c>
      <c r="V66" s="24">
        <f t="shared" si="5"/>
        <v>0</v>
      </c>
      <c r="W66" s="24">
        <v>0</v>
      </c>
      <c r="X66" s="24">
        <f>IF(AB66&lt;&gt;0,(Z66*LOOKUP(AB66,Rates2!$U$2:$U$108,Rates2!$T$2:$T$108))/SQRT(1.1),0)</f>
        <v>0</v>
      </c>
      <c r="Y66" s="24">
        <f>IF(AND(AB66&gt;=0,AB66&lt;=Rates2!$W$3),Z66*(Info!$L$73),Z66)</f>
        <v>0</v>
      </c>
      <c r="Z66" s="24">
        <f>IF(AND(AB66&gt;=0,AC66&lt;&gt;""),Z65*(1+Info!$F$67),0)</f>
        <v>0</v>
      </c>
      <c r="AA66" s="24">
        <f>IF(AB66&lt;&gt;0,AA65*(1+Info!$F$65),0)</f>
        <v>0</v>
      </c>
      <c r="AB66" s="24">
        <f>IF(AC66&lt;&gt;"",IF(Info!$F$63+AC66-1&lt;=Rates2!$W$11,Info!$F$63+AC66-1,0),0)</f>
        <v>0</v>
      </c>
      <c r="AC66" s="146" t="str">
        <f>IF(AB65&lt;&gt;"",IF(AND(AC65&lt;&gt;"",AB65+1&lt;=Rates2!$W$11),IF(AC65&lt;&gt;0,IF(AC65+1&lt;=Info!$C$67,AC65+1,""),0),""),"")</f>
        <v/>
      </c>
    </row>
    <row r="67" spans="1:29" s="220" customFormat="1" ht="18.75" x14ac:dyDescent="0.45">
      <c r="A67" s="224"/>
      <c r="B67" s="25"/>
      <c r="C67" s="25"/>
      <c r="D67" s="25"/>
      <c r="E67" s="25" t="str">
        <f>IF(AC67="","",F67/VLOOKUP(Info!$C$69,Rates2!$AA$13:$AB$19,2,0))</f>
        <v/>
      </c>
      <c r="F67" s="25" t="str">
        <f t="shared" si="0"/>
        <v/>
      </c>
      <c r="G67" s="25" t="str">
        <f t="shared" si="1"/>
        <v/>
      </c>
      <c r="H67" s="25" t="e">
        <f>IF(AB67&lt;&gt;"",Rates2!$Y$10*(P67+U67),"")</f>
        <v>#N/A</v>
      </c>
      <c r="I67" s="25" t="e">
        <f>IF(AB67&lt;&gt;"",(Rates2!$AA$10+Rates2!$Z$10)*(P67+U67),"")</f>
        <v>#N/A</v>
      </c>
      <c r="J67" s="25" t="str">
        <f t="shared" si="2"/>
        <v/>
      </c>
      <c r="K67" s="225" t="str">
        <f>IF(AC67="","",(VLOOKUP(Info!$C$56,Rates2!$AA$13:$AB$19,2,0)/((1-(1+L67)^(-VLOOKUP(Info!$C$56,Rates2!$AA$13:$AB$19,2,0)))*((1+L67)/L67)))-1)</f>
        <v/>
      </c>
      <c r="L67" s="225" t="str">
        <f>IF(AC67="","",(((1+M67)^(1/VLOOKUP(Info!$C$69,Rates2!$AA$13:$AB$19,2,0)))-1))</f>
        <v/>
      </c>
      <c r="M67" s="226">
        <f t="shared" si="3"/>
        <v>0</v>
      </c>
      <c r="N67" s="25">
        <f t="shared" si="4"/>
        <v>0</v>
      </c>
      <c r="O67" s="25">
        <f>IF(X67&lt;&gt;"",Info!$L$75*X67,"")</f>
        <v>0</v>
      </c>
      <c r="P67" s="25" t="e">
        <f t="shared" si="6"/>
        <v>#N/A</v>
      </c>
      <c r="Q67" s="25">
        <f>U67*Rates2!$C$22</f>
        <v>0</v>
      </c>
      <c r="R67" s="25">
        <f>IF(AC67&lt;=5,Rates2!$B$24*Z67,0)</f>
        <v>0</v>
      </c>
      <c r="S67" s="25">
        <f>Rates2!$C$23*U67</f>
        <v>0</v>
      </c>
      <c r="T67" s="25" t="e">
        <f>IF(AB67&lt;71,Y67*0.0008*(1+(LOOKUP(Info!$I$67,Rates2!$O:$O,Rates2!$N:$N)/100)),0)</f>
        <v>#N/A</v>
      </c>
      <c r="U67" s="25">
        <f>IF(AC67&lt;=5,(V67+(Rates2!$B$27*'جدول نمونه2'!Z67))/(1-Rates2!$B$28),(V67+(Rates2!$B$27*'جدول نمونه2'!Z67)-(Rates2!$B$27*'جدول نمونه2'!Z67))/(1-Rates2!$B$28))</f>
        <v>0</v>
      </c>
      <c r="V67" s="25">
        <f t="shared" si="5"/>
        <v>0</v>
      </c>
      <c r="W67" s="25">
        <v>0</v>
      </c>
      <c r="X67" s="25">
        <f>IF(AB67&lt;&gt;0,(Z67*LOOKUP(AB67,Rates2!$U$2:$U$108,Rates2!$T$2:$T$108))/SQRT(1.1),0)</f>
        <v>0</v>
      </c>
      <c r="Y67" s="25">
        <f>IF(AND(AB67&gt;=0,AB67&lt;=Rates2!$W$3),Z67*(Info!$L$73),Z67)</f>
        <v>0</v>
      </c>
      <c r="Z67" s="25">
        <f>IF(AND(AB67&gt;=0,AC67&lt;&gt;""),Z66*(1+Info!$F$67),0)</f>
        <v>0</v>
      </c>
      <c r="AA67" s="25">
        <f>IF(AB67&lt;&gt;0,AA66*(1+Info!$F$65),0)</f>
        <v>0</v>
      </c>
      <c r="AB67" s="25">
        <f>IF(AC67&lt;&gt;"",IF(Info!$F$63+AC67-1&lt;=Rates2!$W$11,Info!$F$63+AC67-1,0),0)</f>
        <v>0</v>
      </c>
      <c r="AC67" s="145" t="str">
        <f>IF(AB66&lt;&gt;"",IF(AND(AC66&lt;&gt;"",AB66+1&lt;=Rates2!$W$11),IF(AC66&lt;&gt;0,IF(AC66+1&lt;=Info!$C$67,AC66+1,""),0),""),"")</f>
        <v/>
      </c>
    </row>
    <row r="68" spans="1:29" s="220" customFormat="1" ht="18.75" x14ac:dyDescent="0.45">
      <c r="A68" s="221"/>
      <c r="B68" s="24"/>
      <c r="C68" s="24"/>
      <c r="D68" s="24"/>
      <c r="E68" s="24" t="str">
        <f>IF(AC68="","",F68/VLOOKUP(Info!$C$69,Rates2!$AA$13:$AB$19,2,0))</f>
        <v/>
      </c>
      <c r="F68" s="24" t="str">
        <f t="shared" ref="F68:F82" si="7">IF(AC68="","",G68+J68)</f>
        <v/>
      </c>
      <c r="G68" s="24" t="str">
        <f t="shared" ref="G68:G82" si="8">IF(AC68="","",H68+I68+P68+U68)</f>
        <v/>
      </c>
      <c r="H68" s="24" t="e">
        <f>IF(AB68&lt;&gt;"",Rates2!$Y$10*(P68+U68),"")</f>
        <v>#N/A</v>
      </c>
      <c r="I68" s="24" t="e">
        <f>IF(AB68&lt;&gt;"",(Rates2!$AA$10+Rates2!$Z$10)*(P68+U68),"")</f>
        <v>#N/A</v>
      </c>
      <c r="J68" s="24" t="str">
        <f t="shared" ref="J68:J82" si="9">IF(AC68="","",K68*(P68+U68))</f>
        <v/>
      </c>
      <c r="K68" s="222" t="str">
        <f>IF(AC68="","",(VLOOKUP(Info!$C$56,Rates2!$AA$13:$AB$19,2,0)/((1-(1+L68)^(-VLOOKUP(Info!$C$56,Rates2!$AA$13:$AB$19,2,0)))*((1+L68)/L68)))-1)</f>
        <v/>
      </c>
      <c r="L68" s="222" t="str">
        <f>IF(AC68="","",(((1+M68)^(1/VLOOKUP(Info!$C$69,Rates2!$AA$13:$AB$19,2,0)))-1))</f>
        <v/>
      </c>
      <c r="M68" s="223">
        <f t="shared" ref="M68:M82" si="10">IF(AC68&lt;&gt;"",0.1,0)</f>
        <v>0</v>
      </c>
      <c r="N68" s="24">
        <f t="shared" ref="N68:N82" si="11">IF(Q68="",0,Q68)+IF(R68="",0,R68)+IF(S68="",0,S68)</f>
        <v>0</v>
      </c>
      <c r="O68" s="24">
        <f>IF(X68&lt;&gt;"",Info!$L$75*X68,"")</f>
        <v>0</v>
      </c>
      <c r="P68" s="24" t="e">
        <f t="shared" si="6"/>
        <v>#N/A</v>
      </c>
      <c r="Q68" s="24">
        <f>U68*Rates2!$C$22</f>
        <v>0</v>
      </c>
      <c r="R68" s="24">
        <f>IF(AC68&lt;=5,Rates2!$B$24*Z68,0)</f>
        <v>0</v>
      </c>
      <c r="S68" s="24">
        <f>Rates2!$C$23*U68</f>
        <v>0</v>
      </c>
      <c r="T68" s="24" t="e">
        <f>IF(AB68&lt;71,Y68*0.0008*(1+(LOOKUP(Info!$I$67,Rates2!$O:$O,Rates2!$N:$N)/100)),0)</f>
        <v>#N/A</v>
      </c>
      <c r="U68" s="24">
        <f>IF(AC68&lt;=5,(V68+(Rates2!$B$27*'جدول نمونه2'!Z68))/(1-Rates2!$B$28),(V68+(Rates2!$B$27*'جدول نمونه2'!Z68)-(Rates2!$B$27*'جدول نمونه2'!Z68))/(1-Rates2!$B$28))</f>
        <v>0</v>
      </c>
      <c r="V68" s="24">
        <f t="shared" ref="V68:V82" si="12">X68+O68</f>
        <v>0</v>
      </c>
      <c r="W68" s="24">
        <v>0</v>
      </c>
      <c r="X68" s="24">
        <f>IF(AB68&lt;&gt;0,(Z68*LOOKUP(AB68,Rates2!$U$2:$U$108,Rates2!$T$2:$T$108))/SQRT(1.1),0)</f>
        <v>0</v>
      </c>
      <c r="Y68" s="24">
        <f>IF(AND(AB68&gt;=0,AB68&lt;=Rates2!$W$3),Z68*(Info!$L$73),Z68)</f>
        <v>0</v>
      </c>
      <c r="Z68" s="24">
        <f>IF(AND(AB68&gt;=0,AC68&lt;&gt;""),Z67*(1+Info!$F$67),0)</f>
        <v>0</v>
      </c>
      <c r="AA68" s="24">
        <f>IF(AB68&lt;&gt;0,AA67*(1+Info!$F$65),0)</f>
        <v>0</v>
      </c>
      <c r="AB68" s="24">
        <f>IF(AC68&lt;&gt;"",IF(Info!$F$63+AC68-1&lt;=Rates2!$W$11,Info!$F$63+AC68-1,0),0)</f>
        <v>0</v>
      </c>
      <c r="AC68" s="146" t="str">
        <f>IF(AB67&lt;&gt;"",IF(AND(AC67&lt;&gt;"",AB67+1&lt;=Rates2!$W$11),IF(AC67&lt;&gt;0,IF(AC67+1&lt;=Info!$C$67,AC67+1,""),0),""),"")</f>
        <v/>
      </c>
    </row>
    <row r="69" spans="1:29" s="220" customFormat="1" ht="18.75" x14ac:dyDescent="0.45">
      <c r="A69" s="224"/>
      <c r="B69" s="25"/>
      <c r="C69" s="25"/>
      <c r="D69" s="25"/>
      <c r="E69" s="25" t="str">
        <f>IF(AC69="","",F69/VLOOKUP(Info!$C$69,Rates2!$AA$13:$AB$19,2,0))</f>
        <v/>
      </c>
      <c r="F69" s="25" t="str">
        <f t="shared" si="7"/>
        <v/>
      </c>
      <c r="G69" s="25" t="str">
        <f t="shared" si="8"/>
        <v/>
      </c>
      <c r="H69" s="25" t="e">
        <f>IF(AB69&lt;&gt;"",Rates2!$Y$10*(P69+U69),"")</f>
        <v>#N/A</v>
      </c>
      <c r="I69" s="25" t="e">
        <f>IF(AB69&lt;&gt;"",(Rates2!$AA$10+Rates2!$Z$10)*(P69+U69),"")</f>
        <v>#N/A</v>
      </c>
      <c r="J69" s="25" t="str">
        <f t="shared" si="9"/>
        <v/>
      </c>
      <c r="K69" s="225" t="str">
        <f>IF(AC69="","",(VLOOKUP(Info!$C$56,Rates2!$AA$13:$AB$19,2,0)/((1-(1+L69)^(-VLOOKUP(Info!$C$56,Rates2!$AA$13:$AB$19,2,0)))*((1+L69)/L69)))-1)</f>
        <v/>
      </c>
      <c r="L69" s="225" t="str">
        <f>IF(AC69="","",(((1+M69)^(1/VLOOKUP(Info!$C$69,Rates2!$AA$13:$AB$19,2,0)))-1))</f>
        <v/>
      </c>
      <c r="M69" s="226">
        <f t="shared" si="10"/>
        <v>0</v>
      </c>
      <c r="N69" s="25">
        <f t="shared" si="11"/>
        <v>0</v>
      </c>
      <c r="O69" s="25">
        <f>IF(X69&lt;&gt;"",Info!$L$75*X69,"")</f>
        <v>0</v>
      </c>
      <c r="P69" s="25" t="e">
        <f t="shared" ref="P69:P82" si="13">T69</f>
        <v>#N/A</v>
      </c>
      <c r="Q69" s="25">
        <f>U69*Rates2!$C$22</f>
        <v>0</v>
      </c>
      <c r="R69" s="25">
        <f>IF(AC69&lt;=5,Rates2!$B$24*Z69,0)</f>
        <v>0</v>
      </c>
      <c r="S69" s="25">
        <f>Rates2!$C$23*U69</f>
        <v>0</v>
      </c>
      <c r="T69" s="25" t="e">
        <f>IF(AB69&lt;71,Y69*0.0008*(1+(LOOKUP(Info!$I$67,Rates2!$O:$O,Rates2!$N:$N)/100)),0)</f>
        <v>#N/A</v>
      </c>
      <c r="U69" s="25">
        <f>IF(AC69&lt;=5,(V69+(Rates2!$B$27*'جدول نمونه2'!Z69))/(1-Rates2!$B$28),(V69+(Rates2!$B$27*'جدول نمونه2'!Z69)-(Rates2!$B$27*'جدول نمونه2'!Z69))/(1-Rates2!$B$28))</f>
        <v>0</v>
      </c>
      <c r="V69" s="25">
        <f t="shared" si="12"/>
        <v>0</v>
      </c>
      <c r="W69" s="25">
        <v>0</v>
      </c>
      <c r="X69" s="25">
        <f>IF(AB69&lt;&gt;0,(Z69*LOOKUP(AB69,Rates2!$U$2:$U$108,Rates2!$T$2:$T$108))/SQRT(1.1),0)</f>
        <v>0</v>
      </c>
      <c r="Y69" s="25">
        <f>IF(AND(AB69&gt;=0,AB69&lt;=Rates2!$W$3),Z69*(Info!$L$73),Z69)</f>
        <v>0</v>
      </c>
      <c r="Z69" s="25">
        <f>IF(AND(AB69&gt;=0,AC69&lt;&gt;""),Z68*(1+Info!$F$67),0)</f>
        <v>0</v>
      </c>
      <c r="AA69" s="25">
        <f>IF(AB69&lt;&gt;0,AA68*(1+Info!$F$65),0)</f>
        <v>0</v>
      </c>
      <c r="AB69" s="25">
        <f>IF(AC69&lt;&gt;"",IF(Info!$F$63+AC69-1&lt;=Rates2!$W$11,Info!$F$63+AC69-1,0),0)</f>
        <v>0</v>
      </c>
      <c r="AC69" s="145" t="str">
        <f>IF(AB68&lt;&gt;"",IF(AND(AC68&lt;&gt;"",AB68+1&lt;=Rates2!$W$11),IF(AC68&lt;&gt;0,IF(AC68+1&lt;=Info!$C$67,AC68+1,""),0),""),"")</f>
        <v/>
      </c>
    </row>
    <row r="70" spans="1:29" s="220" customFormat="1" ht="18.75" x14ac:dyDescent="0.45">
      <c r="A70" s="221"/>
      <c r="B70" s="24"/>
      <c r="C70" s="24"/>
      <c r="D70" s="24"/>
      <c r="E70" s="24" t="str">
        <f>IF(AC70="","",F70/VLOOKUP(Info!$C$69,Rates2!$AA$13:$AB$19,2,0))</f>
        <v/>
      </c>
      <c r="F70" s="24" t="str">
        <f t="shared" si="7"/>
        <v/>
      </c>
      <c r="G70" s="24" t="str">
        <f t="shared" si="8"/>
        <v/>
      </c>
      <c r="H70" s="24" t="e">
        <f>IF(AB70&lt;&gt;"",Rates2!$Y$10*(P70+U70),"")</f>
        <v>#N/A</v>
      </c>
      <c r="I70" s="24" t="e">
        <f>IF(AB70&lt;&gt;"",(Rates2!$AA$10+Rates2!$Z$10)*(P70+U70),"")</f>
        <v>#N/A</v>
      </c>
      <c r="J70" s="24" t="str">
        <f t="shared" si="9"/>
        <v/>
      </c>
      <c r="K70" s="222" t="str">
        <f>IF(AC70="","",(VLOOKUP(Info!$C$56,Rates2!$AA$13:$AB$19,2,0)/((1-(1+L70)^(-VLOOKUP(Info!$C$56,Rates2!$AA$13:$AB$19,2,0)))*((1+L70)/L70)))-1)</f>
        <v/>
      </c>
      <c r="L70" s="222" t="str">
        <f>IF(AC70="","",(((1+M70)^(1/VLOOKUP(Info!$C$69,Rates2!$AA$13:$AB$19,2,0)))-1))</f>
        <v/>
      </c>
      <c r="M70" s="223">
        <f t="shared" si="10"/>
        <v>0</v>
      </c>
      <c r="N70" s="24">
        <f t="shared" si="11"/>
        <v>0</v>
      </c>
      <c r="O70" s="24">
        <f>IF(X70&lt;&gt;"",Info!$L$75*X70,"")</f>
        <v>0</v>
      </c>
      <c r="P70" s="24" t="e">
        <f t="shared" si="13"/>
        <v>#N/A</v>
      </c>
      <c r="Q70" s="24">
        <f>U70*Rates2!$C$22</f>
        <v>0</v>
      </c>
      <c r="R70" s="24">
        <f>IF(AC70&lt;=5,Rates2!$B$24*Z70,0)</f>
        <v>0</v>
      </c>
      <c r="S70" s="24">
        <f>Rates2!$C$23*U70</f>
        <v>0</v>
      </c>
      <c r="T70" s="24" t="e">
        <f>IF(AB70&lt;71,Y70*0.0008*(1+(LOOKUP(Info!$I$67,Rates2!$O:$O,Rates2!$N:$N)/100)),0)</f>
        <v>#N/A</v>
      </c>
      <c r="U70" s="24">
        <f>IF(AC70&lt;=5,(V70+(Rates2!$B$27*'جدول نمونه2'!Z70))/(1-Rates2!$B$28),(V70+(Rates2!$B$27*'جدول نمونه2'!Z70)-(Rates2!$B$27*'جدول نمونه2'!Z70))/(1-Rates2!$B$28))</f>
        <v>0</v>
      </c>
      <c r="V70" s="24">
        <f t="shared" si="12"/>
        <v>0</v>
      </c>
      <c r="W70" s="24">
        <v>0</v>
      </c>
      <c r="X70" s="24">
        <f>IF(AB70&lt;&gt;0,(Z70*LOOKUP(AB70,Rates2!$U$2:$U$108,Rates2!$T$2:$T$108))/SQRT(1.1),0)</f>
        <v>0</v>
      </c>
      <c r="Y70" s="24">
        <f>IF(AND(AB70&gt;=0,AB70&lt;=Rates2!$W$3),Z70*(Info!$L$73),Z70)</f>
        <v>0</v>
      </c>
      <c r="Z70" s="24">
        <f>IF(AND(AB70&gt;=0,AC70&lt;&gt;""),Z69*(1+Info!$F$67),0)</f>
        <v>0</v>
      </c>
      <c r="AA70" s="24">
        <f>IF(AB70&lt;&gt;0,AA69*(1+Info!$F$65),0)</f>
        <v>0</v>
      </c>
      <c r="AB70" s="24">
        <f>IF(AC70&lt;&gt;"",IF(Info!$F$63+AC70-1&lt;=Rates2!$W$11,Info!$F$63+AC70-1,0),0)</f>
        <v>0</v>
      </c>
      <c r="AC70" s="146" t="str">
        <f>IF(AB69&lt;&gt;"",IF(AND(AC69&lt;&gt;"",AB69+1&lt;=Rates2!$W$11),IF(AC69&lt;&gt;0,IF(AC69+1&lt;=Info!$C$67,AC69+1,""),0),""),"")</f>
        <v/>
      </c>
    </row>
    <row r="71" spans="1:29" s="220" customFormat="1" ht="18.75" x14ac:dyDescent="0.45">
      <c r="A71" s="224"/>
      <c r="B71" s="25"/>
      <c r="C71" s="25"/>
      <c r="D71" s="25"/>
      <c r="E71" s="25" t="str">
        <f>IF(AC71="","",F71/VLOOKUP(Info!$C$69,Rates2!$AA$13:$AB$19,2,0))</f>
        <v/>
      </c>
      <c r="F71" s="25" t="str">
        <f t="shared" si="7"/>
        <v/>
      </c>
      <c r="G71" s="25" t="str">
        <f t="shared" si="8"/>
        <v/>
      </c>
      <c r="H71" s="25" t="e">
        <f>IF(AB71&lt;&gt;"",Rates2!$Y$10*(P71+U71),"")</f>
        <v>#N/A</v>
      </c>
      <c r="I71" s="25" t="e">
        <f>IF(AB71&lt;&gt;"",(Rates2!$AA$10+Rates2!$Z$10)*(P71+U71),"")</f>
        <v>#N/A</v>
      </c>
      <c r="J71" s="25" t="str">
        <f t="shared" si="9"/>
        <v/>
      </c>
      <c r="K71" s="225" t="str">
        <f>IF(AC71="","",(VLOOKUP(Info!$C$56,Rates2!$AA$13:$AB$19,2,0)/((1-(1+L71)^(-VLOOKUP(Info!$C$56,Rates2!$AA$13:$AB$19,2,0)))*((1+L71)/L71)))-1)</f>
        <v/>
      </c>
      <c r="L71" s="225" t="str">
        <f>IF(AC71="","",(((1+M71)^(1/VLOOKUP(Info!$C$69,Rates2!$AA$13:$AB$19,2,0)))-1))</f>
        <v/>
      </c>
      <c r="M71" s="226">
        <f t="shared" si="10"/>
        <v>0</v>
      </c>
      <c r="N71" s="25">
        <f t="shared" si="11"/>
        <v>0</v>
      </c>
      <c r="O71" s="25">
        <f>IF(X71&lt;&gt;"",Info!$L$75*X71,"")</f>
        <v>0</v>
      </c>
      <c r="P71" s="25" t="e">
        <f t="shared" si="13"/>
        <v>#N/A</v>
      </c>
      <c r="Q71" s="25">
        <f>U71*Rates2!$C$22</f>
        <v>0</v>
      </c>
      <c r="R71" s="25">
        <f>IF(AC71&lt;=5,Rates2!$B$24*Z71,0)</f>
        <v>0</v>
      </c>
      <c r="S71" s="25">
        <f>Rates2!$C$23*U71</f>
        <v>0</v>
      </c>
      <c r="T71" s="25" t="e">
        <f>IF(AB71&lt;71,Y71*0.0008*(1+(LOOKUP(Info!$I$67,Rates2!$O:$O,Rates2!$N:$N)/100)),0)</f>
        <v>#N/A</v>
      </c>
      <c r="U71" s="25">
        <f>IF(AC71&lt;=5,(V71+(Rates2!$B$27*'جدول نمونه2'!Z71))/(1-Rates2!$B$28),(V71+(Rates2!$B$27*'جدول نمونه2'!Z71)-(Rates2!$B$27*'جدول نمونه2'!Z71))/(1-Rates2!$B$28))</f>
        <v>0</v>
      </c>
      <c r="V71" s="25">
        <f t="shared" si="12"/>
        <v>0</v>
      </c>
      <c r="W71" s="25">
        <v>0</v>
      </c>
      <c r="X71" s="25">
        <f>IF(AB71&lt;&gt;0,(Z71*LOOKUP(AB71,Rates2!$U$2:$U$108,Rates2!$T$2:$T$108))/SQRT(1.1),0)</f>
        <v>0</v>
      </c>
      <c r="Y71" s="25">
        <f>IF(AND(AB71&gt;=0,AB71&lt;=Rates2!$W$3),Z71*(Info!$L$73),Z71)</f>
        <v>0</v>
      </c>
      <c r="Z71" s="25">
        <f>IF(AND(AB71&gt;=0,AC71&lt;&gt;""),Z70*(1+Info!$F$67),0)</f>
        <v>0</v>
      </c>
      <c r="AA71" s="25">
        <f>IF(AB71&lt;&gt;0,AA70*(1+Info!$F$65),0)</f>
        <v>0</v>
      </c>
      <c r="AB71" s="25">
        <f>IF(AC71&lt;&gt;"",IF(Info!$F$63+AC71-1&lt;=Rates2!$W$11,Info!$F$63+AC71-1,0),0)</f>
        <v>0</v>
      </c>
      <c r="AC71" s="145" t="str">
        <f>IF(AB70&lt;&gt;"",IF(AND(AC70&lt;&gt;"",AB70+1&lt;=Rates2!$W$11),IF(AC70&lt;&gt;0,IF(AC70+1&lt;=Info!$C$67,AC70+1,""),0),""),"")</f>
        <v/>
      </c>
    </row>
    <row r="72" spans="1:29" s="220" customFormat="1" ht="18.75" x14ac:dyDescent="0.45">
      <c r="A72" s="221"/>
      <c r="B72" s="24"/>
      <c r="C72" s="24"/>
      <c r="D72" s="24"/>
      <c r="E72" s="24" t="str">
        <f>IF(AC72="","",F72/VLOOKUP(Info!$C$69,Rates2!$AA$13:$AB$19,2,0))</f>
        <v/>
      </c>
      <c r="F72" s="24" t="str">
        <f t="shared" si="7"/>
        <v/>
      </c>
      <c r="G72" s="24" t="str">
        <f t="shared" si="8"/>
        <v/>
      </c>
      <c r="H72" s="24" t="e">
        <f>IF(AB72&lt;&gt;"",Rates2!$Y$10*(P72+U72),"")</f>
        <v>#N/A</v>
      </c>
      <c r="I72" s="24" t="e">
        <f>IF(AB72&lt;&gt;"",(Rates2!$AA$10+Rates2!$Z$10)*(P72+U72),"")</f>
        <v>#N/A</v>
      </c>
      <c r="J72" s="24" t="str">
        <f t="shared" si="9"/>
        <v/>
      </c>
      <c r="K72" s="222" t="str">
        <f>IF(AC72="","",(VLOOKUP(Info!$C$56,Rates2!$AA$13:$AB$19,2,0)/((1-(1+L72)^(-VLOOKUP(Info!$C$56,Rates2!$AA$13:$AB$19,2,0)))*((1+L72)/L72)))-1)</f>
        <v/>
      </c>
      <c r="L72" s="222" t="str">
        <f>IF(AC72="","",(((1+M72)^(1/VLOOKUP(Info!$C$69,Rates2!$AA$13:$AB$19,2,0)))-1))</f>
        <v/>
      </c>
      <c r="M72" s="223">
        <f t="shared" si="10"/>
        <v>0</v>
      </c>
      <c r="N72" s="24">
        <f t="shared" si="11"/>
        <v>0</v>
      </c>
      <c r="O72" s="24">
        <f>IF(X72&lt;&gt;"",Info!$L$75*X72,"")</f>
        <v>0</v>
      </c>
      <c r="P72" s="24" t="e">
        <f t="shared" si="13"/>
        <v>#N/A</v>
      </c>
      <c r="Q72" s="24">
        <f>U72*Rates2!$C$22</f>
        <v>0</v>
      </c>
      <c r="R72" s="24">
        <f>IF(AC72&lt;=5,Rates2!$B$24*Z72,0)</f>
        <v>0</v>
      </c>
      <c r="S72" s="24">
        <f>Rates2!$C$23*U72</f>
        <v>0</v>
      </c>
      <c r="T72" s="24" t="e">
        <f>IF(AB72&lt;71,Y72*0.0008*(1+(LOOKUP(Info!$I$67,Rates2!$O:$O,Rates2!$N:$N)/100)),0)</f>
        <v>#N/A</v>
      </c>
      <c r="U72" s="24">
        <f>IF(AC72&lt;=5,(V72+(Rates2!$B$27*'جدول نمونه2'!Z72))/(1-Rates2!$B$28),(V72+(Rates2!$B$27*'جدول نمونه2'!Z72)-(Rates2!$B$27*'جدول نمونه2'!Z72))/(1-Rates2!$B$28))</f>
        <v>0</v>
      </c>
      <c r="V72" s="24">
        <f t="shared" si="12"/>
        <v>0</v>
      </c>
      <c r="W72" s="24">
        <v>0</v>
      </c>
      <c r="X72" s="24">
        <f>IF(AB72&lt;&gt;0,(Z72*LOOKUP(AB72,Rates2!$U$2:$U$108,Rates2!$T$2:$T$108))/SQRT(1.1),0)</f>
        <v>0</v>
      </c>
      <c r="Y72" s="24">
        <f>IF(AND(AB72&gt;=0,AB72&lt;=Rates2!$W$3),Z72*(Info!$L$73),Z72)</f>
        <v>0</v>
      </c>
      <c r="Z72" s="24">
        <f>IF(AND(AB72&gt;=0,AC72&lt;&gt;""),Z71*(1+Info!$F$67),0)</f>
        <v>0</v>
      </c>
      <c r="AA72" s="24">
        <f>IF(AB72&lt;&gt;0,AA71*(1+Info!$F$65),0)</f>
        <v>0</v>
      </c>
      <c r="AB72" s="24">
        <f>IF(AC72&lt;&gt;"",IF(Info!$F$63+AC72-1&lt;=Rates2!$W$11,Info!$F$63+AC72-1,0),0)</f>
        <v>0</v>
      </c>
      <c r="AC72" s="146" t="str">
        <f>IF(AB71&lt;&gt;"",IF(AND(AC71&lt;&gt;"",AB71+1&lt;=Rates2!$W$11),IF(AC71&lt;&gt;0,IF(AC71+1&lt;=Info!$C$67,AC71+1,""),0),""),"")</f>
        <v/>
      </c>
    </row>
    <row r="73" spans="1:29" s="220" customFormat="1" ht="18.75" x14ac:dyDescent="0.45">
      <c r="A73" s="224"/>
      <c r="B73" s="25"/>
      <c r="C73" s="25"/>
      <c r="D73" s="25"/>
      <c r="E73" s="25" t="str">
        <f>IF(AC73="","",F73/VLOOKUP(Info!$C$69,Rates2!$AA$13:$AB$19,2,0))</f>
        <v/>
      </c>
      <c r="F73" s="25" t="str">
        <f t="shared" si="7"/>
        <v/>
      </c>
      <c r="G73" s="25" t="str">
        <f t="shared" si="8"/>
        <v/>
      </c>
      <c r="H73" s="25" t="e">
        <f>IF(AB73&lt;&gt;"",Rates2!$Y$10*(P73+U73),"")</f>
        <v>#N/A</v>
      </c>
      <c r="I73" s="25" t="e">
        <f>IF(AB73&lt;&gt;"",(Rates2!$AA$10+Rates2!$Z$10)*(P73+U73),"")</f>
        <v>#N/A</v>
      </c>
      <c r="J73" s="25" t="str">
        <f t="shared" si="9"/>
        <v/>
      </c>
      <c r="K73" s="225" t="str">
        <f>IF(AC73="","",(VLOOKUP(Info!$C$56,Rates2!$AA$13:$AB$19,2,0)/((1-(1+L73)^(-VLOOKUP(Info!$C$56,Rates2!$AA$13:$AB$19,2,0)))*((1+L73)/L73)))-1)</f>
        <v/>
      </c>
      <c r="L73" s="225" t="str">
        <f>IF(AC73="","",(((1+M73)^(1/VLOOKUP(Info!$C$69,Rates2!$AA$13:$AB$19,2,0)))-1))</f>
        <v/>
      </c>
      <c r="M73" s="226">
        <f t="shared" si="10"/>
        <v>0</v>
      </c>
      <c r="N73" s="25">
        <f t="shared" si="11"/>
        <v>0</v>
      </c>
      <c r="O73" s="25">
        <f>IF(X73&lt;&gt;"",Info!$L$75*X73,"")</f>
        <v>0</v>
      </c>
      <c r="P73" s="25" t="e">
        <f t="shared" si="13"/>
        <v>#N/A</v>
      </c>
      <c r="Q73" s="25">
        <f>U73*Rates2!$C$22</f>
        <v>0</v>
      </c>
      <c r="R73" s="25">
        <f>IF(AC73&lt;=5,Rates2!$B$24*Z73,0)</f>
        <v>0</v>
      </c>
      <c r="S73" s="25">
        <f>Rates2!$C$23*U73</f>
        <v>0</v>
      </c>
      <c r="T73" s="25" t="e">
        <f>IF(AB73&lt;71,Y73*0.0008*(1+(LOOKUP(Info!$I$67,Rates2!$O:$O,Rates2!$N:$N)/100)),0)</f>
        <v>#N/A</v>
      </c>
      <c r="U73" s="25">
        <f>IF(AC73&lt;=5,(V73+(Rates2!$B$27*'جدول نمونه2'!Z73))/(1-Rates2!$B$28),(V73+(Rates2!$B$27*'جدول نمونه2'!Z73)-(Rates2!$B$27*'جدول نمونه2'!Z73))/(1-Rates2!$B$28))</f>
        <v>0</v>
      </c>
      <c r="V73" s="25">
        <f t="shared" si="12"/>
        <v>0</v>
      </c>
      <c r="W73" s="25">
        <v>0</v>
      </c>
      <c r="X73" s="25">
        <f>IF(AB73&lt;&gt;0,(Z73*LOOKUP(AB73,Rates2!$U$2:$U$108,Rates2!$T$2:$T$108))/SQRT(1.1),0)</f>
        <v>0</v>
      </c>
      <c r="Y73" s="25">
        <f>IF(AND(AB73&gt;=0,AB73&lt;=Rates2!$W$3),Z73*(Info!$L$73),Z73)</f>
        <v>0</v>
      </c>
      <c r="Z73" s="25">
        <f>IF(AND(AB73&gt;=0,AC73&lt;&gt;""),Z72*(1+Info!$F$67),0)</f>
        <v>0</v>
      </c>
      <c r="AA73" s="25">
        <f>IF(AB73&lt;&gt;0,AA72*(1+Info!$F$65),0)</f>
        <v>0</v>
      </c>
      <c r="AB73" s="25">
        <f>IF(AC73&lt;&gt;"",IF(Info!$F$63+AC73-1&lt;=Rates2!$W$11,Info!$F$63+AC73-1,0),0)</f>
        <v>0</v>
      </c>
      <c r="AC73" s="145" t="str">
        <f>IF(AB72&lt;&gt;"",IF(AND(AC72&lt;&gt;"",AB72+1&lt;=Rates2!$W$11),IF(AC72&lt;&gt;0,IF(AC72+1&lt;=Info!$C$67,AC72+1,""),0),""),"")</f>
        <v/>
      </c>
    </row>
    <row r="74" spans="1:29" s="220" customFormat="1" ht="18.75" x14ac:dyDescent="0.45">
      <c r="A74" s="221"/>
      <c r="B74" s="24"/>
      <c r="C74" s="24"/>
      <c r="D74" s="24"/>
      <c r="E74" s="24" t="str">
        <f>IF(AC74="","",F74/VLOOKUP(Info!$C$69,Rates2!$AA$13:$AB$19,2,0))</f>
        <v/>
      </c>
      <c r="F74" s="24" t="str">
        <f t="shared" si="7"/>
        <v/>
      </c>
      <c r="G74" s="24" t="str">
        <f t="shared" si="8"/>
        <v/>
      </c>
      <c r="H74" s="24" t="e">
        <f>IF(AB74&lt;&gt;"",Rates2!$Y$10*(P74+U74),"")</f>
        <v>#N/A</v>
      </c>
      <c r="I74" s="24" t="e">
        <f>IF(AB74&lt;&gt;"",(Rates2!$AA$10+Rates2!$Z$10)*(P74+U74),"")</f>
        <v>#N/A</v>
      </c>
      <c r="J74" s="24" t="str">
        <f t="shared" si="9"/>
        <v/>
      </c>
      <c r="K74" s="222" t="str">
        <f>IF(AC74="","",(VLOOKUP(Info!$C$56,Rates2!$AA$13:$AB$19,2,0)/((1-(1+L74)^(-VLOOKUP(Info!$C$56,Rates2!$AA$13:$AB$19,2,0)))*((1+L74)/L74)))-1)</f>
        <v/>
      </c>
      <c r="L74" s="222" t="str">
        <f>IF(AC74="","",(((1+M74)^(1/VLOOKUP(Info!$C$69,Rates2!$AA$13:$AB$19,2,0)))-1))</f>
        <v/>
      </c>
      <c r="M74" s="223">
        <f t="shared" si="10"/>
        <v>0</v>
      </c>
      <c r="N74" s="24">
        <f t="shared" si="11"/>
        <v>0</v>
      </c>
      <c r="O74" s="24">
        <f>IF(X74&lt;&gt;"",Info!$L$75*X74,"")</f>
        <v>0</v>
      </c>
      <c r="P74" s="24" t="e">
        <f t="shared" si="13"/>
        <v>#N/A</v>
      </c>
      <c r="Q74" s="24">
        <f>U74*Rates2!$C$22</f>
        <v>0</v>
      </c>
      <c r="R74" s="24">
        <f>IF(AC74&lt;=5,Rates2!$B$24*Z74,0)</f>
        <v>0</v>
      </c>
      <c r="S74" s="24">
        <f>Rates2!$C$23*U74</f>
        <v>0</v>
      </c>
      <c r="T74" s="24" t="e">
        <f>IF(AB74&lt;71,Y74*0.0008*(1+(LOOKUP(Info!$I$67,Rates2!$O:$O,Rates2!$N:$N)/100)),0)</f>
        <v>#N/A</v>
      </c>
      <c r="U74" s="24">
        <f>IF(AC74&lt;=5,(V74+(Rates2!$B$27*'جدول نمونه2'!Z74))/(1-Rates2!$B$28),(V74+(Rates2!$B$27*'جدول نمونه2'!Z74)-(Rates2!$B$27*'جدول نمونه2'!Z74))/(1-Rates2!$B$28))</f>
        <v>0</v>
      </c>
      <c r="V74" s="24">
        <f t="shared" si="12"/>
        <v>0</v>
      </c>
      <c r="W74" s="24">
        <v>0</v>
      </c>
      <c r="X74" s="24">
        <f>IF(AB74&lt;&gt;0,(Z74*LOOKUP(AB74,Rates2!$U$2:$U$108,Rates2!$T$2:$T$108))/SQRT(1.1),0)</f>
        <v>0</v>
      </c>
      <c r="Y74" s="24">
        <f>IF(AND(AB74&gt;=0,AB74&lt;=Rates2!$W$3),Z74*(Info!$L$73),Z74)</f>
        <v>0</v>
      </c>
      <c r="Z74" s="24">
        <f>IF(AND(AB74&gt;=0,AC74&lt;&gt;""),Z73*(1+Info!$F$67),0)</f>
        <v>0</v>
      </c>
      <c r="AA74" s="24">
        <f>IF(AB74&lt;&gt;0,AA73*(1+Info!$F$65),0)</f>
        <v>0</v>
      </c>
      <c r="AB74" s="24">
        <f>IF(AC74&lt;&gt;"",IF(Info!$F$63+AC74-1&lt;=Rates2!$W$11,Info!$F$63+AC74-1,0),0)</f>
        <v>0</v>
      </c>
      <c r="AC74" s="146" t="str">
        <f>IF(AB73&lt;&gt;"",IF(AND(AC73&lt;&gt;"",AB73+1&lt;=Rates2!$W$11),IF(AC73&lt;&gt;0,IF(AC73+1&lt;=Info!$C$67,AC73+1,""),0),""),"")</f>
        <v/>
      </c>
    </row>
    <row r="75" spans="1:29" s="220" customFormat="1" ht="18.75" x14ac:dyDescent="0.45">
      <c r="A75" s="224"/>
      <c r="B75" s="25"/>
      <c r="C75" s="25"/>
      <c r="D75" s="25"/>
      <c r="E75" s="25" t="str">
        <f>IF(AC75="","",F75/VLOOKUP(Info!$C$69,Rates2!$AA$13:$AB$19,2,0))</f>
        <v/>
      </c>
      <c r="F75" s="25" t="str">
        <f t="shared" si="7"/>
        <v/>
      </c>
      <c r="G75" s="25" t="str">
        <f t="shared" si="8"/>
        <v/>
      </c>
      <c r="H75" s="25" t="e">
        <f>IF(AB75&lt;&gt;"",Rates2!$Y$10*(P75+U75),"")</f>
        <v>#N/A</v>
      </c>
      <c r="I75" s="25" t="e">
        <f>IF(AB75&lt;&gt;"",(Rates2!$AA$10+Rates2!$Z$10)*(P75+U75),"")</f>
        <v>#N/A</v>
      </c>
      <c r="J75" s="25" t="str">
        <f t="shared" si="9"/>
        <v/>
      </c>
      <c r="K75" s="225" t="str">
        <f>IF(AC75="","",(VLOOKUP(Info!$C$56,Rates2!$AA$13:$AB$19,2,0)/((1-(1+L75)^(-VLOOKUP(Info!$C$56,Rates2!$AA$13:$AB$19,2,0)))*((1+L75)/L75)))-1)</f>
        <v/>
      </c>
      <c r="L75" s="225" t="str">
        <f>IF(AC75="","",(((1+M75)^(1/VLOOKUP(Info!$C$69,Rates2!$AA$13:$AB$19,2,0)))-1))</f>
        <v/>
      </c>
      <c r="M75" s="226">
        <f t="shared" si="10"/>
        <v>0</v>
      </c>
      <c r="N75" s="25">
        <f t="shared" si="11"/>
        <v>0</v>
      </c>
      <c r="O75" s="25">
        <f>IF(X75&lt;&gt;"",Info!$L$75*X75,"")</f>
        <v>0</v>
      </c>
      <c r="P75" s="25" t="e">
        <f t="shared" si="13"/>
        <v>#N/A</v>
      </c>
      <c r="Q75" s="25">
        <f>U75*Rates2!$C$22</f>
        <v>0</v>
      </c>
      <c r="R75" s="25">
        <f>IF(AC75&lt;=5,Rates2!$B$24*Z75,0)</f>
        <v>0</v>
      </c>
      <c r="S75" s="25">
        <f>Rates2!$C$23*U75</f>
        <v>0</v>
      </c>
      <c r="T75" s="25" t="e">
        <f>IF(AB75&lt;71,Y75*0.0008*(1+(LOOKUP(Info!$I$67,Rates2!$O:$O,Rates2!$N:$N)/100)),0)</f>
        <v>#N/A</v>
      </c>
      <c r="U75" s="25">
        <f>IF(AC75&lt;=5,(V75+(Rates2!$B$27*'جدول نمونه2'!Z75))/(1-Rates2!$B$28),(V75+(Rates2!$B$27*'جدول نمونه2'!Z75)-(Rates2!$B$27*'جدول نمونه2'!Z75))/(1-Rates2!$B$28))</f>
        <v>0</v>
      </c>
      <c r="V75" s="25">
        <f t="shared" si="12"/>
        <v>0</v>
      </c>
      <c r="W75" s="25">
        <v>0</v>
      </c>
      <c r="X75" s="25">
        <f>IF(AB75&lt;&gt;0,(Z75*LOOKUP(AB75,Rates2!$U$2:$U$108,Rates2!$T$2:$T$108))/SQRT(1.1),0)</f>
        <v>0</v>
      </c>
      <c r="Y75" s="25">
        <f>IF(AND(AB75&gt;=0,AB75&lt;=Rates2!$W$3),Z75*(Info!$L$73),Z75)</f>
        <v>0</v>
      </c>
      <c r="Z75" s="25">
        <f>IF(AND(AB75&gt;=0,AC75&lt;&gt;""),Z74*(1+Info!$F$67),0)</f>
        <v>0</v>
      </c>
      <c r="AA75" s="25">
        <f>IF(AB75&lt;&gt;0,AA74*(1+Info!$F$65),0)</f>
        <v>0</v>
      </c>
      <c r="AB75" s="25">
        <f>IF(AC75&lt;&gt;"",IF(Info!$F$63+AC75-1&lt;=Rates2!$W$11,Info!$F$63+AC75-1,0),0)</f>
        <v>0</v>
      </c>
      <c r="AC75" s="145" t="str">
        <f>IF(AB74&lt;&gt;"",IF(AND(AC74&lt;&gt;"",AB74+1&lt;=Rates2!$W$11),IF(AC74&lt;&gt;0,IF(AC74+1&lt;=Info!$C$67,AC74+1,""),0),""),"")</f>
        <v/>
      </c>
    </row>
    <row r="76" spans="1:29" s="220" customFormat="1" ht="18.75" x14ac:dyDescent="0.45">
      <c r="A76" s="221"/>
      <c r="B76" s="24"/>
      <c r="C76" s="24"/>
      <c r="D76" s="24"/>
      <c r="E76" s="24" t="str">
        <f>IF(AC76="","",F76/VLOOKUP(Info!$C$69,Rates2!$AA$13:$AB$19,2,0))</f>
        <v/>
      </c>
      <c r="F76" s="24" t="str">
        <f t="shared" si="7"/>
        <v/>
      </c>
      <c r="G76" s="24" t="str">
        <f t="shared" si="8"/>
        <v/>
      </c>
      <c r="H76" s="24" t="e">
        <f>IF(AB76&lt;&gt;"",Rates2!$Y$10*(P76+U76),"")</f>
        <v>#N/A</v>
      </c>
      <c r="I76" s="24" t="e">
        <f>IF(AB76&lt;&gt;"",(Rates2!$AA$10+Rates2!$Z$10)*(P76+U76),"")</f>
        <v>#N/A</v>
      </c>
      <c r="J76" s="24" t="str">
        <f t="shared" si="9"/>
        <v/>
      </c>
      <c r="K76" s="222" t="str">
        <f>IF(AC76="","",(VLOOKUP(Info!$C$56,Rates2!$AA$13:$AB$19,2,0)/((1-(1+L76)^(-VLOOKUP(Info!$C$56,Rates2!$AA$13:$AB$19,2,0)))*((1+L76)/L76)))-1)</f>
        <v/>
      </c>
      <c r="L76" s="222" t="str">
        <f>IF(AC76="","",(((1+M76)^(1/VLOOKUP(Info!$C$69,Rates2!$AA$13:$AB$19,2,0)))-1))</f>
        <v/>
      </c>
      <c r="M76" s="223">
        <f t="shared" si="10"/>
        <v>0</v>
      </c>
      <c r="N76" s="24">
        <f t="shared" si="11"/>
        <v>0</v>
      </c>
      <c r="O76" s="24">
        <f>IF(X76&lt;&gt;"",Info!$L$75*X76,"")</f>
        <v>0</v>
      </c>
      <c r="P76" s="24" t="e">
        <f t="shared" si="13"/>
        <v>#N/A</v>
      </c>
      <c r="Q76" s="24">
        <f>U76*Rates2!$C$22</f>
        <v>0</v>
      </c>
      <c r="R76" s="24">
        <f>IF(AC76&lt;=5,Rates2!$B$24*Z76,0)</f>
        <v>0</v>
      </c>
      <c r="S76" s="24">
        <f>Rates2!$C$23*U76</f>
        <v>0</v>
      </c>
      <c r="T76" s="24" t="e">
        <f>IF(AB76&lt;71,Y76*0.0008*(1+(LOOKUP(Info!$I$67,Rates2!$O:$O,Rates2!$N:$N)/100)),0)</f>
        <v>#N/A</v>
      </c>
      <c r="U76" s="24">
        <f>IF(AC76&lt;=5,(V76+(Rates2!$B$27*'جدول نمونه2'!Z76))/(1-Rates2!$B$28),(V76+(Rates2!$B$27*'جدول نمونه2'!Z76)-(Rates2!$B$27*'جدول نمونه2'!Z76))/(1-Rates2!$B$28))</f>
        <v>0</v>
      </c>
      <c r="V76" s="24">
        <f t="shared" si="12"/>
        <v>0</v>
      </c>
      <c r="W76" s="24">
        <v>0</v>
      </c>
      <c r="X76" s="24">
        <f>IF(AB76&lt;&gt;0,(Z76*LOOKUP(AB76,Rates2!$U$2:$U$108,Rates2!$T$2:$T$108))/SQRT(1.1),0)</f>
        <v>0</v>
      </c>
      <c r="Y76" s="24">
        <f>IF(AND(AB76&gt;=0,AB76&lt;=Rates2!$W$3),Z76*(Info!$L$73),Z76)</f>
        <v>0</v>
      </c>
      <c r="Z76" s="24">
        <f>IF(AND(AB76&gt;=0,AC76&lt;&gt;""),Z75*(1+Info!$F$67),0)</f>
        <v>0</v>
      </c>
      <c r="AA76" s="24">
        <f>IF(AB76&lt;&gt;0,AA75*(1+Info!$F$65),0)</f>
        <v>0</v>
      </c>
      <c r="AB76" s="24">
        <f>IF(AC76&lt;&gt;"",IF(Info!$F$63+AC76-1&lt;=Rates2!$W$11,Info!$F$63+AC76-1,0),0)</f>
        <v>0</v>
      </c>
      <c r="AC76" s="146" t="str">
        <f>IF(AB75&lt;&gt;"",IF(AND(AC75&lt;&gt;"",AB75+1&lt;=Rates2!$W$11),IF(AC75&lt;&gt;0,IF(AC75+1&lt;=Info!$C$67,AC75+1,""),0),""),"")</f>
        <v/>
      </c>
    </row>
    <row r="77" spans="1:29" s="220" customFormat="1" ht="18.75" x14ac:dyDescent="0.45">
      <c r="A77" s="224"/>
      <c r="B77" s="25"/>
      <c r="C77" s="25"/>
      <c r="D77" s="25"/>
      <c r="E77" s="25" t="str">
        <f>IF(AC77="","",F77/VLOOKUP(Info!$C$69,Rates2!$AA$13:$AB$19,2,0))</f>
        <v/>
      </c>
      <c r="F77" s="25" t="str">
        <f t="shared" si="7"/>
        <v/>
      </c>
      <c r="G77" s="25" t="str">
        <f t="shared" si="8"/>
        <v/>
      </c>
      <c r="H77" s="25" t="e">
        <f>IF(AB77&lt;&gt;"",Rates2!$Y$10*(P77+U77),"")</f>
        <v>#N/A</v>
      </c>
      <c r="I77" s="25" t="e">
        <f>IF(AB77&lt;&gt;"",(Rates2!$AA$10+Rates2!$Z$10)*(P77+U77),"")</f>
        <v>#N/A</v>
      </c>
      <c r="J77" s="25" t="str">
        <f t="shared" si="9"/>
        <v/>
      </c>
      <c r="K77" s="225" t="str">
        <f>IF(AC77="","",(VLOOKUP(Info!$C$56,Rates2!$AA$13:$AB$19,2,0)/((1-(1+L77)^(-VLOOKUP(Info!$C$56,Rates2!$AA$13:$AB$19,2,0)))*((1+L77)/L77)))-1)</f>
        <v/>
      </c>
      <c r="L77" s="225" t="str">
        <f>IF(AC77="","",(((1+M77)^(1/VLOOKUP(Info!$C$69,Rates2!$AA$13:$AB$19,2,0)))-1))</f>
        <v/>
      </c>
      <c r="M77" s="226">
        <f t="shared" si="10"/>
        <v>0</v>
      </c>
      <c r="N77" s="25">
        <f t="shared" si="11"/>
        <v>0</v>
      </c>
      <c r="O77" s="25">
        <f>IF(X77&lt;&gt;"",Info!$L$75*X77,"")</f>
        <v>0</v>
      </c>
      <c r="P77" s="25" t="e">
        <f t="shared" si="13"/>
        <v>#N/A</v>
      </c>
      <c r="Q77" s="25">
        <f>U77*Rates2!$C$22</f>
        <v>0</v>
      </c>
      <c r="R77" s="25">
        <f>IF(AC77&lt;=5,Rates2!$B$24*Z77,0)</f>
        <v>0</v>
      </c>
      <c r="S77" s="25">
        <f>Rates2!$C$23*U77</f>
        <v>0</v>
      </c>
      <c r="T77" s="25" t="e">
        <f>IF(AB77&lt;71,Y77*0.0008*(1+(LOOKUP(Info!$I$67,Rates2!$O:$O,Rates2!$N:$N)/100)),0)</f>
        <v>#N/A</v>
      </c>
      <c r="U77" s="25">
        <f>IF(AC77&lt;=5,(V77+(Rates2!$B$27*'جدول نمونه2'!Z77))/(1-Rates2!$B$28),(V77+(Rates2!$B$27*'جدول نمونه2'!Z77)-(Rates2!$B$27*'جدول نمونه2'!Z77))/(1-Rates2!$B$28))</f>
        <v>0</v>
      </c>
      <c r="V77" s="25">
        <f t="shared" si="12"/>
        <v>0</v>
      </c>
      <c r="W77" s="25">
        <v>0</v>
      </c>
      <c r="X77" s="25">
        <f>IF(AB77&lt;&gt;0,(Z77*LOOKUP(AB77,Rates2!$U$2:$U$108,Rates2!$T$2:$T$108))/SQRT(1.1),0)</f>
        <v>0</v>
      </c>
      <c r="Y77" s="25">
        <f>IF(AND(AB77&gt;=0,AB77&lt;=Rates2!$W$3),Z77*(Info!$L$73),Z77)</f>
        <v>0</v>
      </c>
      <c r="Z77" s="25">
        <f>IF(AND(AB77&gt;=0,AC77&lt;&gt;""),Z76*(1+Info!$F$67),0)</f>
        <v>0</v>
      </c>
      <c r="AA77" s="25">
        <f>IF(AB77&lt;&gt;0,AA76*(1+Info!$F$65),0)</f>
        <v>0</v>
      </c>
      <c r="AB77" s="25">
        <f>IF(AC77&lt;&gt;"",IF(Info!$F$63+AC77-1&lt;=Rates2!$W$11,Info!$F$63+AC77-1,0),0)</f>
        <v>0</v>
      </c>
      <c r="AC77" s="145" t="str">
        <f>IF(AB76&lt;&gt;"",IF(AND(AC76&lt;&gt;"",AB76+1&lt;=Rates2!$W$11),IF(AC76&lt;&gt;0,IF(AC76+1&lt;=Info!$C$67,AC76+1,""),0),""),"")</f>
        <v/>
      </c>
    </row>
    <row r="78" spans="1:29" s="220" customFormat="1" ht="18.75" x14ac:dyDescent="0.45">
      <c r="A78" s="221"/>
      <c r="B78" s="24"/>
      <c r="C78" s="24"/>
      <c r="D78" s="24"/>
      <c r="E78" s="24" t="str">
        <f>IF(AC78="","",F78/VLOOKUP(Info!$C$69,Rates2!$AA$13:$AB$19,2,0))</f>
        <v/>
      </c>
      <c r="F78" s="24" t="str">
        <f t="shared" si="7"/>
        <v/>
      </c>
      <c r="G78" s="24" t="str">
        <f t="shared" si="8"/>
        <v/>
      </c>
      <c r="H78" s="24" t="e">
        <f>IF(AB78&lt;&gt;"",Rates2!$Y$10*(P78+U78),"")</f>
        <v>#N/A</v>
      </c>
      <c r="I78" s="24" t="e">
        <f>IF(AB78&lt;&gt;"",(Rates2!$AA$10+Rates2!$Z$10)*(P78+U78),"")</f>
        <v>#N/A</v>
      </c>
      <c r="J78" s="24" t="str">
        <f t="shared" si="9"/>
        <v/>
      </c>
      <c r="K78" s="222" t="str">
        <f>IF(AC78="","",(VLOOKUP(Info!$C$56,Rates2!$AA$13:$AB$19,2,0)/((1-(1+L78)^(-VLOOKUP(Info!$C$56,Rates2!$AA$13:$AB$19,2,0)))*((1+L78)/L78)))-1)</f>
        <v/>
      </c>
      <c r="L78" s="222" t="str">
        <f>IF(AC78="","",(((1+M78)^(1/VLOOKUP(Info!$C$69,Rates2!$AA$13:$AB$19,2,0)))-1))</f>
        <v/>
      </c>
      <c r="M78" s="223">
        <f t="shared" si="10"/>
        <v>0</v>
      </c>
      <c r="N78" s="24">
        <f t="shared" si="11"/>
        <v>0</v>
      </c>
      <c r="O78" s="24">
        <f>IF(X78&lt;&gt;"",Info!$L$75*X78,"")</f>
        <v>0</v>
      </c>
      <c r="P78" s="24" t="e">
        <f t="shared" si="13"/>
        <v>#N/A</v>
      </c>
      <c r="Q78" s="24">
        <f>U78*Rates2!$C$22</f>
        <v>0</v>
      </c>
      <c r="R78" s="24">
        <f>IF(AC78&lt;=5,Rates2!$B$24*Z78,0)</f>
        <v>0</v>
      </c>
      <c r="S78" s="24">
        <f>Rates2!$C$23*U78</f>
        <v>0</v>
      </c>
      <c r="T78" s="24" t="e">
        <f>IF(AB78&lt;71,Y78*0.0008*(1+(LOOKUP(Info!$I$67,Rates2!$O:$O,Rates2!$N:$N)/100)),0)</f>
        <v>#N/A</v>
      </c>
      <c r="U78" s="24">
        <f>IF(AC78&lt;=5,(V78+(Rates2!$B$27*'جدول نمونه2'!Z78))/(1-Rates2!$B$28),(V78+(Rates2!$B$27*'جدول نمونه2'!Z78)-(Rates2!$B$27*'جدول نمونه2'!Z78))/(1-Rates2!$B$28))</f>
        <v>0</v>
      </c>
      <c r="V78" s="24">
        <f t="shared" si="12"/>
        <v>0</v>
      </c>
      <c r="W78" s="24">
        <v>0</v>
      </c>
      <c r="X78" s="24">
        <f>IF(AB78&lt;&gt;0,(Z78*LOOKUP(AB78,Rates2!$U$2:$U$108,Rates2!$T$2:$T$108))/SQRT(1.1),0)</f>
        <v>0</v>
      </c>
      <c r="Y78" s="24">
        <f>IF(AND(AB78&gt;=0,AB78&lt;=Rates2!$W$3),Z78*(Info!$L$73),Z78)</f>
        <v>0</v>
      </c>
      <c r="Z78" s="24">
        <f>IF(AND(AB78&gt;=0,AC78&lt;&gt;""),Z77*(1+Info!$F$67),0)</f>
        <v>0</v>
      </c>
      <c r="AA78" s="24">
        <f>IF(AB78&lt;&gt;0,AA77*(1+Info!$F$65),0)</f>
        <v>0</v>
      </c>
      <c r="AB78" s="24">
        <f>IF(AC78&lt;&gt;"",IF(Info!$F$63+AC78-1&lt;=Rates2!$W$11,Info!$F$63+AC78-1,0),0)</f>
        <v>0</v>
      </c>
      <c r="AC78" s="146" t="str">
        <f>IF(AB77&lt;&gt;"",IF(AND(AC77&lt;&gt;"",AB77+1&lt;=Rates2!$W$11),IF(AC77&lt;&gt;0,IF(AC77+1&lt;=Info!$C$67,AC77+1,""),0),""),"")</f>
        <v/>
      </c>
    </row>
    <row r="79" spans="1:29" s="220" customFormat="1" ht="18.75" x14ac:dyDescent="0.45">
      <c r="A79" s="224"/>
      <c r="B79" s="25"/>
      <c r="C79" s="25"/>
      <c r="D79" s="25"/>
      <c r="E79" s="25" t="str">
        <f>IF(AC79="","",F79/VLOOKUP(Info!$C$69,Rates2!$AA$13:$AB$19,2,0))</f>
        <v/>
      </c>
      <c r="F79" s="25" t="str">
        <f t="shared" si="7"/>
        <v/>
      </c>
      <c r="G79" s="25" t="str">
        <f t="shared" si="8"/>
        <v/>
      </c>
      <c r="H79" s="25" t="e">
        <f>IF(AB79&lt;&gt;"",Rates2!$Y$10*(P79+U79),"")</f>
        <v>#N/A</v>
      </c>
      <c r="I79" s="25" t="e">
        <f>IF(AB79&lt;&gt;"",(Rates2!$AA$10+Rates2!$Z$10)*(P79+U79),"")</f>
        <v>#N/A</v>
      </c>
      <c r="J79" s="25" t="str">
        <f t="shared" si="9"/>
        <v/>
      </c>
      <c r="K79" s="225" t="str">
        <f>IF(AC79="","",(VLOOKUP(Info!$C$56,Rates2!$AA$13:$AB$19,2,0)/((1-(1+L79)^(-VLOOKUP(Info!$C$56,Rates2!$AA$13:$AB$19,2,0)))*((1+L79)/L79)))-1)</f>
        <v/>
      </c>
      <c r="L79" s="225" t="str">
        <f>IF(AC79="","",(((1+M79)^(1/VLOOKUP(Info!$C$69,Rates2!$AA$13:$AB$19,2,0)))-1))</f>
        <v/>
      </c>
      <c r="M79" s="226">
        <f t="shared" si="10"/>
        <v>0</v>
      </c>
      <c r="N79" s="25">
        <f t="shared" si="11"/>
        <v>0</v>
      </c>
      <c r="O79" s="25">
        <f>IF(X79&lt;&gt;"",Info!$L$75*X79,"")</f>
        <v>0</v>
      </c>
      <c r="P79" s="25" t="e">
        <f t="shared" si="13"/>
        <v>#N/A</v>
      </c>
      <c r="Q79" s="25">
        <f>U79*Rates2!$C$22</f>
        <v>0</v>
      </c>
      <c r="R79" s="25">
        <f>IF(AC79&lt;=5,Rates2!$B$24*Z79,0)</f>
        <v>0</v>
      </c>
      <c r="S79" s="25">
        <f>Rates2!$C$23*U79</f>
        <v>0</v>
      </c>
      <c r="T79" s="25" t="e">
        <f>IF(AB79&lt;71,Y79*0.0008*(1+(LOOKUP(Info!$I$67,Rates2!$O:$O,Rates2!$N:$N)/100)),0)</f>
        <v>#N/A</v>
      </c>
      <c r="U79" s="25">
        <f>IF(AC79&lt;=5,(V79+(Rates2!$B$27*'جدول نمونه2'!Z79))/(1-Rates2!$B$28),(V79+(Rates2!$B$27*'جدول نمونه2'!Z79)-(Rates2!$B$27*'جدول نمونه2'!Z79))/(1-Rates2!$B$28))</f>
        <v>0</v>
      </c>
      <c r="V79" s="25">
        <f t="shared" si="12"/>
        <v>0</v>
      </c>
      <c r="W79" s="25">
        <v>0</v>
      </c>
      <c r="X79" s="25">
        <f>IF(AB79&lt;&gt;0,(Z79*LOOKUP(AB79,Rates2!$U$2:$U$108,Rates2!$T$2:$T$108))/SQRT(1.1),0)</f>
        <v>0</v>
      </c>
      <c r="Y79" s="25">
        <f>IF(AND(AB79&gt;=0,AB79&lt;=Rates2!$W$3),Z79*(Info!$L$73),Z79)</f>
        <v>0</v>
      </c>
      <c r="Z79" s="25">
        <f>IF(AND(AB79&gt;=0,AC79&lt;&gt;""),Z78*(1+Info!$F$67),0)</f>
        <v>0</v>
      </c>
      <c r="AA79" s="25">
        <f>IF(AB79&lt;&gt;0,AA78*(1+Info!$F$65),0)</f>
        <v>0</v>
      </c>
      <c r="AB79" s="25">
        <f>IF(AC79&lt;&gt;"",IF(Info!$F$63+AC79-1&lt;=Rates2!$W$11,Info!$F$63+AC79-1,0),0)</f>
        <v>0</v>
      </c>
      <c r="AC79" s="145" t="str">
        <f>IF(AB78&lt;&gt;"",IF(AND(AC78&lt;&gt;"",AB78+1&lt;=Rates2!$W$11),IF(AC78&lt;&gt;0,IF(AC78+1&lt;=Info!$C$67,AC78+1,""),0),""),"")</f>
        <v/>
      </c>
    </row>
    <row r="80" spans="1:29" s="220" customFormat="1" ht="18.75" x14ac:dyDescent="0.45">
      <c r="A80" s="221"/>
      <c r="B80" s="24"/>
      <c r="C80" s="24"/>
      <c r="D80" s="24"/>
      <c r="E80" s="24" t="str">
        <f>IF(AC80="","",F80/VLOOKUP(Info!$C$69,Rates2!$AA$13:$AB$19,2,0))</f>
        <v/>
      </c>
      <c r="F80" s="24" t="str">
        <f t="shared" si="7"/>
        <v/>
      </c>
      <c r="G80" s="24" t="str">
        <f t="shared" si="8"/>
        <v/>
      </c>
      <c r="H80" s="24" t="e">
        <f>IF(AB80&lt;&gt;"",Rates2!$Y$10*(P80+U80),"")</f>
        <v>#N/A</v>
      </c>
      <c r="I80" s="24" t="e">
        <f>IF(AB80&lt;&gt;"",(Rates2!$AA$10+Rates2!$Z$10)*(P80+U80),"")</f>
        <v>#N/A</v>
      </c>
      <c r="J80" s="24" t="str">
        <f t="shared" si="9"/>
        <v/>
      </c>
      <c r="K80" s="222" t="str">
        <f>IF(AC80="","",(VLOOKUP(Info!$C$56,Rates2!$AA$13:$AB$19,2,0)/((1-(1+L80)^(-VLOOKUP(Info!$C$56,Rates2!$AA$13:$AB$19,2,0)))*((1+L80)/L80)))-1)</f>
        <v/>
      </c>
      <c r="L80" s="222" t="str">
        <f>IF(AC80="","",(((1+M80)^(1/VLOOKUP(Info!$C$69,Rates2!$AA$13:$AB$19,2,0)))-1))</f>
        <v/>
      </c>
      <c r="M80" s="223">
        <f t="shared" si="10"/>
        <v>0</v>
      </c>
      <c r="N80" s="24">
        <f t="shared" si="11"/>
        <v>0</v>
      </c>
      <c r="O80" s="24">
        <f>IF(X80&lt;&gt;"",Info!$L$75*X80,"")</f>
        <v>0</v>
      </c>
      <c r="P80" s="24" t="e">
        <f t="shared" si="13"/>
        <v>#N/A</v>
      </c>
      <c r="Q80" s="24">
        <f>U80*Rates2!$C$22</f>
        <v>0</v>
      </c>
      <c r="R80" s="24">
        <f>IF(AC80&lt;=5,Rates2!$B$24*Z80,0)</f>
        <v>0</v>
      </c>
      <c r="S80" s="24">
        <f>Rates2!$C$23*U80</f>
        <v>0</v>
      </c>
      <c r="T80" s="24" t="e">
        <f>IF(AB80&lt;71,Y80*0.0008*(1+(LOOKUP(Info!$I$67,Rates2!$O:$O,Rates2!$N:$N)/100)),0)</f>
        <v>#N/A</v>
      </c>
      <c r="U80" s="24">
        <f>IF(AC80&lt;=5,(V80+(Rates2!$B$27*'جدول نمونه2'!Z80))/(1-Rates2!$B$28),(V80+(Rates2!$B$27*'جدول نمونه2'!Z80)-(Rates2!$B$27*'جدول نمونه2'!Z80))/(1-Rates2!$B$28))</f>
        <v>0</v>
      </c>
      <c r="V80" s="24">
        <f t="shared" si="12"/>
        <v>0</v>
      </c>
      <c r="W80" s="24">
        <v>0</v>
      </c>
      <c r="X80" s="24">
        <f>IF(AB80&lt;&gt;0,(Z80*LOOKUP(AB80,Rates2!$U$2:$U$108,Rates2!$T$2:$T$108))/SQRT(1.1),0)</f>
        <v>0</v>
      </c>
      <c r="Y80" s="24">
        <f>IF(AND(AB80&gt;=0,AB80&lt;=Rates2!$W$3),Z80*(Info!$L$73),Z80)</f>
        <v>0</v>
      </c>
      <c r="Z80" s="24">
        <f>IF(AND(AB80&gt;=0,AC80&lt;&gt;""),Z79*(1+Info!$F$67),0)</f>
        <v>0</v>
      </c>
      <c r="AA80" s="24">
        <f>IF(AB80&lt;&gt;0,AA79*(1+Info!$F$65),0)</f>
        <v>0</v>
      </c>
      <c r="AB80" s="24">
        <f>IF(AC80&lt;&gt;"",IF(Info!$F$63+AC80-1&lt;=Rates2!$W$11,Info!$F$63+AC80-1,0),0)</f>
        <v>0</v>
      </c>
      <c r="AC80" s="146" t="str">
        <f>IF(AB79&lt;&gt;"",IF(AND(AC79&lt;&gt;"",AB79+1&lt;=Rates2!$W$11),IF(AC79&lt;&gt;0,IF(AC79+1&lt;=Info!$C$67,AC79+1,""),0),""),"")</f>
        <v/>
      </c>
    </row>
    <row r="81" spans="1:29" s="220" customFormat="1" ht="18.75" x14ac:dyDescent="0.45">
      <c r="A81" s="224"/>
      <c r="B81" s="25"/>
      <c r="C81" s="25"/>
      <c r="D81" s="25"/>
      <c r="E81" s="25" t="str">
        <f>IF(AC81="","",F81/VLOOKUP(Info!$C$69,Rates2!$AA$13:$AB$19,2,0))</f>
        <v/>
      </c>
      <c r="F81" s="25" t="str">
        <f t="shared" si="7"/>
        <v/>
      </c>
      <c r="G81" s="25" t="str">
        <f t="shared" si="8"/>
        <v/>
      </c>
      <c r="H81" s="25" t="e">
        <f>IF(AB81&lt;&gt;"",Rates2!$Y$10*(P81+U81),"")</f>
        <v>#N/A</v>
      </c>
      <c r="I81" s="25" t="e">
        <f>IF(AB81&lt;&gt;"",(Rates2!$AA$10+Rates2!$Z$10)*(P81+U81),"")</f>
        <v>#N/A</v>
      </c>
      <c r="J81" s="25" t="str">
        <f t="shared" si="9"/>
        <v/>
      </c>
      <c r="K81" s="225" t="str">
        <f>IF(AC81="","",(VLOOKUP(Info!$C$56,Rates2!$AA$13:$AB$19,2,0)/((1-(1+L81)^(-VLOOKUP(Info!$C$56,Rates2!$AA$13:$AB$19,2,0)))*((1+L81)/L81)))-1)</f>
        <v/>
      </c>
      <c r="L81" s="225" t="str">
        <f>IF(AC81="","",(((1+M81)^(1/VLOOKUP(Info!$C$69,Rates2!$AA$13:$AB$19,2,0)))-1))</f>
        <v/>
      </c>
      <c r="M81" s="226">
        <f t="shared" si="10"/>
        <v>0</v>
      </c>
      <c r="N81" s="25">
        <f t="shared" si="11"/>
        <v>0</v>
      </c>
      <c r="O81" s="25">
        <f>IF(X81&lt;&gt;"",Info!$L$75*X81,"")</f>
        <v>0</v>
      </c>
      <c r="P81" s="25" t="e">
        <f t="shared" si="13"/>
        <v>#N/A</v>
      </c>
      <c r="Q81" s="25">
        <f>U81*Rates2!$C$22</f>
        <v>0</v>
      </c>
      <c r="R81" s="25">
        <f>IF(AC81&lt;=5,Rates2!$B$24*Z81,0)</f>
        <v>0</v>
      </c>
      <c r="S81" s="25">
        <f>Rates2!$C$23*U81</f>
        <v>0</v>
      </c>
      <c r="T81" s="25" t="e">
        <f>IF(AB81&lt;71,Y81*0.0008*(1+(LOOKUP(Info!$I$67,Rates2!$O:$O,Rates2!$N:$N)/100)),0)</f>
        <v>#N/A</v>
      </c>
      <c r="U81" s="25">
        <f>IF(AC81&lt;=5,(V81+(Rates2!$B$27*'جدول نمونه2'!Z81))/(1-Rates2!$B$28),(V81+(Rates2!$B$27*'جدول نمونه2'!Z81)-(Rates2!$B$27*'جدول نمونه2'!Z81))/(1-Rates2!$B$28))</f>
        <v>0</v>
      </c>
      <c r="V81" s="25">
        <f t="shared" si="12"/>
        <v>0</v>
      </c>
      <c r="W81" s="25">
        <v>0</v>
      </c>
      <c r="X81" s="25">
        <f>IF(AB81&lt;&gt;0,(Z81*LOOKUP(AB81,Rates2!$U$2:$U$108,Rates2!$T$2:$T$108))/SQRT(1.1),0)</f>
        <v>0</v>
      </c>
      <c r="Y81" s="25">
        <f>IF(AND(AB81&gt;=0,AB81&lt;=Rates2!$W$3),Z81*(Info!$L$73),Z81)</f>
        <v>0</v>
      </c>
      <c r="Z81" s="25">
        <f>IF(AND(AB81&gt;=0,AC81&lt;&gt;""),Z80*(1+Info!$F$67),0)</f>
        <v>0</v>
      </c>
      <c r="AA81" s="25">
        <f>IF(AB81&lt;&gt;0,AA80*(1+Info!$F$65),0)</f>
        <v>0</v>
      </c>
      <c r="AB81" s="25">
        <f>IF(AC81&lt;&gt;"",IF(Info!$F$63+AC81-1&lt;=Rates2!$W$11,Info!$F$63+AC81-1,0),0)</f>
        <v>0</v>
      </c>
      <c r="AC81" s="145" t="str">
        <f>IF(AB80&lt;&gt;"",IF(AND(AC80&lt;&gt;"",AB80+1&lt;=Rates2!$W$11),IF(AC80&lt;&gt;0,IF(AC80+1&lt;=Info!$C$67,AC80+1,""),0),""),"")</f>
        <v/>
      </c>
    </row>
    <row r="82" spans="1:29" s="220" customFormat="1" ht="19.5" thickBot="1" x14ac:dyDescent="0.5">
      <c r="A82" s="227"/>
      <c r="B82" s="228"/>
      <c r="C82" s="228"/>
      <c r="D82" s="228"/>
      <c r="E82" s="228" t="str">
        <f>IF(AC82="","",F82/VLOOKUP(Info!$C$69,Rates2!$AA$13:$AB$19,2,0))</f>
        <v/>
      </c>
      <c r="F82" s="228" t="str">
        <f t="shared" si="7"/>
        <v/>
      </c>
      <c r="G82" s="228" t="str">
        <f t="shared" si="8"/>
        <v/>
      </c>
      <c r="H82" s="228" t="e">
        <f>IF(AB82&lt;&gt;"",Rates2!$Y$10*(P82+U82),"")</f>
        <v>#N/A</v>
      </c>
      <c r="I82" s="228" t="e">
        <f>IF(AB82&lt;&gt;"",(Rates2!$AA$10+Rates2!$Z$10)*(P82+U82),"")</f>
        <v>#N/A</v>
      </c>
      <c r="J82" s="228" t="str">
        <f t="shared" si="9"/>
        <v/>
      </c>
      <c r="K82" s="229" t="str">
        <f>IF(AC82="","",(VLOOKUP(Info!$C$56,Rates2!$AA$13:$AB$19,2,0)/((1-(1+L82)^(-VLOOKUP(Info!$C$56,Rates2!$AA$13:$AB$19,2,0)))*((1+L82)/L82)))-1)</f>
        <v/>
      </c>
      <c r="L82" s="229" t="str">
        <f>IF(AC82="","",(((1+M82)^(1/VLOOKUP(Info!$C$69,Rates2!$AA$13:$AB$19,2,0)))-1))</f>
        <v/>
      </c>
      <c r="M82" s="230">
        <f t="shared" si="10"/>
        <v>0</v>
      </c>
      <c r="N82" s="228">
        <f t="shared" si="11"/>
        <v>0</v>
      </c>
      <c r="O82" s="228">
        <f>IF(X82&lt;&gt;"",Info!$L$75*X82,"")</f>
        <v>0</v>
      </c>
      <c r="P82" s="228" t="e">
        <f t="shared" si="13"/>
        <v>#N/A</v>
      </c>
      <c r="Q82" s="228">
        <f>U82*Rates2!$C$22</f>
        <v>0</v>
      </c>
      <c r="R82" s="228">
        <f>IF(AC82&lt;=5,Rates2!$B$24*Z82,0)</f>
        <v>0</v>
      </c>
      <c r="S82" s="228">
        <f>Rates2!$C$23*U82</f>
        <v>0</v>
      </c>
      <c r="T82" s="228" t="e">
        <f>IF(AB82&lt;71,Y82*0.0008*(1+(LOOKUP(Info!$I$67,Rates2!$O:$O,Rates2!$N:$N)/100)),0)</f>
        <v>#N/A</v>
      </c>
      <c r="U82" s="228">
        <f>IF(AC82&lt;=5,(V82+(Rates2!$B$27*'جدول نمونه2'!Z82))/(1-Rates2!$B$28),(V82+(Rates2!$B$27*'جدول نمونه2'!Z82)-(Rates2!$B$27*'جدول نمونه2'!Z82))/(1-Rates2!$B$28))</f>
        <v>0</v>
      </c>
      <c r="V82" s="228">
        <f t="shared" si="12"/>
        <v>0</v>
      </c>
      <c r="W82" s="228">
        <v>0</v>
      </c>
      <c r="X82" s="228">
        <f>IF(AB82&lt;&gt;0,(Z82*LOOKUP(AB82,Rates2!$U$2:$U$108,Rates2!$T$2:$T$108))/SQRT(1.1),0)</f>
        <v>0</v>
      </c>
      <c r="Y82" s="228">
        <f>IF(AND(AB82&gt;=0,AB82&lt;=Rates2!$W$3),Z82*(Info!$L$73),Z82)</f>
        <v>0</v>
      </c>
      <c r="Z82" s="228">
        <f>IF(AND(AB82&gt;=0,AC82&lt;&gt;""),Z81*(1+Info!$F$67),0)</f>
        <v>0</v>
      </c>
      <c r="AA82" s="228">
        <f>IF(AB82&lt;&gt;0,AA81*(1+Info!$F$65),0)</f>
        <v>0</v>
      </c>
      <c r="AB82" s="228">
        <f>IF(AC82&lt;&gt;"",IF(Info!$F$63+AC82-1&lt;=Rates2!$W$11,Info!$F$63+AC82-1,0),0)</f>
        <v>0</v>
      </c>
      <c r="AC82" s="231" t="str">
        <f>IF(AB81&lt;&gt;"",IF(AND(AC81&lt;&gt;"",AB81+1&lt;=Rates2!$W$11),IF(AC81&lt;&gt;0,IF(AC81+1&lt;=Info!$C$67,AC81+1,""),0),""),"")</f>
        <v/>
      </c>
    </row>
  </sheetData>
  <mergeCells count="1">
    <mergeCell ref="Y1:Z1"/>
  </mergeCells>
  <printOptions horizontalCentered="1" verticalCentered="1"/>
  <pageMargins left="0.7" right="0.7" top="0.75" bottom="0.75" header="0.3" footer="0.3"/>
  <pageSetup paperSize="9" scale="22" fitToHeight="0" orientation="landscape" r:id="rId1"/>
  <headerFooter>
    <oddHeader>&amp;L&amp;"B Nazanin,Bold"کد مدرک: &amp;"Times New Roman,Bold"LIF022&amp;"B Nazanin,Bold"
شماره تجدیدنظر: &amp;"Times New Roman,Bold"04&amp;C&amp;"B Titr,Bold"بیمه سامان
جدول آفلاین بیمه نامه عمر و تشکیل سرمایه (روش پرداخت غیر یکجا)&amp;R&amp;G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71"/>
  <sheetViews>
    <sheetView zoomScale="55" zoomScaleNormal="55" workbookViewId="0">
      <pane ySplit="1" topLeftCell="A2" activePane="bottomLeft" state="frozen"/>
      <selection activeCell="S1" sqref="S1"/>
      <selection pane="bottomLeft" activeCell="S1" sqref="S1"/>
    </sheetView>
  </sheetViews>
  <sheetFormatPr defaultColWidth="9.28515625" defaultRowHeight="15" x14ac:dyDescent="0.25"/>
  <cols>
    <col min="1" max="1" width="12.28515625" style="30" hidden="1" customWidth="1"/>
    <col min="2" max="2" width="23" style="30" hidden="1" customWidth="1"/>
    <col min="3" max="3" width="16.140625" style="30" hidden="1" customWidth="1"/>
    <col min="4" max="4" width="16.7109375" style="31" hidden="1" customWidth="1"/>
    <col min="5" max="5" width="14.28515625" style="30" hidden="1" customWidth="1"/>
    <col min="6" max="6" width="14" style="30" hidden="1" customWidth="1"/>
    <col min="7" max="7" width="11.5703125" style="30" hidden="1" customWidth="1"/>
    <col min="8" max="8" width="20.28515625" style="30" hidden="1" customWidth="1"/>
    <col min="9" max="9" width="17.85546875" style="30" hidden="1" customWidth="1"/>
    <col min="10" max="10" width="31.5703125" style="30" hidden="1" customWidth="1"/>
    <col min="11" max="11" width="23" style="30" hidden="1" customWidth="1"/>
    <col min="12" max="12" width="17" style="30" hidden="1" customWidth="1"/>
    <col min="13" max="13" width="10.85546875" style="30" hidden="1" customWidth="1"/>
    <col min="14" max="15" width="13.140625" style="30" hidden="1" customWidth="1"/>
    <col min="16" max="16" width="17" style="30" hidden="1" customWidth="1"/>
    <col min="17" max="17" width="20.28515625" style="30" hidden="1" customWidth="1"/>
    <col min="18" max="18" width="22.42578125" style="30" hidden="1" customWidth="1"/>
    <col min="19" max="19" width="18.28515625" style="30" hidden="1" customWidth="1"/>
    <col min="20" max="20" width="21.85546875" style="30" hidden="1" customWidth="1"/>
    <col min="21" max="21" width="18.28515625" style="30" hidden="1" customWidth="1"/>
    <col min="22" max="22" width="20.7109375" style="30" hidden="1" customWidth="1"/>
    <col min="23" max="23" width="26.42578125" style="30" hidden="1" customWidth="1"/>
    <col min="24" max="24" width="20.7109375" style="30" hidden="1" customWidth="1"/>
    <col min="25" max="25" width="26.42578125" style="30" hidden="1" customWidth="1"/>
    <col min="26" max="26" width="22.42578125" style="30" hidden="1" customWidth="1"/>
    <col min="27" max="29" width="10.140625" style="30" hidden="1" customWidth="1"/>
    <col min="30" max="30" width="12.42578125" style="30" bestFit="1" customWidth="1"/>
    <col min="31" max="31" width="8.42578125" style="30" customWidth="1"/>
    <col min="32" max="16384" width="9.28515625" style="30"/>
  </cols>
  <sheetData>
    <row r="1" spans="1:31" ht="18.75" thickBot="1" x14ac:dyDescent="0.3">
      <c r="A1" s="75" t="s">
        <v>73</v>
      </c>
      <c r="B1" s="76" t="s">
        <v>168</v>
      </c>
      <c r="C1" s="77" t="s">
        <v>169</v>
      </c>
      <c r="D1" s="78" t="s">
        <v>76</v>
      </c>
      <c r="E1" s="77" t="s">
        <v>77</v>
      </c>
      <c r="F1" s="77" t="s">
        <v>78</v>
      </c>
      <c r="G1" s="77" t="s">
        <v>79</v>
      </c>
      <c r="H1" s="79" t="s">
        <v>81</v>
      </c>
      <c r="I1" s="77" t="s">
        <v>82</v>
      </c>
      <c r="J1" s="77" t="s">
        <v>170</v>
      </c>
      <c r="K1" s="77" t="s">
        <v>171</v>
      </c>
      <c r="L1" s="80" t="s">
        <v>172</v>
      </c>
      <c r="M1" s="79" t="s">
        <v>173</v>
      </c>
      <c r="N1" s="79" t="s">
        <v>88</v>
      </c>
      <c r="O1" s="79" t="s">
        <v>87</v>
      </c>
      <c r="P1" s="80" t="s">
        <v>162</v>
      </c>
      <c r="Q1" s="80" t="s">
        <v>174</v>
      </c>
      <c r="R1" s="76" t="s">
        <v>175</v>
      </c>
      <c r="S1" s="77" t="s">
        <v>176</v>
      </c>
      <c r="T1" s="77" t="s">
        <v>177</v>
      </c>
      <c r="U1" s="77" t="s">
        <v>178</v>
      </c>
      <c r="V1" s="81" t="s">
        <v>179</v>
      </c>
      <c r="W1" s="81" t="s">
        <v>97</v>
      </c>
      <c r="X1" s="81" t="s">
        <v>98</v>
      </c>
      <c r="Y1" s="81" t="s">
        <v>180</v>
      </c>
      <c r="Z1" s="76" t="s">
        <v>181</v>
      </c>
      <c r="AA1" s="82" t="s">
        <v>100</v>
      </c>
      <c r="AB1" s="82" t="s">
        <v>101</v>
      </c>
      <c r="AC1" s="82" t="s">
        <v>182</v>
      </c>
    </row>
    <row r="2" spans="1:31" ht="17.25" x14ac:dyDescent="0.25">
      <c r="A2" s="83" t="e">
        <f>IF(Z2&lt;&gt;"",IF(#REF!="بله",Z2,Z2+L2))</f>
        <v>#REF!</v>
      </c>
      <c r="B2" s="83" t="e">
        <f>IF(AB2&lt;&gt;"",E2+E2*(IF(AC2&gt;4,0.1,LOOKUP(#REF!,Rates!$D$2:$D$4,Rates!$C$2:$C$4))+0.85*(#REF!-IF(AC2&gt;4,0.1,LOOKUP(#REF!,Rates!$D$2:$D$4,Rates!$C$2:$C$4))))*LOOKUP(#REF!,Rates!$I$2:$I$7,Rates!$G$2:$G$7),"")</f>
        <v>#REF!</v>
      </c>
      <c r="C2" s="84" t="e">
        <f>IF(AB2&lt;&gt;"",0.9*D2,"")</f>
        <v>#REF!</v>
      </c>
      <c r="D2" s="85" t="e">
        <f>IF(AB2&lt;&gt;"",E2*(1+IF(AC2&gt;4,0.1,LOOKUP(#REF!,Rates!$D$2:$D$5,Rates!$C$2:$C$5))*LOOKUP(#REF!,Rates!$I$2:$I$7,Rates!$G$2:$G$7)),"")</f>
        <v>#REF!</v>
      </c>
      <c r="E2" s="84" t="e">
        <f>IF(AB2&lt;&gt;"",IF(#REF!="بله",IF(AND(AC2&lt;=#REF!,AC2&gt;=#REF!),#REF!,0)+(Z2-S2-I2-H2-G2-F2-L2),IF(AND(AC2&lt;=#REF!,AC2&gt;=#REF!),#REF!,0)+(Z2-S2-I2-H2-G2-F2)),"")</f>
        <v>#REF!</v>
      </c>
      <c r="F2" s="84" t="e">
        <f>IF(AB2&lt;&gt;"",0.03*(H2+I2+S2+L2),"")</f>
        <v>#REF!</v>
      </c>
      <c r="G2" s="84" t="e">
        <f>IF(AB2&lt;&gt;"",0.06*(H2+I2+S2+L2),"")</f>
        <v>#REF!</v>
      </c>
      <c r="H2" s="86" t="e">
        <f>IF(M2="",0,M2)+IF(N2="",0,N2)+IF(O2="",0,O2)</f>
        <v>#REF!</v>
      </c>
      <c r="I2" s="84" t="e">
        <f ca="1">SUM(J2:INDIRECT(CONCATENATE("J",71)))</f>
        <v>#REF!</v>
      </c>
      <c r="J2" s="84" t="e">
        <f>IF(AB2&lt;&gt;"",K2/((1+10/100)^(AC2-1)),"")</f>
        <v>#REF!</v>
      </c>
      <c r="K2" s="84" t="e">
        <f>IF(U2&lt;&gt;"",#REF!*U2,"")</f>
        <v>#REF!</v>
      </c>
      <c r="L2" s="87" t="e">
        <f>IF(P2="",0,P2)+IF(Q2="",0,Q2)</f>
        <v>#REF!</v>
      </c>
      <c r="M2" s="86" t="e">
        <f>IF(Z2&lt;&gt;"",5/100*R2,"")*(1-#REF!)</f>
        <v>#REF!</v>
      </c>
      <c r="N2" s="86" t="e">
        <f>IF(AC2&lt;=5,IF(AB2&lt;&gt;"",0.003*Y2,"")*(1-#REF!),"")</f>
        <v>#REF!</v>
      </c>
      <c r="O2" s="86" t="e">
        <f>(1-#REF!)*0.02*R2</f>
        <v>#REF!</v>
      </c>
      <c r="P2" s="87" t="e">
        <f>IF(AND(AB2&lt;=70,W2&lt;&gt;""),(1-#REF!)*((W2*0.0008*(1+(LOOKUP(#REF!,Rates!$O:$O,Rates!$M:$M)/100)))+((Y2*0.0008*#REF!))*(1+(LOOKUP(#REF!,Rates!$O:$O,Rates!$N:$N)/100))),"")</f>
        <v>#REF!</v>
      </c>
      <c r="Q2" s="88" t="e">
        <f>IF(AB2&lt;=60,(LOOKUP(AB2,Rates!$U:$U,Rates!#REF!))*V2/1000000*(1+#REF!)*(1-#REF!),"")</f>
        <v>#REF!</v>
      </c>
      <c r="R2" s="83" t="e">
        <f>IF(AND(Z2&lt;&gt;"",Q2&lt;&gt;"",P2&lt;&gt;""),IF(#REF!="بله",(Z2-Q2-P2),Z2),"")</f>
        <v>#REF!</v>
      </c>
      <c r="S2" s="84" t="e">
        <f ca="1">SUM(T2:INDIRECT(CONCATENATE("T",71)))</f>
        <v>#REF!</v>
      </c>
      <c r="T2" s="84" t="e">
        <f>IF(AB2&lt;&gt;"",U2/((1+10/100)^(AC2-1)),"")</f>
        <v>#REF!</v>
      </c>
      <c r="U2" s="84" t="e">
        <f>IF(AB2&lt;&gt;"",(Y2*LOOKUP(AB2,Rates!$U:$U,Rates!$T:$T))/SQRT(1.1),"")</f>
        <v>#REF!</v>
      </c>
      <c r="V2" s="89" t="e">
        <f>MIN(0.5*$Y$2,300000000,#REF!)</f>
        <v>#REF!</v>
      </c>
      <c r="W2" s="89" t="e">
        <f>IF(AND(AB2&lt;&gt;"",AB2&lt;=60),Y2*#REF!,"")</f>
        <v>#REF!</v>
      </c>
      <c r="X2" s="89" t="e">
        <f>IF(AND(AB2&lt;&gt;"",AB2&lt;=70),Y2*(1+#REF!),"")</f>
        <v>#REF!</v>
      </c>
      <c r="Y2" s="89" t="e">
        <f>IF(AB2&lt;&gt;"",#REF!,"")</f>
        <v>#REF!</v>
      </c>
      <c r="Z2" s="83" t="e">
        <f>IF(AB2&lt;&gt;"",IF(AC2=1,#REF!,""),"")</f>
        <v>#REF!</v>
      </c>
      <c r="AA2" s="90" t="e">
        <f>IF(AC2&lt;&gt;"",#REF!+AC2-1,"")</f>
        <v>#REF!</v>
      </c>
      <c r="AB2" s="90" t="e">
        <f>IF(AC2&lt;&gt;"",#REF!+AC2-1,"")</f>
        <v>#REF!</v>
      </c>
      <c r="AC2" s="90" t="e">
        <f>IF(#REF!&lt;&gt;"",1,"")</f>
        <v>#REF!</v>
      </c>
      <c r="AD2" s="91"/>
      <c r="AE2" s="91"/>
    </row>
    <row r="3" spans="1:31" ht="17.25" x14ac:dyDescent="0.25">
      <c r="A3" s="92">
        <v>0</v>
      </c>
      <c r="B3" s="92" t="e">
        <f>IF(AB3&lt;&gt;"",E3+E3*(IF(AC3&gt;4,0.1,LOOKUP(#REF!,Rates!$D$2:$D$4,Rates!$C$2:$C$4))+0.85*(#REF!-(IF(AC3&gt;4,0.1,LOOKUP(#REF!,Rates!$D$2:$D$4,Rates!$C$2:$C$4)))))*LOOKUP(#REF!,Rates!$I$2:$I$7,Rates!$G$2:$G$7)+B2*(1+IF(AC3&gt;4,0.1,LOOKUP(#REF!,Rates!$D$2:$D$4,Rates!$C$2:$C$4))+0.85*(#REF!-IF(AC3&gt;4,0.1,LOOKUP(#REF!,Rates!$D$2:$D$4,Rates!$C$2:$C$4)))),"")</f>
        <v>#REF!</v>
      </c>
      <c r="C3" s="93" t="e">
        <f>IF(AB3&lt;&gt;"",0.91*D3,"")</f>
        <v>#REF!</v>
      </c>
      <c r="D3" s="94" t="e">
        <f>IF(AB3&lt;&gt;"",E3*(1+IF(AC3&gt;4,0.1,LOOKUP(#REF!,Rates!$D$2:$D$5,Rates!$C$2:$C$5))*LOOKUP(#REF!,Rates!$I$2:$I$7,Rates!$G$2:$G$7))+D2*(1+IF(AC3&gt;4,0.1,LOOKUP(#REF!,Rates!$D$2:$D$5,Rates!$C$2:$C$5))),"")</f>
        <v>#REF!</v>
      </c>
      <c r="E3" s="84" t="e">
        <f>IF(AB3&lt;&gt;"",IF(#REF!="بله",IF(AND(AC3&lt;=#REF!,AC3&gt;=#REF!),#REF!,0)+(Z3-S3-I3-H3-G3-F3-L3),IF(AND(AC3&lt;=#REF!,AC3&gt;=#REF!),#REF!,0)+(Z3-S3-I3-H3-G3-F3)),"")</f>
        <v>#REF!</v>
      </c>
      <c r="F3" s="84" t="e">
        <f t="shared" ref="F3:F66" si="0">IF(AB3&lt;&gt;"",0.03*(H3+I3+S3+L3),"")</f>
        <v>#REF!</v>
      </c>
      <c r="G3" s="84" t="e">
        <f t="shared" ref="G3:G66" si="1">IF(AB3&lt;&gt;"",0.06*(H3+I3+S3+L3),"")</f>
        <v>#REF!</v>
      </c>
      <c r="H3" s="86" t="e">
        <f t="shared" ref="H3:H66" si="2">IF(M3="",0,M3)+IF(N3="",0,N3)+IF(O3="",0,O3)</f>
        <v>#REF!</v>
      </c>
      <c r="I3" s="93">
        <v>0</v>
      </c>
      <c r="J3" s="93" t="e">
        <f>IF(AB3&lt;&gt;"",K3/((1+10/100)^(AC3-1)),"")</f>
        <v>#REF!</v>
      </c>
      <c r="K3" s="84" t="e">
        <f>IF(U3&lt;&gt;"",#REF!*U3,"")</f>
        <v>#REF!</v>
      </c>
      <c r="L3" s="95" t="e">
        <f>IF(P3="",0,P3)+IF(Q3="",0,Q3)</f>
        <v>#REF!</v>
      </c>
      <c r="M3" s="96">
        <f>IF(Z3&lt;&gt;"",5/100*Z3,"")</f>
        <v>0</v>
      </c>
      <c r="N3" s="96">
        <v>0</v>
      </c>
      <c r="O3" s="96" t="e">
        <f>IF(Z3&lt;&gt;"",0.02*Z3*(1-#REF!),"")</f>
        <v>#REF!</v>
      </c>
      <c r="P3" s="95" t="e">
        <f>IF(AND(AB3&lt;=70,W3&lt;&gt;""),(1-#REF!)*((W3*0.0008*(1+(LOOKUP(#REF!,Rates!$O:$O,Rates!$M:$M)/100)))+((Y3*0.0008*#REF!))*(1+(LOOKUP(#REF!,Rates!$O:$O,Rates!$N:$N)/100))),"")</f>
        <v>#REF!</v>
      </c>
      <c r="Q3" s="88" t="e">
        <f>IF(AB3&lt;=60,(LOOKUP(AB3,Rates!$U:$U,Rates!#REF!))*V3/1000000*(1+#REF!)*(1-#REF!),"")</f>
        <v>#REF!</v>
      </c>
      <c r="R3" s="83" t="e">
        <f>IF(AND(Z3&lt;&gt;"",Q3&lt;&gt;"",P3&lt;&gt;""),IF(#REF!="بله",(Z3-Q3-P3),Z3),"")</f>
        <v>#REF!</v>
      </c>
      <c r="S3" s="84">
        <v>0</v>
      </c>
      <c r="T3" s="84" t="e">
        <f>IF(AB3&lt;&gt;"",U3/((1+10/100)^(AC3-1)),"")</f>
        <v>#REF!</v>
      </c>
      <c r="U3" s="84" t="e">
        <f>IF(AB3&lt;&gt;"",(Y3*LOOKUP(AB3,Rates!$U:$U,Rates!$T:$T))/SQRT(1.1),"")</f>
        <v>#REF!</v>
      </c>
      <c r="V3" s="97" t="e">
        <f>IF(AND(AB3&lt;&gt;"",AB3&lt;=60),IF(V2*(1+#REF!)&lt;300000000,V2*(1+#REF!),300000000),"")</f>
        <v>#REF!</v>
      </c>
      <c r="W3" s="89" t="e">
        <f>IF(AND(AB3&lt;&gt;"",AB3&lt;=60),Y3*#REF!,"")</f>
        <v>#REF!</v>
      </c>
      <c r="X3" s="97" t="e">
        <f>IF(AND(AB3&lt;&gt;"",AB3&lt;=70),Y3*(1+#REF!),"")</f>
        <v>#REF!</v>
      </c>
      <c r="Y3" s="97" t="e">
        <f>IF(AB3&lt;&gt;"",(1+#REF!)*Y2,"")</f>
        <v>#REF!</v>
      </c>
      <c r="Z3" s="83">
        <v>0</v>
      </c>
      <c r="AA3" s="98" t="e">
        <f>IF(AC3&lt;&gt;"",#REF!+AC3-1,"")</f>
        <v>#REF!</v>
      </c>
      <c r="AB3" s="98" t="e">
        <f>IF(AC3&lt;&gt;"",#REF!+AC3-1,"")</f>
        <v>#REF!</v>
      </c>
      <c r="AC3" s="98" t="e">
        <f>IF(AC2&lt;&gt;"",IF(AC2+1&lt;=#REF!,AC2+1,""),"")</f>
        <v>#REF!</v>
      </c>
      <c r="AD3" s="91"/>
      <c r="AE3" s="91"/>
    </row>
    <row r="4" spans="1:31" ht="17.25" x14ac:dyDescent="0.25">
      <c r="A4" s="92">
        <v>0</v>
      </c>
      <c r="B4" s="92" t="e">
        <f>IF(AB4&lt;&gt;"",E4+E4*(IF(AC4&gt;4,0.1,LOOKUP(#REF!,Rates!$D$2:$D$4,Rates!$C$2:$C$4))+0.85*(#REF!-(IF(AC4&gt;4,0.1,LOOKUP(#REF!,Rates!$D$2:$D$4,Rates!$C$2:$C$4)))))*LOOKUP(#REF!,Rates!$I$2:$I$7,Rates!$G$2:$G$7)+B3*(1+IF(AC4&gt;4,0.1,LOOKUP(#REF!,Rates!$D$2:$D$4,Rates!$C$2:$C$4))+0.85*(#REF!-IF(AC4&gt;4,0.1,LOOKUP(#REF!,Rates!$D$2:$D$4,Rates!$C$2:$C$4)))),"")</f>
        <v>#REF!</v>
      </c>
      <c r="C4" s="93" t="e">
        <f>IF(AB4&lt;&gt;"",0.92*D4,"")</f>
        <v>#REF!</v>
      </c>
      <c r="D4" s="94" t="e">
        <f>IF(AB4&lt;&gt;"",E4*(1+IF(AC4&gt;4,0.1,LOOKUP(#REF!,Rates!$D$2:$D$5,Rates!$B$2:$B$5))*LOOKUP(#REF!,Rates!$I$2:$I$7,Rates!$G$2:$G$7))+D3*(1+IF(AC4&gt;4,0.1,LOOKUP(#REF!,Rates!$D$2:$D$5,Rates!$B$2:$B$5))),"")</f>
        <v>#REF!</v>
      </c>
      <c r="E4" s="84" t="e">
        <f>IF(AB4&lt;&gt;"",IF(#REF!="بله",IF(AND(AC4&lt;=#REF!,AC4&gt;=#REF!),#REF!,0)+(Z4-S4-I4-H4-G4-F4-L4),IF(AND(AC4&lt;=#REF!,AC4&gt;=#REF!),#REF!,0)+(Z4-S4-I4-H4-G4-F4)),"")</f>
        <v>#REF!</v>
      </c>
      <c r="F4" s="84" t="e">
        <f t="shared" si="0"/>
        <v>#REF!</v>
      </c>
      <c r="G4" s="84" t="e">
        <f t="shared" si="1"/>
        <v>#REF!</v>
      </c>
      <c r="H4" s="86" t="e">
        <f t="shared" si="2"/>
        <v>#REF!</v>
      </c>
      <c r="I4" s="93">
        <v>0</v>
      </c>
      <c r="J4" s="93" t="e">
        <f>IF(AB4&lt;&gt;"",K4/((1+10/100)^(AC4-1)),"")</f>
        <v>#REF!</v>
      </c>
      <c r="K4" s="84" t="e">
        <f>IF(U4&lt;&gt;"",#REF!*U4,"")</f>
        <v>#REF!</v>
      </c>
      <c r="L4" s="95" t="e">
        <f t="shared" ref="L4:L66" si="3">IF(P4="",0,P4)+IF(Q4="",0,Q4)</f>
        <v>#REF!</v>
      </c>
      <c r="M4" s="96">
        <f t="shared" ref="M4:M67" si="4">IF(Z4&lt;&gt;"",5/100*Z4,"")</f>
        <v>0</v>
      </c>
      <c r="N4" s="96">
        <v>0</v>
      </c>
      <c r="O4" s="96" t="e">
        <f>IF(Z4&lt;&gt;"",0.02*Z4*(1-#REF!),"")</f>
        <v>#REF!</v>
      </c>
      <c r="P4" s="95" t="e">
        <f>IF(AND(AB4&lt;=70,W4&lt;&gt;""),(1-#REF!)*((W4*0.0008*(1+(LOOKUP(#REF!,Rates!$O:$O,Rates!$M:$M)/100)))+((Y4*0.0008*#REF!))*(1+(LOOKUP(#REF!,Rates!$O:$O,Rates!$N:$N)/100))),"")</f>
        <v>#REF!</v>
      </c>
      <c r="Q4" s="88" t="e">
        <f>IF(AB4&lt;=60,(LOOKUP(AB4,Rates!$U:$U,Rates!#REF!))*V4/1000000*(1+#REF!)*(1-#REF!),"")</f>
        <v>#REF!</v>
      </c>
      <c r="R4" s="83" t="e">
        <f>IF(AND(Z4&lt;&gt;"",Q4&lt;&gt;"",P4&lt;&gt;""),IF(#REF!="بله",(Z4-Q4-P4),Z4),"")</f>
        <v>#REF!</v>
      </c>
      <c r="S4" s="84">
        <v>0</v>
      </c>
      <c r="T4" s="84" t="e">
        <f>IF(AB4&lt;&gt;"",U4/((1+10/100)^(AC4-1)),"")</f>
        <v>#REF!</v>
      </c>
      <c r="U4" s="84" t="e">
        <f>IF(AB4&lt;&gt;"",(Y4*LOOKUP(AB4,Rates!$U:$U,Rates!$T:$T))/SQRT(1.1),"")</f>
        <v>#REF!</v>
      </c>
      <c r="V4" s="97" t="e">
        <f>IF(AND(AB4&lt;&gt;"",AB4&lt;=60),IF(V3*(1+#REF!)&lt;300000000,V3*(1+#REF!),300000000),"")</f>
        <v>#REF!</v>
      </c>
      <c r="W4" s="89" t="e">
        <f>IF(AND(AB4&lt;&gt;"",AB4&lt;=60),Y4*#REF!,"")</f>
        <v>#REF!</v>
      </c>
      <c r="X4" s="97" t="e">
        <f>IF(AND(AB4&lt;&gt;"",AB4&lt;=70),Y4*(1+#REF!),"")</f>
        <v>#REF!</v>
      </c>
      <c r="Y4" s="97" t="e">
        <f>IF(AB4&lt;&gt;"",(1+#REF!)*Y3,"")</f>
        <v>#REF!</v>
      </c>
      <c r="Z4" s="83">
        <v>0</v>
      </c>
      <c r="AA4" s="98" t="e">
        <f>IF(AC4&lt;&gt;"",#REF!+AC4-1,"")</f>
        <v>#REF!</v>
      </c>
      <c r="AB4" s="98" t="e">
        <f>IF(AC4&lt;&gt;"",#REF!+AC4-1,"")</f>
        <v>#REF!</v>
      </c>
      <c r="AC4" s="98" t="e">
        <f>IF(AC3&lt;&gt;"",IF(AC3+1&lt;=#REF!,AC3+1,""),"")</f>
        <v>#REF!</v>
      </c>
      <c r="AD4" s="91"/>
      <c r="AE4" s="91"/>
    </row>
    <row r="5" spans="1:31" ht="17.25" x14ac:dyDescent="0.25">
      <c r="A5" s="92">
        <v>0</v>
      </c>
      <c r="B5" s="92" t="e">
        <f>IF(AB5&lt;&gt;"",E5+E5*(IF(AC5&gt;4,0.1,LOOKUP(#REF!,Rates!$D$2:$D$4,Rates!$C$2:$C$4))+0.85*(#REF!-(IF(AC5&gt;4,0.1,LOOKUP(#REF!,Rates!$D$2:$D$4,Rates!$C$2:$C$4)))))*LOOKUP(#REF!,Rates!$I$2:$I$7,Rates!$G$2:$G$7)+B4*(1+IF(AC5&gt;4,0.1,LOOKUP(#REF!,Rates!$D$2:$D$4,Rates!$C$2:$C$4))+0.85*(#REF!-IF(AC5&gt;4,0.1,LOOKUP(#REF!,Rates!$D$2:$D$4,Rates!$C$2:$C$4)))),"")</f>
        <v>#REF!</v>
      </c>
      <c r="C5" s="93" t="e">
        <f>IF(AB5&lt;&gt;"",0.93*D5,"")</f>
        <v>#REF!</v>
      </c>
      <c r="D5" s="94" t="e">
        <f>IF(AB5&lt;&gt;"",E5*(1+IF(AC5&gt;4,0.1,LOOKUP(#REF!,Rates!$D$2:$D$5,Rates!$B$2:$B$5))*LOOKUP(#REF!,Rates!$I$2:$I$7,Rates!$G$2:$G$7))+D4*(1+IF(AC5&gt;4,0.1,LOOKUP(#REF!,Rates!$D$2:$D$5,Rates!$B$2:$B$5))),"")</f>
        <v>#REF!</v>
      </c>
      <c r="E5" s="84" t="e">
        <f>IF(AB5&lt;&gt;"",IF(#REF!="بله",IF(AND(AC5&lt;=#REF!,AC5&gt;=#REF!),#REF!,0)+(Z5-S5-I5-H5-G5-F5-L5),IF(AND(AC5&lt;=#REF!,AC5&gt;=#REF!),#REF!,0)+(Z5-S5-I5-H5-G5-F5)),"")</f>
        <v>#REF!</v>
      </c>
      <c r="F5" s="84" t="e">
        <f t="shared" si="0"/>
        <v>#REF!</v>
      </c>
      <c r="G5" s="84" t="e">
        <f t="shared" si="1"/>
        <v>#REF!</v>
      </c>
      <c r="H5" s="86" t="e">
        <f t="shared" si="2"/>
        <v>#REF!</v>
      </c>
      <c r="I5" s="93">
        <v>0</v>
      </c>
      <c r="J5" s="93" t="e">
        <f>IF(AB5&lt;&gt;"",K5/((1+10/100)^(AC5-1)),"")</f>
        <v>#REF!</v>
      </c>
      <c r="K5" s="84" t="e">
        <f>IF(U5&lt;&gt;"",#REF!*U5,"")</f>
        <v>#REF!</v>
      </c>
      <c r="L5" s="95" t="e">
        <f t="shared" si="3"/>
        <v>#REF!</v>
      </c>
      <c r="M5" s="96">
        <f t="shared" si="4"/>
        <v>0</v>
      </c>
      <c r="N5" s="96">
        <v>0</v>
      </c>
      <c r="O5" s="96" t="e">
        <f>IF(Z5&lt;&gt;"",0.02*Z5*(1-#REF!),"")</f>
        <v>#REF!</v>
      </c>
      <c r="P5" s="95" t="e">
        <f>IF(AND(AB5&lt;=70,W5&lt;&gt;""),(1-#REF!)*((W5*0.0008*(1+(LOOKUP(#REF!,Rates!$O:$O,Rates!$M:$M)/100)))+((Y5*0.0008*#REF!))*(1+(LOOKUP(#REF!,Rates!$O:$O,Rates!$N:$N)/100))),"")</f>
        <v>#REF!</v>
      </c>
      <c r="Q5" s="88" t="e">
        <f>IF(AB5&lt;=60,(LOOKUP(AB5,Rates!$U:$U,Rates!#REF!))*V5/1000000*(1+#REF!)*(1-#REF!),"")</f>
        <v>#REF!</v>
      </c>
      <c r="R5" s="83" t="e">
        <f>IF(AND(Z5&lt;&gt;"",Q5&lt;&gt;"",P5&lt;&gt;""),IF(#REF!="بله",(Z5-Q5-P5),Z5),"")</f>
        <v>#REF!</v>
      </c>
      <c r="S5" s="84">
        <v>0</v>
      </c>
      <c r="T5" s="84" t="e">
        <f>IF(AB5&lt;&gt;"",U5/((1+10/100)^(AC5-1)),"")</f>
        <v>#REF!</v>
      </c>
      <c r="U5" s="84" t="e">
        <f>IF(AB5&lt;&gt;"",(Y5*LOOKUP(AB5,Rates!$U:$U,Rates!$T:$T))/SQRT(1.1),"")</f>
        <v>#REF!</v>
      </c>
      <c r="V5" s="97" t="e">
        <f>IF(AND(AB5&lt;&gt;"",AB5&lt;=60),IF(V4*(1+#REF!)&lt;300000000,V4*(1+#REF!),300000000),"")</f>
        <v>#REF!</v>
      </c>
      <c r="W5" s="89" t="e">
        <f>IF(AND(AB5&lt;&gt;"",AB5&lt;=60),Y5*#REF!,"")</f>
        <v>#REF!</v>
      </c>
      <c r="X5" s="97" t="e">
        <f>IF(AND(AB5&lt;&gt;"",AB5&lt;=70),Y5*(1+#REF!),"")</f>
        <v>#REF!</v>
      </c>
      <c r="Y5" s="97" t="e">
        <f>IF(AB5&lt;&gt;"",(1+#REF!)*Y4,"")</f>
        <v>#REF!</v>
      </c>
      <c r="Z5" s="83">
        <v>0</v>
      </c>
      <c r="AA5" s="98" t="e">
        <f>IF(AC5&lt;&gt;"",#REF!+AC5-1,"")</f>
        <v>#REF!</v>
      </c>
      <c r="AB5" s="98" t="e">
        <f>IF(AC5&lt;&gt;"",#REF!+AC5-1,"")</f>
        <v>#REF!</v>
      </c>
      <c r="AC5" s="98" t="e">
        <f>IF(AC4&lt;&gt;"",IF(AC4+1&lt;=#REF!,AC4+1,""),"")</f>
        <v>#REF!</v>
      </c>
      <c r="AD5" s="91"/>
      <c r="AE5" s="91"/>
    </row>
    <row r="6" spans="1:31" ht="17.25" x14ac:dyDescent="0.25">
      <c r="A6" s="92">
        <v>0</v>
      </c>
      <c r="B6" s="92" t="e">
        <f>IF(AB6&lt;&gt;"",E6+E6*(IF(AC6&gt;4,0.1,LOOKUP(#REF!,Rates!$D$2:$D$4,Rates!$C$2:$C$4))+0.85*(#REF!-(IF(AC6&gt;4,0.1,LOOKUP(#REF!,Rates!$D$2:$D$4,Rates!$C$2:$C$4)))))*LOOKUP(#REF!,Rates!$I$2:$I$7,Rates!$G$2:$G$7)+B5*(1+IF(AC6&gt;4,0.1,LOOKUP(#REF!,Rates!$D$2:$D$4,Rates!$C$2:$C$4))+0.85*(#REF!-IF(AC6&gt;4,0.1,LOOKUP(#REF!,Rates!$D$2:$D$4,Rates!$C$2:$C$4)))),"")</f>
        <v>#REF!</v>
      </c>
      <c r="C6" s="93" t="e">
        <f>IF(AB6&lt;&gt;"",0.94*D6,"")</f>
        <v>#REF!</v>
      </c>
      <c r="D6" s="94" t="e">
        <f>IF(AB6&lt;&gt;"",E6*(1+IF(AC6&gt;4,0.1,LOOKUP(#REF!,Rates!$D$2:$D$5,Rates!$B$2:$B$5))*LOOKUP(#REF!,Rates!$I$2:$I$7,Rates!$G$2:$G$7))+D5*(1+IF(AC6&gt;4,0.1,LOOKUP(#REF!,Rates!$D$2:$D$5,Rates!$B$2:$B$5))),"")</f>
        <v>#REF!</v>
      </c>
      <c r="E6" s="84" t="e">
        <f>IF(AB6&lt;&gt;"",IF(#REF!="بله",IF(AND(AC6&lt;=#REF!,AC6&gt;=#REF!),#REF!,0)+(Z6-S6-I6-H6-G6-F6-L6),IF(AND(AC6&lt;=#REF!,AC6&gt;=#REF!),#REF!,0)+(Z6-S6-I6-H6-G6-F6)),"")</f>
        <v>#REF!</v>
      </c>
      <c r="F6" s="84" t="e">
        <f t="shared" si="0"/>
        <v>#REF!</v>
      </c>
      <c r="G6" s="84" t="e">
        <f t="shared" si="1"/>
        <v>#REF!</v>
      </c>
      <c r="H6" s="86" t="e">
        <f t="shared" si="2"/>
        <v>#REF!</v>
      </c>
      <c r="I6" s="93">
        <v>0</v>
      </c>
      <c r="J6" s="93" t="e">
        <f t="shared" ref="J6:J33" si="5">IF(AB6&lt;&gt;"",K6/((1+10/100)^(AC6-1)),"")</f>
        <v>#REF!</v>
      </c>
      <c r="K6" s="84" t="e">
        <f>IF(U6&lt;&gt;"",#REF!*U6,"")</f>
        <v>#REF!</v>
      </c>
      <c r="L6" s="95" t="e">
        <f t="shared" si="3"/>
        <v>#REF!</v>
      </c>
      <c r="M6" s="96">
        <f t="shared" si="4"/>
        <v>0</v>
      </c>
      <c r="N6" s="96">
        <v>0</v>
      </c>
      <c r="O6" s="96" t="e">
        <f>IF(Z6&lt;&gt;"",0.02*Z6*(1-#REF!),"")</f>
        <v>#REF!</v>
      </c>
      <c r="P6" s="95" t="e">
        <f>IF(AND(AB6&lt;=70,W6&lt;&gt;""),(1-#REF!)*((W6*0.0008*(1+(LOOKUP(#REF!,Rates!$O:$O,Rates!$M:$M)/100)))+((Y6*0.0008*#REF!))*(1+(LOOKUP(#REF!,Rates!$O:$O,Rates!$N:$N)/100))),"")</f>
        <v>#REF!</v>
      </c>
      <c r="Q6" s="88" t="e">
        <f>IF(AB6&lt;=60,(LOOKUP(AB6,Rates!$U:$U,Rates!#REF!))*V6/1000000*(1+#REF!)*(1-#REF!),"")</f>
        <v>#REF!</v>
      </c>
      <c r="R6" s="83" t="e">
        <f>IF(AND(Z6&lt;&gt;"",Q6&lt;&gt;"",P6&lt;&gt;""),IF(#REF!="بله",(Z6-Q6-P6),Z6),"")</f>
        <v>#REF!</v>
      </c>
      <c r="S6" s="84">
        <v>0</v>
      </c>
      <c r="T6" s="84" t="e">
        <f>IF(AB6&lt;&gt;"",U6/((1+10/100)^(AC6-1)),"")</f>
        <v>#REF!</v>
      </c>
      <c r="U6" s="84" t="e">
        <f>IF(AB6&lt;&gt;"",(Y6*LOOKUP(AB6,Rates!$U:$U,Rates!$T:$T))/SQRT(1.1),"")</f>
        <v>#REF!</v>
      </c>
      <c r="V6" s="97" t="e">
        <f>IF(AND(AB6&lt;&gt;"",AB6&lt;=60),IF(V5*(1+#REF!)&lt;300000000,V5*(1+#REF!),300000000),"")</f>
        <v>#REF!</v>
      </c>
      <c r="W6" s="89" t="e">
        <f>IF(AND(AB6&lt;&gt;"",AB6&lt;=60),Y6*#REF!,"")</f>
        <v>#REF!</v>
      </c>
      <c r="X6" s="97" t="e">
        <f>IF(AND(AB6&lt;&gt;"",AB6&lt;=70),Y6*(1+#REF!),"")</f>
        <v>#REF!</v>
      </c>
      <c r="Y6" s="97" t="e">
        <f>IF(AB6&lt;&gt;"",(1+#REF!)*Y5,"")</f>
        <v>#REF!</v>
      </c>
      <c r="Z6" s="83">
        <v>0</v>
      </c>
      <c r="AA6" s="98" t="e">
        <f>IF(AC6&lt;&gt;"",#REF!+AC6-1,"")</f>
        <v>#REF!</v>
      </c>
      <c r="AB6" s="98" t="e">
        <f>IF(AC6&lt;&gt;"",#REF!+AC6-1,"")</f>
        <v>#REF!</v>
      </c>
      <c r="AC6" s="98" t="e">
        <f>IF(AC5&lt;&gt;"",IF(AC5+1&lt;=#REF!,AC5+1,""),"")</f>
        <v>#REF!</v>
      </c>
      <c r="AD6" s="91"/>
      <c r="AE6" s="91"/>
    </row>
    <row r="7" spans="1:31" ht="17.25" x14ac:dyDescent="0.25">
      <c r="A7" s="92">
        <v>0</v>
      </c>
      <c r="B7" s="92" t="e">
        <f>IF(AB7&lt;&gt;"",E7+E7*(IF(AC7&gt;4,0.1,LOOKUP(#REF!,Rates!$D$2:$D$4,Rates!$C$2:$C$4))+0.85*(#REF!-(IF(AC7&gt;4,0.1,LOOKUP(#REF!,Rates!$D$2:$D$4,Rates!$C$2:$C$4)))))*LOOKUP(#REF!,Rates!$I$2:$I$7,Rates!$G$2:$G$7)+B6*(1+IF(AC7&gt;4,0.1,LOOKUP(#REF!,Rates!$D$2:$D$4,Rates!$C$2:$C$4))+0.85*(#REF!-IF(AC7&gt;4,0.1,LOOKUP(#REF!,Rates!$D$2:$D$4,Rates!$C$2:$C$4)))),"")</f>
        <v>#REF!</v>
      </c>
      <c r="C7" s="93" t="e">
        <f>IF(AB7&lt;&gt;"",0.95*D7,"")</f>
        <v>#REF!</v>
      </c>
      <c r="D7" s="94" t="e">
        <f>IF(AB7&lt;&gt;"",E7*(1+IF(AC7&gt;4,0.1,LOOKUP(#REF!,Rates!$D$2:$D$5,Rates!$B$2:$B$5))*LOOKUP(#REF!,Rates!$I$2:$I$7,Rates!$G$2:$G$7))+D6*(1+IF(AC7&gt;4,0.1,LOOKUP(#REF!,Rates!$D$2:$D$5,Rates!$B$2:$B$5))),"")</f>
        <v>#REF!</v>
      </c>
      <c r="E7" s="84" t="e">
        <f>IF(AB7&lt;&gt;"",IF(#REF!="بله",IF(AND(AC7&lt;=#REF!,AC7&gt;=#REF!),#REF!,0)+(Z7-S7-I7-H7-G7-F7-L7),IF(AND(AC7&lt;=#REF!,AC7&gt;=#REF!),#REF!,0)+(Z7-S7-I7-H7-G7-F7)),"")</f>
        <v>#REF!</v>
      </c>
      <c r="F7" s="84" t="e">
        <f t="shared" si="0"/>
        <v>#REF!</v>
      </c>
      <c r="G7" s="84" t="e">
        <f t="shared" si="1"/>
        <v>#REF!</v>
      </c>
      <c r="H7" s="86" t="e">
        <f t="shared" si="2"/>
        <v>#REF!</v>
      </c>
      <c r="I7" s="93">
        <v>0</v>
      </c>
      <c r="J7" s="93" t="e">
        <f t="shared" si="5"/>
        <v>#REF!</v>
      </c>
      <c r="K7" s="84" t="e">
        <f>IF(U7&lt;&gt;"",#REF!*U7,"")</f>
        <v>#REF!</v>
      </c>
      <c r="L7" s="95" t="e">
        <f t="shared" si="3"/>
        <v>#REF!</v>
      </c>
      <c r="M7" s="96">
        <f t="shared" si="4"/>
        <v>0</v>
      </c>
      <c r="N7" s="96">
        <v>0</v>
      </c>
      <c r="O7" s="96" t="e">
        <f>IF(Z7&lt;&gt;"",0.02*Z7*(1-#REF!),"")</f>
        <v>#REF!</v>
      </c>
      <c r="P7" s="95" t="e">
        <f>IF(AND(AB7&lt;=70,W7&lt;&gt;""),(1-#REF!)*((W7*0.0008*(1+(LOOKUP(#REF!,Rates!$O:$O,Rates!$M:$M)/100)))+((Y7*0.0008*#REF!))*(1+(LOOKUP(#REF!,Rates!$O:$O,Rates!$N:$N)/100))),"")</f>
        <v>#REF!</v>
      </c>
      <c r="Q7" s="88" t="e">
        <f>IF(AB7&lt;=60,(LOOKUP(AB7,Rates!$U:$U,Rates!#REF!))*V7/1000000*(1+#REF!)*(1-#REF!),"")</f>
        <v>#REF!</v>
      </c>
      <c r="R7" s="83" t="e">
        <f>IF(AND(Z7&lt;&gt;"",Q7&lt;&gt;"",P7&lt;&gt;""),IF(#REF!="بله",(Z7-Q7-P7),Z7),"")</f>
        <v>#REF!</v>
      </c>
      <c r="S7" s="84">
        <v>0</v>
      </c>
      <c r="T7" s="84" t="e">
        <f t="shared" ref="T7:T66" si="6">IF(AB7&lt;&gt;"",U7/((1+10/100)^(AC7-1)),"")</f>
        <v>#REF!</v>
      </c>
      <c r="U7" s="84" t="e">
        <f>IF(AB7&lt;&gt;"",(Y7*LOOKUP(AB7,Rates!$U:$U,Rates!$T:$T))/SQRT(1.1),"")</f>
        <v>#REF!</v>
      </c>
      <c r="V7" s="97" t="e">
        <f>IF(AND(AB7&lt;&gt;"",AB7&lt;=60),IF(V6*(1+#REF!)&lt;300000000,V6*(1+#REF!),300000000),"")</f>
        <v>#REF!</v>
      </c>
      <c r="W7" s="89" t="e">
        <f>IF(AND(AB7&lt;&gt;"",AB7&lt;=60),Y7*#REF!,"")</f>
        <v>#REF!</v>
      </c>
      <c r="X7" s="97" t="e">
        <f>IF(AND(AB7&lt;&gt;"",AB7&lt;=70),Y7*(1+#REF!),"")</f>
        <v>#REF!</v>
      </c>
      <c r="Y7" s="97" t="e">
        <f>IF(AB7&lt;&gt;"",(1+#REF!)*Y6,"")</f>
        <v>#REF!</v>
      </c>
      <c r="Z7" s="83">
        <v>0</v>
      </c>
      <c r="AA7" s="98" t="e">
        <f>IF(AC7&lt;&gt;"",#REF!+AC7-1,"")</f>
        <v>#REF!</v>
      </c>
      <c r="AB7" s="98" t="e">
        <f>IF(AC7&lt;&gt;"",#REF!+AC7-1,"")</f>
        <v>#REF!</v>
      </c>
      <c r="AC7" s="98" t="e">
        <f>IF(AC6&lt;&gt;"",IF(AC6+1&lt;=#REF!,AC6+1,""),"")</f>
        <v>#REF!</v>
      </c>
      <c r="AD7" s="91"/>
      <c r="AE7" s="91"/>
    </row>
    <row r="8" spans="1:31" ht="17.25" x14ac:dyDescent="0.25">
      <c r="A8" s="92">
        <v>0</v>
      </c>
      <c r="B8" s="92" t="e">
        <f>IF(AB8&lt;&gt;"",E8+E8*(IF(AC8&gt;4,0.1,LOOKUP(#REF!,Rates!$D$2:$D$4,Rates!$C$2:$C$4))+0.85*(#REF!-(IF(AC8&gt;4,0.1,LOOKUP(#REF!,Rates!$D$2:$D$4,Rates!$C$2:$C$4)))))*LOOKUP(#REF!,Rates!$I$2:$I$7,Rates!$G$2:$G$7)+B7*(1+IF(AC8&gt;4,0.1,LOOKUP(#REF!,Rates!$D$2:$D$4,Rates!$C$2:$C$4))+0.85*(#REF!-IF(AC8&gt;4,0.1,LOOKUP(#REF!,Rates!$D$2:$D$4,Rates!$C$2:$C$4)))),"")</f>
        <v>#REF!</v>
      </c>
      <c r="C8" s="93" t="e">
        <f>IF(AB8&lt;&gt;"",0.96*D8,"")</f>
        <v>#REF!</v>
      </c>
      <c r="D8" s="94" t="e">
        <f>IF(AB8&lt;&gt;"",E8*(1+IF(AC8&gt;4,0.1,LOOKUP(#REF!,Rates!$D$2:$D$5,Rates!$B$2:$B$5))*LOOKUP(#REF!,Rates!$I$2:$I$7,Rates!$G$2:$G$7))+D7*(1+IF(AC8&gt;4,0.1,LOOKUP(#REF!,Rates!$D$2:$D$5,Rates!$B$2:$B$5))),"")</f>
        <v>#REF!</v>
      </c>
      <c r="E8" s="84" t="e">
        <f>IF(AB8&lt;&gt;"",IF(#REF!="بله",IF(AND(AC8&lt;=#REF!,AC8&gt;=#REF!),#REF!,0)+(Z8-S8-I8-H8-G8-F8-L8),IF(AND(AC8&lt;=#REF!,AC8&gt;=#REF!),#REF!,0)+(Z8-S8-I8-H8-G8-F8)),"")</f>
        <v>#REF!</v>
      </c>
      <c r="F8" s="84" t="e">
        <f t="shared" si="0"/>
        <v>#REF!</v>
      </c>
      <c r="G8" s="84" t="e">
        <f t="shared" si="1"/>
        <v>#REF!</v>
      </c>
      <c r="H8" s="86" t="e">
        <f t="shared" si="2"/>
        <v>#REF!</v>
      </c>
      <c r="I8" s="93">
        <v>0</v>
      </c>
      <c r="J8" s="93" t="e">
        <f t="shared" si="5"/>
        <v>#REF!</v>
      </c>
      <c r="K8" s="84" t="e">
        <f>IF(U8&lt;&gt;"",#REF!*U8,"")</f>
        <v>#REF!</v>
      </c>
      <c r="L8" s="95" t="e">
        <f t="shared" si="3"/>
        <v>#REF!</v>
      </c>
      <c r="M8" s="96">
        <f t="shared" si="4"/>
        <v>0</v>
      </c>
      <c r="N8" s="96">
        <v>0</v>
      </c>
      <c r="O8" s="96" t="e">
        <f>IF(Z8&lt;&gt;"",0.02*Z8*(1-#REF!),"")</f>
        <v>#REF!</v>
      </c>
      <c r="P8" s="95" t="e">
        <f>IF(AND(AB8&lt;=70,W8&lt;&gt;""),(1-#REF!)*((W8*0.0008*(1+(LOOKUP(#REF!,Rates!$O:$O,Rates!$M:$M)/100)))+((Y8*0.0008*#REF!))*(1+(LOOKUP(#REF!,Rates!$O:$O,Rates!$N:$N)/100))),"")</f>
        <v>#REF!</v>
      </c>
      <c r="Q8" s="88" t="e">
        <f>IF(AB8&lt;=60,(LOOKUP(AB8,Rates!$U:$U,Rates!#REF!))*V8/1000000*(1+#REF!)*(1-#REF!),"")</f>
        <v>#REF!</v>
      </c>
      <c r="R8" s="83" t="e">
        <f>IF(AND(Z8&lt;&gt;"",Q8&lt;&gt;"",P8&lt;&gt;""),IF(#REF!="بله",(Z8-Q8-P8),Z8),"")</f>
        <v>#REF!</v>
      </c>
      <c r="S8" s="84">
        <v>0</v>
      </c>
      <c r="T8" s="84" t="e">
        <f t="shared" si="6"/>
        <v>#REF!</v>
      </c>
      <c r="U8" s="84" t="e">
        <f>IF(AB8&lt;&gt;"",(Y8*LOOKUP(AB8,Rates!$U:$U,Rates!$T:$T))/SQRT(1.1),"")</f>
        <v>#REF!</v>
      </c>
      <c r="V8" s="97" t="e">
        <f>IF(AND(AB8&lt;&gt;"",AB8&lt;=60),IF(V7*(1+#REF!)&lt;300000000,V7*(1+#REF!),300000000),"")</f>
        <v>#REF!</v>
      </c>
      <c r="W8" s="89" t="e">
        <f>IF(AND(AB8&lt;&gt;"",AB8&lt;=60),Y8*#REF!,"")</f>
        <v>#REF!</v>
      </c>
      <c r="X8" s="97" t="e">
        <f>IF(AND(AB8&lt;&gt;"",AB8&lt;=70),Y8*(1+#REF!),"")</f>
        <v>#REF!</v>
      </c>
      <c r="Y8" s="97" t="e">
        <f>IF(AB8&lt;&gt;"",(1+#REF!)*Y7,"")</f>
        <v>#REF!</v>
      </c>
      <c r="Z8" s="83">
        <v>0</v>
      </c>
      <c r="AA8" s="98" t="e">
        <f>IF(AC8&lt;&gt;"",#REF!+AC8-1,"")</f>
        <v>#REF!</v>
      </c>
      <c r="AB8" s="98" t="e">
        <f>IF(AC8&lt;&gt;"",#REF!+AC8-1,"")</f>
        <v>#REF!</v>
      </c>
      <c r="AC8" s="98" t="e">
        <f>IF(AC7&lt;&gt;"",IF(AC7+1&lt;=#REF!,AC7+1,""),"")</f>
        <v>#REF!</v>
      </c>
      <c r="AD8" s="91"/>
      <c r="AE8" s="91"/>
    </row>
    <row r="9" spans="1:31" ht="17.25" x14ac:dyDescent="0.25">
      <c r="A9" s="92">
        <v>0</v>
      </c>
      <c r="B9" s="92" t="e">
        <f>IF(AB9&lt;&gt;"",E9+E9*(IF(AC9&gt;4,0.1,LOOKUP(#REF!,Rates!$D$2:$D$4,Rates!$C$2:$C$4))+0.85*(#REF!-(IF(AC9&gt;4,0.1,LOOKUP(#REF!,Rates!$D$2:$D$4,Rates!$C$2:$C$4)))))*LOOKUP(#REF!,Rates!$I$2:$I$7,Rates!$G$2:$G$7)+B8*(1+IF(AC9&gt;4,0.1,LOOKUP(#REF!,Rates!$D$2:$D$4,Rates!$C$2:$C$4))+0.85*(#REF!-IF(AC9&gt;4,0.1,LOOKUP(#REF!,Rates!$D$2:$D$4,Rates!$C$2:$C$4)))),"")</f>
        <v>#REF!</v>
      </c>
      <c r="C9" s="93" t="e">
        <f>IF(AB9&lt;&gt;"",D9,"")</f>
        <v>#REF!</v>
      </c>
      <c r="D9" s="94" t="e">
        <f>IF(AB9&lt;&gt;"",E9*(1+IF(AC9&gt;4,0.1,LOOKUP(#REF!,Rates!$D$2:$D$5,Rates!$B$2:$B$5))*LOOKUP(#REF!,Rates!$I$2:$I$7,Rates!$G$2:$G$7))+D8*(1+IF(AC9&gt;4,0.1,LOOKUP(#REF!,Rates!$D$2:$D$5,Rates!$B$2:$B$5))),"")</f>
        <v>#REF!</v>
      </c>
      <c r="E9" s="84" t="e">
        <f>IF(AB9&lt;&gt;"",IF(#REF!="بله",IF(AND(AC9&lt;=#REF!,AC9&gt;=#REF!),#REF!,0)+(Z9-S9-I9-H9-G9-F9-L9),IF(AND(AC9&lt;=#REF!,AC9&gt;=#REF!),#REF!,0)+(Z9-S9-I9-H9-G9-F9)),"")</f>
        <v>#REF!</v>
      </c>
      <c r="F9" s="84" t="e">
        <f t="shared" si="0"/>
        <v>#REF!</v>
      </c>
      <c r="G9" s="84" t="e">
        <f t="shared" si="1"/>
        <v>#REF!</v>
      </c>
      <c r="H9" s="86" t="e">
        <f t="shared" si="2"/>
        <v>#REF!</v>
      </c>
      <c r="I9" s="93">
        <v>0</v>
      </c>
      <c r="J9" s="93" t="e">
        <f t="shared" si="5"/>
        <v>#REF!</v>
      </c>
      <c r="K9" s="84" t="e">
        <f>IF(U9&lt;&gt;"",#REF!*U9,"")</f>
        <v>#REF!</v>
      </c>
      <c r="L9" s="95" t="e">
        <f t="shared" si="3"/>
        <v>#REF!</v>
      </c>
      <c r="M9" s="96">
        <f t="shared" si="4"/>
        <v>0</v>
      </c>
      <c r="N9" s="96">
        <v>0</v>
      </c>
      <c r="O9" s="96" t="e">
        <f>IF(Z9&lt;&gt;"",0.02*Z9*(1-#REF!),"")</f>
        <v>#REF!</v>
      </c>
      <c r="P9" s="95" t="e">
        <f>IF(AND(AB9&lt;=70,W9&lt;&gt;""),(1-#REF!)*((W9*0.0008*(1+(LOOKUP(#REF!,Rates!$O:$O,Rates!$M:$M)/100)))+((Y9*0.0008*#REF!))*(1+(LOOKUP(#REF!,Rates!$O:$O,Rates!$N:$N)/100))),"")</f>
        <v>#REF!</v>
      </c>
      <c r="Q9" s="88" t="e">
        <f>IF(AB9&lt;=60,(LOOKUP(AB9,Rates!$U:$U,Rates!#REF!))*V9/1000000*(1+#REF!)*(1-#REF!),"")</f>
        <v>#REF!</v>
      </c>
      <c r="R9" s="83" t="e">
        <f>IF(AND(Z9&lt;&gt;"",Q9&lt;&gt;"",P9&lt;&gt;""),IF(#REF!="بله",(Z9-Q9-P9),Z9),"")</f>
        <v>#REF!</v>
      </c>
      <c r="S9" s="84">
        <v>0</v>
      </c>
      <c r="T9" s="84" t="e">
        <f t="shared" si="6"/>
        <v>#REF!</v>
      </c>
      <c r="U9" s="84" t="e">
        <f>IF(AB9&lt;&gt;"",(Y9*LOOKUP(AB9,Rates!$U:$U,Rates!$T:$T))/SQRT(1.1),"")</f>
        <v>#REF!</v>
      </c>
      <c r="V9" s="97" t="e">
        <f>IF(AND(AB9&lt;&gt;"",AB9&lt;=60),IF(V8*(1+#REF!)&lt;300000000,V8*(1+#REF!),300000000),"")</f>
        <v>#REF!</v>
      </c>
      <c r="W9" s="89" t="e">
        <f>IF(AND(AB9&lt;&gt;"",AB9&lt;=60),Y9*#REF!,"")</f>
        <v>#REF!</v>
      </c>
      <c r="X9" s="97" t="e">
        <f>IF(AND(AB9&lt;&gt;"",AB9&lt;=70),Y9*(1+#REF!),"")</f>
        <v>#REF!</v>
      </c>
      <c r="Y9" s="97" t="e">
        <f>IF(AB9&lt;&gt;"",(1+#REF!)*Y8,"")</f>
        <v>#REF!</v>
      </c>
      <c r="Z9" s="83">
        <v>0</v>
      </c>
      <c r="AA9" s="98" t="e">
        <f>IF(AC9&lt;&gt;"",#REF!+AC9-1,"")</f>
        <v>#REF!</v>
      </c>
      <c r="AB9" s="98" t="e">
        <f>IF(AC9&lt;&gt;"",#REF!+AC9-1,"")</f>
        <v>#REF!</v>
      </c>
      <c r="AC9" s="98" t="e">
        <f>IF(AC8&lt;&gt;"",IF(AC8+1&lt;=#REF!,AC8+1,""),"")</f>
        <v>#REF!</v>
      </c>
      <c r="AD9" s="91"/>
      <c r="AE9" s="91"/>
    </row>
    <row r="10" spans="1:31" ht="17.25" x14ac:dyDescent="0.25">
      <c r="A10" s="92">
        <v>0</v>
      </c>
      <c r="B10" s="92" t="e">
        <f>IF(AB10&lt;&gt;"",E10+E10*(IF(AC10&gt;4,0.1,LOOKUP(#REF!,Rates!$D$2:$D$4,Rates!$C$2:$C$4))+0.85*(#REF!-(IF(AC10&gt;4,0.1,LOOKUP(#REF!,Rates!$D$2:$D$4,Rates!$C$2:$C$4)))))*LOOKUP(#REF!,Rates!$I$2:$I$7,Rates!$G$2:$G$7)+B9*(1+IF(AC10&gt;4,0.1,LOOKUP(#REF!,Rates!$D$2:$D$4,Rates!$C$2:$C$4))+0.85*(#REF!-IF(AC10&gt;4,0.1,LOOKUP(#REF!,Rates!$D$2:$D$4,Rates!$C$2:$C$4)))),"")</f>
        <v>#REF!</v>
      </c>
      <c r="C10" s="93" t="e">
        <f t="shared" ref="C10:C40" si="7">IF(AB10&lt;&gt;"",D10,"")</f>
        <v>#REF!</v>
      </c>
      <c r="D10" s="94" t="e">
        <f>IF(AB10&lt;&gt;"",E10*(1+IF(AC10&gt;4,0.1,LOOKUP(#REF!,Rates!$D$2:$D$5,Rates!$B$2:$B$5))*LOOKUP(#REF!,Rates!$I$2:$I$7,Rates!$G$2:$G$7))+D9*(1+IF(AC10&gt;4,0.1,LOOKUP(#REF!,Rates!$D$2:$D$5,Rates!$B$2:$B$5))),"")</f>
        <v>#REF!</v>
      </c>
      <c r="E10" s="84" t="e">
        <f>IF(AB10&lt;&gt;"",IF(#REF!="بله",IF(AND(AC10&lt;=#REF!,AC10&gt;=#REF!),#REF!,0)+(Z10-S10-I10-H10-G10-F10-L10),IF(AND(AC10&lt;=#REF!,AC10&gt;=#REF!),#REF!,0)+(Z10-S10-I10-H10-G10-F10)),"")</f>
        <v>#REF!</v>
      </c>
      <c r="F10" s="84" t="e">
        <f t="shared" si="0"/>
        <v>#REF!</v>
      </c>
      <c r="G10" s="84" t="e">
        <f t="shared" si="1"/>
        <v>#REF!</v>
      </c>
      <c r="H10" s="86" t="e">
        <f t="shared" si="2"/>
        <v>#REF!</v>
      </c>
      <c r="I10" s="93">
        <v>0</v>
      </c>
      <c r="J10" s="93" t="e">
        <f t="shared" si="5"/>
        <v>#REF!</v>
      </c>
      <c r="K10" s="84" t="e">
        <f>IF(U10&lt;&gt;"",#REF!*U10,"")</f>
        <v>#REF!</v>
      </c>
      <c r="L10" s="95" t="e">
        <f t="shared" si="3"/>
        <v>#REF!</v>
      </c>
      <c r="M10" s="96">
        <f t="shared" si="4"/>
        <v>0</v>
      </c>
      <c r="N10" s="96">
        <v>0</v>
      </c>
      <c r="O10" s="96" t="e">
        <f>IF(Z10&lt;&gt;"",0.02*Z10*(1-#REF!),"")</f>
        <v>#REF!</v>
      </c>
      <c r="P10" s="95" t="e">
        <f>IF(AND(AB10&lt;=70,W10&lt;&gt;""),(1-#REF!)*((W10*0.0008*(1+(LOOKUP(#REF!,Rates!$O:$O,Rates!$M:$M)/100)))+((Y10*0.0008*#REF!))*(1+(LOOKUP(#REF!,Rates!$O:$O,Rates!$N:$N)/100))),"")</f>
        <v>#REF!</v>
      </c>
      <c r="Q10" s="88" t="e">
        <f>IF(AB10&lt;=60,(LOOKUP(AB10,Rates!$U:$U,Rates!#REF!))*V10/1000000*(1+#REF!)*(1-#REF!),"")</f>
        <v>#REF!</v>
      </c>
      <c r="R10" s="83" t="e">
        <f>IF(AND(Z10&lt;&gt;"",Q10&lt;&gt;"",P10&lt;&gt;""),IF(#REF!="بله",(Z10-Q10-P10),Z10),"")</f>
        <v>#REF!</v>
      </c>
      <c r="S10" s="84">
        <v>0</v>
      </c>
      <c r="T10" s="84" t="e">
        <f t="shared" si="6"/>
        <v>#REF!</v>
      </c>
      <c r="U10" s="84" t="e">
        <f>IF(AB10&lt;&gt;"",(Y10*LOOKUP(AB10,Rates!$U:$U,Rates!$T:$T))/SQRT(1.1),"")</f>
        <v>#REF!</v>
      </c>
      <c r="V10" s="97" t="e">
        <f>IF(AND(AB10&lt;&gt;"",AB10&lt;=60),IF(V9*(1+#REF!)&lt;300000000,V9*(1+#REF!),300000000),"")</f>
        <v>#REF!</v>
      </c>
      <c r="W10" s="89" t="e">
        <f>IF(AND(AB10&lt;&gt;"",AB10&lt;=60),Y10*#REF!,"")</f>
        <v>#REF!</v>
      </c>
      <c r="X10" s="97" t="e">
        <f>IF(AND(AB10&lt;&gt;"",AB10&lt;=70),Y10*(1+#REF!),"")</f>
        <v>#REF!</v>
      </c>
      <c r="Y10" s="97" t="e">
        <f>IF(AB10&lt;&gt;"",(1+#REF!)*Y9,"")</f>
        <v>#REF!</v>
      </c>
      <c r="Z10" s="83">
        <v>0</v>
      </c>
      <c r="AA10" s="98" t="e">
        <f>IF(AC10&lt;&gt;"",#REF!+AC10-1,"")</f>
        <v>#REF!</v>
      </c>
      <c r="AB10" s="98" t="e">
        <f>IF(AC10&lt;&gt;"",#REF!+AC10-1,"")</f>
        <v>#REF!</v>
      </c>
      <c r="AC10" s="98" t="e">
        <f>IF(AC9&lt;&gt;"",IF(AC9+1&lt;=#REF!,AC9+1,""),"")</f>
        <v>#REF!</v>
      </c>
      <c r="AD10" s="91"/>
      <c r="AE10" s="91"/>
    </row>
    <row r="11" spans="1:31" ht="17.25" x14ac:dyDescent="0.25">
      <c r="A11" s="92">
        <v>0</v>
      </c>
      <c r="B11" s="92" t="e">
        <f>IF(AB11&lt;&gt;"",E11+E11*(IF(AC11&gt;4,0.1,LOOKUP(#REF!,Rates!$D$2:$D$4,Rates!$C$2:$C$4))+0.85*(#REF!-(IF(AC11&gt;4,0.1,LOOKUP(#REF!,Rates!$D$2:$D$4,Rates!$C$2:$C$4)))))*LOOKUP(#REF!,Rates!$I$2:$I$7,Rates!$G$2:$G$7)+B10*(1+IF(AC11&gt;4,0.1,LOOKUP(#REF!,Rates!$D$2:$D$4,Rates!$C$2:$C$4))+0.85*(#REF!-IF(AC11&gt;4,0.1,LOOKUP(#REF!,Rates!$D$2:$D$4,Rates!$C$2:$C$4)))),"")</f>
        <v>#REF!</v>
      </c>
      <c r="C11" s="93" t="e">
        <f t="shared" si="7"/>
        <v>#REF!</v>
      </c>
      <c r="D11" s="94" t="e">
        <f>IF(AB11&lt;&gt;"",E11*(1+IF(AC11&gt;4,0.1,LOOKUP(#REF!,Rates!$D$2:$D$5,Rates!$B$2:$B$5))*LOOKUP(#REF!,Rates!$I$2:$I$7,Rates!$G$2:$G$7))+D10*(1+IF(AC11&gt;4,0.1,LOOKUP(#REF!,Rates!$D$2:$D$5,Rates!$B$2:$B$5))),"")</f>
        <v>#REF!</v>
      </c>
      <c r="E11" s="84" t="e">
        <f>IF(AB11&lt;&gt;"",IF(#REF!="بله",IF(AND(AC11&lt;=#REF!,AC11&gt;=#REF!),#REF!,0)+(Z11-S11-I11-H11-G11-F11-L11),IF(AND(AC11&lt;=#REF!,AC11&gt;=#REF!),#REF!,0)+(Z11-S11-I11-H11-G11-F11)),"")</f>
        <v>#REF!</v>
      </c>
      <c r="F11" s="84" t="e">
        <f t="shared" si="0"/>
        <v>#REF!</v>
      </c>
      <c r="G11" s="84" t="e">
        <f t="shared" si="1"/>
        <v>#REF!</v>
      </c>
      <c r="H11" s="86" t="e">
        <f t="shared" si="2"/>
        <v>#REF!</v>
      </c>
      <c r="I11" s="93">
        <v>0</v>
      </c>
      <c r="J11" s="93" t="e">
        <f t="shared" si="5"/>
        <v>#REF!</v>
      </c>
      <c r="K11" s="84" t="e">
        <f>IF(U11&lt;&gt;"",#REF!*U11,"")</f>
        <v>#REF!</v>
      </c>
      <c r="L11" s="95" t="e">
        <f t="shared" si="3"/>
        <v>#REF!</v>
      </c>
      <c r="M11" s="96">
        <f t="shared" si="4"/>
        <v>0</v>
      </c>
      <c r="N11" s="96">
        <v>0</v>
      </c>
      <c r="O11" s="96" t="e">
        <f>IF(Z11&lt;&gt;"",0.02*Z11*(1-#REF!),"")</f>
        <v>#REF!</v>
      </c>
      <c r="P11" s="95" t="e">
        <f>IF(AND(AB11&lt;=70,W11&lt;&gt;""),(1-#REF!)*((W11*0.0008*(1+(LOOKUP(#REF!,Rates!$O:$O,Rates!$M:$M)/100)))+((Y11*0.0008*#REF!))*(1+(LOOKUP(#REF!,Rates!$O:$O,Rates!$N:$N)/100))),"")</f>
        <v>#REF!</v>
      </c>
      <c r="Q11" s="88" t="e">
        <f>IF(AB11&lt;=60,(LOOKUP(AB11,Rates!$U:$U,Rates!#REF!))*V11/1000000*(1+#REF!)*(1-#REF!),"")</f>
        <v>#REF!</v>
      </c>
      <c r="R11" s="83" t="e">
        <f>IF(AND(Z11&lt;&gt;"",Q11&lt;&gt;"",P11&lt;&gt;""),IF(#REF!="بله",(Z11-Q11-P11),Z11),"")</f>
        <v>#REF!</v>
      </c>
      <c r="S11" s="84">
        <v>0</v>
      </c>
      <c r="T11" s="84" t="e">
        <f t="shared" si="6"/>
        <v>#REF!</v>
      </c>
      <c r="U11" s="84" t="e">
        <f>IF(AB11&lt;&gt;"",(Y11*LOOKUP(AB11,Rates!$U:$U,Rates!$T:$T))/SQRT(1.1),"")</f>
        <v>#REF!</v>
      </c>
      <c r="V11" s="97" t="e">
        <f>IF(AND(AB11&lt;&gt;"",AB11&lt;=60),IF(V10*(1+#REF!)&lt;300000000,V10*(1+#REF!),300000000),"")</f>
        <v>#REF!</v>
      </c>
      <c r="W11" s="89" t="e">
        <f>IF(AND(AB11&lt;&gt;"",AB11&lt;=60),Y11*#REF!,"")</f>
        <v>#REF!</v>
      </c>
      <c r="X11" s="97" t="e">
        <f>IF(AND(AB11&lt;&gt;"",AB11&lt;=70),Y11*(1+#REF!),"")</f>
        <v>#REF!</v>
      </c>
      <c r="Y11" s="97" t="e">
        <f>IF(AB11&lt;&gt;"",(1+#REF!)*Y10,"")</f>
        <v>#REF!</v>
      </c>
      <c r="Z11" s="83">
        <v>0</v>
      </c>
      <c r="AA11" s="98" t="e">
        <f>IF(AC11&lt;&gt;"",#REF!+AC11-1,"")</f>
        <v>#REF!</v>
      </c>
      <c r="AB11" s="98" t="e">
        <f>IF(AC11&lt;&gt;"",#REF!+AC11-1,"")</f>
        <v>#REF!</v>
      </c>
      <c r="AC11" s="98" t="e">
        <f>IF(AC10&lt;&gt;"",IF(AC10+1&lt;=#REF!,AC10+1,""),"")</f>
        <v>#REF!</v>
      </c>
      <c r="AD11" s="91"/>
      <c r="AE11" s="91"/>
    </row>
    <row r="12" spans="1:31" ht="17.25" x14ac:dyDescent="0.25">
      <c r="A12" s="92">
        <v>0</v>
      </c>
      <c r="B12" s="92" t="e">
        <f>IF(AB12&lt;&gt;"",E12+E12*(IF(AC12&gt;4,0.1,LOOKUP(#REF!,Rates!$D$2:$D$4,Rates!$C$2:$C$4))+0.85*(#REF!-(IF(AC12&gt;4,0.1,LOOKUP(#REF!,Rates!$D$2:$D$4,Rates!$C$2:$C$4)))))*LOOKUP(#REF!,Rates!$I$2:$I$7,Rates!$G$2:$G$7)+B11*(1+IF(AC12&gt;4,0.1,LOOKUP(#REF!,Rates!$D$2:$D$4,Rates!$C$2:$C$4))+0.85*(#REF!-IF(AC12&gt;4,0.1,LOOKUP(#REF!,Rates!$D$2:$D$4,Rates!$C$2:$C$4)))),"")</f>
        <v>#REF!</v>
      </c>
      <c r="C12" s="93" t="e">
        <f t="shared" si="7"/>
        <v>#REF!</v>
      </c>
      <c r="D12" s="94" t="e">
        <f>IF(AB12&lt;&gt;"",E12*(1+IF(AC12&gt;4,0.1,LOOKUP(#REF!,Rates!$D$2:$D$5,Rates!$B$2:$B$5))*LOOKUP(#REF!,Rates!$I$2:$I$7,Rates!$G$2:$G$7))+D11*(1+IF(AC12&gt;4,0.1,LOOKUP(#REF!,Rates!$D$2:$D$5,Rates!$B$2:$B$5))),"")</f>
        <v>#REF!</v>
      </c>
      <c r="E12" s="84" t="e">
        <f>IF(AB12&lt;&gt;"",IF(#REF!="بله",IF(AND(AC12&lt;=#REF!,AC12&gt;=#REF!),#REF!,0)+(Z12-S12-I12-H12-G12-F12-L12),IF(AND(AC12&lt;=#REF!,AC12&gt;=#REF!),#REF!,0)+(Z12-S12-I12-H12-G12-F12)),"")</f>
        <v>#REF!</v>
      </c>
      <c r="F12" s="84" t="e">
        <f t="shared" si="0"/>
        <v>#REF!</v>
      </c>
      <c r="G12" s="84" t="e">
        <f t="shared" si="1"/>
        <v>#REF!</v>
      </c>
      <c r="H12" s="86" t="e">
        <f t="shared" si="2"/>
        <v>#REF!</v>
      </c>
      <c r="I12" s="93">
        <v>0</v>
      </c>
      <c r="J12" s="93" t="e">
        <f t="shared" si="5"/>
        <v>#REF!</v>
      </c>
      <c r="K12" s="84" t="e">
        <f>IF(U12&lt;&gt;"",#REF!*U12,"")</f>
        <v>#REF!</v>
      </c>
      <c r="L12" s="95" t="e">
        <f t="shared" si="3"/>
        <v>#REF!</v>
      </c>
      <c r="M12" s="96">
        <f t="shared" si="4"/>
        <v>0</v>
      </c>
      <c r="N12" s="96">
        <v>0</v>
      </c>
      <c r="O12" s="96" t="e">
        <f>IF(Z12&lt;&gt;"",0.02*Z12*(1-#REF!),"")</f>
        <v>#REF!</v>
      </c>
      <c r="P12" s="95" t="e">
        <f>IF(AND(AB12&lt;=70,W12&lt;&gt;""),(1-#REF!)*((W12*0.0008*(1+(LOOKUP(#REF!,Rates!$O:$O,Rates!$M:$M)/100)))+((Y12*0.0008*#REF!))*(1+(LOOKUP(#REF!,Rates!$O:$O,Rates!$N:$N)/100))),"")</f>
        <v>#REF!</v>
      </c>
      <c r="Q12" s="88" t="e">
        <f>IF(AB12&lt;=60,(LOOKUP(AB12,Rates!$U:$U,Rates!#REF!))*V12/1000000*(1+#REF!)*(1-#REF!),"")</f>
        <v>#REF!</v>
      </c>
      <c r="R12" s="83" t="e">
        <f>IF(AND(Z12&lt;&gt;"",Q12&lt;&gt;"",P12&lt;&gt;""),IF(#REF!="بله",(Z12-Q12-P12),Z12),"")</f>
        <v>#REF!</v>
      </c>
      <c r="S12" s="84">
        <v>0</v>
      </c>
      <c r="T12" s="84" t="e">
        <f t="shared" si="6"/>
        <v>#REF!</v>
      </c>
      <c r="U12" s="84" t="e">
        <f>IF(AB12&lt;&gt;"",(Y12*LOOKUP(AB12,Rates!$U:$U,Rates!$T:$T))/SQRT(1.1),"")</f>
        <v>#REF!</v>
      </c>
      <c r="V12" s="97" t="e">
        <f>IF(AND(AB12&lt;&gt;"",AB12&lt;=60),IF(V11*(1+#REF!)&lt;300000000,V11*(1+#REF!),300000000),"")</f>
        <v>#REF!</v>
      </c>
      <c r="W12" s="89" t="e">
        <f>IF(AND(AB12&lt;&gt;"",AB12&lt;=60),Y12*#REF!,"")</f>
        <v>#REF!</v>
      </c>
      <c r="X12" s="97" t="e">
        <f>IF(AND(AB12&lt;&gt;"",AB12&lt;=70),Y12*(1+#REF!),"")</f>
        <v>#REF!</v>
      </c>
      <c r="Y12" s="97" t="e">
        <f>IF(AB12&lt;&gt;"",(1+#REF!)*Y11,"")</f>
        <v>#REF!</v>
      </c>
      <c r="Z12" s="83">
        <v>0</v>
      </c>
      <c r="AA12" s="98" t="e">
        <f>IF(AC12&lt;&gt;"",#REF!+AC12-1,"")</f>
        <v>#REF!</v>
      </c>
      <c r="AB12" s="98" t="e">
        <f>IF(AC12&lt;&gt;"",#REF!+AC12-1,"")</f>
        <v>#REF!</v>
      </c>
      <c r="AC12" s="98" t="e">
        <f>IF(AC11&lt;&gt;"",IF(AC11+1&lt;=#REF!,AC11+1,""),"")</f>
        <v>#REF!</v>
      </c>
      <c r="AD12" s="91"/>
      <c r="AE12" s="91"/>
    </row>
    <row r="13" spans="1:31" ht="17.25" x14ac:dyDescent="0.25">
      <c r="A13" s="92">
        <v>0</v>
      </c>
      <c r="B13" s="92" t="e">
        <f>IF(AB13&lt;&gt;"",E13+E13*(IF(AC13&gt;4,0.1,LOOKUP(#REF!,Rates!$D$2:$D$4,Rates!$C$2:$C$4))+0.85*(#REF!-(IF(AC13&gt;4,0.1,LOOKUP(#REF!,Rates!$D$2:$D$4,Rates!$C$2:$C$4)))))*LOOKUP(#REF!,Rates!$I$2:$I$7,Rates!$G$2:$G$7)+B12*(1+IF(AC13&gt;4,0.1,LOOKUP(#REF!,Rates!$D$2:$D$4,Rates!$C$2:$C$4))+0.85*(#REF!-IF(AC13&gt;4,0.1,LOOKUP(#REF!,Rates!$D$2:$D$4,Rates!$C$2:$C$4)))),"")</f>
        <v>#REF!</v>
      </c>
      <c r="C13" s="93" t="e">
        <f t="shared" si="7"/>
        <v>#REF!</v>
      </c>
      <c r="D13" s="94" t="e">
        <f>IF(AB13&lt;&gt;"",E13*(1+IF(AC13&gt;4,0.1,LOOKUP(#REF!,Rates!$D$2:$D$5,Rates!$B$2:$B$5))*LOOKUP(#REF!,Rates!$I$2:$I$7,Rates!$G$2:$G$7))+D12*(1+IF(AC13&gt;4,0.1,LOOKUP(#REF!,Rates!$D$2:$D$5,Rates!$B$2:$B$5))),"")</f>
        <v>#REF!</v>
      </c>
      <c r="E13" s="84" t="e">
        <f>IF(AB13&lt;&gt;"",IF(#REF!="بله",IF(AND(AC13&lt;=#REF!,AC13&gt;=#REF!),#REF!,0)+(Z13-S13-I13-H13-G13-F13-L13),IF(AND(AC13&lt;=#REF!,AC13&gt;=#REF!),#REF!,0)+(Z13-S13-I13-H13-G13-F13)),"")</f>
        <v>#REF!</v>
      </c>
      <c r="F13" s="84" t="e">
        <f t="shared" si="0"/>
        <v>#REF!</v>
      </c>
      <c r="G13" s="84" t="e">
        <f t="shared" si="1"/>
        <v>#REF!</v>
      </c>
      <c r="H13" s="86" t="e">
        <f t="shared" si="2"/>
        <v>#REF!</v>
      </c>
      <c r="I13" s="93">
        <v>0</v>
      </c>
      <c r="J13" s="93" t="e">
        <f t="shared" si="5"/>
        <v>#REF!</v>
      </c>
      <c r="K13" s="84" t="e">
        <f>IF(U13&lt;&gt;"",#REF!*U13,"")</f>
        <v>#REF!</v>
      </c>
      <c r="L13" s="95" t="e">
        <f t="shared" si="3"/>
        <v>#REF!</v>
      </c>
      <c r="M13" s="96">
        <f t="shared" si="4"/>
        <v>0</v>
      </c>
      <c r="N13" s="96">
        <v>0</v>
      </c>
      <c r="O13" s="96" t="e">
        <f>IF(Z13&lt;&gt;"",0.02*Z13*(1-#REF!),"")</f>
        <v>#REF!</v>
      </c>
      <c r="P13" s="95" t="e">
        <f>IF(AND(AB13&lt;=70,W13&lt;&gt;""),(1-#REF!)*((W13*0.0008*(1+(LOOKUP(#REF!,Rates!$O:$O,Rates!$M:$M)/100)))+((Y13*0.0008*#REF!))*(1+(LOOKUP(#REF!,Rates!$O:$O,Rates!$N:$N)/100))),"")</f>
        <v>#REF!</v>
      </c>
      <c r="Q13" s="88" t="e">
        <f>IF(AB13&lt;=60,(LOOKUP(AB13,Rates!$U:$U,Rates!#REF!))*V13/1000000*(1+#REF!)*(1-#REF!),"")</f>
        <v>#REF!</v>
      </c>
      <c r="R13" s="83" t="e">
        <f>IF(AND(Z13&lt;&gt;"",Q13&lt;&gt;"",P13&lt;&gt;""),IF(#REF!="بله",(Z13-Q13-P13),Z13),"")</f>
        <v>#REF!</v>
      </c>
      <c r="S13" s="84">
        <v>0</v>
      </c>
      <c r="T13" s="84" t="e">
        <f t="shared" si="6"/>
        <v>#REF!</v>
      </c>
      <c r="U13" s="84" t="e">
        <f>IF(AB13&lt;&gt;"",(Y13*LOOKUP(AB13,Rates!$U:$U,Rates!$T:$T))/SQRT(1.1),"")</f>
        <v>#REF!</v>
      </c>
      <c r="V13" s="97" t="e">
        <f>IF(AND(AB13&lt;&gt;"",AB13&lt;=60),IF(V12*(1+#REF!)&lt;300000000,V12*(1+#REF!),300000000),"")</f>
        <v>#REF!</v>
      </c>
      <c r="W13" s="89" t="e">
        <f>IF(AND(AB13&lt;&gt;"",AB13&lt;=60),Y13*#REF!,"")</f>
        <v>#REF!</v>
      </c>
      <c r="X13" s="97" t="e">
        <f>IF(AND(AB13&lt;&gt;"",AB13&lt;=70),Y13*(1+#REF!),"")</f>
        <v>#REF!</v>
      </c>
      <c r="Y13" s="97" t="e">
        <f>IF(AB13&lt;&gt;"",(1+#REF!)*Y12,"")</f>
        <v>#REF!</v>
      </c>
      <c r="Z13" s="83">
        <v>0</v>
      </c>
      <c r="AA13" s="98" t="e">
        <f>IF(AC13&lt;&gt;"",#REF!+AC13-1,"")</f>
        <v>#REF!</v>
      </c>
      <c r="AB13" s="98" t="e">
        <f>IF(AC13&lt;&gt;"",#REF!+AC13-1,"")</f>
        <v>#REF!</v>
      </c>
      <c r="AC13" s="98" t="e">
        <f>IF(AC12&lt;&gt;"",IF(AC12+1&lt;=#REF!,AC12+1,""),"")</f>
        <v>#REF!</v>
      </c>
      <c r="AD13" s="91"/>
      <c r="AE13" s="91"/>
    </row>
    <row r="14" spans="1:31" ht="17.25" x14ac:dyDescent="0.25">
      <c r="A14" s="92">
        <v>0</v>
      </c>
      <c r="B14" s="92" t="e">
        <f>IF(AB14&lt;&gt;"",E14+E14*(IF(AC14&gt;4,0.1,LOOKUP(#REF!,Rates!$D$2:$D$4,Rates!$C$2:$C$4))+0.85*(#REF!-(IF(AC14&gt;4,0.1,LOOKUP(#REF!,Rates!$D$2:$D$4,Rates!$C$2:$C$4)))))*LOOKUP(#REF!,Rates!$I$2:$I$7,Rates!$G$2:$G$7)+B13*(1+IF(AC14&gt;4,0.1,LOOKUP(#REF!,Rates!$D$2:$D$4,Rates!$C$2:$C$4))+0.85*(#REF!-IF(AC14&gt;4,0.1,LOOKUP(#REF!,Rates!$D$2:$D$4,Rates!$C$2:$C$4)))),"")</f>
        <v>#REF!</v>
      </c>
      <c r="C14" s="93" t="e">
        <f t="shared" si="7"/>
        <v>#REF!</v>
      </c>
      <c r="D14" s="94" t="e">
        <f>IF(AB14&lt;&gt;"",E14*(1+IF(AC14&gt;4,0.1,LOOKUP(#REF!,Rates!$D$2:$D$5,Rates!$B$2:$B$5))*LOOKUP(#REF!,Rates!$I$2:$I$7,Rates!$G$2:$G$7))+D13*(1+IF(AC14&gt;4,0.1,LOOKUP(#REF!,Rates!$D$2:$D$5,Rates!$B$2:$B$5))),"")</f>
        <v>#REF!</v>
      </c>
      <c r="E14" s="84" t="e">
        <f>IF(AB14&lt;&gt;"",IF(#REF!="بله",IF(AND(AC14&lt;=#REF!,AC14&gt;=#REF!),#REF!,0)+(Z14-S14-I14-H14-G14-F14-L14),IF(AND(AC14&lt;=#REF!,AC14&gt;=#REF!),#REF!,0)+(Z14-S14-I14-H14-G14-F14)),"")</f>
        <v>#REF!</v>
      </c>
      <c r="F14" s="84" t="e">
        <f t="shared" si="0"/>
        <v>#REF!</v>
      </c>
      <c r="G14" s="84" t="e">
        <f t="shared" si="1"/>
        <v>#REF!</v>
      </c>
      <c r="H14" s="86" t="e">
        <f t="shared" si="2"/>
        <v>#REF!</v>
      </c>
      <c r="I14" s="93">
        <v>0</v>
      </c>
      <c r="J14" s="93" t="e">
        <f t="shared" si="5"/>
        <v>#REF!</v>
      </c>
      <c r="K14" s="84" t="e">
        <f>IF(U14&lt;&gt;"",#REF!*U14,"")</f>
        <v>#REF!</v>
      </c>
      <c r="L14" s="95" t="e">
        <f t="shared" si="3"/>
        <v>#REF!</v>
      </c>
      <c r="M14" s="96">
        <f t="shared" si="4"/>
        <v>0</v>
      </c>
      <c r="N14" s="96">
        <v>0</v>
      </c>
      <c r="O14" s="96" t="e">
        <f>IF(Z14&lt;&gt;"",0.02*Z14*(1-#REF!),"")</f>
        <v>#REF!</v>
      </c>
      <c r="P14" s="95" t="e">
        <f>IF(AND(AB14&lt;=70,W14&lt;&gt;""),(1-#REF!)*((W14*0.0008*(1+(LOOKUP(#REF!,Rates!$O:$O,Rates!$M:$M)/100)))+((Y14*0.0008*#REF!))*(1+(LOOKUP(#REF!,Rates!$O:$O,Rates!$N:$N)/100))),"")</f>
        <v>#REF!</v>
      </c>
      <c r="Q14" s="88" t="e">
        <f>IF(AB14&lt;=60,(LOOKUP(AB14,Rates!$U:$U,Rates!#REF!))*V14/1000000*(1+#REF!)*(1-#REF!),"")</f>
        <v>#REF!</v>
      </c>
      <c r="R14" s="83" t="e">
        <f>IF(AND(Z14&lt;&gt;"",Q14&lt;&gt;"",P14&lt;&gt;""),IF(#REF!="بله",(Z14-Q14-P14),Z14),"")</f>
        <v>#REF!</v>
      </c>
      <c r="S14" s="84">
        <v>0</v>
      </c>
      <c r="T14" s="84" t="e">
        <f t="shared" si="6"/>
        <v>#REF!</v>
      </c>
      <c r="U14" s="84" t="e">
        <f>IF(AB14&lt;&gt;"",(Y14*LOOKUP(AB14,Rates!$U:$U,Rates!$T:$T))/SQRT(1.1),"")</f>
        <v>#REF!</v>
      </c>
      <c r="V14" s="97" t="e">
        <f>IF(AND(AB14&lt;&gt;"",AB14&lt;=60),IF(V13*(1+#REF!)&lt;300000000,V13*(1+#REF!),300000000),"")</f>
        <v>#REF!</v>
      </c>
      <c r="W14" s="89" t="e">
        <f>IF(AND(AB14&lt;&gt;"",AB14&lt;=60),Y14*#REF!,"")</f>
        <v>#REF!</v>
      </c>
      <c r="X14" s="97" t="e">
        <f>IF(AND(AB14&lt;&gt;"",AB14&lt;=70),Y14*(1+#REF!),"")</f>
        <v>#REF!</v>
      </c>
      <c r="Y14" s="97" t="e">
        <f>IF(AB14&lt;&gt;"",(1+#REF!)*Y13,"")</f>
        <v>#REF!</v>
      </c>
      <c r="Z14" s="83">
        <v>0</v>
      </c>
      <c r="AA14" s="98" t="e">
        <f>IF(AC14&lt;&gt;"",#REF!+AC14-1,"")</f>
        <v>#REF!</v>
      </c>
      <c r="AB14" s="98" t="e">
        <f>IF(AC14&lt;&gt;"",#REF!+AC14-1,"")</f>
        <v>#REF!</v>
      </c>
      <c r="AC14" s="98" t="e">
        <f>IF(AC13&lt;&gt;"",IF(AC13+1&lt;=#REF!,AC13+1,""),"")</f>
        <v>#REF!</v>
      </c>
      <c r="AD14" s="91"/>
      <c r="AE14" s="91"/>
    </row>
    <row r="15" spans="1:31" ht="17.25" x14ac:dyDescent="0.25">
      <c r="A15" s="92">
        <v>0</v>
      </c>
      <c r="B15" s="92" t="e">
        <f>IF(AB15&lt;&gt;"",E15+E15*(IF(AC15&gt;4,0.1,LOOKUP(#REF!,Rates!$D$2:$D$4,Rates!$C$2:$C$4))+0.85*(#REF!-(IF(AC15&gt;4,0.1,LOOKUP(#REF!,Rates!$D$2:$D$4,Rates!$C$2:$C$4)))))*LOOKUP(#REF!,Rates!$I$2:$I$7,Rates!$G$2:$G$7)+B14*(1+IF(AC15&gt;4,0.1,LOOKUP(#REF!,Rates!$D$2:$D$4,Rates!$C$2:$C$4))+0.85*(#REF!-IF(AC15&gt;4,0.1,LOOKUP(#REF!,Rates!$D$2:$D$4,Rates!$C$2:$C$4)))),"")</f>
        <v>#REF!</v>
      </c>
      <c r="C15" s="93" t="e">
        <f t="shared" si="7"/>
        <v>#REF!</v>
      </c>
      <c r="D15" s="94" t="e">
        <f>IF(AB15&lt;&gt;"",E15*(1+IF(AC15&gt;4,0.1,LOOKUP(#REF!,Rates!$D$2:$D$5,Rates!$B$2:$B$5))*LOOKUP(#REF!,Rates!$I$2:$I$7,Rates!$G$2:$G$7))+D14*(1+IF(AC15&gt;4,0.1,LOOKUP(#REF!,Rates!$D$2:$D$5,Rates!$B$2:$B$5))),"")</f>
        <v>#REF!</v>
      </c>
      <c r="E15" s="84" t="e">
        <f>IF(AB15&lt;&gt;"",IF(#REF!="بله",IF(AND(AC15&lt;=#REF!,AC15&gt;=#REF!),#REF!,0)+(Z15-S15-I15-H15-G15-F15-L15),IF(AND(AC15&lt;=#REF!,AC15&gt;=#REF!),#REF!,0)+(Z15-S15-I15-H15-G15-F15)),"")</f>
        <v>#REF!</v>
      </c>
      <c r="F15" s="84" t="e">
        <f t="shared" si="0"/>
        <v>#REF!</v>
      </c>
      <c r="G15" s="84" t="e">
        <f t="shared" si="1"/>
        <v>#REF!</v>
      </c>
      <c r="H15" s="86" t="e">
        <f t="shared" si="2"/>
        <v>#REF!</v>
      </c>
      <c r="I15" s="93">
        <v>0</v>
      </c>
      <c r="J15" s="93" t="e">
        <f t="shared" si="5"/>
        <v>#REF!</v>
      </c>
      <c r="K15" s="84" t="e">
        <f>IF(U15&lt;&gt;"",#REF!*U15,"")</f>
        <v>#REF!</v>
      </c>
      <c r="L15" s="95" t="e">
        <f t="shared" si="3"/>
        <v>#REF!</v>
      </c>
      <c r="M15" s="96">
        <f t="shared" si="4"/>
        <v>0</v>
      </c>
      <c r="N15" s="96">
        <v>0</v>
      </c>
      <c r="O15" s="96" t="e">
        <f>IF(Z15&lt;&gt;"",0.02*Z15*(1-#REF!),"")</f>
        <v>#REF!</v>
      </c>
      <c r="P15" s="95" t="e">
        <f>IF(AND(AB15&lt;=70,W15&lt;&gt;""),(1-#REF!)*((W15*0.0008*(1+(LOOKUP(#REF!,Rates!$O:$O,Rates!$M:$M)/100)))+((Y15*0.0008*#REF!))*(1+(LOOKUP(#REF!,Rates!$O:$O,Rates!$N:$N)/100))),"")</f>
        <v>#REF!</v>
      </c>
      <c r="Q15" s="88" t="e">
        <f>IF(AB15&lt;=60,(LOOKUP(AB15,Rates!$U:$U,Rates!#REF!))*V15/1000000*(1+#REF!)*(1-#REF!),"")</f>
        <v>#REF!</v>
      </c>
      <c r="R15" s="83" t="e">
        <f>IF(AND(Z15&lt;&gt;"",Q15&lt;&gt;"",P15&lt;&gt;""),IF(#REF!="بله",(Z15-Q15-P15),Z15),"")</f>
        <v>#REF!</v>
      </c>
      <c r="S15" s="84">
        <v>0</v>
      </c>
      <c r="T15" s="84" t="e">
        <f t="shared" si="6"/>
        <v>#REF!</v>
      </c>
      <c r="U15" s="84" t="e">
        <f>IF(AB15&lt;&gt;"",(Y15*LOOKUP(AB15,Rates!$U:$U,Rates!$T:$T))/SQRT(1.1),"")</f>
        <v>#REF!</v>
      </c>
      <c r="V15" s="97" t="e">
        <f>IF(AND(AB15&lt;&gt;"",AB15&lt;=60),IF(V14*(1+#REF!)&lt;300000000,V14*(1+#REF!),300000000),"")</f>
        <v>#REF!</v>
      </c>
      <c r="W15" s="89" t="e">
        <f>IF(AND(AB15&lt;&gt;"",AB15&lt;=60),Y15*#REF!,"")</f>
        <v>#REF!</v>
      </c>
      <c r="X15" s="97" t="e">
        <f>IF(AND(AB15&lt;&gt;"",AB15&lt;=70),Y15*(1+#REF!),"")</f>
        <v>#REF!</v>
      </c>
      <c r="Y15" s="97" t="e">
        <f>IF(AB15&lt;&gt;"",(1+#REF!)*Y14,"")</f>
        <v>#REF!</v>
      </c>
      <c r="Z15" s="83">
        <v>0</v>
      </c>
      <c r="AA15" s="98" t="e">
        <f>IF(AC15&lt;&gt;"",#REF!+AC15-1,"")</f>
        <v>#REF!</v>
      </c>
      <c r="AB15" s="98" t="e">
        <f>IF(AC15&lt;&gt;"",#REF!+AC15-1,"")</f>
        <v>#REF!</v>
      </c>
      <c r="AC15" s="98" t="e">
        <f>IF(AC14&lt;&gt;"",IF(AC14+1&lt;=#REF!,AC14+1,""),"")</f>
        <v>#REF!</v>
      </c>
      <c r="AD15" s="91"/>
      <c r="AE15" s="91"/>
    </row>
    <row r="16" spans="1:31" ht="17.25" x14ac:dyDescent="0.25">
      <c r="A16" s="92">
        <v>0</v>
      </c>
      <c r="B16" s="92" t="e">
        <f>IF(AB16&lt;&gt;"",E16+E16*(IF(AC16&gt;4,0.1,LOOKUP(#REF!,Rates!$D$2:$D$4,Rates!$C$2:$C$4))+0.85*(#REF!-(IF(AC16&gt;4,0.1,LOOKUP(#REF!,Rates!$D$2:$D$4,Rates!$C$2:$C$4)))))*LOOKUP(#REF!,Rates!$I$2:$I$7,Rates!$G$2:$G$7)+B15*(1+IF(AC16&gt;4,0.1,LOOKUP(#REF!,Rates!$D$2:$D$4,Rates!$C$2:$C$4))+0.85*(#REF!-IF(AC16&gt;4,0.1,LOOKUP(#REF!,Rates!$D$2:$D$4,Rates!$C$2:$C$4)))),"")</f>
        <v>#REF!</v>
      </c>
      <c r="C16" s="93" t="e">
        <f t="shared" si="7"/>
        <v>#REF!</v>
      </c>
      <c r="D16" s="94" t="e">
        <f>IF(AB16&lt;&gt;"",E16*(1+IF(AC16&gt;4,0.1,LOOKUP(#REF!,Rates!$D$2:$D$5,Rates!$B$2:$B$5))*LOOKUP(#REF!,Rates!$I$2:$I$7,Rates!$G$2:$G$7))+D15*(1+IF(AC16&gt;4,0.1,LOOKUP(#REF!,Rates!$D$2:$D$5,Rates!$B$2:$B$5))),"")</f>
        <v>#REF!</v>
      </c>
      <c r="E16" s="84" t="e">
        <f>IF(AB16&lt;&gt;"",IF(#REF!="بله",IF(AND(AC16&lt;=#REF!,AC16&gt;=#REF!),#REF!,0)+(Z16-S16-I16-H16-G16-F16-L16),IF(AND(AC16&lt;=#REF!,AC16&gt;=#REF!),#REF!,0)+(Z16-S16-I16-H16-G16-F16)),"")</f>
        <v>#REF!</v>
      </c>
      <c r="F16" s="84" t="e">
        <f t="shared" si="0"/>
        <v>#REF!</v>
      </c>
      <c r="G16" s="84" t="e">
        <f t="shared" si="1"/>
        <v>#REF!</v>
      </c>
      <c r="H16" s="86" t="e">
        <f t="shared" si="2"/>
        <v>#REF!</v>
      </c>
      <c r="I16" s="93">
        <v>0</v>
      </c>
      <c r="J16" s="93" t="e">
        <f t="shared" si="5"/>
        <v>#REF!</v>
      </c>
      <c r="K16" s="84" t="e">
        <f>IF(U16&lt;&gt;"",#REF!*U16,"")</f>
        <v>#REF!</v>
      </c>
      <c r="L16" s="95" t="e">
        <f t="shared" si="3"/>
        <v>#REF!</v>
      </c>
      <c r="M16" s="96">
        <f t="shared" si="4"/>
        <v>0</v>
      </c>
      <c r="N16" s="96">
        <v>0</v>
      </c>
      <c r="O16" s="96" t="e">
        <f>IF(Z16&lt;&gt;"",0.02*Z16*(1-#REF!),"")</f>
        <v>#REF!</v>
      </c>
      <c r="P16" s="95" t="e">
        <f>IF(AND(AB16&lt;=70,W16&lt;&gt;""),(1-#REF!)*((W16*0.0008*(1+(LOOKUP(#REF!,Rates!$O:$O,Rates!$M:$M)/100)))+((Y16*0.0008*#REF!))*(1+(LOOKUP(#REF!,Rates!$O:$O,Rates!$N:$N)/100))),"")</f>
        <v>#REF!</v>
      </c>
      <c r="Q16" s="88" t="e">
        <f>IF(AB16&lt;=60,(LOOKUP(AB16,Rates!$U:$U,Rates!#REF!))*V16/1000000*(1+#REF!)*(1-#REF!),"")</f>
        <v>#REF!</v>
      </c>
      <c r="R16" s="83" t="e">
        <f>IF(AND(Z16&lt;&gt;"",Q16&lt;&gt;"",P16&lt;&gt;""),IF(#REF!="بله",(Z16-Q16-P16),Z16),"")</f>
        <v>#REF!</v>
      </c>
      <c r="S16" s="84">
        <v>0</v>
      </c>
      <c r="T16" s="84" t="e">
        <f t="shared" si="6"/>
        <v>#REF!</v>
      </c>
      <c r="U16" s="84" t="e">
        <f>IF(AB16&lt;&gt;"",(Y16*LOOKUP(AB16,Rates!$U:$U,Rates!$T:$T))/SQRT(1.1),"")</f>
        <v>#REF!</v>
      </c>
      <c r="V16" s="97" t="e">
        <f>IF(AND(AB16&lt;&gt;"",AB16&lt;=60),IF(V15*(1+#REF!)&lt;300000000,V15*(1+#REF!),300000000),"")</f>
        <v>#REF!</v>
      </c>
      <c r="W16" s="89" t="e">
        <f>IF(AND(AB16&lt;&gt;"",AB16&lt;=60),Y16*#REF!,"")</f>
        <v>#REF!</v>
      </c>
      <c r="X16" s="97" t="e">
        <f>IF(AND(AB16&lt;&gt;"",AB16&lt;=70),Y16*(1+#REF!),"")</f>
        <v>#REF!</v>
      </c>
      <c r="Y16" s="97" t="e">
        <f>IF(AB16&lt;&gt;"",(1+#REF!)*Y15,"")</f>
        <v>#REF!</v>
      </c>
      <c r="Z16" s="83">
        <v>0</v>
      </c>
      <c r="AA16" s="98" t="e">
        <f>IF(AC16&lt;&gt;"",#REF!+AC16-1,"")</f>
        <v>#REF!</v>
      </c>
      <c r="AB16" s="98" t="e">
        <f>IF(AC16&lt;&gt;"",#REF!+AC16-1,"")</f>
        <v>#REF!</v>
      </c>
      <c r="AC16" s="98" t="e">
        <f>IF(AC15&lt;&gt;"",IF(AC15+1&lt;=#REF!,AC15+1,""),"")</f>
        <v>#REF!</v>
      </c>
      <c r="AD16" s="91"/>
      <c r="AE16" s="91"/>
    </row>
    <row r="17" spans="1:31" ht="17.25" x14ac:dyDescent="0.25">
      <c r="A17" s="92">
        <v>0</v>
      </c>
      <c r="B17" s="92" t="e">
        <f>IF(AB17&lt;&gt;"",E17+E17*(IF(AC17&gt;4,0.1,LOOKUP(#REF!,Rates!$D$2:$D$4,Rates!$C$2:$C$4))+0.85*(#REF!-(IF(AC17&gt;4,0.1,LOOKUP(#REF!,Rates!$D$2:$D$4,Rates!$C$2:$C$4)))))*LOOKUP(#REF!,Rates!$I$2:$I$7,Rates!$G$2:$G$7)+B16*(1+IF(AC17&gt;4,0.1,LOOKUP(#REF!,Rates!$D$2:$D$4,Rates!$C$2:$C$4))+0.85*(#REF!-IF(AC17&gt;4,0.1,LOOKUP(#REF!,Rates!$D$2:$D$4,Rates!$C$2:$C$4)))),"")</f>
        <v>#REF!</v>
      </c>
      <c r="C17" s="93" t="e">
        <f t="shared" si="7"/>
        <v>#REF!</v>
      </c>
      <c r="D17" s="94" t="e">
        <f>IF(AB17&lt;&gt;"",E17*(1+IF(AC17&gt;4,0.1,LOOKUP(#REF!,Rates!$D$2:$D$5,Rates!$B$2:$B$5))*LOOKUP(#REF!,Rates!$I$2:$I$7,Rates!$G$2:$G$7))+D16*(1+IF(AC17&gt;4,0.1,LOOKUP(#REF!,Rates!$D$2:$D$5,Rates!$B$2:$B$5))),"")</f>
        <v>#REF!</v>
      </c>
      <c r="E17" s="84" t="e">
        <f>IF(AB17&lt;&gt;"",IF(#REF!="بله",IF(AND(AC17&lt;=#REF!,AC17&gt;=#REF!),#REF!,0)+(Z17-S17-I17-H17-G17-F17-L17),IF(AND(AC17&lt;=#REF!,AC17&gt;=#REF!),#REF!,0)+(Z17-S17-I17-H17-G17-F17)),"")</f>
        <v>#REF!</v>
      </c>
      <c r="F17" s="84" t="e">
        <f t="shared" si="0"/>
        <v>#REF!</v>
      </c>
      <c r="G17" s="84" t="e">
        <f t="shared" si="1"/>
        <v>#REF!</v>
      </c>
      <c r="H17" s="86" t="e">
        <f t="shared" si="2"/>
        <v>#REF!</v>
      </c>
      <c r="I17" s="93">
        <v>0</v>
      </c>
      <c r="J17" s="93" t="e">
        <f t="shared" si="5"/>
        <v>#REF!</v>
      </c>
      <c r="K17" s="84" t="e">
        <f>IF(U17&lt;&gt;"",#REF!*U17,"")</f>
        <v>#REF!</v>
      </c>
      <c r="L17" s="95" t="e">
        <f t="shared" si="3"/>
        <v>#REF!</v>
      </c>
      <c r="M17" s="96">
        <f t="shared" si="4"/>
        <v>0</v>
      </c>
      <c r="N17" s="96">
        <v>0</v>
      </c>
      <c r="O17" s="96" t="e">
        <f>IF(Z17&lt;&gt;"",0.02*Z17*(1-#REF!),"")</f>
        <v>#REF!</v>
      </c>
      <c r="P17" s="95" t="e">
        <f>IF(AND(AB17&lt;=70,W17&lt;&gt;""),(1-#REF!)*((W17*0.0008*(1+(LOOKUP(#REF!,Rates!$O:$O,Rates!$M:$M)/100)))+((Y17*0.0008*#REF!))*(1+(LOOKUP(#REF!,Rates!$O:$O,Rates!$N:$N)/100))),"")</f>
        <v>#REF!</v>
      </c>
      <c r="Q17" s="88" t="e">
        <f>IF(AB17&lt;=60,(LOOKUP(AB17,Rates!$U:$U,Rates!#REF!))*V17/1000000*(1+#REF!)*(1-#REF!),"")</f>
        <v>#REF!</v>
      </c>
      <c r="R17" s="83" t="e">
        <f>IF(AND(Z17&lt;&gt;"",Q17&lt;&gt;"",P17&lt;&gt;""),IF(#REF!="بله",(Z17-Q17-P17),Z17),"")</f>
        <v>#REF!</v>
      </c>
      <c r="S17" s="84">
        <v>0</v>
      </c>
      <c r="T17" s="84" t="e">
        <f t="shared" si="6"/>
        <v>#REF!</v>
      </c>
      <c r="U17" s="84" t="e">
        <f>IF(AB17&lt;&gt;"",(Y17*LOOKUP(AB17,Rates!$U:$U,Rates!$T:$T))/SQRT(1.1),"")</f>
        <v>#REF!</v>
      </c>
      <c r="V17" s="97" t="e">
        <f>IF(AND(AB17&lt;&gt;"",AB17&lt;=60),IF(V16*(1+#REF!)&lt;300000000,V16*(1+#REF!),300000000),"")</f>
        <v>#REF!</v>
      </c>
      <c r="W17" s="89" t="e">
        <f>IF(AND(AB17&lt;&gt;"",AB17&lt;=60),Y17*#REF!,"")</f>
        <v>#REF!</v>
      </c>
      <c r="X17" s="97" t="e">
        <f>IF(AND(AB17&lt;&gt;"",AB17&lt;=70),Y17*(1+#REF!),"")</f>
        <v>#REF!</v>
      </c>
      <c r="Y17" s="97" t="e">
        <f>IF(AB17&lt;&gt;"",(1+#REF!)*Y16,"")</f>
        <v>#REF!</v>
      </c>
      <c r="Z17" s="83">
        <v>0</v>
      </c>
      <c r="AA17" s="98" t="e">
        <f>IF(AC17&lt;&gt;"",#REF!+AC17-1,"")</f>
        <v>#REF!</v>
      </c>
      <c r="AB17" s="98" t="e">
        <f>IF(AC17&lt;&gt;"",#REF!+AC17-1,"")</f>
        <v>#REF!</v>
      </c>
      <c r="AC17" s="98" t="e">
        <f>IF(AC16&lt;&gt;"",IF(AC16+1&lt;=#REF!,AC16+1,""),"")</f>
        <v>#REF!</v>
      </c>
      <c r="AD17" s="91"/>
      <c r="AE17" s="91"/>
    </row>
    <row r="18" spans="1:31" ht="17.25" x14ac:dyDescent="0.25">
      <c r="A18" s="92">
        <v>0</v>
      </c>
      <c r="B18" s="92" t="e">
        <f>IF(AB18&lt;&gt;"",E18+E18*(IF(AC18&gt;4,0.1,LOOKUP(#REF!,Rates!$D$2:$D$4,Rates!$C$2:$C$4))+0.85*(#REF!-(IF(AC18&gt;4,0.1,LOOKUP(#REF!,Rates!$D$2:$D$4,Rates!$C$2:$C$4)))))*LOOKUP(#REF!,Rates!$I$2:$I$7,Rates!$G$2:$G$7)+B17*(1+IF(AC18&gt;4,0.1,LOOKUP(#REF!,Rates!$D$2:$D$4,Rates!$C$2:$C$4))+0.85*(#REF!-IF(AC18&gt;4,0.1,LOOKUP(#REF!,Rates!$D$2:$D$4,Rates!$C$2:$C$4)))),"")</f>
        <v>#REF!</v>
      </c>
      <c r="C18" s="93" t="e">
        <f t="shared" si="7"/>
        <v>#REF!</v>
      </c>
      <c r="D18" s="94" t="e">
        <f>IF(AB18&lt;&gt;"",E18*(1+IF(AC18&gt;4,0.1,LOOKUP(#REF!,Rates!$D$2:$D$5,Rates!$B$2:$B$5))*LOOKUP(#REF!,Rates!$I$2:$I$7,Rates!$G$2:$G$7))+D17*(1+IF(AC18&gt;4,0.1,LOOKUP(#REF!,Rates!$D$2:$D$5,Rates!$B$2:$B$5))),"")</f>
        <v>#REF!</v>
      </c>
      <c r="E18" s="84" t="e">
        <f>IF(AB18&lt;&gt;"",IF(#REF!="بله",IF(AND(AC18&lt;=#REF!,AC18&gt;=#REF!),#REF!,0)+(Z18-S18-I18-H18-G18-F18-L18),IF(AND(AC18&lt;=#REF!,AC18&gt;=#REF!),#REF!,0)+(Z18-S18-I18-H18-G18-F18)),"")</f>
        <v>#REF!</v>
      </c>
      <c r="F18" s="84" t="e">
        <f t="shared" si="0"/>
        <v>#REF!</v>
      </c>
      <c r="G18" s="84" t="e">
        <f t="shared" si="1"/>
        <v>#REF!</v>
      </c>
      <c r="H18" s="86" t="e">
        <f t="shared" si="2"/>
        <v>#REF!</v>
      </c>
      <c r="I18" s="93">
        <v>0</v>
      </c>
      <c r="J18" s="93" t="e">
        <f t="shared" si="5"/>
        <v>#REF!</v>
      </c>
      <c r="K18" s="84" t="e">
        <f>IF(U18&lt;&gt;"",#REF!*U18,"")</f>
        <v>#REF!</v>
      </c>
      <c r="L18" s="95" t="e">
        <f t="shared" si="3"/>
        <v>#REF!</v>
      </c>
      <c r="M18" s="96">
        <f t="shared" si="4"/>
        <v>0</v>
      </c>
      <c r="N18" s="96">
        <v>0</v>
      </c>
      <c r="O18" s="96" t="e">
        <f>IF(Z18&lt;&gt;"",0.02*Z18*(1-#REF!),"")</f>
        <v>#REF!</v>
      </c>
      <c r="P18" s="95" t="e">
        <f>IF(AND(AB18&lt;=70,W18&lt;&gt;""),(1-#REF!)*((W18*0.0008*(1+(LOOKUP(#REF!,Rates!$O:$O,Rates!$M:$M)/100)))+((Y18*0.0008*#REF!))*(1+(LOOKUP(#REF!,Rates!$O:$O,Rates!$N:$N)/100))),"")</f>
        <v>#REF!</v>
      </c>
      <c r="Q18" s="88" t="e">
        <f>IF(AB18&lt;=60,(LOOKUP(AB18,Rates!$U:$U,Rates!#REF!))*V18/1000000*(1+#REF!)*(1-#REF!),"")</f>
        <v>#REF!</v>
      </c>
      <c r="R18" s="83" t="e">
        <f>IF(AND(Z18&lt;&gt;"",Q18&lt;&gt;"",P18&lt;&gt;""),IF(#REF!="بله",(Z18-Q18-P18),Z18),"")</f>
        <v>#REF!</v>
      </c>
      <c r="S18" s="84">
        <v>0</v>
      </c>
      <c r="T18" s="84" t="e">
        <f t="shared" si="6"/>
        <v>#REF!</v>
      </c>
      <c r="U18" s="84" t="e">
        <f>IF(AB18&lt;&gt;"",(Y18*LOOKUP(AB18,Rates!$U:$U,Rates!$T:$T))/SQRT(1.1),"")</f>
        <v>#REF!</v>
      </c>
      <c r="V18" s="97" t="e">
        <f>IF(AND(AB18&lt;&gt;"",AB18&lt;=60),IF(V17*(1+#REF!)&lt;300000000,V17*(1+#REF!),300000000),"")</f>
        <v>#REF!</v>
      </c>
      <c r="W18" s="89" t="e">
        <f>IF(AND(AB18&lt;&gt;"",AB18&lt;=60),Y18*#REF!,"")</f>
        <v>#REF!</v>
      </c>
      <c r="X18" s="97" t="e">
        <f>IF(AND(AB18&lt;&gt;"",AB18&lt;=70),Y18*(1+#REF!),"")</f>
        <v>#REF!</v>
      </c>
      <c r="Y18" s="97" t="e">
        <f>IF(AB18&lt;&gt;"",(1+#REF!)*Y17,"")</f>
        <v>#REF!</v>
      </c>
      <c r="Z18" s="83">
        <v>0</v>
      </c>
      <c r="AA18" s="98" t="e">
        <f>IF(AC18&lt;&gt;"",#REF!+AC18-1,"")</f>
        <v>#REF!</v>
      </c>
      <c r="AB18" s="98" t="e">
        <f>IF(AC18&lt;&gt;"",#REF!+AC18-1,"")</f>
        <v>#REF!</v>
      </c>
      <c r="AC18" s="98" t="e">
        <f>IF(AC17&lt;&gt;"",IF(AC17+1&lt;=#REF!,AC17+1,""),"")</f>
        <v>#REF!</v>
      </c>
      <c r="AD18" s="91"/>
      <c r="AE18" s="91"/>
    </row>
    <row r="19" spans="1:31" ht="17.25" x14ac:dyDescent="0.25">
      <c r="A19" s="92">
        <v>0</v>
      </c>
      <c r="B19" s="92" t="e">
        <f>IF(AB19&lt;&gt;"",E19+E19*(IF(AC19&gt;4,0.1,LOOKUP(#REF!,Rates!$D$2:$D$4,Rates!$C$2:$C$4))+0.85*(#REF!-(IF(AC19&gt;4,0.1,LOOKUP(#REF!,Rates!$D$2:$D$4,Rates!$C$2:$C$4)))))*LOOKUP(#REF!,Rates!$I$2:$I$7,Rates!$G$2:$G$7)+B18*(1+IF(AC19&gt;4,0.1,LOOKUP(#REF!,Rates!$D$2:$D$4,Rates!$C$2:$C$4))+0.85*(#REF!-IF(AC19&gt;4,0.1,LOOKUP(#REF!,Rates!$D$2:$D$4,Rates!$C$2:$C$4)))),"")</f>
        <v>#REF!</v>
      </c>
      <c r="C19" s="93" t="e">
        <f t="shared" si="7"/>
        <v>#REF!</v>
      </c>
      <c r="D19" s="94" t="e">
        <f>IF(AB19&lt;&gt;"",E19*(1+IF(AC19&gt;4,0.1,LOOKUP(#REF!,Rates!$D$2:$D$5,Rates!$B$2:$B$5))*LOOKUP(#REF!,Rates!$I$2:$I$7,Rates!$G$2:$G$7))+D18*(1+IF(AC19&gt;4,0.1,LOOKUP(#REF!,Rates!$D$2:$D$5,Rates!$B$2:$B$5))),"")</f>
        <v>#REF!</v>
      </c>
      <c r="E19" s="84" t="e">
        <f>IF(AB19&lt;&gt;"",IF(#REF!="بله",IF(AND(AC19&lt;=#REF!,AC19&gt;=#REF!),#REF!,0)+(Z19-S19-I19-H19-G19-F19-L19),IF(AND(AC19&lt;=#REF!,AC19&gt;=#REF!),#REF!,0)+(Z19-S19-I19-H19-G19-F19)),"")</f>
        <v>#REF!</v>
      </c>
      <c r="F19" s="84" t="e">
        <f t="shared" si="0"/>
        <v>#REF!</v>
      </c>
      <c r="G19" s="84" t="e">
        <f t="shared" si="1"/>
        <v>#REF!</v>
      </c>
      <c r="H19" s="86" t="e">
        <f t="shared" si="2"/>
        <v>#REF!</v>
      </c>
      <c r="I19" s="93">
        <v>0</v>
      </c>
      <c r="J19" s="93" t="e">
        <f t="shared" si="5"/>
        <v>#REF!</v>
      </c>
      <c r="K19" s="84" t="e">
        <f>IF(U19&lt;&gt;"",#REF!*U19,"")</f>
        <v>#REF!</v>
      </c>
      <c r="L19" s="95" t="e">
        <f t="shared" si="3"/>
        <v>#REF!</v>
      </c>
      <c r="M19" s="96">
        <f t="shared" si="4"/>
        <v>0</v>
      </c>
      <c r="N19" s="96">
        <v>0</v>
      </c>
      <c r="O19" s="96" t="e">
        <f>IF(Z19&lt;&gt;"",0.02*Z19*(1-#REF!),"")</f>
        <v>#REF!</v>
      </c>
      <c r="P19" s="95" t="e">
        <f>IF(AND(AB19&lt;=70,W19&lt;&gt;""),(1-#REF!)*((W19*0.0008*(1+(LOOKUP(#REF!,Rates!$O:$O,Rates!$M:$M)/100)))+((Y19*0.0008*#REF!))*(1+(LOOKUP(#REF!,Rates!$O:$O,Rates!$N:$N)/100))),"")</f>
        <v>#REF!</v>
      </c>
      <c r="Q19" s="88" t="e">
        <f>IF(AB19&lt;=60,(LOOKUP(AB19,Rates!$U:$U,Rates!#REF!))*V19/1000000*(1+#REF!)*(1-#REF!),"")</f>
        <v>#REF!</v>
      </c>
      <c r="R19" s="83" t="e">
        <f>IF(AND(Z19&lt;&gt;"",Q19&lt;&gt;"",P19&lt;&gt;""),IF(#REF!="بله",(Z19-Q19-P19),Z19),"")</f>
        <v>#REF!</v>
      </c>
      <c r="S19" s="84">
        <v>0</v>
      </c>
      <c r="T19" s="84" t="e">
        <f t="shared" si="6"/>
        <v>#REF!</v>
      </c>
      <c r="U19" s="84" t="e">
        <f>IF(AB19&lt;&gt;"",(Y19*LOOKUP(AB19,Rates!$U:$U,Rates!$T:$T))/SQRT(1.1),"")</f>
        <v>#REF!</v>
      </c>
      <c r="V19" s="97" t="e">
        <f>IF(AND(AB19&lt;&gt;"",AB19&lt;=60),IF(V18*(1+#REF!)&lt;300000000,V18*(1+#REF!),300000000),"")</f>
        <v>#REF!</v>
      </c>
      <c r="W19" s="89" t="e">
        <f>IF(AND(AB19&lt;&gt;"",AB19&lt;=60),Y19*#REF!,"")</f>
        <v>#REF!</v>
      </c>
      <c r="X19" s="97" t="e">
        <f>IF(AND(AB19&lt;&gt;"",AB19&lt;=70),Y19*(1+#REF!),"")</f>
        <v>#REF!</v>
      </c>
      <c r="Y19" s="97" t="e">
        <f>IF(AB19&lt;&gt;"",(1+#REF!)*Y18,"")</f>
        <v>#REF!</v>
      </c>
      <c r="Z19" s="83">
        <v>0</v>
      </c>
      <c r="AA19" s="98" t="e">
        <f>IF(AC19&lt;&gt;"",#REF!+AC19-1,"")</f>
        <v>#REF!</v>
      </c>
      <c r="AB19" s="98" t="e">
        <f>IF(AC19&lt;&gt;"",#REF!+AC19-1,"")</f>
        <v>#REF!</v>
      </c>
      <c r="AC19" s="98" t="e">
        <f>IF(AC18&lt;&gt;"",IF(AC18+1&lt;=#REF!,AC18+1,""),"")</f>
        <v>#REF!</v>
      </c>
      <c r="AD19" s="91"/>
      <c r="AE19" s="91"/>
    </row>
    <row r="20" spans="1:31" ht="17.25" x14ac:dyDescent="0.25">
      <c r="A20" s="92">
        <v>0</v>
      </c>
      <c r="B20" s="92" t="e">
        <f>IF(AB20&lt;&gt;"",E20+E20*(IF(AC20&gt;4,0.1,LOOKUP(#REF!,Rates!$D$2:$D$4,Rates!$C$2:$C$4))+0.85*(#REF!-(IF(AC20&gt;4,0.1,LOOKUP(#REF!,Rates!$D$2:$D$4,Rates!$C$2:$C$4)))))*LOOKUP(#REF!,Rates!$I$2:$I$7,Rates!$G$2:$G$7)+B19*(1+IF(AC20&gt;4,0.1,LOOKUP(#REF!,Rates!$D$2:$D$4,Rates!$C$2:$C$4))+0.85*(#REF!-IF(AC20&gt;4,0.1,LOOKUP(#REF!,Rates!$D$2:$D$4,Rates!$C$2:$C$4)))),"")</f>
        <v>#REF!</v>
      </c>
      <c r="C20" s="93" t="e">
        <f t="shared" si="7"/>
        <v>#REF!</v>
      </c>
      <c r="D20" s="94" t="e">
        <f>IF(AB20&lt;&gt;"",E20*(1+IF(AC20&gt;4,0.1,LOOKUP(#REF!,Rates!$D$2:$D$5,Rates!$B$2:$B$5))*LOOKUP(#REF!,Rates!$I$2:$I$7,Rates!$G$2:$G$7))+D19*(1+IF(AC20&gt;4,0.1,LOOKUP(#REF!,Rates!$D$2:$D$5,Rates!$B$2:$B$5))),"")</f>
        <v>#REF!</v>
      </c>
      <c r="E20" s="84" t="e">
        <f>IF(AB20&lt;&gt;"",IF(#REF!="بله",IF(AND(AC20&lt;=#REF!,AC20&gt;=#REF!),#REF!,0)+(Z20-S20-I20-H20-G20-F20-L20),IF(AND(AC20&lt;=#REF!,AC20&gt;=#REF!),#REF!,0)+(Z20-S20-I20-H20-G20-F20)),"")</f>
        <v>#REF!</v>
      </c>
      <c r="F20" s="84" t="e">
        <f t="shared" si="0"/>
        <v>#REF!</v>
      </c>
      <c r="G20" s="84" t="e">
        <f t="shared" si="1"/>
        <v>#REF!</v>
      </c>
      <c r="H20" s="86" t="e">
        <f t="shared" si="2"/>
        <v>#REF!</v>
      </c>
      <c r="I20" s="93">
        <v>0</v>
      </c>
      <c r="J20" s="93" t="e">
        <f t="shared" si="5"/>
        <v>#REF!</v>
      </c>
      <c r="K20" s="84" t="e">
        <f>IF(U20&lt;&gt;"",#REF!*U20,"")</f>
        <v>#REF!</v>
      </c>
      <c r="L20" s="95" t="e">
        <f t="shared" si="3"/>
        <v>#REF!</v>
      </c>
      <c r="M20" s="96">
        <f t="shared" si="4"/>
        <v>0</v>
      </c>
      <c r="N20" s="96">
        <v>0</v>
      </c>
      <c r="O20" s="96" t="e">
        <f>IF(Z20&lt;&gt;"",0.02*Z20*(1-#REF!),"")</f>
        <v>#REF!</v>
      </c>
      <c r="P20" s="95" t="e">
        <f>IF(AND(AB20&lt;=70,W20&lt;&gt;""),(1-#REF!)*((W20*0.0008*(1+(LOOKUP(#REF!,Rates!$O:$O,Rates!$M:$M)/100)))+((Y20*0.0008*#REF!))*(1+(LOOKUP(#REF!,Rates!$O:$O,Rates!$N:$N)/100))),"")</f>
        <v>#REF!</v>
      </c>
      <c r="Q20" s="88" t="e">
        <f>IF(AB20&lt;=60,(LOOKUP(AB20,Rates!$U:$U,Rates!#REF!))*V20/1000000*(1+#REF!)*(1-#REF!),"")</f>
        <v>#REF!</v>
      </c>
      <c r="R20" s="83" t="e">
        <f>IF(AND(Z20&lt;&gt;"",Q20&lt;&gt;"",P20&lt;&gt;""),IF(#REF!="بله",(Z20-Q20-P20),Z20),"")</f>
        <v>#REF!</v>
      </c>
      <c r="S20" s="84">
        <v>0</v>
      </c>
      <c r="T20" s="84" t="e">
        <f t="shared" si="6"/>
        <v>#REF!</v>
      </c>
      <c r="U20" s="84" t="e">
        <f>IF(AB20&lt;&gt;"",(Y20*LOOKUP(AB20,Rates!$U:$U,Rates!$T:$T))/SQRT(1.1),"")</f>
        <v>#REF!</v>
      </c>
      <c r="V20" s="97" t="e">
        <f>IF(AND(AB20&lt;&gt;"",AB20&lt;=60),IF(V19*(1+#REF!)&lt;300000000,V19*(1+#REF!),300000000),"")</f>
        <v>#REF!</v>
      </c>
      <c r="W20" s="89" t="e">
        <f>IF(AND(AB20&lt;&gt;"",AB20&lt;=60),Y20*#REF!,"")</f>
        <v>#REF!</v>
      </c>
      <c r="X20" s="97" t="e">
        <f>IF(AND(AB20&lt;&gt;"",AB20&lt;=70),Y20*(1+#REF!),"")</f>
        <v>#REF!</v>
      </c>
      <c r="Y20" s="97" t="e">
        <f>IF(AB20&lt;&gt;"",(1+#REF!)*Y19,"")</f>
        <v>#REF!</v>
      </c>
      <c r="Z20" s="83">
        <v>0</v>
      </c>
      <c r="AA20" s="98" t="e">
        <f>IF(AC20&lt;&gt;"",#REF!+AC20-1,"")</f>
        <v>#REF!</v>
      </c>
      <c r="AB20" s="98" t="e">
        <f>IF(AC20&lt;&gt;"",#REF!+AC20-1,"")</f>
        <v>#REF!</v>
      </c>
      <c r="AC20" s="98" t="e">
        <f>IF(AC19&lt;&gt;"",IF(AC19+1&lt;=#REF!,AC19+1,""),"")</f>
        <v>#REF!</v>
      </c>
      <c r="AD20" s="91"/>
      <c r="AE20" s="91"/>
    </row>
    <row r="21" spans="1:31" ht="17.25" x14ac:dyDescent="0.25">
      <c r="A21" s="92">
        <v>0</v>
      </c>
      <c r="B21" s="92" t="e">
        <f>IF(AB21&lt;&gt;"",E21+E21*(IF(AC21&gt;4,0.1,LOOKUP(#REF!,Rates!$D$2:$D$4,Rates!$C$2:$C$4))+0.85*(#REF!-(IF(AC21&gt;4,0.1,LOOKUP(#REF!,Rates!$D$2:$D$4,Rates!$C$2:$C$4)))))*LOOKUP(#REF!,Rates!$I$2:$I$7,Rates!$G$2:$G$7)+B20*(1+IF(AC21&gt;4,0.1,LOOKUP(#REF!,Rates!$D$2:$D$4,Rates!$C$2:$C$4))+0.85*(#REF!-IF(AC21&gt;4,0.1,LOOKUP(#REF!,Rates!$D$2:$D$4,Rates!$C$2:$C$4)))),"")</f>
        <v>#REF!</v>
      </c>
      <c r="C21" s="93" t="e">
        <f>IF(AB21&lt;&gt;"",D21,"")</f>
        <v>#REF!</v>
      </c>
      <c r="D21" s="94" t="e">
        <f>IF(AB21&lt;&gt;"",E21*(1+IF(AC21&gt;4,0.1,LOOKUP(#REF!,Rates!$D$2:$D$5,Rates!$B$2:$B$5))*LOOKUP(#REF!,Rates!$I$2:$I$7,Rates!$G$2:$G$7))+D20*(1+IF(AC21&gt;4,0.1,LOOKUP(#REF!,Rates!$D$2:$D$5,Rates!$B$2:$B$5))),"")</f>
        <v>#REF!</v>
      </c>
      <c r="E21" s="84" t="e">
        <f>IF(AB21&lt;&gt;"",IF(#REF!="بله",IF(AND(AC21&lt;=#REF!,AC21&gt;=#REF!),#REF!,0)+(Z21-S21-I21-H21-G21-F21-L21),IF(AND(AC21&lt;=#REF!,AC21&gt;=#REF!),#REF!,0)+(Z21-S21-I21-H21-G21-F21)),"")</f>
        <v>#REF!</v>
      </c>
      <c r="F21" s="84" t="e">
        <f>IF(AB21&lt;&gt;"",0.03*(H21+I21+S21+L21),"")</f>
        <v>#REF!</v>
      </c>
      <c r="G21" s="84" t="e">
        <f>IF(AB21&lt;&gt;"",0.06*(H21+I21+S21+L21),"")</f>
        <v>#REF!</v>
      </c>
      <c r="H21" s="86" t="e">
        <f t="shared" si="2"/>
        <v>#REF!</v>
      </c>
      <c r="I21" s="93">
        <v>0</v>
      </c>
      <c r="J21" s="93" t="e">
        <f t="shared" si="5"/>
        <v>#REF!</v>
      </c>
      <c r="K21" s="84" t="e">
        <f>IF(U21&lt;&gt;"",#REF!*U21,"")</f>
        <v>#REF!</v>
      </c>
      <c r="L21" s="95" t="e">
        <f t="shared" si="3"/>
        <v>#REF!</v>
      </c>
      <c r="M21" s="96">
        <f t="shared" si="4"/>
        <v>0</v>
      </c>
      <c r="N21" s="96">
        <v>0</v>
      </c>
      <c r="O21" s="96" t="e">
        <f>IF(Z21&lt;&gt;"",0.02*Z21*(1-#REF!),"")</f>
        <v>#REF!</v>
      </c>
      <c r="P21" s="95" t="e">
        <f>IF(AND(AB21&lt;=70,W21&lt;&gt;""),(1-#REF!)*((W21*0.0008*(1+(LOOKUP(#REF!,Rates!$O:$O,Rates!$M:$M)/100)))+((Y21*0.0008*#REF!))*(1+(LOOKUP(#REF!,Rates!$O:$O,Rates!$N:$N)/100))),"")</f>
        <v>#REF!</v>
      </c>
      <c r="Q21" s="88" t="e">
        <f>IF(AB21&lt;=60,(LOOKUP(AB21,Rates!$U:$U,Rates!#REF!))*V21/1000000*(1+#REF!)*(1-#REF!),"")</f>
        <v>#REF!</v>
      </c>
      <c r="R21" s="83" t="e">
        <f>IF(AND(Z21&lt;&gt;"",Q21&lt;&gt;"",P21&lt;&gt;""),IF(#REF!="بله",(Z21-Q21-P21),Z21),"")</f>
        <v>#REF!</v>
      </c>
      <c r="S21" s="84">
        <v>0</v>
      </c>
      <c r="T21" s="84" t="e">
        <f t="shared" si="6"/>
        <v>#REF!</v>
      </c>
      <c r="U21" s="84" t="e">
        <f>IF(AB21&lt;&gt;"",(Y21*LOOKUP(AB21,Rates!$U:$U,Rates!$T:$T))/SQRT(1.1),"")</f>
        <v>#REF!</v>
      </c>
      <c r="V21" s="97" t="e">
        <f>IF(AND(AB21&lt;&gt;"",AB21&lt;=60),IF(V20*(1+#REF!)&lt;300000000,V20*(1+#REF!),300000000),"")</f>
        <v>#REF!</v>
      </c>
      <c r="W21" s="89" t="e">
        <f>IF(AND(AB21&lt;&gt;"",AB21&lt;=60),Y21*#REF!,"")</f>
        <v>#REF!</v>
      </c>
      <c r="X21" s="97" t="e">
        <f>IF(AND(AB21&lt;&gt;"",AB21&lt;=70),Y21*(1+#REF!),"")</f>
        <v>#REF!</v>
      </c>
      <c r="Y21" s="97" t="e">
        <f>IF(AB21&lt;&gt;"",(1+#REF!)*Y20,"")</f>
        <v>#REF!</v>
      </c>
      <c r="Z21" s="83">
        <v>0</v>
      </c>
      <c r="AA21" s="98" t="e">
        <f>IF(AC21&lt;&gt;"",#REF!+AC21-1,"")</f>
        <v>#REF!</v>
      </c>
      <c r="AB21" s="98" t="e">
        <f>IF(AC21&lt;&gt;"",#REF!+AC21-1,"")</f>
        <v>#REF!</v>
      </c>
      <c r="AC21" s="98" t="e">
        <f>IF(AC20&lt;&gt;"",IF(AC20+1&lt;=#REF!,AC20+1,""),"")</f>
        <v>#REF!</v>
      </c>
      <c r="AD21" s="91"/>
      <c r="AE21" s="91"/>
    </row>
    <row r="22" spans="1:31" ht="17.25" x14ac:dyDescent="0.25">
      <c r="A22" s="92">
        <v>0</v>
      </c>
      <c r="B22" s="92" t="e">
        <f>IF(AB22&lt;&gt;"",E22+E22*(IF(AC22&gt;4,0.1,LOOKUP(#REF!,Rates!$D$2:$D$4,Rates!$C$2:$C$4))+0.85*(#REF!-(IF(AC22&gt;4,0.1,LOOKUP(#REF!,Rates!$D$2:$D$4,Rates!$C$2:$C$4)))))*LOOKUP(#REF!,Rates!$I$2:$I$7,Rates!$G$2:$G$7)+B21*(1+IF(AC22&gt;4,0.1,LOOKUP(#REF!,Rates!$D$2:$D$4,Rates!$C$2:$C$4))+0.85*(#REF!-IF(AC22&gt;4,0.1,LOOKUP(#REF!,Rates!$D$2:$D$4,Rates!$C$2:$C$4)))),"")</f>
        <v>#REF!</v>
      </c>
      <c r="C22" s="93" t="e">
        <f t="shared" si="7"/>
        <v>#REF!</v>
      </c>
      <c r="D22" s="94" t="e">
        <f>IF(AB22&lt;&gt;"",E22*(1+IF(AC22&gt;4,0.1,LOOKUP(#REF!,Rates!$D$2:$D$5,Rates!$B$2:$B$5))*LOOKUP(#REF!,Rates!$I$2:$I$7,Rates!$G$2:$G$7))+D21*(1+IF(AC22&gt;4,0.1,LOOKUP(#REF!,Rates!$D$2:$D$5,Rates!$B$2:$B$5))),"")</f>
        <v>#REF!</v>
      </c>
      <c r="E22" s="84" t="e">
        <f>IF(AB22&lt;&gt;"",IF(#REF!="بله",IF(AND(AC22&lt;=#REF!,AC22&gt;=#REF!),#REF!,0)+(Z22-S22-I22-H22-G22-F22-L22),IF(AND(AC22&lt;=#REF!,AC22&gt;=#REF!),#REF!,0)+(Z22-S22-I22-H22-G22-F22)),"")</f>
        <v>#REF!</v>
      </c>
      <c r="F22" s="84" t="e">
        <f t="shared" si="0"/>
        <v>#REF!</v>
      </c>
      <c r="G22" s="84" t="e">
        <f t="shared" si="1"/>
        <v>#REF!</v>
      </c>
      <c r="H22" s="86" t="e">
        <f t="shared" si="2"/>
        <v>#REF!</v>
      </c>
      <c r="I22" s="93">
        <v>0</v>
      </c>
      <c r="J22" s="93" t="e">
        <f t="shared" si="5"/>
        <v>#REF!</v>
      </c>
      <c r="K22" s="84" t="e">
        <f>IF(U22&lt;&gt;"",#REF!*U22,"")</f>
        <v>#REF!</v>
      </c>
      <c r="L22" s="95" t="e">
        <f>IF(P22="",0,P22)+IF(Q22="",0,Q22)</f>
        <v>#REF!</v>
      </c>
      <c r="M22" s="96">
        <f t="shared" si="4"/>
        <v>0</v>
      </c>
      <c r="N22" s="96">
        <v>0</v>
      </c>
      <c r="O22" s="96" t="e">
        <f>IF(Z22&lt;&gt;"",0.02*Z22*(1-#REF!),"")</f>
        <v>#REF!</v>
      </c>
      <c r="P22" s="95" t="e">
        <f>IF(AND(AB22&lt;=70,W22&lt;&gt;""),(1-#REF!)*((W22*0.0008*(1+(LOOKUP(#REF!,Rates!$O:$O,Rates!$M:$M)/100)))+((Y22*0.0008*#REF!))*(1+(LOOKUP(#REF!,Rates!$O:$O,Rates!$N:$N)/100))),"")</f>
        <v>#REF!</v>
      </c>
      <c r="Q22" s="88" t="e">
        <f>IF(AB22&lt;=60,(LOOKUP(AB22,Rates!$U:$U,Rates!#REF!))*V22/1000000*(1+#REF!)*(1-#REF!),"")</f>
        <v>#REF!</v>
      </c>
      <c r="R22" s="83" t="e">
        <f>IF(AND(Z22&lt;&gt;"",Q22&lt;&gt;"",P22&lt;&gt;""),IF(#REF!="بله",(Z22-Q22-P22),Z22),"")</f>
        <v>#REF!</v>
      </c>
      <c r="S22" s="84">
        <v>0</v>
      </c>
      <c r="T22" s="84" t="e">
        <f t="shared" si="6"/>
        <v>#REF!</v>
      </c>
      <c r="U22" s="84" t="e">
        <f>IF(AB22&lt;&gt;"",(Y22*LOOKUP(AB22,Rates!$U:$U,Rates!$T:$T))/SQRT(1.1),"")</f>
        <v>#REF!</v>
      </c>
      <c r="V22" s="97" t="e">
        <f>IF(AND(AB22&lt;&gt;"",AB22&lt;=60),IF(V21*(1+#REF!)&lt;300000000,V21*(1+#REF!),300000000),"")</f>
        <v>#REF!</v>
      </c>
      <c r="W22" s="89" t="e">
        <f>IF(AND(AB22&lt;&gt;"",AB22&lt;=60),Y22*#REF!,"")</f>
        <v>#REF!</v>
      </c>
      <c r="X22" s="97" t="e">
        <f>IF(AND(AB22&lt;&gt;"",AB22&lt;=70),Y22*(1+#REF!),"")</f>
        <v>#REF!</v>
      </c>
      <c r="Y22" s="97" t="e">
        <f>IF(AB22&lt;&gt;"",(1+#REF!)*Y21,"")</f>
        <v>#REF!</v>
      </c>
      <c r="Z22" s="83">
        <v>0</v>
      </c>
      <c r="AA22" s="98" t="e">
        <f>IF(AC22&lt;&gt;"",#REF!+AC22-1,"")</f>
        <v>#REF!</v>
      </c>
      <c r="AB22" s="98" t="e">
        <f>IF(AC22&lt;&gt;"",#REF!+AC22-1,"")</f>
        <v>#REF!</v>
      </c>
      <c r="AC22" s="98" t="e">
        <f>IF(AC21&lt;&gt;"",IF(AC21+1&lt;=#REF!,AC21+1,""),"")</f>
        <v>#REF!</v>
      </c>
      <c r="AD22" s="91"/>
      <c r="AE22" s="91"/>
    </row>
    <row r="23" spans="1:31" ht="17.25" x14ac:dyDescent="0.25">
      <c r="A23" s="92">
        <v>0</v>
      </c>
      <c r="B23" s="92" t="e">
        <f>IF(AB23&lt;&gt;"",E23+E23*(IF(AC23&gt;4,0.1,LOOKUP(#REF!,Rates!$D$2:$D$4,Rates!$C$2:$C$4))+0.85*(#REF!-(IF(AC23&gt;4,0.1,LOOKUP(#REF!,Rates!$D$2:$D$4,Rates!$C$2:$C$4)))))*LOOKUP(#REF!,Rates!$I$2:$I$7,Rates!$G$2:$G$7)+B22*(1+IF(AC23&gt;4,0.1,LOOKUP(#REF!,Rates!$D$2:$D$4,Rates!$C$2:$C$4))+0.85*(#REF!-IF(AC23&gt;4,0.1,LOOKUP(#REF!,Rates!$D$2:$D$4,Rates!$C$2:$C$4)))),"")</f>
        <v>#REF!</v>
      </c>
      <c r="C23" s="93" t="e">
        <f t="shared" si="7"/>
        <v>#REF!</v>
      </c>
      <c r="D23" s="94" t="e">
        <f>IF(AB23&lt;&gt;"",E23*(1+IF(AC23&gt;4,0.1,LOOKUP(#REF!,Rates!$D$2:$D$5,Rates!$B$2:$B$5))*LOOKUP(#REF!,Rates!$I$2:$I$7,Rates!$G$2:$G$7))+D22*(1+IF(AC23&gt;4,0.1,LOOKUP(#REF!,Rates!$D$2:$D$5,Rates!$B$2:$B$5))),"")</f>
        <v>#REF!</v>
      </c>
      <c r="E23" s="84" t="e">
        <f>IF(AB23&lt;&gt;"",IF(#REF!="بله",IF(AND(AC23&lt;=#REF!,AC23&gt;=#REF!),#REF!,0)+(Z23-S23-I23-H23-G23-F23-L23),IF(AND(AC23&lt;=#REF!,AC23&gt;=#REF!),#REF!,0)+(Z23-S23-I23-H23-G23-F23)),"")</f>
        <v>#REF!</v>
      </c>
      <c r="F23" s="84" t="e">
        <f t="shared" si="0"/>
        <v>#REF!</v>
      </c>
      <c r="G23" s="84" t="e">
        <f t="shared" si="1"/>
        <v>#REF!</v>
      </c>
      <c r="H23" s="86" t="e">
        <f t="shared" si="2"/>
        <v>#REF!</v>
      </c>
      <c r="I23" s="93">
        <v>0</v>
      </c>
      <c r="J23" s="93" t="e">
        <f t="shared" si="5"/>
        <v>#REF!</v>
      </c>
      <c r="K23" s="84" t="e">
        <f>IF(U23&lt;&gt;"",#REF!*U23,"")</f>
        <v>#REF!</v>
      </c>
      <c r="L23" s="95" t="e">
        <f t="shared" si="3"/>
        <v>#REF!</v>
      </c>
      <c r="M23" s="96">
        <f t="shared" si="4"/>
        <v>0</v>
      </c>
      <c r="N23" s="96">
        <v>0</v>
      </c>
      <c r="O23" s="96" t="e">
        <f>IF(Z23&lt;&gt;"",0.02*Z23*(1-#REF!),"")</f>
        <v>#REF!</v>
      </c>
      <c r="P23" s="95" t="e">
        <f>IF(AND(AB23&lt;=70,W23&lt;&gt;""),(1-#REF!)*((W23*0.0008*(1+(LOOKUP(#REF!,Rates!$O:$O,Rates!$M:$M)/100)))+((Y23*0.0008*#REF!))*(1+(LOOKUP(#REF!,Rates!$O:$O,Rates!$N:$N)/100))),"")</f>
        <v>#REF!</v>
      </c>
      <c r="Q23" s="88" t="e">
        <f>IF(AB23&lt;=60,(LOOKUP(AB23,Rates!$U:$U,Rates!#REF!))*V23/1000000*(1+#REF!)*(1-#REF!),"")</f>
        <v>#REF!</v>
      </c>
      <c r="R23" s="83" t="e">
        <f>IF(AND(Z23&lt;&gt;"",Q23&lt;&gt;"",P23&lt;&gt;""),IF(#REF!="بله",(Z23-Q23-P23),Z23),"")</f>
        <v>#REF!</v>
      </c>
      <c r="S23" s="84">
        <v>0</v>
      </c>
      <c r="T23" s="84" t="e">
        <f t="shared" si="6"/>
        <v>#REF!</v>
      </c>
      <c r="U23" s="84" t="e">
        <f>IF(AB23&lt;&gt;"",(Y23*LOOKUP(AB23,Rates!$U:$U,Rates!$T:$T))/SQRT(1.1),"")</f>
        <v>#REF!</v>
      </c>
      <c r="V23" s="97" t="e">
        <f>IF(AND(AB23&lt;&gt;"",AB23&lt;=60),IF(V22*(1+#REF!)&lt;300000000,V22*(1+#REF!),300000000),"")</f>
        <v>#REF!</v>
      </c>
      <c r="W23" s="89" t="e">
        <f>IF(AND(AB23&lt;&gt;"",AB23&lt;=60),Y23*#REF!,"")</f>
        <v>#REF!</v>
      </c>
      <c r="X23" s="97" t="e">
        <f>IF(AND(AB23&lt;&gt;"",AB23&lt;=70),Y23*(1+#REF!),"")</f>
        <v>#REF!</v>
      </c>
      <c r="Y23" s="97" t="e">
        <f>IF(AB23&lt;&gt;"",(1+#REF!)*Y22,"")</f>
        <v>#REF!</v>
      </c>
      <c r="Z23" s="83">
        <v>0</v>
      </c>
      <c r="AA23" s="98" t="e">
        <f>IF(AC23&lt;&gt;"",#REF!+AC23-1,"")</f>
        <v>#REF!</v>
      </c>
      <c r="AB23" s="98" t="e">
        <f>IF(AC23&lt;&gt;"",#REF!+AC23-1,"")</f>
        <v>#REF!</v>
      </c>
      <c r="AC23" s="98" t="e">
        <f>IF(AC22&lt;&gt;"",IF(AC22+1&lt;=#REF!,AC22+1,""),"")</f>
        <v>#REF!</v>
      </c>
      <c r="AD23" s="91"/>
      <c r="AE23" s="91"/>
    </row>
    <row r="24" spans="1:31" ht="17.25" x14ac:dyDescent="0.25">
      <c r="A24" s="92">
        <v>0</v>
      </c>
      <c r="B24" s="92" t="e">
        <f>IF(AB24&lt;&gt;"",E24+E24*(IF(AC24&gt;4,0.1,LOOKUP(#REF!,Rates!$D$2:$D$4,Rates!$C$2:$C$4))+0.85*(#REF!-(IF(AC24&gt;4,0.1,LOOKUP(#REF!,Rates!$D$2:$D$4,Rates!$C$2:$C$4)))))*LOOKUP(#REF!,Rates!$I$2:$I$7,Rates!$G$2:$G$7)+B23*(1+IF(AC24&gt;4,0.1,LOOKUP(#REF!,Rates!$D$2:$D$4,Rates!$C$2:$C$4))+0.85*(#REF!-IF(AC24&gt;4,0.1,LOOKUP(#REF!,Rates!$D$2:$D$4,Rates!$C$2:$C$4)))),"")</f>
        <v>#REF!</v>
      </c>
      <c r="C24" s="93" t="e">
        <f t="shared" si="7"/>
        <v>#REF!</v>
      </c>
      <c r="D24" s="94" t="e">
        <f>IF(AB24&lt;&gt;"",E24*(1+IF(AC24&gt;4,0.1,LOOKUP(#REF!,Rates!$D$2:$D$5,Rates!$B$2:$B$5))*LOOKUP(#REF!,Rates!$I$2:$I$7,Rates!$G$2:$G$7))+D23*(1+IF(AC24&gt;4,0.1,LOOKUP(#REF!,Rates!$D$2:$D$5,Rates!$B$2:$B$5))),"")</f>
        <v>#REF!</v>
      </c>
      <c r="E24" s="84" t="e">
        <f>IF(AB24&lt;&gt;"",IF(#REF!="بله",IF(AND(AC24&lt;=#REF!,AC24&gt;=#REF!),#REF!,0)+(Z24-S24-I24-H24-G24-F24-L24),IF(AND(AC24&lt;=#REF!,AC24&gt;=#REF!),#REF!,0)+(Z24-S24-I24-H24-G24-F24)),"")</f>
        <v>#REF!</v>
      </c>
      <c r="F24" s="84" t="e">
        <f t="shared" si="0"/>
        <v>#REF!</v>
      </c>
      <c r="G24" s="84" t="e">
        <f t="shared" si="1"/>
        <v>#REF!</v>
      </c>
      <c r="H24" s="86" t="e">
        <f t="shared" si="2"/>
        <v>#REF!</v>
      </c>
      <c r="I24" s="93">
        <v>0</v>
      </c>
      <c r="J24" s="93" t="e">
        <f t="shared" si="5"/>
        <v>#REF!</v>
      </c>
      <c r="K24" s="84" t="e">
        <f>IF(U24&lt;&gt;"",#REF!*U24,"")</f>
        <v>#REF!</v>
      </c>
      <c r="L24" s="95" t="e">
        <f t="shared" si="3"/>
        <v>#REF!</v>
      </c>
      <c r="M24" s="96">
        <f t="shared" si="4"/>
        <v>0</v>
      </c>
      <c r="N24" s="96">
        <v>0</v>
      </c>
      <c r="O24" s="96" t="e">
        <f>IF(Z24&lt;&gt;"",0.02*Z24*(1-#REF!),"")</f>
        <v>#REF!</v>
      </c>
      <c r="P24" s="95" t="e">
        <f>IF(AND(AB24&lt;=70,W24&lt;&gt;""),(1-#REF!)*((W24*0.0008*(1+(LOOKUP(#REF!,Rates!$O:$O,Rates!$M:$M)/100)))+((Y24*0.0008*#REF!))*(1+(LOOKUP(#REF!,Rates!$O:$O,Rates!$N:$N)/100))),"")</f>
        <v>#REF!</v>
      </c>
      <c r="Q24" s="88" t="e">
        <f>IF(AB24&lt;=60,(LOOKUP(AB24,Rates!$U:$U,Rates!#REF!))*V24/1000000*(1+#REF!)*(1-#REF!),"")</f>
        <v>#REF!</v>
      </c>
      <c r="R24" s="83" t="e">
        <f>IF(AND(Z24&lt;&gt;"",Q24&lt;&gt;"",P24&lt;&gt;""),IF(#REF!="بله",(Z24-Q24-P24),Z24),"")</f>
        <v>#REF!</v>
      </c>
      <c r="S24" s="84">
        <v>0</v>
      </c>
      <c r="T24" s="84" t="e">
        <f t="shared" si="6"/>
        <v>#REF!</v>
      </c>
      <c r="U24" s="84" t="e">
        <f>IF(AB24&lt;&gt;"",(Y24*LOOKUP(AB24,Rates!$U:$U,Rates!$T:$T))/SQRT(1.1),"")</f>
        <v>#REF!</v>
      </c>
      <c r="V24" s="97" t="e">
        <f>IF(AND(AB24&lt;&gt;"",AB24&lt;=60),IF(V23*(1+#REF!)&lt;300000000,V23*(1+#REF!),300000000),"")</f>
        <v>#REF!</v>
      </c>
      <c r="W24" s="89" t="e">
        <f>IF(AND(AB24&lt;&gt;"",AB24&lt;=60),Y24*#REF!,"")</f>
        <v>#REF!</v>
      </c>
      <c r="X24" s="97" t="e">
        <f>IF(AND(AB24&lt;&gt;"",AB24&lt;=70),Y24*(1+#REF!),"")</f>
        <v>#REF!</v>
      </c>
      <c r="Y24" s="97" t="e">
        <f>IF(AB24&lt;&gt;"",(1+#REF!)*Y23,"")</f>
        <v>#REF!</v>
      </c>
      <c r="Z24" s="83">
        <v>0</v>
      </c>
      <c r="AA24" s="98" t="e">
        <f>IF(AC24&lt;&gt;"",#REF!+AC24-1,"")</f>
        <v>#REF!</v>
      </c>
      <c r="AB24" s="98" t="e">
        <f>IF(AC24&lt;&gt;"",#REF!+AC24-1,"")</f>
        <v>#REF!</v>
      </c>
      <c r="AC24" s="98" t="e">
        <f>IF(AC23&lt;&gt;"",IF(AC23+1&lt;=#REF!,AC23+1,""),"")</f>
        <v>#REF!</v>
      </c>
      <c r="AD24" s="91"/>
      <c r="AE24" s="91"/>
    </row>
    <row r="25" spans="1:31" ht="17.25" x14ac:dyDescent="0.25">
      <c r="A25" s="92">
        <v>0</v>
      </c>
      <c r="B25" s="92" t="e">
        <f>IF(AB25&lt;&gt;"",E25+E25*(IF(AC25&gt;4,0.1,LOOKUP(#REF!,Rates!$D$2:$D$4,Rates!$C$2:$C$4))+0.85*(#REF!-(IF(AC25&gt;4,0.1,LOOKUP(#REF!,Rates!$D$2:$D$4,Rates!$C$2:$C$4)))))*LOOKUP(#REF!,Rates!$I$2:$I$7,Rates!$G$2:$G$7)+B24*(1+IF(AC25&gt;4,0.1,LOOKUP(#REF!,Rates!$D$2:$D$4,Rates!$C$2:$C$4))+0.85*(#REF!-IF(AC25&gt;4,0.1,LOOKUP(#REF!,Rates!$D$2:$D$4,Rates!$C$2:$C$4)))),"")</f>
        <v>#REF!</v>
      </c>
      <c r="C25" s="93" t="e">
        <f t="shared" si="7"/>
        <v>#REF!</v>
      </c>
      <c r="D25" s="94" t="e">
        <f>IF(AB25&lt;&gt;"",E25*(1+IF(AC25&gt;4,0.1,LOOKUP(#REF!,Rates!$D$2:$D$5,Rates!$B$2:$B$5))*LOOKUP(#REF!,Rates!$I$2:$I$7,Rates!$G$2:$G$7))+D24*(1+IF(AC25&gt;4,0.1,LOOKUP(#REF!,Rates!$D$2:$D$5,Rates!$B$2:$B$5))),"")</f>
        <v>#REF!</v>
      </c>
      <c r="E25" s="84" t="e">
        <f>IF(AB25&lt;&gt;"",IF(#REF!="بله",IF(AND(AC25&lt;=#REF!,AC25&gt;=#REF!),#REF!,0)+(Z25-S25-I25-H25-G25-F25-L25),IF(AND(AC25&lt;=#REF!,AC25&gt;=#REF!),#REF!,0)+(Z25-S25-I25-H25-G25-F25)),"")</f>
        <v>#REF!</v>
      </c>
      <c r="F25" s="84" t="e">
        <f t="shared" si="0"/>
        <v>#REF!</v>
      </c>
      <c r="G25" s="84" t="e">
        <f t="shared" si="1"/>
        <v>#REF!</v>
      </c>
      <c r="H25" s="86" t="e">
        <f t="shared" si="2"/>
        <v>#REF!</v>
      </c>
      <c r="I25" s="93">
        <v>0</v>
      </c>
      <c r="J25" s="93" t="e">
        <f t="shared" si="5"/>
        <v>#REF!</v>
      </c>
      <c r="K25" s="84" t="e">
        <f>IF(U25&lt;&gt;"",#REF!*U25,"")</f>
        <v>#REF!</v>
      </c>
      <c r="L25" s="95" t="e">
        <f t="shared" si="3"/>
        <v>#REF!</v>
      </c>
      <c r="M25" s="96">
        <f t="shared" si="4"/>
        <v>0</v>
      </c>
      <c r="N25" s="96">
        <v>0</v>
      </c>
      <c r="O25" s="96" t="e">
        <f>IF(Z25&lt;&gt;"",0.02*Z25*(1-#REF!),"")</f>
        <v>#REF!</v>
      </c>
      <c r="P25" s="95" t="e">
        <f>IF(AND(AB25&lt;=70,W25&lt;&gt;""),(1-#REF!)*((W25*0.0008*(1+(LOOKUP(#REF!,Rates!$O:$O,Rates!$M:$M)/100)))+((Y25*0.0008*#REF!))*(1+(LOOKUP(#REF!,Rates!$O:$O,Rates!$N:$N)/100))),"")</f>
        <v>#REF!</v>
      </c>
      <c r="Q25" s="88" t="e">
        <f>IF(AB25&lt;=60,(LOOKUP(AB25,Rates!$U:$U,Rates!#REF!))*V25/1000000*(1+#REF!)*(1-#REF!),"")</f>
        <v>#REF!</v>
      </c>
      <c r="R25" s="83" t="e">
        <f>IF(AND(Z25&lt;&gt;"",Q25&lt;&gt;"",P25&lt;&gt;""),IF(#REF!="بله",(Z25-Q25-P25),Z25),"")</f>
        <v>#REF!</v>
      </c>
      <c r="S25" s="84">
        <v>0</v>
      </c>
      <c r="T25" s="84" t="e">
        <f t="shared" si="6"/>
        <v>#REF!</v>
      </c>
      <c r="U25" s="84" t="e">
        <f>IF(AB25&lt;&gt;"",(Y25*LOOKUP(AB25,Rates!$U:$U,Rates!$T:$T))/SQRT(1.1),"")</f>
        <v>#REF!</v>
      </c>
      <c r="V25" s="97" t="e">
        <f>IF(AND(AB25&lt;&gt;"",AB25&lt;=60),IF(V24*(1+#REF!)&lt;300000000,V24*(1+#REF!),300000000),"")</f>
        <v>#REF!</v>
      </c>
      <c r="W25" s="89" t="e">
        <f>IF(AND(AB25&lt;&gt;"",AB25&lt;=60),Y25*#REF!,"")</f>
        <v>#REF!</v>
      </c>
      <c r="X25" s="97" t="e">
        <f>IF(AND(AB25&lt;&gt;"",AB25&lt;=70),Y25*(1+#REF!),"")</f>
        <v>#REF!</v>
      </c>
      <c r="Y25" s="97" t="e">
        <f>IF(AB25&lt;&gt;"",(1+#REF!)*Y24,"")</f>
        <v>#REF!</v>
      </c>
      <c r="Z25" s="83">
        <v>0</v>
      </c>
      <c r="AA25" s="98" t="e">
        <f>IF(AC25&lt;&gt;"",#REF!+AC25-1,"")</f>
        <v>#REF!</v>
      </c>
      <c r="AB25" s="98" t="e">
        <f>IF(AC25&lt;&gt;"",#REF!+AC25-1,"")</f>
        <v>#REF!</v>
      </c>
      <c r="AC25" s="98" t="e">
        <f>IF(AC24&lt;&gt;"",IF(AC24+1&lt;=#REF!,AC24+1,""),"")</f>
        <v>#REF!</v>
      </c>
      <c r="AD25" s="91"/>
      <c r="AE25" s="91"/>
    </row>
    <row r="26" spans="1:31" ht="17.25" x14ac:dyDescent="0.25">
      <c r="A26" s="92">
        <v>0</v>
      </c>
      <c r="B26" s="92" t="e">
        <f>IF(AB26&lt;&gt;"",E26+E26*(IF(AC26&gt;4,0.1,LOOKUP(#REF!,Rates!$D$2:$D$4,Rates!$C$2:$C$4))+0.85*(#REF!-(IF(AC26&gt;4,0.1,LOOKUP(#REF!,Rates!$D$2:$D$4,Rates!$C$2:$C$4)))))*LOOKUP(#REF!,Rates!$I$2:$I$7,Rates!$G$2:$G$7)+B25*(1+IF(AC26&gt;4,0.1,LOOKUP(#REF!,Rates!$D$2:$D$4,Rates!$C$2:$C$4))+0.85*(#REF!-IF(AC26&gt;4,0.1,LOOKUP(#REF!,Rates!$D$2:$D$4,Rates!$C$2:$C$4)))),"")</f>
        <v>#REF!</v>
      </c>
      <c r="C26" s="93" t="e">
        <f t="shared" si="7"/>
        <v>#REF!</v>
      </c>
      <c r="D26" s="94" t="e">
        <f>IF(AB26&lt;&gt;"",E26*(1+IF(AC26&gt;4,0.1,LOOKUP(#REF!,Rates!$D$2:$D$5,Rates!$B$2:$B$5))*LOOKUP(#REF!,Rates!$I$2:$I$7,Rates!$G$2:$G$7))+D25*(1+IF(AC26&gt;4,0.1,LOOKUP(#REF!,Rates!$D$2:$D$5,Rates!$B$2:$B$5))),"")</f>
        <v>#REF!</v>
      </c>
      <c r="E26" s="84" t="e">
        <f>IF(AB26&lt;&gt;"",IF(#REF!="بله",IF(AND(AC26&lt;=#REF!,AC26&gt;=#REF!),#REF!,0)+(Z26-S26-I26-H26-G26-F26-L26),IF(AND(AC26&lt;=#REF!,AC26&gt;=#REF!),#REF!,0)+(Z26-S26-I26-H26-G26-F26)),"")</f>
        <v>#REF!</v>
      </c>
      <c r="F26" s="84" t="e">
        <f t="shared" si="0"/>
        <v>#REF!</v>
      </c>
      <c r="G26" s="84" t="e">
        <f t="shared" si="1"/>
        <v>#REF!</v>
      </c>
      <c r="H26" s="86" t="e">
        <f t="shared" si="2"/>
        <v>#REF!</v>
      </c>
      <c r="I26" s="93">
        <v>0</v>
      </c>
      <c r="J26" s="93" t="e">
        <f t="shared" si="5"/>
        <v>#REF!</v>
      </c>
      <c r="K26" s="84" t="e">
        <f>IF(U26&lt;&gt;"",#REF!*U26,"")</f>
        <v>#REF!</v>
      </c>
      <c r="L26" s="95" t="e">
        <f t="shared" si="3"/>
        <v>#REF!</v>
      </c>
      <c r="M26" s="96">
        <f t="shared" si="4"/>
        <v>0</v>
      </c>
      <c r="N26" s="96">
        <v>0</v>
      </c>
      <c r="O26" s="96" t="e">
        <f>IF(Z26&lt;&gt;"",0.02*Z26*(1-#REF!),"")</f>
        <v>#REF!</v>
      </c>
      <c r="P26" s="95" t="e">
        <f>IF(AND(AB26&lt;=70,W26&lt;&gt;""),(1-#REF!)*((W26*0.0008*(1+(LOOKUP(#REF!,Rates!$O:$O,Rates!$M:$M)/100)))+((Y26*0.0008*#REF!))*(1+(LOOKUP(#REF!,Rates!$O:$O,Rates!$N:$N)/100))),"")</f>
        <v>#REF!</v>
      </c>
      <c r="Q26" s="88" t="e">
        <f>IF(AB26&lt;=60,(LOOKUP(AB26,Rates!$U:$U,Rates!#REF!))*V26/1000000*(1+#REF!)*(1-#REF!),"")</f>
        <v>#REF!</v>
      </c>
      <c r="R26" s="83" t="e">
        <f>IF(AND(Z26&lt;&gt;"",Q26&lt;&gt;"",P26&lt;&gt;""),IF(#REF!="بله",(Z26-Q26-P26),Z26),"")</f>
        <v>#REF!</v>
      </c>
      <c r="S26" s="84">
        <v>0</v>
      </c>
      <c r="T26" s="84" t="e">
        <f>IF(AB26&lt;&gt;"",U26/((1+10/100)^(AC26-1)),"")</f>
        <v>#REF!</v>
      </c>
      <c r="U26" s="84" t="e">
        <f>IF(AB26&lt;&gt;"",(Y26*LOOKUP(AB26,Rates!$U:$U,Rates!$T:$T))/SQRT(1.1),"")</f>
        <v>#REF!</v>
      </c>
      <c r="V26" s="97" t="e">
        <f>IF(AND(AB26&lt;&gt;"",AB26&lt;=60),IF(V25*(1+#REF!)&lt;300000000,V25*(1+#REF!),300000000),"")</f>
        <v>#REF!</v>
      </c>
      <c r="W26" s="89" t="e">
        <f>IF(AND(AB26&lt;&gt;"",AB26&lt;=60),Y26*#REF!,"")</f>
        <v>#REF!</v>
      </c>
      <c r="X26" s="97" t="e">
        <f>IF(AND(AB26&lt;&gt;"",AB26&lt;=70),Y26*(1+#REF!),"")</f>
        <v>#REF!</v>
      </c>
      <c r="Y26" s="97" t="e">
        <f>IF(AB26&lt;&gt;"",(1+#REF!)*Y25,"")</f>
        <v>#REF!</v>
      </c>
      <c r="Z26" s="83">
        <v>0</v>
      </c>
      <c r="AA26" s="98" t="e">
        <f>IF(AC26&lt;&gt;"",#REF!+AC26-1,"")</f>
        <v>#REF!</v>
      </c>
      <c r="AB26" s="98" t="e">
        <f>IF(AC26&lt;&gt;"",#REF!+AC26-1,"")</f>
        <v>#REF!</v>
      </c>
      <c r="AC26" s="98" t="e">
        <f>IF(AC25&lt;&gt;"",IF(AC25+1&lt;=#REF!,AC25+1,""),"")</f>
        <v>#REF!</v>
      </c>
      <c r="AD26" s="91"/>
      <c r="AE26" s="91"/>
    </row>
    <row r="27" spans="1:31" ht="17.25" x14ac:dyDescent="0.25">
      <c r="A27" s="92">
        <v>0</v>
      </c>
      <c r="B27" s="92" t="e">
        <f>IF(AB27&lt;&gt;"",E27+E27*(IF(AC27&gt;4,0.1,LOOKUP(#REF!,Rates!$D$2:$D$4,Rates!$C$2:$C$4))+0.85*(#REF!-(IF(AC27&gt;4,0.1,LOOKUP(#REF!,Rates!$D$2:$D$4,Rates!$C$2:$C$4)))))*LOOKUP(#REF!,Rates!$I$2:$I$7,Rates!$G$2:$G$7)+B26*(1+IF(AC27&gt;4,0.1,LOOKUP(#REF!,Rates!$D$2:$D$4,Rates!$C$2:$C$4))+0.85*(#REF!-IF(AC27&gt;4,0.1,LOOKUP(#REF!,Rates!$D$2:$D$4,Rates!$C$2:$C$4)))),"")</f>
        <v>#REF!</v>
      </c>
      <c r="C27" s="93" t="e">
        <f t="shared" si="7"/>
        <v>#REF!</v>
      </c>
      <c r="D27" s="94" t="e">
        <f>IF(AB27&lt;&gt;"",E27*(1+IF(AC27&gt;4,0.1,LOOKUP(#REF!,Rates!$D$2:$D$5,Rates!$B$2:$B$5))*LOOKUP(#REF!,Rates!$I$2:$I$7,Rates!$G$2:$G$7))+D26*(1+IF(AC27&gt;4,0.1,LOOKUP(#REF!,Rates!$D$2:$D$5,Rates!$B$2:$B$5))),"")</f>
        <v>#REF!</v>
      </c>
      <c r="E27" s="84" t="e">
        <f>IF(AB27&lt;&gt;"",IF(#REF!="بله",IF(AND(AC27&lt;=#REF!,AC27&gt;=#REF!),#REF!,0)+(Z27-S27-I27-H27-G27-F27-L27),IF(AND(AC27&lt;=#REF!,AC27&gt;=#REF!),#REF!,0)+(Z27-S27-I27-H27-G27-F27)),"")</f>
        <v>#REF!</v>
      </c>
      <c r="F27" s="84" t="e">
        <f t="shared" si="0"/>
        <v>#REF!</v>
      </c>
      <c r="G27" s="84" t="e">
        <f t="shared" si="1"/>
        <v>#REF!</v>
      </c>
      <c r="H27" s="86" t="e">
        <f t="shared" si="2"/>
        <v>#REF!</v>
      </c>
      <c r="I27" s="93">
        <v>0</v>
      </c>
      <c r="J27" s="93" t="e">
        <f t="shared" si="5"/>
        <v>#REF!</v>
      </c>
      <c r="K27" s="84" t="e">
        <f>IF(U27&lt;&gt;"",#REF!*U27,"")</f>
        <v>#REF!</v>
      </c>
      <c r="L27" s="95" t="e">
        <f t="shared" si="3"/>
        <v>#REF!</v>
      </c>
      <c r="M27" s="96">
        <f t="shared" si="4"/>
        <v>0</v>
      </c>
      <c r="N27" s="96">
        <v>0</v>
      </c>
      <c r="O27" s="96" t="e">
        <f>IF(Z27&lt;&gt;"",0.02*Z27*(1-#REF!),"")</f>
        <v>#REF!</v>
      </c>
      <c r="P27" s="95" t="e">
        <f>IF(AND(AB27&lt;=70,W27&lt;&gt;""),(1-#REF!)*((W27*0.0008*(1+(LOOKUP(#REF!,Rates!$O:$O,Rates!$M:$M)/100)))+((Y27*0.0008*#REF!))*(1+(LOOKUP(#REF!,Rates!$O:$O,Rates!$N:$N)/100))),"")</f>
        <v>#REF!</v>
      </c>
      <c r="Q27" s="88" t="e">
        <f>IF(AB27&lt;=60,(LOOKUP(AB27,Rates!$U:$U,Rates!#REF!))*V27/1000000*(1+#REF!)*(1-#REF!),"")</f>
        <v>#REF!</v>
      </c>
      <c r="R27" s="83" t="e">
        <f>IF(AND(Z27&lt;&gt;"",Q27&lt;&gt;"",P27&lt;&gt;""),IF(#REF!="بله",(Z27-Q27-P27),Z27),"")</f>
        <v>#REF!</v>
      </c>
      <c r="S27" s="84">
        <v>0</v>
      </c>
      <c r="T27" s="84" t="e">
        <f t="shared" si="6"/>
        <v>#REF!</v>
      </c>
      <c r="U27" s="84" t="e">
        <f>IF(AB27&lt;&gt;"",(Y27*LOOKUP(AB27,Rates!$U:$U,Rates!$T:$T))/SQRT(1.1),"")</f>
        <v>#REF!</v>
      </c>
      <c r="V27" s="97" t="e">
        <f>IF(AND(AB27&lt;&gt;"",AB27&lt;=60),IF(V26*(1+#REF!)&lt;300000000,V26*(1+#REF!),300000000),"")</f>
        <v>#REF!</v>
      </c>
      <c r="W27" s="89" t="e">
        <f>IF(AND(AB27&lt;&gt;"",AB27&lt;=60),Y27*#REF!,"")</f>
        <v>#REF!</v>
      </c>
      <c r="X27" s="97" t="e">
        <f>IF(AND(AB27&lt;&gt;"",AB27&lt;=70),Y27*(1+#REF!),"")</f>
        <v>#REF!</v>
      </c>
      <c r="Y27" s="97" t="e">
        <f>IF(AB27&lt;&gt;"",(1+#REF!)*Y26,"")</f>
        <v>#REF!</v>
      </c>
      <c r="Z27" s="83">
        <v>0</v>
      </c>
      <c r="AA27" s="98" t="e">
        <f>IF(AC27&lt;&gt;"",#REF!+AC27-1,"")</f>
        <v>#REF!</v>
      </c>
      <c r="AB27" s="98" t="e">
        <f>IF(AC27&lt;&gt;"",#REF!+AC27-1,"")</f>
        <v>#REF!</v>
      </c>
      <c r="AC27" s="98" t="e">
        <f>IF(AC26&lt;&gt;"",IF(AC26+1&lt;=#REF!,AC26+1,""),"")</f>
        <v>#REF!</v>
      </c>
      <c r="AD27" s="91"/>
      <c r="AE27" s="91"/>
    </row>
    <row r="28" spans="1:31" ht="17.25" x14ac:dyDescent="0.25">
      <c r="A28" s="92">
        <v>0</v>
      </c>
      <c r="B28" s="92" t="e">
        <f>IF(AB28&lt;&gt;"",E28+E28*(IF(AC28&gt;4,0.1,LOOKUP(#REF!,Rates!$D$2:$D$4,Rates!$C$2:$C$4))+0.85*(#REF!-(IF(AC28&gt;4,0.1,LOOKUP(#REF!,Rates!$D$2:$D$4,Rates!$C$2:$C$4)))))*LOOKUP(#REF!,Rates!$I$2:$I$7,Rates!$G$2:$G$7)+B27*(1+IF(AC28&gt;4,0.1,LOOKUP(#REF!,Rates!$D$2:$D$4,Rates!$C$2:$C$4))+0.85*(#REF!-IF(AC28&gt;4,0.1,LOOKUP(#REF!,Rates!$D$2:$D$4,Rates!$C$2:$C$4)))),"")</f>
        <v>#REF!</v>
      </c>
      <c r="C28" s="93" t="e">
        <f t="shared" si="7"/>
        <v>#REF!</v>
      </c>
      <c r="D28" s="94" t="e">
        <f>IF(AB28&lt;&gt;"",E28*(1+IF(AC28&gt;4,0.1,LOOKUP(#REF!,Rates!$D$2:$D$5,Rates!$B$2:$B$5))*LOOKUP(#REF!,Rates!$I$2:$I$7,Rates!$G$2:$G$7))+D27*(1+IF(AC28&gt;4,0.1,LOOKUP(#REF!,Rates!$D$2:$D$5,Rates!$B$2:$B$5))),"")</f>
        <v>#REF!</v>
      </c>
      <c r="E28" s="84" t="e">
        <f>IF(AB28&lt;&gt;"",IF(#REF!="بله",IF(AND(AC28&lt;=#REF!,AC28&gt;=#REF!),#REF!,0)+(Z28-S28-I28-H28-G28-F28-L28),IF(AND(AC28&lt;=#REF!,AC28&gt;=#REF!),#REF!,0)+(Z28-S28-I28-H28-G28-F28)),"")</f>
        <v>#REF!</v>
      </c>
      <c r="F28" s="84" t="e">
        <f t="shared" si="0"/>
        <v>#REF!</v>
      </c>
      <c r="G28" s="84" t="e">
        <f t="shared" si="1"/>
        <v>#REF!</v>
      </c>
      <c r="H28" s="86" t="e">
        <f t="shared" si="2"/>
        <v>#REF!</v>
      </c>
      <c r="I28" s="93">
        <v>0</v>
      </c>
      <c r="J28" s="93" t="e">
        <f t="shared" si="5"/>
        <v>#REF!</v>
      </c>
      <c r="K28" s="84" t="e">
        <f>IF(U28&lt;&gt;"",#REF!*U28,"")</f>
        <v>#REF!</v>
      </c>
      <c r="L28" s="95" t="e">
        <f t="shared" si="3"/>
        <v>#REF!</v>
      </c>
      <c r="M28" s="96">
        <f t="shared" si="4"/>
        <v>0</v>
      </c>
      <c r="N28" s="96">
        <v>0</v>
      </c>
      <c r="O28" s="96" t="e">
        <f>IF(Z28&lt;&gt;"",0.02*Z28*(1-#REF!),"")</f>
        <v>#REF!</v>
      </c>
      <c r="P28" s="95" t="e">
        <f>IF(AND(AB28&lt;=70,W28&lt;&gt;""),(1-#REF!)*((W28*0.0008*(1+(LOOKUP(#REF!,Rates!$O:$O,Rates!$M:$M)/100)))+((Y28*0.0008*#REF!))*(1+(LOOKUP(#REF!,Rates!$O:$O,Rates!$N:$N)/100))),"")</f>
        <v>#REF!</v>
      </c>
      <c r="Q28" s="88" t="e">
        <f>IF(AB28&lt;=60,(LOOKUP(AB28,Rates!$U:$U,Rates!#REF!))*V28/1000000*(1+#REF!)*(1-#REF!),"")</f>
        <v>#REF!</v>
      </c>
      <c r="R28" s="83" t="e">
        <f>IF(AND(Z28&lt;&gt;"",Q28&lt;&gt;"",P28&lt;&gt;""),IF(#REF!="بله",(Z28-Q28-P28),Z28),"")</f>
        <v>#REF!</v>
      </c>
      <c r="S28" s="84">
        <v>0</v>
      </c>
      <c r="T28" s="84" t="e">
        <f t="shared" si="6"/>
        <v>#REF!</v>
      </c>
      <c r="U28" s="84" t="e">
        <f>IF(AB28&lt;&gt;"",(Y28*LOOKUP(AB28,Rates!$U:$U,Rates!$T:$T))/SQRT(1.1),"")</f>
        <v>#REF!</v>
      </c>
      <c r="V28" s="97" t="e">
        <f>IF(AND(AB28&lt;&gt;"",AB28&lt;=60),IF(V27*(1+#REF!)&lt;300000000,V27*(1+#REF!),300000000),"")</f>
        <v>#REF!</v>
      </c>
      <c r="W28" s="89" t="e">
        <f>IF(AND(AB28&lt;&gt;"",AB28&lt;=60),Y28*#REF!,"")</f>
        <v>#REF!</v>
      </c>
      <c r="X28" s="97" t="e">
        <f>IF(AND(AB28&lt;&gt;"",AB28&lt;=70),Y28*(1+#REF!),"")</f>
        <v>#REF!</v>
      </c>
      <c r="Y28" s="97" t="e">
        <f>IF(AB28&lt;&gt;"",(1+#REF!)*Y27,"")</f>
        <v>#REF!</v>
      </c>
      <c r="Z28" s="83">
        <v>0</v>
      </c>
      <c r="AA28" s="98" t="e">
        <f>IF(AC28&lt;&gt;"",#REF!+AC28-1,"")</f>
        <v>#REF!</v>
      </c>
      <c r="AB28" s="98" t="e">
        <f>IF(AC28&lt;&gt;"",#REF!+AC28-1,"")</f>
        <v>#REF!</v>
      </c>
      <c r="AC28" s="98" t="e">
        <f>IF(AC27&lt;&gt;"",IF(AC27+1&lt;=#REF!,AC27+1,""),"")</f>
        <v>#REF!</v>
      </c>
      <c r="AD28" s="91"/>
      <c r="AE28" s="91"/>
    </row>
    <row r="29" spans="1:31" ht="17.25" x14ac:dyDescent="0.25">
      <c r="A29" s="92">
        <v>0</v>
      </c>
      <c r="B29" s="92" t="e">
        <f>IF(AB29&lt;&gt;"",E29+E29*(IF(AC29&gt;4,0.1,LOOKUP(#REF!,Rates!$D$2:$D$4,Rates!$C$2:$C$4))+0.85*(#REF!-(IF(AC29&gt;4,0.1,LOOKUP(#REF!,Rates!$D$2:$D$4,Rates!$C$2:$C$4)))))*LOOKUP(#REF!,Rates!$I$2:$I$7,Rates!$G$2:$G$7)+B28*(1+IF(AC29&gt;4,0.1,LOOKUP(#REF!,Rates!$D$2:$D$4,Rates!$C$2:$C$4))+0.85*(#REF!-IF(AC29&gt;4,0.1,LOOKUP(#REF!,Rates!$D$2:$D$4,Rates!$C$2:$C$4)))),"")</f>
        <v>#REF!</v>
      </c>
      <c r="C29" s="93" t="e">
        <f t="shared" si="7"/>
        <v>#REF!</v>
      </c>
      <c r="D29" s="94" t="e">
        <f>IF(AB29&lt;&gt;"",E29*(1+IF(AC29&gt;4,0.1,LOOKUP(#REF!,Rates!$D$2:$D$5,Rates!$B$2:$B$5))*LOOKUP(#REF!,Rates!$I$2:$I$7,Rates!$G$2:$G$7))+D28*(1+IF(AC29&gt;4,0.1,LOOKUP(#REF!,Rates!$D$2:$D$5,Rates!$B$2:$B$5))),"")</f>
        <v>#REF!</v>
      </c>
      <c r="E29" s="84" t="e">
        <f>IF(AB29&lt;&gt;"",IF(#REF!="بله",IF(AND(AC29&lt;=#REF!,AC29&gt;=#REF!),#REF!,0)+(Z29-S29-I29-H29-G29-F29-L29),IF(AND(AC29&lt;=#REF!,AC29&gt;=#REF!),#REF!,0)+(Z29-S29-I29-H29-G29-F29)),"")</f>
        <v>#REF!</v>
      </c>
      <c r="F29" s="84" t="e">
        <f t="shared" si="0"/>
        <v>#REF!</v>
      </c>
      <c r="G29" s="84" t="e">
        <f t="shared" si="1"/>
        <v>#REF!</v>
      </c>
      <c r="H29" s="86" t="e">
        <f t="shared" si="2"/>
        <v>#REF!</v>
      </c>
      <c r="I29" s="93">
        <v>0</v>
      </c>
      <c r="J29" s="93" t="e">
        <f t="shared" si="5"/>
        <v>#REF!</v>
      </c>
      <c r="K29" s="84" t="e">
        <f>IF(U29&lt;&gt;"",#REF!*U29,"")</f>
        <v>#REF!</v>
      </c>
      <c r="L29" s="95" t="e">
        <f t="shared" si="3"/>
        <v>#REF!</v>
      </c>
      <c r="M29" s="96">
        <f t="shared" si="4"/>
        <v>0</v>
      </c>
      <c r="N29" s="96">
        <v>0</v>
      </c>
      <c r="O29" s="96" t="e">
        <f>IF(Z29&lt;&gt;"",0.02*Z29*(1-#REF!),"")</f>
        <v>#REF!</v>
      </c>
      <c r="P29" s="95" t="e">
        <f>IF(AND(AB29&lt;=70,W29&lt;&gt;""),(1-#REF!)*((W29*0.0008*(1+(LOOKUP(#REF!,Rates!$O:$O,Rates!$M:$M)/100)))+((Y29*0.0008*#REF!))*(1+(LOOKUP(#REF!,Rates!$O:$O,Rates!$N:$N)/100))),"")</f>
        <v>#REF!</v>
      </c>
      <c r="Q29" s="88" t="e">
        <f>IF(AB29&lt;=60,(LOOKUP(AB29,Rates!$U:$U,Rates!#REF!))*V29/1000000*(1+#REF!)*(1-#REF!),"")</f>
        <v>#REF!</v>
      </c>
      <c r="R29" s="83" t="e">
        <f>IF(AND(Z29&lt;&gt;"",Q29&lt;&gt;"",P29&lt;&gt;""),IF(#REF!="بله",(Z29-Q29-P29),Z29),"")</f>
        <v>#REF!</v>
      </c>
      <c r="S29" s="84">
        <v>0</v>
      </c>
      <c r="T29" s="84" t="e">
        <f t="shared" si="6"/>
        <v>#REF!</v>
      </c>
      <c r="U29" s="84" t="e">
        <f>IF(AB29&lt;&gt;"",(Y29*LOOKUP(AB29,Rates!$U:$U,Rates!$T:$T))/SQRT(1.1),"")</f>
        <v>#REF!</v>
      </c>
      <c r="V29" s="97" t="e">
        <f>IF(AND(AB29&lt;&gt;"",AB29&lt;=60),IF(V28*(1+#REF!)&lt;300000000,V28*(1+#REF!),300000000),"")</f>
        <v>#REF!</v>
      </c>
      <c r="W29" s="89" t="e">
        <f>IF(AND(AB29&lt;&gt;"",AB29&lt;=60),Y29*#REF!,"")</f>
        <v>#REF!</v>
      </c>
      <c r="X29" s="97" t="e">
        <f>IF(AND(AB29&lt;&gt;"",AB29&lt;=70),Y29*(1+#REF!),"")</f>
        <v>#REF!</v>
      </c>
      <c r="Y29" s="97" t="e">
        <f>IF(AB29&lt;&gt;"",(1+#REF!)*Y28,"")</f>
        <v>#REF!</v>
      </c>
      <c r="Z29" s="83">
        <v>0</v>
      </c>
      <c r="AA29" s="98" t="e">
        <f>IF(AC29&lt;&gt;"",#REF!+AC29-1,"")</f>
        <v>#REF!</v>
      </c>
      <c r="AB29" s="98" t="e">
        <f>IF(AC29&lt;&gt;"",#REF!+AC29-1,"")</f>
        <v>#REF!</v>
      </c>
      <c r="AC29" s="98" t="e">
        <f>IF(AC28&lt;&gt;"",IF(AC28+1&lt;=#REF!,AC28+1,""),"")</f>
        <v>#REF!</v>
      </c>
      <c r="AD29" s="91"/>
      <c r="AE29" s="91"/>
    </row>
    <row r="30" spans="1:31" ht="17.25" x14ac:dyDescent="0.25">
      <c r="A30" s="92">
        <v>0</v>
      </c>
      <c r="B30" s="92" t="e">
        <f>IF(AB30&lt;&gt;"",E30+E30*(IF(AC30&gt;4,0.1,LOOKUP(#REF!,Rates!$D$2:$D$4,Rates!$C$2:$C$4))+0.85*(#REF!-(IF(AC30&gt;4,0.1,LOOKUP(#REF!,Rates!$D$2:$D$4,Rates!$C$2:$C$4)))))*LOOKUP(#REF!,Rates!$I$2:$I$7,Rates!$G$2:$G$7)+B29*(1+IF(AC30&gt;4,0.1,LOOKUP(#REF!,Rates!$D$2:$D$4,Rates!$C$2:$C$4))+0.85*(#REF!-IF(AC30&gt;4,0.1,LOOKUP(#REF!,Rates!$D$2:$D$4,Rates!$C$2:$C$4)))),"")</f>
        <v>#REF!</v>
      </c>
      <c r="C30" s="93" t="e">
        <f t="shared" si="7"/>
        <v>#REF!</v>
      </c>
      <c r="D30" s="94" t="e">
        <f>IF(AB30&lt;&gt;"",E30*(1+IF(AC30&gt;4,0.1,LOOKUP(#REF!,Rates!$D$2:$D$5,Rates!$B$2:$B$5))*LOOKUP(#REF!,Rates!$I$2:$I$7,Rates!$G$2:$G$7))+D29*(1+IF(AC30&gt;4,0.1,LOOKUP(#REF!,Rates!$D$2:$D$5,Rates!$B$2:$B$5))),"")</f>
        <v>#REF!</v>
      </c>
      <c r="E30" s="84" t="e">
        <f>IF(AB30&lt;&gt;"",IF(#REF!="بله",IF(AND(AC30&lt;=#REF!,AC30&gt;=#REF!),#REF!,0)+(Z30-S30-I30-H30-G30-F30-L30),IF(AND(AC30&lt;=#REF!,AC30&gt;=#REF!),#REF!,0)+(Z30-S30-I30-H30-G30-F30)),"")</f>
        <v>#REF!</v>
      </c>
      <c r="F30" s="84" t="e">
        <f t="shared" si="0"/>
        <v>#REF!</v>
      </c>
      <c r="G30" s="84" t="e">
        <f t="shared" si="1"/>
        <v>#REF!</v>
      </c>
      <c r="H30" s="86" t="e">
        <f t="shared" si="2"/>
        <v>#REF!</v>
      </c>
      <c r="I30" s="93">
        <v>0</v>
      </c>
      <c r="J30" s="93" t="e">
        <f t="shared" si="5"/>
        <v>#REF!</v>
      </c>
      <c r="K30" s="84" t="e">
        <f>IF(U30&lt;&gt;"",#REF!*U30,"")</f>
        <v>#REF!</v>
      </c>
      <c r="L30" s="95" t="e">
        <f t="shared" si="3"/>
        <v>#REF!</v>
      </c>
      <c r="M30" s="96">
        <f t="shared" si="4"/>
        <v>0</v>
      </c>
      <c r="N30" s="96">
        <v>0</v>
      </c>
      <c r="O30" s="96" t="e">
        <f>IF(Z30&lt;&gt;"",0.02*Z30*(1-#REF!),"")</f>
        <v>#REF!</v>
      </c>
      <c r="P30" s="95" t="e">
        <f>IF(AND(AB30&lt;=70,W30&lt;&gt;""),(1-#REF!)*((W30*0.0008*(1+(LOOKUP(#REF!,Rates!$O:$O,Rates!$M:$M)/100)))+((Y30*0.0008*#REF!))*(1+(LOOKUP(#REF!,Rates!$O:$O,Rates!$N:$N)/100))),"")</f>
        <v>#REF!</v>
      </c>
      <c r="Q30" s="88" t="e">
        <f>IF(AB30&lt;=60,(LOOKUP(AB30,Rates!$U:$U,Rates!#REF!))*V30/1000000*(1+#REF!)*(1-#REF!),"")</f>
        <v>#REF!</v>
      </c>
      <c r="R30" s="83" t="e">
        <f>IF(AND(Z30&lt;&gt;"",Q30&lt;&gt;"",P30&lt;&gt;""),IF(#REF!="بله",(Z30-Q30-P30),Z30),"")</f>
        <v>#REF!</v>
      </c>
      <c r="S30" s="84">
        <v>0</v>
      </c>
      <c r="T30" s="84" t="e">
        <f t="shared" si="6"/>
        <v>#REF!</v>
      </c>
      <c r="U30" s="84" t="e">
        <f>IF(AB30&lt;&gt;"",(Y30*LOOKUP(AB30,Rates!$U:$U,Rates!$T:$T))/SQRT(1.1),"")</f>
        <v>#REF!</v>
      </c>
      <c r="V30" s="97" t="e">
        <f>IF(AND(AB30&lt;&gt;"",AB30&lt;=60),IF(V29*(1+#REF!)&lt;300000000,V29*(1+#REF!),300000000),"")</f>
        <v>#REF!</v>
      </c>
      <c r="W30" s="89" t="e">
        <f>IF(AND(AB30&lt;&gt;"",AB30&lt;=60),Y30*#REF!,"")</f>
        <v>#REF!</v>
      </c>
      <c r="X30" s="97" t="e">
        <f>IF(AND(AB30&lt;&gt;"",AB30&lt;=70),Y30*(1+#REF!),"")</f>
        <v>#REF!</v>
      </c>
      <c r="Y30" s="97" t="e">
        <f>IF(AB30&lt;&gt;"",(1+#REF!)*Y29,"")</f>
        <v>#REF!</v>
      </c>
      <c r="Z30" s="83">
        <v>0</v>
      </c>
      <c r="AA30" s="98" t="e">
        <f>IF(AC30&lt;&gt;"",#REF!+AC30-1,"")</f>
        <v>#REF!</v>
      </c>
      <c r="AB30" s="98" t="e">
        <f>IF(AC30&lt;&gt;"",#REF!+AC30-1,"")</f>
        <v>#REF!</v>
      </c>
      <c r="AC30" s="98" t="e">
        <f>IF(AC29&lt;&gt;"",IF(AC29+1&lt;=#REF!,AC29+1,""),"")</f>
        <v>#REF!</v>
      </c>
      <c r="AD30" s="91"/>
      <c r="AE30" s="91"/>
    </row>
    <row r="31" spans="1:31" ht="17.25" x14ac:dyDescent="0.25">
      <c r="A31" s="92">
        <v>0</v>
      </c>
      <c r="B31" s="92" t="e">
        <f>IF(AB31&lt;&gt;"",E31+E31*(IF(AC31&gt;4,0.1,LOOKUP(#REF!,Rates!$D$2:$D$4,Rates!$C$2:$C$4))+0.85*(#REF!-(IF(AC31&gt;4,0.1,LOOKUP(#REF!,Rates!$D$2:$D$4,Rates!$C$2:$C$4)))))*LOOKUP(#REF!,Rates!$I$2:$I$7,Rates!$G$2:$G$7)+B30*(1+IF(AC31&gt;4,0.1,LOOKUP(#REF!,Rates!$D$2:$D$4,Rates!$C$2:$C$4))+0.85*(#REF!-IF(AC31&gt;4,0.1,LOOKUP(#REF!,Rates!$D$2:$D$4,Rates!$C$2:$C$4)))),"")</f>
        <v>#REF!</v>
      </c>
      <c r="C31" s="93" t="e">
        <f t="shared" si="7"/>
        <v>#REF!</v>
      </c>
      <c r="D31" s="94" t="e">
        <f>IF(AB31&lt;&gt;"",E31*(1+IF(AC31&gt;4,0.1,LOOKUP(#REF!,Rates!$D$2:$D$5,Rates!$B$2:$B$5))*LOOKUP(#REF!,Rates!$I$2:$I$7,Rates!$G$2:$G$7))+D30*(1+IF(AC31&gt;4,0.1,LOOKUP(#REF!,Rates!$D$2:$D$5,Rates!$B$2:$B$5))),"")</f>
        <v>#REF!</v>
      </c>
      <c r="E31" s="84" t="e">
        <f>IF(AB31&lt;&gt;"",IF(#REF!="بله",IF(AND(AC31&lt;=#REF!,AC31&gt;=#REF!),#REF!,0)+(Z31-S31-I31-H31-G31-F31-L31),IF(AND(AC31&lt;=#REF!,AC31&gt;=#REF!),#REF!,0)+(Z31-S31-I31-H31-G31-F31)),"")</f>
        <v>#REF!</v>
      </c>
      <c r="F31" s="84" t="e">
        <f t="shared" si="0"/>
        <v>#REF!</v>
      </c>
      <c r="G31" s="84" t="e">
        <f t="shared" si="1"/>
        <v>#REF!</v>
      </c>
      <c r="H31" s="86" t="e">
        <f t="shared" si="2"/>
        <v>#REF!</v>
      </c>
      <c r="I31" s="93">
        <v>0</v>
      </c>
      <c r="J31" s="93" t="e">
        <f t="shared" si="5"/>
        <v>#REF!</v>
      </c>
      <c r="K31" s="84" t="e">
        <f>IF(U31&lt;&gt;"",#REF!*U31,"")</f>
        <v>#REF!</v>
      </c>
      <c r="L31" s="95" t="e">
        <f t="shared" si="3"/>
        <v>#REF!</v>
      </c>
      <c r="M31" s="96">
        <f t="shared" si="4"/>
        <v>0</v>
      </c>
      <c r="N31" s="96">
        <v>0</v>
      </c>
      <c r="O31" s="96" t="e">
        <f>IF(Z31&lt;&gt;"",0.02*Z31*(1-#REF!),"")</f>
        <v>#REF!</v>
      </c>
      <c r="P31" s="95" t="e">
        <f>IF(AND(AB31&lt;=70,W31&lt;&gt;""),(1-#REF!)*((W31*0.0008*(1+(LOOKUP(#REF!,Rates!$O:$O,Rates!$M:$M)/100)))+((Y31*0.0008*#REF!))*(1+(LOOKUP(#REF!,Rates!$O:$O,Rates!$N:$N)/100))),"")</f>
        <v>#REF!</v>
      </c>
      <c r="Q31" s="88" t="e">
        <f>IF(AB31&lt;=60,(LOOKUP(AB31,Rates!$U:$U,Rates!#REF!))*V31/1000000*(1+#REF!)*(1-#REF!),"")</f>
        <v>#REF!</v>
      </c>
      <c r="R31" s="83" t="e">
        <f>IF(AND(Z31&lt;&gt;"",Q31&lt;&gt;"",P31&lt;&gt;""),IF(#REF!="بله",(Z31-Q31-P31),Z31),"")</f>
        <v>#REF!</v>
      </c>
      <c r="S31" s="84">
        <v>0</v>
      </c>
      <c r="T31" s="84" t="e">
        <f t="shared" si="6"/>
        <v>#REF!</v>
      </c>
      <c r="U31" s="84" t="e">
        <f>IF(AB31&lt;&gt;"",(Y31*LOOKUP(AB31,Rates!$U:$U,Rates!$T:$T))/SQRT(1.1),"")</f>
        <v>#REF!</v>
      </c>
      <c r="V31" s="97" t="e">
        <f>IF(AND(AB31&lt;&gt;"",AB31&lt;=60),IF(V30*(1+#REF!)&lt;300000000,V30*(1+#REF!),300000000),"")</f>
        <v>#REF!</v>
      </c>
      <c r="W31" s="89" t="e">
        <f>IF(AND(AB31&lt;&gt;"",AB31&lt;=60),Y31*#REF!,"")</f>
        <v>#REF!</v>
      </c>
      <c r="X31" s="97" t="e">
        <f>IF(AND(AB31&lt;&gt;"",AB31&lt;=70),Y31*(1+#REF!),"")</f>
        <v>#REF!</v>
      </c>
      <c r="Y31" s="97" t="e">
        <f>IF(AB31&lt;&gt;"",(1+#REF!)*Y30,"")</f>
        <v>#REF!</v>
      </c>
      <c r="Z31" s="83">
        <v>0</v>
      </c>
      <c r="AA31" s="98" t="e">
        <f>IF(AC31&lt;&gt;"",#REF!+AC31-1,"")</f>
        <v>#REF!</v>
      </c>
      <c r="AB31" s="98" t="e">
        <f>IF(AC31&lt;&gt;"",#REF!+AC31-1,"")</f>
        <v>#REF!</v>
      </c>
      <c r="AC31" s="98" t="e">
        <f>IF(AC30&lt;&gt;"",IF(AC30+1&lt;=#REF!,AC30+1,""),"")</f>
        <v>#REF!</v>
      </c>
      <c r="AD31" s="91"/>
      <c r="AE31" s="91"/>
    </row>
    <row r="32" spans="1:31" ht="17.25" x14ac:dyDescent="0.25">
      <c r="A32" s="92">
        <v>0</v>
      </c>
      <c r="B32" s="92" t="e">
        <f>IF(AB32&lt;&gt;"",E32+E32*(IF(AC32&gt;4,0.1,LOOKUP(#REF!,Rates!$D$2:$D$4,Rates!$C$2:$C$4))+0.85*(#REF!-(IF(AC32&gt;4,0.1,LOOKUP(#REF!,Rates!$D$2:$D$4,Rates!$C$2:$C$4)))))*LOOKUP(#REF!,Rates!$I$2:$I$7,Rates!$G$2:$G$7)+B31*(1+IF(AC32&gt;4,0.1,LOOKUP(#REF!,Rates!$D$2:$D$4,Rates!$C$2:$C$4))+0.85*(#REF!-IF(AC32&gt;4,0.1,LOOKUP(#REF!,Rates!$D$2:$D$4,Rates!$C$2:$C$4)))),"")</f>
        <v>#REF!</v>
      </c>
      <c r="C32" s="93" t="e">
        <f t="shared" si="7"/>
        <v>#REF!</v>
      </c>
      <c r="D32" s="94" t="e">
        <f>IF(AB32&lt;&gt;"",E32*(1+IF(AC32&gt;4,0.1,LOOKUP(#REF!,Rates!$D$2:$D$5,Rates!$B$2:$B$5))*LOOKUP(#REF!,Rates!$I$2:$I$7,Rates!$G$2:$G$7))+D31*(1+IF(AC32&gt;4,0.1,LOOKUP(#REF!,Rates!$D$2:$D$5,Rates!$B$2:$B$5))),"")</f>
        <v>#REF!</v>
      </c>
      <c r="E32" s="84" t="e">
        <f>IF(AB32&lt;&gt;"",IF(#REF!="بله",IF(AND(AC32&lt;=#REF!,AC32&gt;=#REF!),#REF!,0)+(Z32-S32-I32-H32-G32-F32-L32),IF(AND(AC32&lt;=#REF!,AC32&gt;=#REF!),#REF!,0)+(Z32-S32-I32-H32-G32-F32)),"")</f>
        <v>#REF!</v>
      </c>
      <c r="F32" s="84" t="e">
        <f t="shared" si="0"/>
        <v>#REF!</v>
      </c>
      <c r="G32" s="84" t="e">
        <f t="shared" si="1"/>
        <v>#REF!</v>
      </c>
      <c r="H32" s="86" t="e">
        <f t="shared" si="2"/>
        <v>#REF!</v>
      </c>
      <c r="I32" s="93">
        <v>0</v>
      </c>
      <c r="J32" s="93" t="e">
        <f t="shared" si="5"/>
        <v>#REF!</v>
      </c>
      <c r="K32" s="84" t="e">
        <f>IF(U32&lt;&gt;"",#REF!*U32,"")</f>
        <v>#REF!</v>
      </c>
      <c r="L32" s="95" t="e">
        <f t="shared" si="3"/>
        <v>#REF!</v>
      </c>
      <c r="M32" s="96">
        <f t="shared" si="4"/>
        <v>0</v>
      </c>
      <c r="N32" s="96">
        <v>0</v>
      </c>
      <c r="O32" s="96" t="e">
        <f>IF(Z32&lt;&gt;"",0.02*Z32*(1-#REF!),"")</f>
        <v>#REF!</v>
      </c>
      <c r="P32" s="95" t="e">
        <f>IF(AND(AB32&lt;=70,W32&lt;&gt;""),(1-#REF!)*((W32*0.0008*(1+(LOOKUP(#REF!,Rates!$O:$O,Rates!$M:$M)/100)))+((Y32*0.0008*#REF!))*(1+(LOOKUP(#REF!,Rates!$O:$O,Rates!$N:$N)/100))),"")</f>
        <v>#REF!</v>
      </c>
      <c r="Q32" s="88" t="e">
        <f>IF(AB32&lt;=60,(LOOKUP(AB32,Rates!$U:$U,Rates!#REF!))*V32/1000000*(1+#REF!)*(1-#REF!),"")</f>
        <v>#REF!</v>
      </c>
      <c r="R32" s="83" t="e">
        <f>IF(AND(Z32&lt;&gt;"",Q32&lt;&gt;"",P32&lt;&gt;""),IF(#REF!="بله",(Z32-Q32-P32),Z32),"")</f>
        <v>#REF!</v>
      </c>
      <c r="S32" s="84">
        <v>0</v>
      </c>
      <c r="T32" s="84" t="e">
        <f t="shared" si="6"/>
        <v>#REF!</v>
      </c>
      <c r="U32" s="84" t="e">
        <f>IF(AB32&lt;&gt;"",(Y32*LOOKUP(AB32,Rates!$U:$U,Rates!$T:$T))/SQRT(1.1),"")</f>
        <v>#REF!</v>
      </c>
      <c r="V32" s="97" t="e">
        <f>IF(AND(AB32&lt;&gt;"",AB32&lt;=60),IF(V31*(1+#REF!)&lt;300000000,V31*(1+#REF!),300000000),"")</f>
        <v>#REF!</v>
      </c>
      <c r="W32" s="89" t="e">
        <f>IF(AND(AB32&lt;&gt;"",AB32&lt;=60),Y32*#REF!,"")</f>
        <v>#REF!</v>
      </c>
      <c r="X32" s="97" t="e">
        <f>IF(AND(AB32&lt;&gt;"",AB32&lt;=70),Y32*(1+#REF!),"")</f>
        <v>#REF!</v>
      </c>
      <c r="Y32" s="97" t="e">
        <f>IF(AB32&lt;&gt;"",(1+#REF!)*Y31,"")</f>
        <v>#REF!</v>
      </c>
      <c r="Z32" s="83">
        <v>0</v>
      </c>
      <c r="AA32" s="98" t="e">
        <f>IF(AC32&lt;&gt;"",#REF!+AC32-1,"")</f>
        <v>#REF!</v>
      </c>
      <c r="AB32" s="98" t="e">
        <f>IF(AC32&lt;&gt;"",#REF!+AC32-1,"")</f>
        <v>#REF!</v>
      </c>
      <c r="AC32" s="98" t="e">
        <f>IF(AC31&lt;&gt;"",IF(AC31+1&lt;=#REF!,AC31+1,""),"")</f>
        <v>#REF!</v>
      </c>
      <c r="AD32" s="91"/>
      <c r="AE32" s="91"/>
    </row>
    <row r="33" spans="1:31" ht="17.25" x14ac:dyDescent="0.25">
      <c r="A33" s="92">
        <v>0</v>
      </c>
      <c r="B33" s="92" t="e">
        <f>IF(AB33&lt;&gt;"",E33+E33*(IF(AC33&gt;4,0.1,LOOKUP(#REF!,Rates!$D$2:$D$4,Rates!$C$2:$C$4))+0.85*(#REF!-(IF(AC33&gt;4,0.1,LOOKUP(#REF!,Rates!$D$2:$D$4,Rates!$C$2:$C$4)))))*LOOKUP(#REF!,Rates!$I$2:$I$7,Rates!$G$2:$G$7)+B32*(1+IF(AC33&gt;4,0.1,LOOKUP(#REF!,Rates!$D$2:$D$4,Rates!$C$2:$C$4))+0.85*(#REF!-IF(AC33&gt;4,0.1,LOOKUP(#REF!,Rates!$D$2:$D$4,Rates!$C$2:$C$4)))),"")</f>
        <v>#REF!</v>
      </c>
      <c r="C33" s="93" t="e">
        <f t="shared" si="7"/>
        <v>#REF!</v>
      </c>
      <c r="D33" s="94" t="e">
        <f>IF(AB33&lt;&gt;"",E33*(1+IF(AC33&gt;4,0.1,LOOKUP(#REF!,Rates!$D$2:$D$5,Rates!$B$2:$B$5))*LOOKUP(#REF!,Rates!$I$2:$I$7,Rates!$G$2:$G$7))+D32*(1+IF(AC33&gt;4,0.1,LOOKUP(#REF!,Rates!$D$2:$D$5,Rates!$B$2:$B$5))),"")</f>
        <v>#REF!</v>
      </c>
      <c r="E33" s="84" t="e">
        <f>IF(AB33&lt;&gt;"",IF(#REF!="بله",IF(AND(AC33&lt;=#REF!,AC33&gt;=#REF!),#REF!,0)+(Z33-S33-I33-H33-G33-F33-L33),IF(AND(AC33&lt;=#REF!,AC33&gt;=#REF!),#REF!,0)+(Z33-S33-I33-H33-G33-F33)),"")</f>
        <v>#REF!</v>
      </c>
      <c r="F33" s="84" t="e">
        <f t="shared" si="0"/>
        <v>#REF!</v>
      </c>
      <c r="G33" s="84" t="e">
        <f t="shared" si="1"/>
        <v>#REF!</v>
      </c>
      <c r="H33" s="86" t="e">
        <f t="shared" si="2"/>
        <v>#REF!</v>
      </c>
      <c r="I33" s="93">
        <v>0</v>
      </c>
      <c r="J33" s="93" t="e">
        <f t="shared" si="5"/>
        <v>#REF!</v>
      </c>
      <c r="K33" s="84" t="e">
        <f>IF(U33&lt;&gt;"",#REF!*U33,"")</f>
        <v>#REF!</v>
      </c>
      <c r="L33" s="95" t="e">
        <f t="shared" si="3"/>
        <v>#REF!</v>
      </c>
      <c r="M33" s="96">
        <f t="shared" si="4"/>
        <v>0</v>
      </c>
      <c r="N33" s="96">
        <v>0</v>
      </c>
      <c r="O33" s="96" t="e">
        <f>IF(Z33&lt;&gt;"",0.02*Z33*(1-#REF!),"")</f>
        <v>#REF!</v>
      </c>
      <c r="P33" s="95" t="e">
        <f>IF(AND(AB33&lt;=70,W33&lt;&gt;""),(1-#REF!)*((W33*0.0008*(1+(LOOKUP(#REF!,Rates!$O:$O,Rates!$M:$M)/100)))+((Y33*0.0008*#REF!))*(1+(LOOKUP(#REF!,Rates!$O:$O,Rates!$N:$N)/100))),"")</f>
        <v>#REF!</v>
      </c>
      <c r="Q33" s="88" t="e">
        <f>IF(AB33&lt;=60,(LOOKUP(AB33,Rates!$U:$U,Rates!#REF!))*V33/1000000*(1+#REF!)*(1-#REF!),"")</f>
        <v>#REF!</v>
      </c>
      <c r="R33" s="83" t="e">
        <f>IF(AND(Z33&lt;&gt;"",Q33&lt;&gt;"",P33&lt;&gt;""),IF(#REF!="بله",(Z33-Q33-P33),Z33),"")</f>
        <v>#REF!</v>
      </c>
      <c r="S33" s="84">
        <v>0</v>
      </c>
      <c r="T33" s="84" t="e">
        <f t="shared" si="6"/>
        <v>#REF!</v>
      </c>
      <c r="U33" s="84" t="e">
        <f>IF(AB33&lt;&gt;"",(Y33*LOOKUP(AB33,Rates!$U:$U,Rates!$T:$T))/SQRT(1.1),"")</f>
        <v>#REF!</v>
      </c>
      <c r="V33" s="97" t="e">
        <f>IF(AND(AB33&lt;&gt;"",AB33&lt;=60),IF(V32*(1+#REF!)&lt;300000000,V32*(1+#REF!),300000000),"")</f>
        <v>#REF!</v>
      </c>
      <c r="W33" s="89" t="e">
        <f>IF(AND(AB33&lt;&gt;"",AB33&lt;=60),Y33*#REF!,"")</f>
        <v>#REF!</v>
      </c>
      <c r="X33" s="97" t="e">
        <f>IF(AND(AB33&lt;&gt;"",AB33&lt;=70),Y33*(1+#REF!),"")</f>
        <v>#REF!</v>
      </c>
      <c r="Y33" s="97" t="e">
        <f>IF(AB33&lt;&gt;"",(1+#REF!)*Y32,"")</f>
        <v>#REF!</v>
      </c>
      <c r="Z33" s="83">
        <v>0</v>
      </c>
      <c r="AA33" s="98" t="e">
        <f>IF(AC33&lt;&gt;"",#REF!+AC33-1,"")</f>
        <v>#REF!</v>
      </c>
      <c r="AB33" s="98" t="e">
        <f>IF(AC33&lt;&gt;"",#REF!+AC33-1,"")</f>
        <v>#REF!</v>
      </c>
      <c r="AC33" s="98" t="e">
        <f>IF(AC32&lt;&gt;"",IF(AC32+1&lt;=#REF!,AC32+1,""),"")</f>
        <v>#REF!</v>
      </c>
      <c r="AD33" s="91"/>
      <c r="AE33" s="91"/>
    </row>
    <row r="34" spans="1:31" ht="17.25" x14ac:dyDescent="0.25">
      <c r="A34" s="92">
        <v>0</v>
      </c>
      <c r="B34" s="92" t="e">
        <f>IF(AB34&lt;&gt;"",E34+E34*(IF(AC34&gt;4,0.1,LOOKUP(#REF!,Rates!$D$2:$D$4,Rates!$C$2:$C$4))+0.85*(#REF!-(IF(AC34&gt;4,0.1,LOOKUP(#REF!,Rates!$D$2:$D$4,Rates!$C$2:$C$4)))))*LOOKUP(#REF!,Rates!$I$2:$I$7,Rates!$G$2:$G$7)+B33*(1+IF(AC34&gt;4,0.1,LOOKUP(#REF!,Rates!$D$2:$D$4,Rates!$C$2:$C$4))+0.85*(#REF!-IF(AC34&gt;4,0.1,LOOKUP(#REF!,Rates!$D$2:$D$4,Rates!$C$2:$C$4)))),"")</f>
        <v>#REF!</v>
      </c>
      <c r="C34" s="93" t="e">
        <f t="shared" si="7"/>
        <v>#REF!</v>
      </c>
      <c r="D34" s="94" t="e">
        <f>IF(AB34&lt;&gt;"",E34*(1+IF(AC34&gt;4,0.1,LOOKUP(#REF!,Rates!$D$2:$D$5,Rates!$B$2:$B$5))*LOOKUP(#REF!,Rates!$I$2:$I$7,Rates!$G$2:$G$7))+D33*(1+IF(AC34&gt;4,0.1,LOOKUP(#REF!,Rates!$D$2:$D$5,Rates!$B$2:$B$5))),"")</f>
        <v>#REF!</v>
      </c>
      <c r="E34" s="84" t="e">
        <f>IF(AB34&lt;&gt;"",IF(#REF!="بله",IF(AND(AC34&lt;=#REF!,AC34&gt;=#REF!),#REF!,0)+(Z34-S34-I34-H34-G34-F34-L34),IF(AND(AC34&lt;=#REF!,AC34&gt;=#REF!),#REF!,0)+(Z34-S34-I34-H34-G34-F34)),"")</f>
        <v>#REF!</v>
      </c>
      <c r="F34" s="84" t="e">
        <f t="shared" si="0"/>
        <v>#REF!</v>
      </c>
      <c r="G34" s="84" t="e">
        <f t="shared" si="1"/>
        <v>#REF!</v>
      </c>
      <c r="H34" s="86" t="e">
        <f t="shared" si="2"/>
        <v>#REF!</v>
      </c>
      <c r="I34" s="93">
        <v>0</v>
      </c>
      <c r="J34" s="93" t="e">
        <f t="shared" ref="J34:J65" si="8">IF(AB34&lt;&gt;"",K34/((1+10/100)^(AC34-1)),"")</f>
        <v>#REF!</v>
      </c>
      <c r="K34" s="84" t="e">
        <f>IF(U34&lt;&gt;"",#REF!*U34,"")</f>
        <v>#REF!</v>
      </c>
      <c r="L34" s="95" t="e">
        <f t="shared" si="3"/>
        <v>#REF!</v>
      </c>
      <c r="M34" s="96">
        <f t="shared" si="4"/>
        <v>0</v>
      </c>
      <c r="N34" s="96">
        <v>0</v>
      </c>
      <c r="O34" s="96" t="e">
        <f>IF(Z34&lt;&gt;"",0.02*Z34*(1-#REF!),"")</f>
        <v>#REF!</v>
      </c>
      <c r="P34" s="95" t="e">
        <f>IF(AND(AB34&lt;=70,W34&lt;&gt;""),(1-#REF!)*((W34*0.0008*(1+(LOOKUP(#REF!,Rates!$O:$O,Rates!$M:$M)/100)))+((Y34*0.0008*#REF!))*(1+(LOOKUP(#REF!,Rates!$O:$O,Rates!$N:$N)/100))),"")</f>
        <v>#REF!</v>
      </c>
      <c r="Q34" s="88" t="e">
        <f>IF(AB34&lt;=60,(LOOKUP(AB34,Rates!$U:$U,Rates!#REF!))*V34/1000000*(1+#REF!)*(1-#REF!),"")</f>
        <v>#REF!</v>
      </c>
      <c r="R34" s="83" t="e">
        <f>IF(AND(Z34&lt;&gt;"",Q34&lt;&gt;"",P34&lt;&gt;""),IF(#REF!="بله",(Z34-Q34-P34),Z34),"")</f>
        <v>#REF!</v>
      </c>
      <c r="S34" s="84">
        <v>0</v>
      </c>
      <c r="T34" s="84" t="e">
        <f t="shared" si="6"/>
        <v>#REF!</v>
      </c>
      <c r="U34" s="84" t="e">
        <f>IF(AB34&lt;&gt;"",(Y34*LOOKUP(AB34,Rates!$U:$U,Rates!$T:$T))/SQRT(1.1),"")</f>
        <v>#REF!</v>
      </c>
      <c r="V34" s="97" t="e">
        <f>IF(AND(AB34&lt;&gt;"",AB34&lt;=60),IF(V33*(1+#REF!)&lt;300000000,V33*(1+#REF!),300000000),"")</f>
        <v>#REF!</v>
      </c>
      <c r="W34" s="89" t="e">
        <f>IF(AND(AB34&lt;&gt;"",AB34&lt;=60),Y34*#REF!,"")</f>
        <v>#REF!</v>
      </c>
      <c r="X34" s="97" t="e">
        <f>IF(AND(AB34&lt;&gt;"",AB34&lt;=70),Y34*(1+#REF!),"")</f>
        <v>#REF!</v>
      </c>
      <c r="Y34" s="97" t="e">
        <f>IF(AB34&lt;&gt;"",(1+#REF!)*Y33,"")</f>
        <v>#REF!</v>
      </c>
      <c r="Z34" s="83">
        <v>0</v>
      </c>
      <c r="AA34" s="98" t="e">
        <f>IF(AC34&lt;&gt;"",#REF!+AC34-1,"")</f>
        <v>#REF!</v>
      </c>
      <c r="AB34" s="98" t="e">
        <f>IF(AC34&lt;&gt;"",#REF!+AC34-1,"")</f>
        <v>#REF!</v>
      </c>
      <c r="AC34" s="98" t="e">
        <f>IF(AC33&lt;&gt;"",IF(AC33+1&lt;=#REF!,AC33+1,""),"")</f>
        <v>#REF!</v>
      </c>
      <c r="AD34" s="91"/>
      <c r="AE34" s="91"/>
    </row>
    <row r="35" spans="1:31" ht="17.25" x14ac:dyDescent="0.25">
      <c r="A35" s="92">
        <v>0</v>
      </c>
      <c r="B35" s="92" t="e">
        <f>IF(AB35&lt;&gt;"",E35+E35*(IF(AC35&gt;4,0.1,LOOKUP(#REF!,Rates!$D$2:$D$4,Rates!$C$2:$C$4))+0.85*(#REF!-(IF(AC35&gt;4,0.1,LOOKUP(#REF!,Rates!$D$2:$D$4,Rates!$C$2:$C$4)))))*LOOKUP(#REF!,Rates!$I$2:$I$7,Rates!$G$2:$G$7)+B34*(1+IF(AC35&gt;4,0.1,LOOKUP(#REF!,Rates!$D$2:$D$4,Rates!$C$2:$C$4))+0.85*(#REF!-IF(AC35&gt;4,0.1,LOOKUP(#REF!,Rates!$D$2:$D$4,Rates!$C$2:$C$4)))),"")</f>
        <v>#REF!</v>
      </c>
      <c r="C35" s="93" t="e">
        <f t="shared" si="7"/>
        <v>#REF!</v>
      </c>
      <c r="D35" s="94" t="e">
        <f>IF(AB35&lt;&gt;"",E35*(1+IF(AC35&gt;4,0.1,LOOKUP(#REF!,Rates!$D$2:$D$5,Rates!$B$2:$B$5))*LOOKUP(#REF!,Rates!$I$2:$I$7,Rates!$G$2:$G$7))+D34*(1+IF(AC35&gt;4,0.1,LOOKUP(#REF!,Rates!$D$2:$D$5,Rates!$B$2:$B$5))),"")</f>
        <v>#REF!</v>
      </c>
      <c r="E35" s="84" t="e">
        <f>IF(AB35&lt;&gt;"",IF(#REF!="بله",IF(AND(AC35&lt;=#REF!,AC35&gt;=#REF!),#REF!,0)+(Z35-S35-I35-H35-G35-F35-L35),IF(AND(AC35&lt;=#REF!,AC35&gt;=#REF!),#REF!,0)+(Z35-S35-I35-H35-G35-F35)),"")</f>
        <v>#REF!</v>
      </c>
      <c r="F35" s="84" t="e">
        <f t="shared" si="0"/>
        <v>#REF!</v>
      </c>
      <c r="G35" s="84" t="e">
        <f t="shared" si="1"/>
        <v>#REF!</v>
      </c>
      <c r="H35" s="86" t="e">
        <f t="shared" si="2"/>
        <v>#REF!</v>
      </c>
      <c r="I35" s="93">
        <v>0</v>
      </c>
      <c r="J35" s="93" t="e">
        <f t="shared" si="8"/>
        <v>#REF!</v>
      </c>
      <c r="K35" s="84" t="e">
        <f>IF(U35&lt;&gt;"",#REF!*U35,"")</f>
        <v>#REF!</v>
      </c>
      <c r="L35" s="95" t="e">
        <f t="shared" si="3"/>
        <v>#REF!</v>
      </c>
      <c r="M35" s="96">
        <f t="shared" si="4"/>
        <v>0</v>
      </c>
      <c r="N35" s="96">
        <v>0</v>
      </c>
      <c r="O35" s="96" t="e">
        <f>IF(Z35&lt;&gt;"",0.02*Z35*(1-#REF!),"")</f>
        <v>#REF!</v>
      </c>
      <c r="P35" s="95" t="e">
        <f>IF(AND(AB35&lt;=70,W35&lt;&gt;""),(1-#REF!)*((W35*0.0008*(1+(LOOKUP(#REF!,Rates!$O:$O,Rates!$M:$M)/100)))+((Y35*0.0008*#REF!))*(1+(LOOKUP(#REF!,Rates!$O:$O,Rates!$N:$N)/100))),"")</f>
        <v>#REF!</v>
      </c>
      <c r="Q35" s="88" t="e">
        <f>IF(AB35&lt;=60,(LOOKUP(AB35,Rates!$U:$U,Rates!#REF!))*V35/1000000*(1+#REF!)*(1-#REF!),"")</f>
        <v>#REF!</v>
      </c>
      <c r="R35" s="83" t="e">
        <f>IF(AND(Z35&lt;&gt;"",Q35&lt;&gt;"",P35&lt;&gt;""),IF(#REF!="بله",(Z35-Q35-P35),Z35),"")</f>
        <v>#REF!</v>
      </c>
      <c r="S35" s="84">
        <v>0</v>
      </c>
      <c r="T35" s="84" t="e">
        <f t="shared" si="6"/>
        <v>#REF!</v>
      </c>
      <c r="U35" s="84" t="e">
        <f>IF(AB35&lt;&gt;"",(Y35*LOOKUP(AB35,Rates!$U:$U,Rates!$T:$T))/SQRT(1.1),"")</f>
        <v>#REF!</v>
      </c>
      <c r="V35" s="97" t="e">
        <f>IF(AND(AB35&lt;&gt;"",AB35&lt;=60),IF(V34*(1+#REF!)&lt;300000000,V34*(1+#REF!),300000000),"")</f>
        <v>#REF!</v>
      </c>
      <c r="W35" s="89" t="e">
        <f>IF(AND(AB35&lt;&gt;"",AB35&lt;=60),Y35*#REF!,"")</f>
        <v>#REF!</v>
      </c>
      <c r="X35" s="97" t="e">
        <f>IF(AND(AB35&lt;&gt;"",AB35&lt;=70),Y35*(1+#REF!),"")</f>
        <v>#REF!</v>
      </c>
      <c r="Y35" s="97" t="e">
        <f>IF(AB35&lt;&gt;"",(1+#REF!)*Y34,"")</f>
        <v>#REF!</v>
      </c>
      <c r="Z35" s="83">
        <v>0</v>
      </c>
      <c r="AA35" s="98" t="e">
        <f>IF(AC35&lt;&gt;"",#REF!+AC35-1,"")</f>
        <v>#REF!</v>
      </c>
      <c r="AB35" s="98" t="e">
        <f>IF(AC35&lt;&gt;"",#REF!+AC35-1,"")</f>
        <v>#REF!</v>
      </c>
      <c r="AC35" s="98" t="e">
        <f>IF(AC34&lt;&gt;"",IF(AC34+1&lt;=#REF!,AC34+1,""),"")</f>
        <v>#REF!</v>
      </c>
      <c r="AD35" s="91"/>
      <c r="AE35" s="91"/>
    </row>
    <row r="36" spans="1:31" ht="17.25" x14ac:dyDescent="0.25">
      <c r="A36" s="92">
        <v>0</v>
      </c>
      <c r="B36" s="92" t="e">
        <f>IF(AB36&lt;&gt;"",E36+E36*(IF(AC36&gt;4,0.1,LOOKUP(#REF!,Rates!$D$2:$D$4,Rates!$C$2:$C$4))+0.85*(#REF!-(IF(AC36&gt;4,0.1,LOOKUP(#REF!,Rates!$D$2:$D$4,Rates!$C$2:$C$4)))))*LOOKUP(#REF!,Rates!$I$2:$I$7,Rates!$G$2:$G$7)+B35*(1+IF(AC36&gt;4,0.1,LOOKUP(#REF!,Rates!$D$2:$D$4,Rates!$C$2:$C$4))+0.85*(#REF!-IF(AC36&gt;4,0.1,LOOKUP(#REF!,Rates!$D$2:$D$4,Rates!$C$2:$C$4)))),"")</f>
        <v>#REF!</v>
      </c>
      <c r="C36" s="93" t="e">
        <f t="shared" si="7"/>
        <v>#REF!</v>
      </c>
      <c r="D36" s="94" t="e">
        <f>IF(AB36&lt;&gt;"",E36*(1+IF(AC36&gt;4,0.1,LOOKUP(#REF!,Rates!$D$2:$D$5,Rates!$B$2:$B$5))*LOOKUP(#REF!,Rates!$I$2:$I$7,Rates!$G$2:$G$7))+D35*(1+IF(AC36&gt;4,0.1,LOOKUP(#REF!,Rates!$D$2:$D$5,Rates!$B$2:$B$5))),"")</f>
        <v>#REF!</v>
      </c>
      <c r="E36" s="84" t="e">
        <f>IF(AB36&lt;&gt;"",IF(#REF!="بله",IF(AND(AC36&lt;=#REF!,AC36&gt;=#REF!),#REF!,0)+(Z36-S36-I36-H36-G36-F36-L36),IF(AND(AC36&lt;=#REF!,AC36&gt;=#REF!),#REF!,0)+(Z36-S36-I36-H36-G36-F36)),"")</f>
        <v>#REF!</v>
      </c>
      <c r="F36" s="84" t="e">
        <f t="shared" si="0"/>
        <v>#REF!</v>
      </c>
      <c r="G36" s="84" t="e">
        <f t="shared" si="1"/>
        <v>#REF!</v>
      </c>
      <c r="H36" s="86" t="e">
        <f t="shared" si="2"/>
        <v>#REF!</v>
      </c>
      <c r="I36" s="93">
        <v>0</v>
      </c>
      <c r="J36" s="93" t="e">
        <f t="shared" si="8"/>
        <v>#REF!</v>
      </c>
      <c r="K36" s="84" t="e">
        <f>IF(U36&lt;&gt;"",#REF!*U36,"")</f>
        <v>#REF!</v>
      </c>
      <c r="L36" s="95" t="e">
        <f t="shared" si="3"/>
        <v>#REF!</v>
      </c>
      <c r="M36" s="96">
        <f t="shared" si="4"/>
        <v>0</v>
      </c>
      <c r="N36" s="96">
        <v>0</v>
      </c>
      <c r="O36" s="96" t="e">
        <f>IF(Z36&lt;&gt;"",0.02*Z36*(1-#REF!),"")</f>
        <v>#REF!</v>
      </c>
      <c r="P36" s="95" t="e">
        <f>IF(AND(AB36&lt;=70,W36&lt;&gt;""),(1-#REF!)*((W36*0.0008*(1+(LOOKUP(#REF!,Rates!$O:$O,Rates!$M:$M)/100)))+((Y36*0.0008*#REF!))*(1+(LOOKUP(#REF!,Rates!$O:$O,Rates!$N:$N)/100))),"")</f>
        <v>#REF!</v>
      </c>
      <c r="Q36" s="88" t="e">
        <f>IF(AB36&lt;=60,(LOOKUP(AB36,Rates!$U:$U,Rates!#REF!))*V36/1000000*(1+#REF!)*(1-#REF!),"")</f>
        <v>#REF!</v>
      </c>
      <c r="R36" s="83" t="e">
        <f>IF(AND(Z36&lt;&gt;"",Q36&lt;&gt;"",P36&lt;&gt;""),IF(#REF!="بله",(Z36-Q36-P36),Z36),"")</f>
        <v>#REF!</v>
      </c>
      <c r="S36" s="84">
        <v>0</v>
      </c>
      <c r="T36" s="84" t="e">
        <f t="shared" si="6"/>
        <v>#REF!</v>
      </c>
      <c r="U36" s="84" t="e">
        <f>IF(AB36&lt;&gt;"",(Y36*LOOKUP(AB36,Rates!$U:$U,Rates!$T:$T))/SQRT(1.1),"")</f>
        <v>#REF!</v>
      </c>
      <c r="V36" s="97" t="e">
        <f>IF(AND(AB36&lt;&gt;"",AB36&lt;=60),IF(V35*(1+#REF!)&lt;300000000,V35*(1+#REF!),300000000),"")</f>
        <v>#REF!</v>
      </c>
      <c r="W36" s="89" t="e">
        <f>IF(AND(AB36&lt;&gt;"",AB36&lt;=60),Y36*#REF!,"")</f>
        <v>#REF!</v>
      </c>
      <c r="X36" s="97" t="e">
        <f>IF(AND(AB36&lt;&gt;"",AB36&lt;=70),Y36*(1+#REF!),"")</f>
        <v>#REF!</v>
      </c>
      <c r="Y36" s="97" t="e">
        <f>IF(AB36&lt;&gt;"",(1+#REF!)*Y35,"")</f>
        <v>#REF!</v>
      </c>
      <c r="Z36" s="83">
        <v>0</v>
      </c>
      <c r="AA36" s="98" t="e">
        <f>IF(AC36&lt;&gt;"",#REF!+AC36-1,"")</f>
        <v>#REF!</v>
      </c>
      <c r="AB36" s="98" t="e">
        <f>IF(AC36&lt;&gt;"",#REF!+AC36-1,"")</f>
        <v>#REF!</v>
      </c>
      <c r="AC36" s="98" t="e">
        <f>IF(AC35&lt;&gt;"",IF(AC35+1&lt;=#REF!,AC35+1,""),"")</f>
        <v>#REF!</v>
      </c>
      <c r="AD36" s="91"/>
      <c r="AE36" s="91"/>
    </row>
    <row r="37" spans="1:31" ht="17.25" x14ac:dyDescent="0.25">
      <c r="A37" s="92">
        <v>0</v>
      </c>
      <c r="B37" s="92" t="e">
        <f>IF(AB37&lt;&gt;"",E37+E37*(IF(AC37&gt;4,0.1,LOOKUP(#REF!,Rates!$D$2:$D$4,Rates!$C$2:$C$4))+0.85*(#REF!-(IF(AC37&gt;4,0.1,LOOKUP(#REF!,Rates!$D$2:$D$4,Rates!$C$2:$C$4)))))*LOOKUP(#REF!,Rates!$I$2:$I$7,Rates!$G$2:$G$7)+B36*(1+IF(AC37&gt;4,0.1,LOOKUP(#REF!,Rates!$D$2:$D$4,Rates!$C$2:$C$4))+0.85*(#REF!-IF(AC37&gt;4,0.1,LOOKUP(#REF!,Rates!$D$2:$D$4,Rates!$C$2:$C$4)))),"")</f>
        <v>#REF!</v>
      </c>
      <c r="C37" s="93" t="e">
        <f t="shared" si="7"/>
        <v>#REF!</v>
      </c>
      <c r="D37" s="94" t="e">
        <f>IF(AB37&lt;&gt;"",E37*(1+IF(AC37&gt;4,0.1,LOOKUP(#REF!,Rates!$D$2:$D$5,Rates!$B$2:$B$5))*LOOKUP(#REF!,Rates!$I$2:$I$7,Rates!$G$2:$G$7))+D36*(1+IF(AC37&gt;4,0.1,LOOKUP(#REF!,Rates!$D$2:$D$5,Rates!$B$2:$B$5))),"")</f>
        <v>#REF!</v>
      </c>
      <c r="E37" s="84" t="e">
        <f>IF(AB37&lt;&gt;"",IF(#REF!="بله",IF(AND(AC37&lt;=#REF!,AC37&gt;=#REF!),#REF!,0)+(Z37-S37-I37-H37-G37-F37-L37),IF(AND(AC37&lt;=#REF!,AC37&gt;=#REF!),#REF!,0)+(Z37-S37-I37-H37-G37-F37)),"")</f>
        <v>#REF!</v>
      </c>
      <c r="F37" s="84" t="e">
        <f t="shared" si="0"/>
        <v>#REF!</v>
      </c>
      <c r="G37" s="84" t="e">
        <f t="shared" si="1"/>
        <v>#REF!</v>
      </c>
      <c r="H37" s="86" t="e">
        <f t="shared" si="2"/>
        <v>#REF!</v>
      </c>
      <c r="I37" s="93">
        <v>0</v>
      </c>
      <c r="J37" s="93" t="e">
        <f t="shared" si="8"/>
        <v>#REF!</v>
      </c>
      <c r="K37" s="84" t="e">
        <f>IF(U37&lt;&gt;"",#REF!*U37,"")</f>
        <v>#REF!</v>
      </c>
      <c r="L37" s="95" t="e">
        <f t="shared" si="3"/>
        <v>#REF!</v>
      </c>
      <c r="M37" s="96">
        <f t="shared" si="4"/>
        <v>0</v>
      </c>
      <c r="N37" s="96">
        <v>0</v>
      </c>
      <c r="O37" s="96" t="e">
        <f>IF(Z37&lt;&gt;"",0.02*Z37*(1-#REF!),"")</f>
        <v>#REF!</v>
      </c>
      <c r="P37" s="95" t="e">
        <f>IF(AND(AB37&lt;=70,W37&lt;&gt;""),(1-#REF!)*((W37*0.0008*(1+(LOOKUP(#REF!,Rates!$O:$O,Rates!$M:$M)/100)))+((Y37*0.0008*#REF!))*(1+(LOOKUP(#REF!,Rates!$O:$O,Rates!$N:$N)/100))),"")</f>
        <v>#REF!</v>
      </c>
      <c r="Q37" s="88" t="e">
        <f>IF(AB37&lt;=60,(LOOKUP(AB37,Rates!$U:$U,Rates!#REF!))*V37/1000000*(1+#REF!)*(1-#REF!),"")</f>
        <v>#REF!</v>
      </c>
      <c r="R37" s="83" t="e">
        <f>IF(AND(Z37&lt;&gt;"",Q37&lt;&gt;"",P37&lt;&gt;""),IF(#REF!="بله",(Z37-Q37-P37),Z37),"")</f>
        <v>#REF!</v>
      </c>
      <c r="S37" s="84">
        <v>0</v>
      </c>
      <c r="T37" s="84" t="e">
        <f t="shared" si="6"/>
        <v>#REF!</v>
      </c>
      <c r="U37" s="84" t="e">
        <f>IF(AB37&lt;&gt;"",(Y37*LOOKUP(AB37,Rates!$U:$U,Rates!$T:$T))/SQRT(1.1),"")</f>
        <v>#REF!</v>
      </c>
      <c r="V37" s="97" t="e">
        <f>IF(AND(AB37&lt;&gt;"",AB37&lt;=60),IF(V36*(1+#REF!)&lt;300000000,V36*(1+#REF!),300000000),"")</f>
        <v>#REF!</v>
      </c>
      <c r="W37" s="89" t="e">
        <f>IF(AND(AB37&lt;&gt;"",AB37&lt;=60),Y37*#REF!,"")</f>
        <v>#REF!</v>
      </c>
      <c r="X37" s="97" t="e">
        <f>IF(AND(AB37&lt;&gt;"",AB37&lt;=70),Y37*(1+#REF!),"")</f>
        <v>#REF!</v>
      </c>
      <c r="Y37" s="97" t="e">
        <f>IF(AB37&lt;&gt;"",(1+#REF!)*Y36,"")</f>
        <v>#REF!</v>
      </c>
      <c r="Z37" s="83">
        <v>0</v>
      </c>
      <c r="AA37" s="98" t="e">
        <f>IF(AC37&lt;&gt;"",#REF!+AC37-1,"")</f>
        <v>#REF!</v>
      </c>
      <c r="AB37" s="98" t="e">
        <f>IF(AC37&lt;&gt;"",#REF!+AC37-1,"")</f>
        <v>#REF!</v>
      </c>
      <c r="AC37" s="98" t="e">
        <f>IF(AC36&lt;&gt;"",IF(AC36+1&lt;=#REF!,AC36+1,""),"")</f>
        <v>#REF!</v>
      </c>
      <c r="AD37" s="91"/>
      <c r="AE37" s="91"/>
    </row>
    <row r="38" spans="1:31" ht="17.25" x14ac:dyDescent="0.25">
      <c r="A38" s="92">
        <v>0</v>
      </c>
      <c r="B38" s="92" t="e">
        <f>IF(AB38&lt;&gt;"",E38+E38*(IF(AC38&gt;4,0.1,LOOKUP(#REF!,Rates!$D$2:$D$4,Rates!$C$2:$C$4))+0.85*(#REF!-(IF(AC38&gt;4,0.1,LOOKUP(#REF!,Rates!$D$2:$D$4,Rates!$C$2:$C$4)))))*LOOKUP(#REF!,Rates!$I$2:$I$7,Rates!$G$2:$G$7)+B37*(1+IF(AC38&gt;4,0.1,LOOKUP(#REF!,Rates!$D$2:$D$4,Rates!$C$2:$C$4))+0.85*(#REF!-IF(AC38&gt;4,0.1,LOOKUP(#REF!,Rates!$D$2:$D$4,Rates!$C$2:$C$4)))),"")</f>
        <v>#REF!</v>
      </c>
      <c r="C38" s="93" t="e">
        <f t="shared" si="7"/>
        <v>#REF!</v>
      </c>
      <c r="D38" s="94" t="e">
        <f>IF(AB38&lt;&gt;"",E38*(1+IF(AC38&gt;4,0.1,LOOKUP(#REF!,Rates!$D$2:$D$5,Rates!$B$2:$B$5))*LOOKUP(#REF!,Rates!$I$2:$I$7,Rates!$G$2:$G$7))+D37*(1+IF(AC38&gt;4,0.1,LOOKUP(#REF!,Rates!$D$2:$D$5,Rates!$B$2:$B$5))),"")</f>
        <v>#REF!</v>
      </c>
      <c r="E38" s="84" t="e">
        <f>IF(AB38&lt;&gt;"",IF(#REF!="بله",IF(AND(AC38&lt;=#REF!,AC38&gt;=#REF!),#REF!,0)+(Z38-S38-I38-H38-G38-F38-L38),IF(AND(AC38&lt;=#REF!,AC38&gt;=#REF!),#REF!,0)+(Z38-S38-I38-H38-G38-F38)),"")</f>
        <v>#REF!</v>
      </c>
      <c r="F38" s="84" t="e">
        <f t="shared" si="0"/>
        <v>#REF!</v>
      </c>
      <c r="G38" s="84" t="e">
        <f t="shared" si="1"/>
        <v>#REF!</v>
      </c>
      <c r="H38" s="86" t="e">
        <f t="shared" si="2"/>
        <v>#REF!</v>
      </c>
      <c r="I38" s="93">
        <v>0</v>
      </c>
      <c r="J38" s="93" t="e">
        <f t="shared" si="8"/>
        <v>#REF!</v>
      </c>
      <c r="K38" s="84" t="e">
        <f>IF(U38&lt;&gt;"",#REF!*U38,"")</f>
        <v>#REF!</v>
      </c>
      <c r="L38" s="95" t="e">
        <f t="shared" si="3"/>
        <v>#REF!</v>
      </c>
      <c r="M38" s="96">
        <f t="shared" si="4"/>
        <v>0</v>
      </c>
      <c r="N38" s="96">
        <v>0</v>
      </c>
      <c r="O38" s="96" t="e">
        <f>IF(Z38&lt;&gt;"",0.02*Z38*(1-#REF!),"")</f>
        <v>#REF!</v>
      </c>
      <c r="P38" s="95" t="e">
        <f>IF(AND(AB38&lt;=70,W38&lt;&gt;""),(1-#REF!)*((W38*0.0008*(1+(LOOKUP(#REF!,Rates!$O:$O,Rates!$M:$M)/100)))+((Y38*0.0008*#REF!))*(1+(LOOKUP(#REF!,Rates!$O:$O,Rates!$N:$N)/100))),"")</f>
        <v>#REF!</v>
      </c>
      <c r="Q38" s="88" t="e">
        <f>IF(AB38&lt;=60,(LOOKUP(AB38,Rates!$U:$U,Rates!#REF!))*V38/1000000*(1+#REF!)*(1-#REF!),"")</f>
        <v>#REF!</v>
      </c>
      <c r="R38" s="83" t="e">
        <f>IF(AND(Z38&lt;&gt;"",Q38&lt;&gt;"",P38&lt;&gt;""),IF(#REF!="بله",(Z38-Q38-P38),Z38),"")</f>
        <v>#REF!</v>
      </c>
      <c r="S38" s="84">
        <v>0</v>
      </c>
      <c r="T38" s="84" t="e">
        <f t="shared" si="6"/>
        <v>#REF!</v>
      </c>
      <c r="U38" s="84" t="e">
        <f>IF(AB38&lt;&gt;"",(Y38*LOOKUP(AB38,Rates!$U:$U,Rates!$T:$T))/SQRT(1.1),"")</f>
        <v>#REF!</v>
      </c>
      <c r="V38" s="97" t="e">
        <f>IF(AND(AB38&lt;&gt;"",AB38&lt;=60),IF(V37*(1+#REF!)&lt;300000000,V37*(1+#REF!),300000000),"")</f>
        <v>#REF!</v>
      </c>
      <c r="W38" s="89" t="e">
        <f>IF(AND(AB38&lt;&gt;"",AB38&lt;=60),Y38*#REF!,"")</f>
        <v>#REF!</v>
      </c>
      <c r="X38" s="97" t="e">
        <f>IF(AND(AB38&lt;&gt;"",AB38&lt;=70),Y38*(1+#REF!),"")</f>
        <v>#REF!</v>
      </c>
      <c r="Y38" s="97" t="e">
        <f>IF(AB38&lt;&gt;"",(1+#REF!)*Y37,"")</f>
        <v>#REF!</v>
      </c>
      <c r="Z38" s="83">
        <v>0</v>
      </c>
      <c r="AA38" s="98" t="e">
        <f>IF(AC38&lt;&gt;"",#REF!+AC38-1,"")</f>
        <v>#REF!</v>
      </c>
      <c r="AB38" s="98" t="e">
        <f>IF(AC38&lt;&gt;"",#REF!+AC38-1,"")</f>
        <v>#REF!</v>
      </c>
      <c r="AC38" s="98" t="e">
        <f>IF(AC37&lt;&gt;"",IF(AC37+1&lt;=#REF!,AC37+1,""),"")</f>
        <v>#REF!</v>
      </c>
      <c r="AD38" s="91"/>
      <c r="AE38" s="91"/>
    </row>
    <row r="39" spans="1:31" ht="17.25" x14ac:dyDescent="0.25">
      <c r="A39" s="92">
        <v>0</v>
      </c>
      <c r="B39" s="92" t="e">
        <f>IF(AB39&lt;&gt;"",E39+E39*(IF(AC39&gt;4,0.1,LOOKUP(#REF!,Rates!$D$2:$D$4,Rates!$C$2:$C$4))+0.85*(#REF!-(IF(AC39&gt;4,0.1,LOOKUP(#REF!,Rates!$D$2:$D$4,Rates!$C$2:$C$4)))))*LOOKUP(#REF!,Rates!$I$2:$I$7,Rates!$G$2:$G$7)+B38*(1+IF(AC39&gt;4,0.1,LOOKUP(#REF!,Rates!$D$2:$D$4,Rates!$C$2:$C$4))+0.85*(#REF!-IF(AC39&gt;4,0.1,LOOKUP(#REF!,Rates!$D$2:$D$4,Rates!$C$2:$C$4)))),"")</f>
        <v>#REF!</v>
      </c>
      <c r="C39" s="93" t="e">
        <f t="shared" si="7"/>
        <v>#REF!</v>
      </c>
      <c r="D39" s="94" t="e">
        <f>IF(AB39&lt;&gt;"",E39*(1+IF(AC39&gt;4,0.1,LOOKUP(#REF!,Rates!$D$2:$D$5,Rates!$B$2:$B$5))*LOOKUP(#REF!,Rates!$I$2:$I$7,Rates!$G$2:$G$7))+D38*(1+IF(AC39&gt;4,0.1,LOOKUP(#REF!,Rates!$D$2:$D$5,Rates!$B$2:$B$5))),"")</f>
        <v>#REF!</v>
      </c>
      <c r="E39" s="84" t="e">
        <f>IF(AB39&lt;&gt;"",IF(#REF!="بله",IF(AND(AC39&lt;=#REF!,AC39&gt;=#REF!),#REF!,0)+(Z39-S39-I39-H39-G39-F39-L39),IF(AND(AC39&lt;=#REF!,AC39&gt;=#REF!),#REF!,0)+(Z39-S39-I39-H39-G39-F39)),"")</f>
        <v>#REF!</v>
      </c>
      <c r="F39" s="84" t="e">
        <f t="shared" si="0"/>
        <v>#REF!</v>
      </c>
      <c r="G39" s="84" t="e">
        <f t="shared" si="1"/>
        <v>#REF!</v>
      </c>
      <c r="H39" s="86" t="e">
        <f t="shared" si="2"/>
        <v>#REF!</v>
      </c>
      <c r="I39" s="93">
        <v>0</v>
      </c>
      <c r="J39" s="93" t="e">
        <f t="shared" si="8"/>
        <v>#REF!</v>
      </c>
      <c r="K39" s="84" t="e">
        <f>IF(U39&lt;&gt;"",#REF!*U39,"")</f>
        <v>#REF!</v>
      </c>
      <c r="L39" s="95" t="e">
        <f t="shared" si="3"/>
        <v>#REF!</v>
      </c>
      <c r="M39" s="96">
        <f t="shared" si="4"/>
        <v>0</v>
      </c>
      <c r="N39" s="96">
        <v>0</v>
      </c>
      <c r="O39" s="96" t="e">
        <f>IF(Z39&lt;&gt;"",0.02*Z39*(1-#REF!),"")</f>
        <v>#REF!</v>
      </c>
      <c r="P39" s="95" t="e">
        <f>IF(AND(AB39&lt;=70,W39&lt;&gt;""),(1-#REF!)*((W39*0.0008*(1+(LOOKUP(#REF!,Rates!$O:$O,Rates!$M:$M)/100)))+((Y39*0.0008*#REF!))*(1+(LOOKUP(#REF!,Rates!$O:$O,Rates!$N:$N)/100))),"")</f>
        <v>#REF!</v>
      </c>
      <c r="Q39" s="88" t="e">
        <f>IF(AB39&lt;=60,(LOOKUP(AB39,Rates!$U:$U,Rates!#REF!))*V39/1000000*(1+#REF!)*(1-#REF!),"")</f>
        <v>#REF!</v>
      </c>
      <c r="R39" s="83" t="e">
        <f>IF(AND(Z39&lt;&gt;"",Q39&lt;&gt;"",P39&lt;&gt;""),IF(#REF!="بله",(Z39-Q39-P39),Z39),"")</f>
        <v>#REF!</v>
      </c>
      <c r="S39" s="84">
        <v>0</v>
      </c>
      <c r="T39" s="84" t="e">
        <f t="shared" si="6"/>
        <v>#REF!</v>
      </c>
      <c r="U39" s="84" t="e">
        <f>IF(AB39&lt;&gt;"",(Y39*LOOKUP(AB39,Rates!$U:$U,Rates!$T:$T))/SQRT(1.1),"")</f>
        <v>#REF!</v>
      </c>
      <c r="V39" s="97" t="e">
        <f>IF(AND(AB39&lt;&gt;"",AB39&lt;=60),IF(V38*(1+#REF!)&lt;300000000,V38*(1+#REF!),300000000),"")</f>
        <v>#REF!</v>
      </c>
      <c r="W39" s="89" t="e">
        <f>IF(AND(AB39&lt;&gt;"",AB39&lt;=60),Y39*#REF!,"")</f>
        <v>#REF!</v>
      </c>
      <c r="X39" s="97" t="e">
        <f>IF(AND(AB39&lt;&gt;"",AB39&lt;=70),Y39*(1+#REF!),"")</f>
        <v>#REF!</v>
      </c>
      <c r="Y39" s="97" t="e">
        <f>IF(AB39&lt;&gt;"",(1+#REF!)*Y38,"")</f>
        <v>#REF!</v>
      </c>
      <c r="Z39" s="83">
        <v>0</v>
      </c>
      <c r="AA39" s="98" t="e">
        <f>IF(AC39&lt;&gt;"",#REF!+AC39-1,"")</f>
        <v>#REF!</v>
      </c>
      <c r="AB39" s="98" t="e">
        <f>IF(AC39&lt;&gt;"",#REF!+AC39-1,"")</f>
        <v>#REF!</v>
      </c>
      <c r="AC39" s="98" t="e">
        <f>IF(AC38&lt;&gt;"",IF(AC38+1&lt;=#REF!,AC38+1,""),"")</f>
        <v>#REF!</v>
      </c>
      <c r="AD39" s="91"/>
      <c r="AE39" s="91"/>
    </row>
    <row r="40" spans="1:31" ht="17.25" x14ac:dyDescent="0.25">
      <c r="A40" s="92">
        <v>0</v>
      </c>
      <c r="B40" s="92" t="e">
        <f>IF(AB40&lt;&gt;"",E40+E40*(IF(AC40&gt;4,0.1,LOOKUP(#REF!,Rates!$D$2:$D$4,Rates!$C$2:$C$4))+0.85*(#REF!-(IF(AC40&gt;4,0.1,LOOKUP(#REF!,Rates!$D$2:$D$4,Rates!$C$2:$C$4)))))*LOOKUP(#REF!,Rates!$I$2:$I$7,Rates!$G$2:$G$7)+B39*(1+IF(AC40&gt;4,0.1,LOOKUP(#REF!,Rates!$D$2:$D$4,Rates!$C$2:$C$4))+0.85*(#REF!-IF(AC40&gt;4,0.1,LOOKUP(#REF!,Rates!$D$2:$D$4,Rates!$C$2:$C$4)))),"")</f>
        <v>#REF!</v>
      </c>
      <c r="C40" s="93" t="e">
        <f t="shared" si="7"/>
        <v>#REF!</v>
      </c>
      <c r="D40" s="94" t="e">
        <f>IF(AB40&lt;&gt;"",E40*(1+IF(AC40&gt;4,0.1,LOOKUP(#REF!,Rates!$D$2:$D$5,Rates!$B$2:$B$5))*LOOKUP(#REF!,Rates!$I$2:$I$7,Rates!$G$2:$G$7))+D39*(1+IF(AC40&gt;4,0.1,LOOKUP(#REF!,Rates!$D$2:$D$5,Rates!$B$2:$B$5))),"")</f>
        <v>#REF!</v>
      </c>
      <c r="E40" s="84" t="e">
        <f>IF(AB40&lt;&gt;"",IF(#REF!="بله",IF(AND(AC40&lt;=#REF!,AC40&gt;=#REF!),#REF!,0)+(Z40-S40-I40-H40-G40-F40-L40),IF(AND(AC40&lt;=#REF!,AC40&gt;=#REF!),#REF!,0)+(Z40-S40-I40-H40-G40-F40)),"")</f>
        <v>#REF!</v>
      </c>
      <c r="F40" s="84" t="e">
        <f t="shared" si="0"/>
        <v>#REF!</v>
      </c>
      <c r="G40" s="84" t="e">
        <f t="shared" si="1"/>
        <v>#REF!</v>
      </c>
      <c r="H40" s="86" t="e">
        <f t="shared" si="2"/>
        <v>#REF!</v>
      </c>
      <c r="I40" s="93">
        <v>0</v>
      </c>
      <c r="J40" s="93" t="e">
        <f t="shared" si="8"/>
        <v>#REF!</v>
      </c>
      <c r="K40" s="84" t="e">
        <f>IF(U40&lt;&gt;"",#REF!*U40,"")</f>
        <v>#REF!</v>
      </c>
      <c r="L40" s="95" t="e">
        <f t="shared" si="3"/>
        <v>#REF!</v>
      </c>
      <c r="M40" s="96">
        <f t="shared" si="4"/>
        <v>0</v>
      </c>
      <c r="N40" s="96">
        <v>0</v>
      </c>
      <c r="O40" s="96" t="e">
        <f>IF(Z40&lt;&gt;"",0.02*Z40*(1-#REF!),"")</f>
        <v>#REF!</v>
      </c>
      <c r="P40" s="95" t="e">
        <f>IF(AND(AB40&lt;=70,W40&lt;&gt;""),(1-#REF!)*((W40*0.0008*(1+(LOOKUP(#REF!,Rates!$O:$O,Rates!$M:$M)/100)))+((Y40*0.0008*#REF!))*(1+(LOOKUP(#REF!,Rates!$O:$O,Rates!$N:$N)/100))),"")</f>
        <v>#REF!</v>
      </c>
      <c r="Q40" s="88" t="e">
        <f>IF(AB40&lt;=60,(LOOKUP(AB40,Rates!$U:$U,Rates!#REF!))*V40/1000000*(1+#REF!)*(1-#REF!),"")</f>
        <v>#REF!</v>
      </c>
      <c r="R40" s="83" t="e">
        <f>IF(AND(Z40&lt;&gt;"",Q40&lt;&gt;"",P40&lt;&gt;""),IF(#REF!="بله",(Z40-Q40-P40),Z40),"")</f>
        <v>#REF!</v>
      </c>
      <c r="S40" s="84">
        <v>0</v>
      </c>
      <c r="T40" s="84" t="e">
        <f t="shared" si="6"/>
        <v>#REF!</v>
      </c>
      <c r="U40" s="84" t="e">
        <f>IF(AB40&lt;&gt;"",(Y40*LOOKUP(AB40,Rates!$U:$U,Rates!$T:$T))/SQRT(1.1),"")</f>
        <v>#REF!</v>
      </c>
      <c r="V40" s="97" t="e">
        <f>IF(AND(AB40&lt;&gt;"",AB40&lt;=60),IF(V39*(1+#REF!)&lt;300000000,V39*(1+#REF!),300000000),"")</f>
        <v>#REF!</v>
      </c>
      <c r="W40" s="89" t="e">
        <f>IF(AND(AB40&lt;&gt;"",AB40&lt;=60),Y40*#REF!,"")</f>
        <v>#REF!</v>
      </c>
      <c r="X40" s="97" t="e">
        <f>IF(AND(AB40&lt;&gt;"",AB40&lt;=70),Y40*(1+#REF!),"")</f>
        <v>#REF!</v>
      </c>
      <c r="Y40" s="97" t="e">
        <f>IF(AB40&lt;&gt;"",(1+#REF!)*Y39,"")</f>
        <v>#REF!</v>
      </c>
      <c r="Z40" s="83">
        <v>0</v>
      </c>
      <c r="AA40" s="98" t="e">
        <f>IF(AC40&lt;&gt;"",#REF!+AC40-1,"")</f>
        <v>#REF!</v>
      </c>
      <c r="AB40" s="98" t="e">
        <f>IF(AC40&lt;&gt;"",#REF!+AC40-1,"")</f>
        <v>#REF!</v>
      </c>
      <c r="AC40" s="98" t="e">
        <f>IF(AC39&lt;&gt;"",IF(AC39+1&lt;=#REF!,AC39+1,""),"")</f>
        <v>#REF!</v>
      </c>
      <c r="AD40" s="91"/>
      <c r="AE40" s="91"/>
    </row>
    <row r="41" spans="1:31" ht="17.25" x14ac:dyDescent="0.25">
      <c r="A41" s="92">
        <v>0</v>
      </c>
      <c r="B41" s="92" t="e">
        <f>IF(AB41&lt;&gt;"",E41+E41*(IF(AC41&gt;4,0.1,LOOKUP(#REF!,Rates!$D$2:$D$4,Rates!$C$2:$C$4))+0.85*(#REF!-(IF(AC41&gt;4,0.1,LOOKUP(#REF!,Rates!$D$2:$D$4,Rates!$C$2:$C$4)))))*LOOKUP(#REF!,Rates!$I$2:$I$7,Rates!$G$2:$G$7)+B40*(1+IF(AC41&gt;4,0.1,LOOKUP(#REF!,Rates!$D$2:$D$4,Rates!$C$2:$C$4))+0.85*(#REF!-IF(AC41&gt;4,0.1,LOOKUP(#REF!,Rates!$D$2:$D$4,Rates!$C$2:$C$4)))),"")</f>
        <v>#REF!</v>
      </c>
      <c r="C41" s="93" t="e">
        <f t="shared" ref="C41:C71" si="9">IF(AB41&lt;&gt;"",D41,"")</f>
        <v>#REF!</v>
      </c>
      <c r="D41" s="94" t="e">
        <f>IF(AB41&lt;&gt;"",E41*(1+IF(AC41&gt;4,0.1,LOOKUP(#REF!,Rates!$D$2:$D$5,Rates!$B$2:$B$5))*LOOKUP(#REF!,Rates!$I$2:$I$7,Rates!$G$2:$G$7))+D40*(1+IF(AC41&gt;4,0.1,LOOKUP(#REF!,Rates!$D$2:$D$5,Rates!$B$2:$B$5))),"")</f>
        <v>#REF!</v>
      </c>
      <c r="E41" s="84" t="e">
        <f>IF(AB41&lt;&gt;"",IF(#REF!="بله",IF(AND(AC41&lt;=#REF!,AC41&gt;=#REF!),#REF!,0)+(Z41-S41-I41-H41-G41-F41-L41),IF(AND(AC41&lt;=#REF!,AC41&gt;=#REF!),#REF!,0)+(Z41-S41-I41-H41-G41-F41)),"")</f>
        <v>#REF!</v>
      </c>
      <c r="F41" s="84" t="e">
        <f t="shared" si="0"/>
        <v>#REF!</v>
      </c>
      <c r="G41" s="84" t="e">
        <f t="shared" si="1"/>
        <v>#REF!</v>
      </c>
      <c r="H41" s="86" t="e">
        <f t="shared" si="2"/>
        <v>#REF!</v>
      </c>
      <c r="I41" s="93">
        <v>0</v>
      </c>
      <c r="J41" s="93" t="e">
        <f t="shared" si="8"/>
        <v>#REF!</v>
      </c>
      <c r="K41" s="84" t="e">
        <f>IF(U41&lt;&gt;"",#REF!*U41,"")</f>
        <v>#REF!</v>
      </c>
      <c r="L41" s="95" t="e">
        <f t="shared" si="3"/>
        <v>#REF!</v>
      </c>
      <c r="M41" s="96">
        <f t="shared" si="4"/>
        <v>0</v>
      </c>
      <c r="N41" s="96">
        <v>0</v>
      </c>
      <c r="O41" s="96" t="e">
        <f>IF(Z41&lt;&gt;"",0.02*Z41*(1-#REF!),"")</f>
        <v>#REF!</v>
      </c>
      <c r="P41" s="95" t="e">
        <f>IF(AND(AB41&lt;=70,W41&lt;&gt;""),(1-#REF!)*((W41*0.0008*(1+(LOOKUP(#REF!,Rates!$O:$O,Rates!$M:$M)/100)))+((Y41*0.0008*#REF!))*(1+(LOOKUP(#REF!,Rates!$O:$O,Rates!$N:$N)/100))),"")</f>
        <v>#REF!</v>
      </c>
      <c r="Q41" s="88" t="e">
        <f>IF(AB41&lt;=60,(LOOKUP(AB41,Rates!$U:$U,Rates!#REF!))*V41/1000000*(1+#REF!)*(1-#REF!),"")</f>
        <v>#REF!</v>
      </c>
      <c r="R41" s="83" t="e">
        <f>IF(AND(Z41&lt;&gt;"",Q41&lt;&gt;"",P41&lt;&gt;""),IF(#REF!="بله",(Z41-Q41-P41),Z41),"")</f>
        <v>#REF!</v>
      </c>
      <c r="S41" s="84">
        <v>0</v>
      </c>
      <c r="T41" s="84" t="e">
        <f t="shared" si="6"/>
        <v>#REF!</v>
      </c>
      <c r="U41" s="84" t="e">
        <f>IF(AB41&lt;&gt;"",(Y41*LOOKUP(AB41,Rates!$U:$U,Rates!$T:$T))/SQRT(1.1),"")</f>
        <v>#REF!</v>
      </c>
      <c r="V41" s="97" t="e">
        <f>IF(AND(AB41&lt;&gt;"",AB41&lt;=60),IF(V40*(1+#REF!)&lt;300000000,V40*(1+#REF!),300000000),"")</f>
        <v>#REF!</v>
      </c>
      <c r="W41" s="89" t="e">
        <f>IF(AND(AB41&lt;&gt;"",AB41&lt;=60),Y41*#REF!,"")</f>
        <v>#REF!</v>
      </c>
      <c r="X41" s="97" t="e">
        <f>IF(AND(AB41&lt;&gt;"",AB41&lt;=70),Y41*(1+#REF!),"")</f>
        <v>#REF!</v>
      </c>
      <c r="Y41" s="97" t="e">
        <f>IF(AB41&lt;&gt;"",(1+#REF!)*Y40,"")</f>
        <v>#REF!</v>
      </c>
      <c r="Z41" s="83">
        <v>0</v>
      </c>
      <c r="AA41" s="98" t="e">
        <f>IF(AC41&lt;&gt;"",#REF!+AC41-1,"")</f>
        <v>#REF!</v>
      </c>
      <c r="AB41" s="98" t="e">
        <f>IF(AC41&lt;&gt;"",#REF!+AC41-1,"")</f>
        <v>#REF!</v>
      </c>
      <c r="AC41" s="98" t="e">
        <f>IF(AC40&lt;&gt;"",IF(AC40+1&lt;=#REF!,AC40+1,""),"")</f>
        <v>#REF!</v>
      </c>
      <c r="AD41" s="91"/>
      <c r="AE41" s="91"/>
    </row>
    <row r="42" spans="1:31" ht="17.25" x14ac:dyDescent="0.25">
      <c r="A42" s="92">
        <v>0</v>
      </c>
      <c r="B42" s="92" t="e">
        <f>IF(AB42&lt;&gt;"",E42+E42*(IF(AC42&gt;4,0.1,LOOKUP(#REF!,Rates!$D$2:$D$4,Rates!$C$2:$C$4))+0.85*(#REF!-(IF(AC42&gt;4,0.1,LOOKUP(#REF!,Rates!$D$2:$D$4,Rates!$C$2:$C$4)))))*LOOKUP(#REF!,Rates!$I$2:$I$7,Rates!$G$2:$G$7)+B41*(1+IF(AC42&gt;4,0.1,LOOKUP(#REF!,Rates!$D$2:$D$4,Rates!$C$2:$C$4))+0.85*(#REF!-IF(AC42&gt;4,0.1,LOOKUP(#REF!,Rates!$D$2:$D$4,Rates!$C$2:$C$4)))),"")</f>
        <v>#REF!</v>
      </c>
      <c r="C42" s="93" t="e">
        <f t="shared" si="9"/>
        <v>#REF!</v>
      </c>
      <c r="D42" s="94" t="e">
        <f>IF(AB42&lt;&gt;"",E42*(1+IF(AC42&gt;4,0.1,LOOKUP(#REF!,Rates!$D$2:$D$5,Rates!$B$2:$B$5))*LOOKUP(#REF!,Rates!$I$2:$I$7,Rates!$G$2:$G$7))+D41*(1+IF(AC42&gt;4,0.1,LOOKUP(#REF!,Rates!$D$2:$D$5,Rates!$B$2:$B$5))),"")</f>
        <v>#REF!</v>
      </c>
      <c r="E42" s="84" t="e">
        <f>IF(AB42&lt;&gt;"",IF(#REF!="بله",IF(AND(AC42&lt;=#REF!,AC42&gt;=#REF!),#REF!,0)+(Z42-S42-I42-H42-G42-F42-L42),IF(AND(AC42&lt;=#REF!,AC42&gt;=#REF!),#REF!,0)+(Z42-S42-I42-H42-G42-F42)),"")</f>
        <v>#REF!</v>
      </c>
      <c r="F42" s="84" t="e">
        <f t="shared" si="0"/>
        <v>#REF!</v>
      </c>
      <c r="G42" s="84" t="e">
        <f t="shared" si="1"/>
        <v>#REF!</v>
      </c>
      <c r="H42" s="86" t="e">
        <f t="shared" si="2"/>
        <v>#REF!</v>
      </c>
      <c r="I42" s="93">
        <v>0</v>
      </c>
      <c r="J42" s="93" t="e">
        <f t="shared" si="8"/>
        <v>#REF!</v>
      </c>
      <c r="K42" s="84" t="e">
        <f>IF(U42&lt;&gt;"",#REF!*U42,"")</f>
        <v>#REF!</v>
      </c>
      <c r="L42" s="95" t="e">
        <f t="shared" si="3"/>
        <v>#REF!</v>
      </c>
      <c r="M42" s="96">
        <f t="shared" si="4"/>
        <v>0</v>
      </c>
      <c r="N42" s="96">
        <v>0</v>
      </c>
      <c r="O42" s="96" t="e">
        <f>IF(Z42&lt;&gt;"",0.02*Z42*(1-#REF!),"")</f>
        <v>#REF!</v>
      </c>
      <c r="P42" s="95" t="e">
        <f>IF(AND(AB42&lt;=70,W42&lt;&gt;""),(1-#REF!)*((W42*0.0008*(1+(LOOKUP(#REF!,Rates!$O:$O,Rates!$M:$M)/100)))+((Y42*0.0008*#REF!))*(1+(LOOKUP(#REF!,Rates!$O:$O,Rates!$N:$N)/100))),"")</f>
        <v>#REF!</v>
      </c>
      <c r="Q42" s="88" t="e">
        <f>IF(AB42&lt;=60,(LOOKUP(AB42,Rates!$U:$U,Rates!#REF!))*V42/1000000*(1+#REF!)*(1-#REF!),"")</f>
        <v>#REF!</v>
      </c>
      <c r="R42" s="83" t="e">
        <f>IF(AND(Z42&lt;&gt;"",Q42&lt;&gt;"",P42&lt;&gt;""),IF(#REF!="بله",(Z42-Q42-P42),Z42),"")</f>
        <v>#REF!</v>
      </c>
      <c r="S42" s="84">
        <v>0</v>
      </c>
      <c r="T42" s="84" t="e">
        <f t="shared" si="6"/>
        <v>#REF!</v>
      </c>
      <c r="U42" s="84" t="e">
        <f>IF(AB42&lt;&gt;"",(Y42*LOOKUP(AB42,Rates!$U:$U,Rates!$T:$T))/SQRT(1.1),"")</f>
        <v>#REF!</v>
      </c>
      <c r="V42" s="97" t="e">
        <f>IF(AND(AB42&lt;&gt;"",AB42&lt;=60),IF(V41*(1+#REF!)&lt;300000000,V41*(1+#REF!),300000000),"")</f>
        <v>#REF!</v>
      </c>
      <c r="W42" s="89" t="e">
        <f>IF(AND(AB42&lt;&gt;"",AB42&lt;=60),Y42*#REF!,"")</f>
        <v>#REF!</v>
      </c>
      <c r="X42" s="97" t="e">
        <f>IF(AND(AB42&lt;&gt;"",AB42&lt;=70),Y42*(1+#REF!),"")</f>
        <v>#REF!</v>
      </c>
      <c r="Y42" s="97" t="e">
        <f>IF(AB42&lt;&gt;"",(1+#REF!)*Y41,"")</f>
        <v>#REF!</v>
      </c>
      <c r="Z42" s="83">
        <v>0</v>
      </c>
      <c r="AA42" s="98" t="e">
        <f>IF(AC42&lt;&gt;"",#REF!+AC42-1,"")</f>
        <v>#REF!</v>
      </c>
      <c r="AB42" s="98" t="e">
        <f>IF(AC42&lt;&gt;"",#REF!+AC42-1,"")</f>
        <v>#REF!</v>
      </c>
      <c r="AC42" s="98" t="e">
        <f>IF(AC41&lt;&gt;"",IF(AC41+1&lt;=#REF!,AC41+1,""),"")</f>
        <v>#REF!</v>
      </c>
      <c r="AD42" s="91"/>
      <c r="AE42" s="91"/>
    </row>
    <row r="43" spans="1:31" ht="17.25" x14ac:dyDescent="0.25">
      <c r="A43" s="92">
        <v>0</v>
      </c>
      <c r="B43" s="92" t="e">
        <f>IF(AB43&lt;&gt;"",E43+E43*(IF(AC43&gt;4,0.1,LOOKUP(#REF!,Rates!$D$2:$D$4,Rates!$C$2:$C$4))+0.85*(#REF!-(IF(AC43&gt;4,0.1,LOOKUP(#REF!,Rates!$D$2:$D$4,Rates!$C$2:$C$4)))))*LOOKUP(#REF!,Rates!$I$2:$I$7,Rates!$G$2:$G$7)+B42*(1+IF(AC43&gt;4,0.1,LOOKUP(#REF!,Rates!$D$2:$D$4,Rates!$C$2:$C$4))+0.85*(#REF!-IF(AC43&gt;4,0.1,LOOKUP(#REF!,Rates!$D$2:$D$4,Rates!$C$2:$C$4)))),"")</f>
        <v>#REF!</v>
      </c>
      <c r="C43" s="93" t="e">
        <f t="shared" si="9"/>
        <v>#REF!</v>
      </c>
      <c r="D43" s="94" t="e">
        <f>IF(AB43&lt;&gt;"",E43*(1+IF(AC43&gt;4,0.1,LOOKUP(#REF!,Rates!$D$2:$D$5,Rates!$B$2:$B$5))*LOOKUP(#REF!,Rates!$I$2:$I$7,Rates!$G$2:$G$7))+D42*(1+IF(AC43&gt;4,0.1,LOOKUP(#REF!,Rates!$D$2:$D$5,Rates!$B$2:$B$5))),"")</f>
        <v>#REF!</v>
      </c>
      <c r="E43" s="84" t="e">
        <f>IF(AB43&lt;&gt;"",IF(#REF!="بله",IF(AND(AC43&lt;=#REF!,AC43&gt;=#REF!),#REF!,0)+(Z43-S43-I43-H43-G43-F43-L43),IF(AND(AC43&lt;=#REF!,AC43&gt;=#REF!),#REF!,0)+(Z43-S43-I43-H43-G43-F43)),"")</f>
        <v>#REF!</v>
      </c>
      <c r="F43" s="84" t="e">
        <f t="shared" si="0"/>
        <v>#REF!</v>
      </c>
      <c r="G43" s="84" t="e">
        <f t="shared" si="1"/>
        <v>#REF!</v>
      </c>
      <c r="H43" s="86" t="e">
        <f t="shared" si="2"/>
        <v>#REF!</v>
      </c>
      <c r="I43" s="93">
        <v>0</v>
      </c>
      <c r="J43" s="93" t="e">
        <f t="shared" si="8"/>
        <v>#REF!</v>
      </c>
      <c r="K43" s="84" t="e">
        <f>IF(U43&lt;&gt;"",#REF!*U43,"")</f>
        <v>#REF!</v>
      </c>
      <c r="L43" s="95" t="e">
        <f t="shared" si="3"/>
        <v>#REF!</v>
      </c>
      <c r="M43" s="96">
        <f t="shared" si="4"/>
        <v>0</v>
      </c>
      <c r="N43" s="96">
        <v>0</v>
      </c>
      <c r="O43" s="96" t="e">
        <f>IF(Z43&lt;&gt;"",0.02*Z43*(1-#REF!),"")</f>
        <v>#REF!</v>
      </c>
      <c r="P43" s="95" t="e">
        <f>IF(AND(AB43&lt;=70,W43&lt;&gt;""),(1-#REF!)*((W43*0.0008*(1+(LOOKUP(#REF!,Rates!$O:$O,Rates!$M:$M)/100)))+((Y43*0.0008*#REF!))*(1+(LOOKUP(#REF!,Rates!$O:$O,Rates!$N:$N)/100))),"")</f>
        <v>#REF!</v>
      </c>
      <c r="Q43" s="88" t="e">
        <f>IF(AB43&lt;=60,(LOOKUP(AB43,Rates!$U:$U,Rates!#REF!))*V43/1000000*(1+#REF!)*(1-#REF!),"")</f>
        <v>#REF!</v>
      </c>
      <c r="R43" s="83" t="e">
        <f>IF(AND(Z43&lt;&gt;"",Q43&lt;&gt;"",P43&lt;&gt;""),IF(#REF!="بله",(Z43-Q43-P43),Z43),"")</f>
        <v>#REF!</v>
      </c>
      <c r="S43" s="84">
        <v>0</v>
      </c>
      <c r="T43" s="84" t="e">
        <f t="shared" si="6"/>
        <v>#REF!</v>
      </c>
      <c r="U43" s="84" t="e">
        <f>IF(AB43&lt;&gt;"",(Y43*LOOKUP(AB43,Rates!$U:$U,Rates!$T:$T))/SQRT(1.1),"")</f>
        <v>#REF!</v>
      </c>
      <c r="V43" s="97" t="e">
        <f>IF(AND(AB43&lt;&gt;"",AB43&lt;=60),IF(V42*(1+#REF!)&lt;300000000,V42*(1+#REF!),300000000),"")</f>
        <v>#REF!</v>
      </c>
      <c r="W43" s="89" t="e">
        <f>IF(AND(AB43&lt;&gt;"",AB43&lt;=60),Y43*#REF!,"")</f>
        <v>#REF!</v>
      </c>
      <c r="X43" s="97" t="e">
        <f>IF(AND(AB43&lt;&gt;"",AB43&lt;=70),Y43*(1+#REF!),"")</f>
        <v>#REF!</v>
      </c>
      <c r="Y43" s="97" t="e">
        <f>IF(AB43&lt;&gt;"",(1+#REF!)*Y42,"")</f>
        <v>#REF!</v>
      </c>
      <c r="Z43" s="83">
        <v>0</v>
      </c>
      <c r="AA43" s="98" t="e">
        <f>IF(AC43&lt;&gt;"",#REF!+AC43-1,"")</f>
        <v>#REF!</v>
      </c>
      <c r="AB43" s="98" t="e">
        <f>IF(AC43&lt;&gt;"",#REF!+AC43-1,"")</f>
        <v>#REF!</v>
      </c>
      <c r="AC43" s="98" t="e">
        <f>IF(AC42&lt;&gt;"",IF(AC42+1&lt;=#REF!,AC42+1,""),"")</f>
        <v>#REF!</v>
      </c>
      <c r="AD43" s="91"/>
      <c r="AE43" s="91"/>
    </row>
    <row r="44" spans="1:31" ht="17.25" x14ac:dyDescent="0.25">
      <c r="A44" s="92">
        <v>0</v>
      </c>
      <c r="B44" s="92" t="e">
        <f>IF(AB44&lt;&gt;"",E44+E44*(IF(AC44&gt;4,0.1,LOOKUP(#REF!,Rates!$D$2:$D$4,Rates!$C$2:$C$4))+0.85*(#REF!-(IF(AC44&gt;4,0.1,LOOKUP(#REF!,Rates!$D$2:$D$4,Rates!$C$2:$C$4)))))*LOOKUP(#REF!,Rates!$I$2:$I$7,Rates!$G$2:$G$7)+B43*(1+IF(AC44&gt;4,0.1,LOOKUP(#REF!,Rates!$D$2:$D$4,Rates!$C$2:$C$4))+0.85*(#REF!-IF(AC44&gt;4,0.1,LOOKUP(#REF!,Rates!$D$2:$D$4,Rates!$C$2:$C$4)))),"")</f>
        <v>#REF!</v>
      </c>
      <c r="C44" s="93" t="e">
        <f t="shared" si="9"/>
        <v>#REF!</v>
      </c>
      <c r="D44" s="94" t="e">
        <f>IF(AB44&lt;&gt;"",E44*(1+IF(AC44&gt;4,0.1,LOOKUP(#REF!,Rates!$D$2:$D$5,Rates!$B$2:$B$5))*LOOKUP(#REF!,Rates!$I$2:$I$7,Rates!$G$2:$G$7))+D43*(1+IF(AC44&gt;4,0.1,LOOKUP(#REF!,Rates!$D$2:$D$5,Rates!$B$2:$B$5))),"")</f>
        <v>#REF!</v>
      </c>
      <c r="E44" s="84" t="e">
        <f>IF(AB44&lt;&gt;"",IF(#REF!="بله",IF(AND(AC44&lt;=#REF!,AC44&gt;=#REF!),#REF!,0)+(Z44-S44-I44-H44-G44-F44-L44),IF(AND(AC44&lt;=#REF!,AC44&gt;=#REF!),#REF!,0)+(Z44-S44-I44-H44-G44-F44)),"")</f>
        <v>#REF!</v>
      </c>
      <c r="F44" s="84" t="e">
        <f t="shared" si="0"/>
        <v>#REF!</v>
      </c>
      <c r="G44" s="84" t="e">
        <f t="shared" si="1"/>
        <v>#REF!</v>
      </c>
      <c r="H44" s="86" t="e">
        <f t="shared" si="2"/>
        <v>#REF!</v>
      </c>
      <c r="I44" s="93">
        <v>0</v>
      </c>
      <c r="J44" s="93" t="e">
        <f t="shared" si="8"/>
        <v>#REF!</v>
      </c>
      <c r="K44" s="84" t="e">
        <f>IF(U44&lt;&gt;"",#REF!*U44,"")</f>
        <v>#REF!</v>
      </c>
      <c r="L44" s="95" t="e">
        <f t="shared" si="3"/>
        <v>#REF!</v>
      </c>
      <c r="M44" s="96">
        <f t="shared" si="4"/>
        <v>0</v>
      </c>
      <c r="N44" s="96">
        <v>0</v>
      </c>
      <c r="O44" s="96" t="e">
        <f>IF(Z44&lt;&gt;"",0.02*Z44*(1-#REF!),"")</f>
        <v>#REF!</v>
      </c>
      <c r="P44" s="95" t="e">
        <f>IF(AND(AB44&lt;=70,W44&lt;&gt;""),(1-#REF!)*((W44*0.0008*(1+(LOOKUP(#REF!,Rates!$O:$O,Rates!$M:$M)/100)))+((Y44*0.0008*#REF!))*(1+(LOOKUP(#REF!,Rates!$O:$O,Rates!$N:$N)/100))),"")</f>
        <v>#REF!</v>
      </c>
      <c r="Q44" s="88" t="e">
        <f>IF(AB44&lt;=60,(LOOKUP(AB44,Rates!$U:$U,Rates!#REF!))*V44/1000000*(1+#REF!)*(1-#REF!),"")</f>
        <v>#REF!</v>
      </c>
      <c r="R44" s="83" t="e">
        <f>IF(AND(Z44&lt;&gt;"",Q44&lt;&gt;"",P44&lt;&gt;""),IF(#REF!="بله",(Z44-Q44-P44),Z44),"")</f>
        <v>#REF!</v>
      </c>
      <c r="S44" s="84">
        <v>0</v>
      </c>
      <c r="T44" s="84" t="e">
        <f t="shared" si="6"/>
        <v>#REF!</v>
      </c>
      <c r="U44" s="84" t="e">
        <f>IF(AB44&lt;&gt;"",(Y44*LOOKUP(AB44,Rates!$U:$U,Rates!$T:$T))/SQRT(1.1),"")</f>
        <v>#REF!</v>
      </c>
      <c r="V44" s="97" t="e">
        <f>IF(AND(AB44&lt;&gt;"",AB44&lt;=60),IF(V43*(1+#REF!)&lt;300000000,V43*(1+#REF!),300000000),"")</f>
        <v>#REF!</v>
      </c>
      <c r="W44" s="89" t="e">
        <f>IF(AND(AB44&lt;&gt;"",AB44&lt;=60),Y44*#REF!,"")</f>
        <v>#REF!</v>
      </c>
      <c r="X44" s="97" t="e">
        <f>IF(AND(AB44&lt;&gt;"",AB44&lt;=70),Y44*(1+#REF!),"")</f>
        <v>#REF!</v>
      </c>
      <c r="Y44" s="97" t="e">
        <f>IF(AB44&lt;&gt;"",(1+#REF!)*Y43,"")</f>
        <v>#REF!</v>
      </c>
      <c r="Z44" s="83">
        <v>0</v>
      </c>
      <c r="AA44" s="98" t="e">
        <f>IF(AC44&lt;&gt;"",#REF!+AC44-1,"")</f>
        <v>#REF!</v>
      </c>
      <c r="AB44" s="98" t="e">
        <f>IF(AC44&lt;&gt;"",#REF!+AC44-1,"")</f>
        <v>#REF!</v>
      </c>
      <c r="AC44" s="98" t="e">
        <f>IF(AC43&lt;&gt;"",IF(AC43+1&lt;=#REF!,AC43+1,""),"")</f>
        <v>#REF!</v>
      </c>
      <c r="AD44" s="91"/>
      <c r="AE44" s="91"/>
    </row>
    <row r="45" spans="1:31" ht="17.25" x14ac:dyDescent="0.25">
      <c r="A45" s="92">
        <v>0</v>
      </c>
      <c r="B45" s="92" t="e">
        <f>IF(AB45&lt;&gt;"",E45+E45*(IF(AC45&gt;4,0.1,LOOKUP(#REF!,Rates!$D$2:$D$4,Rates!$C$2:$C$4))+0.85*(#REF!-(IF(AC45&gt;4,0.1,LOOKUP(#REF!,Rates!$D$2:$D$4,Rates!$C$2:$C$4)))))*LOOKUP(#REF!,Rates!$I$2:$I$7,Rates!$G$2:$G$7)+B44*(1+IF(AC45&gt;4,0.1,LOOKUP(#REF!,Rates!$D$2:$D$4,Rates!$C$2:$C$4))+0.85*(#REF!-IF(AC45&gt;4,0.1,LOOKUP(#REF!,Rates!$D$2:$D$4,Rates!$C$2:$C$4)))),"")</f>
        <v>#REF!</v>
      </c>
      <c r="C45" s="93" t="e">
        <f t="shared" si="9"/>
        <v>#REF!</v>
      </c>
      <c r="D45" s="94" t="e">
        <f>IF(AB45&lt;&gt;"",E45*(1+IF(AC45&gt;4,0.1,LOOKUP(#REF!,Rates!$D$2:$D$5,Rates!$B$2:$B$5))*LOOKUP(#REF!,Rates!$I$2:$I$7,Rates!$G$2:$G$7))+D44*(1+IF(AC45&gt;4,0.1,LOOKUP(#REF!,Rates!$D$2:$D$5,Rates!$B$2:$B$5))),"")</f>
        <v>#REF!</v>
      </c>
      <c r="E45" s="84" t="e">
        <f>IF(AB45&lt;&gt;"",IF(#REF!="بله",IF(AND(AC45&lt;=#REF!,AC45&gt;=#REF!),#REF!,0)+(Z45-S45-I45-H45-G45-F45-L45),IF(AND(AC45&lt;=#REF!,AC45&gt;=#REF!),#REF!,0)+(Z45-S45-I45-H45-G45-F45)),"")</f>
        <v>#REF!</v>
      </c>
      <c r="F45" s="84" t="e">
        <f t="shared" si="0"/>
        <v>#REF!</v>
      </c>
      <c r="G45" s="84" t="e">
        <f t="shared" si="1"/>
        <v>#REF!</v>
      </c>
      <c r="H45" s="86" t="e">
        <f t="shared" si="2"/>
        <v>#REF!</v>
      </c>
      <c r="I45" s="93">
        <v>0</v>
      </c>
      <c r="J45" s="93" t="e">
        <f t="shared" si="8"/>
        <v>#REF!</v>
      </c>
      <c r="K45" s="84" t="e">
        <f>IF(U45&lt;&gt;"",#REF!*U45,"")</f>
        <v>#REF!</v>
      </c>
      <c r="L45" s="95" t="e">
        <f t="shared" si="3"/>
        <v>#REF!</v>
      </c>
      <c r="M45" s="96">
        <f t="shared" si="4"/>
        <v>0</v>
      </c>
      <c r="N45" s="96">
        <v>0</v>
      </c>
      <c r="O45" s="96" t="e">
        <f>IF(Z45&lt;&gt;"",0.02*Z45*(1-#REF!),"")</f>
        <v>#REF!</v>
      </c>
      <c r="P45" s="95" t="e">
        <f>IF(AND(AB45&lt;=70,W45&lt;&gt;""),(1-#REF!)*((W45*0.0008*(1+(LOOKUP(#REF!,Rates!$O:$O,Rates!$M:$M)/100)))+((Y45*0.0008*#REF!))*(1+(LOOKUP(#REF!,Rates!$O:$O,Rates!$N:$N)/100))),"")</f>
        <v>#REF!</v>
      </c>
      <c r="Q45" s="88" t="e">
        <f>IF(AB45&lt;=60,(LOOKUP(AB45,Rates!$U:$U,Rates!#REF!))*V45/1000000*(1+#REF!)*(1-#REF!),"")</f>
        <v>#REF!</v>
      </c>
      <c r="R45" s="83" t="e">
        <f>IF(AND(Z45&lt;&gt;"",Q45&lt;&gt;"",P45&lt;&gt;""),IF(#REF!="بله",(Z45-Q45-P45),Z45),"")</f>
        <v>#REF!</v>
      </c>
      <c r="S45" s="84">
        <v>0</v>
      </c>
      <c r="T45" s="84" t="e">
        <f t="shared" si="6"/>
        <v>#REF!</v>
      </c>
      <c r="U45" s="84" t="e">
        <f>IF(AB45&lt;&gt;"",(Y45*LOOKUP(AB45,Rates!$U:$U,Rates!$T:$T))/SQRT(1.1),"")</f>
        <v>#REF!</v>
      </c>
      <c r="V45" s="97" t="e">
        <f>IF(AND(AB45&lt;&gt;"",AB45&lt;=60),IF(V44*(1+#REF!)&lt;300000000,V44*(1+#REF!),300000000),"")</f>
        <v>#REF!</v>
      </c>
      <c r="W45" s="89" t="e">
        <f>IF(AND(AB45&lt;&gt;"",AB45&lt;=60),Y45*#REF!,"")</f>
        <v>#REF!</v>
      </c>
      <c r="X45" s="97" t="e">
        <f>IF(AND(AB45&lt;&gt;"",AB45&lt;=70),Y45*(1+#REF!),"")</f>
        <v>#REF!</v>
      </c>
      <c r="Y45" s="97" t="e">
        <f>IF(AB45&lt;&gt;"",(1+#REF!)*Y44,"")</f>
        <v>#REF!</v>
      </c>
      <c r="Z45" s="83">
        <v>0</v>
      </c>
      <c r="AA45" s="98" t="e">
        <f>IF(AC45&lt;&gt;"",#REF!+AC45-1,"")</f>
        <v>#REF!</v>
      </c>
      <c r="AB45" s="98" t="e">
        <f>IF(AC45&lt;&gt;"",#REF!+AC45-1,"")</f>
        <v>#REF!</v>
      </c>
      <c r="AC45" s="98" t="e">
        <f>IF(AC44&lt;&gt;"",IF(AC44+1&lt;=#REF!,AC44+1,""),"")</f>
        <v>#REF!</v>
      </c>
      <c r="AD45" s="91"/>
      <c r="AE45" s="91"/>
    </row>
    <row r="46" spans="1:31" ht="17.25" x14ac:dyDescent="0.25">
      <c r="A46" s="92">
        <v>0</v>
      </c>
      <c r="B46" s="92" t="e">
        <f>IF(AB46&lt;&gt;"",E46+E46*(IF(AC46&gt;4,0.1,LOOKUP(#REF!,Rates!$D$2:$D$4,Rates!$C$2:$C$4))+0.85*(#REF!-(IF(AC46&gt;4,0.1,LOOKUP(#REF!,Rates!$D$2:$D$4,Rates!$C$2:$C$4)))))*LOOKUP(#REF!,Rates!$I$2:$I$7,Rates!$G$2:$G$7)+B45*(1+IF(AC46&gt;4,0.1,LOOKUP(#REF!,Rates!$D$2:$D$4,Rates!$C$2:$C$4))+0.85*(#REF!-IF(AC46&gt;4,0.1,LOOKUP(#REF!,Rates!$D$2:$D$4,Rates!$C$2:$C$4)))),"")</f>
        <v>#REF!</v>
      </c>
      <c r="C46" s="93" t="e">
        <f t="shared" si="9"/>
        <v>#REF!</v>
      </c>
      <c r="D46" s="94" t="e">
        <f>IF(AB46&lt;&gt;"",E46*(1+IF(AC46&gt;4,0.1,LOOKUP(#REF!,Rates!$D$2:$D$5,Rates!$B$2:$B$5))*LOOKUP(#REF!,Rates!$I$2:$I$7,Rates!$G$2:$G$7))+D45*(1+IF(AC46&gt;4,0.1,LOOKUP(#REF!,Rates!$D$2:$D$5,Rates!$B$2:$B$5))),"")</f>
        <v>#REF!</v>
      </c>
      <c r="E46" s="84" t="e">
        <f>IF(AB46&lt;&gt;"",IF(#REF!="بله",IF(AND(AC46&lt;=#REF!,AC46&gt;=#REF!),#REF!,0)+(Z46-S46-I46-H46-G46-F46-L46),IF(AND(AC46&lt;=#REF!,AC46&gt;=#REF!),#REF!,0)+(Z46-S46-I46-H46-G46-F46)),"")</f>
        <v>#REF!</v>
      </c>
      <c r="F46" s="84" t="e">
        <f t="shared" si="0"/>
        <v>#REF!</v>
      </c>
      <c r="G46" s="84" t="e">
        <f t="shared" si="1"/>
        <v>#REF!</v>
      </c>
      <c r="H46" s="86" t="e">
        <f t="shared" si="2"/>
        <v>#REF!</v>
      </c>
      <c r="I46" s="93">
        <v>0</v>
      </c>
      <c r="J46" s="93" t="e">
        <f t="shared" si="8"/>
        <v>#REF!</v>
      </c>
      <c r="K46" s="84" t="e">
        <f>IF(U46&lt;&gt;"",#REF!*U46,"")</f>
        <v>#REF!</v>
      </c>
      <c r="L46" s="95" t="e">
        <f t="shared" si="3"/>
        <v>#REF!</v>
      </c>
      <c r="M46" s="96">
        <f t="shared" si="4"/>
        <v>0</v>
      </c>
      <c r="N46" s="96">
        <v>0</v>
      </c>
      <c r="O46" s="96" t="e">
        <f>IF(Z46&lt;&gt;"",0.02*Z46*(1-#REF!),"")</f>
        <v>#REF!</v>
      </c>
      <c r="P46" s="95" t="e">
        <f>IF(AND(AB46&lt;=70,W46&lt;&gt;""),(1-#REF!)*((W46*0.0008*(1+(LOOKUP(#REF!,Rates!$O:$O,Rates!$M:$M)/100)))+((Y46*0.0008*#REF!))*(1+(LOOKUP(#REF!,Rates!$O:$O,Rates!$N:$N)/100))),"")</f>
        <v>#REF!</v>
      </c>
      <c r="Q46" s="88" t="e">
        <f>IF(AB46&lt;=60,(LOOKUP(AB46,Rates!$U:$U,Rates!#REF!))*V46/1000000*(1+#REF!)*(1-#REF!),"")</f>
        <v>#REF!</v>
      </c>
      <c r="R46" s="83" t="e">
        <f>IF(AND(Z46&lt;&gt;"",Q46&lt;&gt;"",P46&lt;&gt;""),IF(#REF!="بله",(Z46-Q46-P46),Z46),"")</f>
        <v>#REF!</v>
      </c>
      <c r="S46" s="84">
        <v>0</v>
      </c>
      <c r="T46" s="84" t="e">
        <f t="shared" si="6"/>
        <v>#REF!</v>
      </c>
      <c r="U46" s="84" t="e">
        <f>IF(AB46&lt;&gt;"",(Y46*LOOKUP(AB46,Rates!$U:$U,Rates!$T:$T))/SQRT(1.1),"")</f>
        <v>#REF!</v>
      </c>
      <c r="V46" s="97" t="e">
        <f>IF(AND(AB46&lt;&gt;"",AB46&lt;=60),IF(V45*(1+#REF!)&lt;300000000,V45*(1+#REF!),300000000),"")</f>
        <v>#REF!</v>
      </c>
      <c r="W46" s="89" t="e">
        <f>IF(AND(AB46&lt;&gt;"",AB46&lt;=60),Y46*#REF!,"")</f>
        <v>#REF!</v>
      </c>
      <c r="X46" s="97" t="e">
        <f>IF(AND(AB46&lt;&gt;"",AB46&lt;=70),Y46*(1+#REF!),"")</f>
        <v>#REF!</v>
      </c>
      <c r="Y46" s="97" t="e">
        <f>IF(AB46&lt;&gt;"",(1+#REF!)*Y45,"")</f>
        <v>#REF!</v>
      </c>
      <c r="Z46" s="83">
        <v>0</v>
      </c>
      <c r="AA46" s="98" t="e">
        <f>IF(AC46&lt;&gt;"",#REF!+AC46-1,"")</f>
        <v>#REF!</v>
      </c>
      <c r="AB46" s="98" t="e">
        <f>IF(AC46&lt;&gt;"",#REF!+AC46-1,"")</f>
        <v>#REF!</v>
      </c>
      <c r="AC46" s="98" t="e">
        <f>IF(AC45&lt;&gt;"",IF(AC45+1&lt;=#REF!,AC45+1,""),"")</f>
        <v>#REF!</v>
      </c>
      <c r="AD46" s="91"/>
      <c r="AE46" s="91"/>
    </row>
    <row r="47" spans="1:31" ht="17.25" x14ac:dyDescent="0.25">
      <c r="A47" s="92">
        <v>0</v>
      </c>
      <c r="B47" s="92" t="e">
        <f>IF(AB47&lt;&gt;"",E47+E47*(IF(AC47&gt;4,0.1,LOOKUP(#REF!,Rates!$D$2:$D$4,Rates!$C$2:$C$4))+0.85*(#REF!-(IF(AC47&gt;4,0.1,LOOKUP(#REF!,Rates!$D$2:$D$4,Rates!$C$2:$C$4)))))*LOOKUP(#REF!,Rates!$I$2:$I$7,Rates!$G$2:$G$7)+B46*(1+IF(AC47&gt;4,0.1,LOOKUP(#REF!,Rates!$D$2:$D$4,Rates!$C$2:$C$4))+0.85*(#REF!-IF(AC47&gt;4,0.1,LOOKUP(#REF!,Rates!$D$2:$D$4,Rates!$C$2:$C$4)))),"")</f>
        <v>#REF!</v>
      </c>
      <c r="C47" s="93" t="e">
        <f t="shared" si="9"/>
        <v>#REF!</v>
      </c>
      <c r="D47" s="94" t="e">
        <f>IF(AB47&lt;&gt;"",E47*(1+IF(AC47&gt;4,0.1,LOOKUP(#REF!,Rates!$D$2:$D$5,Rates!$B$2:$B$5))*LOOKUP(#REF!,Rates!$I$2:$I$7,Rates!$G$2:$G$7))+D46*(1+IF(AC47&gt;4,0.1,LOOKUP(#REF!,Rates!$D$2:$D$5,Rates!$B$2:$B$5))),"")</f>
        <v>#REF!</v>
      </c>
      <c r="E47" s="84" t="e">
        <f>IF(AB47&lt;&gt;"",IF(#REF!="بله",IF(AND(AC47&lt;=#REF!,AC47&gt;=#REF!),#REF!,0)+(Z47-S47-I47-H47-G47-F47-L47),IF(AND(AC47&lt;=#REF!,AC47&gt;=#REF!),#REF!,0)+(Z47-S47-I47-H47-G47-F47)),"")</f>
        <v>#REF!</v>
      </c>
      <c r="F47" s="84" t="e">
        <f t="shared" si="0"/>
        <v>#REF!</v>
      </c>
      <c r="G47" s="84" t="e">
        <f t="shared" si="1"/>
        <v>#REF!</v>
      </c>
      <c r="H47" s="86" t="e">
        <f t="shared" si="2"/>
        <v>#REF!</v>
      </c>
      <c r="I47" s="93">
        <v>0</v>
      </c>
      <c r="J47" s="93" t="e">
        <f t="shared" si="8"/>
        <v>#REF!</v>
      </c>
      <c r="K47" s="84" t="e">
        <f>IF(U47&lt;&gt;"",#REF!*U47,"")</f>
        <v>#REF!</v>
      </c>
      <c r="L47" s="95" t="e">
        <f t="shared" si="3"/>
        <v>#REF!</v>
      </c>
      <c r="M47" s="96">
        <f t="shared" si="4"/>
        <v>0</v>
      </c>
      <c r="N47" s="96">
        <v>0</v>
      </c>
      <c r="O47" s="96" t="e">
        <f>IF(Z47&lt;&gt;"",0.02*Z47*(1-#REF!),"")</f>
        <v>#REF!</v>
      </c>
      <c r="P47" s="95" t="e">
        <f>IF(AND(AB47&lt;=70,W47&lt;&gt;""),(1-#REF!)*((W47*0.0008*(1+(LOOKUP(#REF!,Rates!$O:$O,Rates!$M:$M)/100)))+((Y47*0.0008*#REF!))*(1+(LOOKUP(#REF!,Rates!$O:$O,Rates!$N:$N)/100))),"")</f>
        <v>#REF!</v>
      </c>
      <c r="Q47" s="88" t="e">
        <f>IF(AB47&lt;=60,(LOOKUP(AB47,Rates!$U:$U,Rates!#REF!))*V47/1000000*(1+#REF!)*(1-#REF!),"")</f>
        <v>#REF!</v>
      </c>
      <c r="R47" s="83" t="e">
        <f>IF(AND(Z47&lt;&gt;"",Q47&lt;&gt;"",P47&lt;&gt;""),IF(#REF!="بله",(Z47-Q47-P47),Z47),"")</f>
        <v>#REF!</v>
      </c>
      <c r="S47" s="84">
        <v>0</v>
      </c>
      <c r="T47" s="84" t="e">
        <f t="shared" si="6"/>
        <v>#REF!</v>
      </c>
      <c r="U47" s="84" t="e">
        <f>IF(AB47&lt;&gt;"",(Y47*LOOKUP(AB47,Rates!$U:$U,Rates!$T:$T))/SQRT(1.1),"")</f>
        <v>#REF!</v>
      </c>
      <c r="V47" s="97" t="e">
        <f>IF(AND(AB47&lt;&gt;"",AB47&lt;=60),IF(V46*(1+#REF!)&lt;300000000,V46*(1+#REF!),300000000),"")</f>
        <v>#REF!</v>
      </c>
      <c r="W47" s="89" t="e">
        <f>IF(AND(AB47&lt;&gt;"",AB47&lt;=60),Y47*#REF!,"")</f>
        <v>#REF!</v>
      </c>
      <c r="X47" s="97" t="e">
        <f>IF(AND(AB47&lt;&gt;"",AB47&lt;=70),Y47*(1+#REF!),"")</f>
        <v>#REF!</v>
      </c>
      <c r="Y47" s="97" t="e">
        <f>IF(AB47&lt;&gt;"",(1+#REF!)*Y46,"")</f>
        <v>#REF!</v>
      </c>
      <c r="Z47" s="83">
        <v>0</v>
      </c>
      <c r="AA47" s="98" t="e">
        <f>IF(AC47&lt;&gt;"",#REF!+AC47-1,"")</f>
        <v>#REF!</v>
      </c>
      <c r="AB47" s="98" t="e">
        <f>IF(AC47&lt;&gt;"",#REF!+AC47-1,"")</f>
        <v>#REF!</v>
      </c>
      <c r="AC47" s="98" t="e">
        <f>IF(AC46&lt;&gt;"",IF(AC46+1&lt;=#REF!,AC46+1,""),"")</f>
        <v>#REF!</v>
      </c>
      <c r="AD47" s="91"/>
      <c r="AE47" s="91"/>
    </row>
    <row r="48" spans="1:31" ht="17.25" x14ac:dyDescent="0.25">
      <c r="A48" s="92">
        <v>0</v>
      </c>
      <c r="B48" s="92" t="e">
        <f>IF(AB48&lt;&gt;"",E48+E48*(IF(AC48&gt;4,0.1,LOOKUP(#REF!,Rates!$D$2:$D$4,Rates!$C$2:$C$4))+0.85*(#REF!-(IF(AC48&gt;4,0.1,LOOKUP(#REF!,Rates!$D$2:$D$4,Rates!$C$2:$C$4)))))*LOOKUP(#REF!,Rates!$I$2:$I$7,Rates!$G$2:$G$7)+B47*(1+IF(AC48&gt;4,0.1,LOOKUP(#REF!,Rates!$D$2:$D$4,Rates!$C$2:$C$4))+0.85*(#REF!-IF(AC48&gt;4,0.1,LOOKUP(#REF!,Rates!$D$2:$D$4,Rates!$C$2:$C$4)))),"")</f>
        <v>#REF!</v>
      </c>
      <c r="C48" s="93" t="e">
        <f t="shared" si="9"/>
        <v>#REF!</v>
      </c>
      <c r="D48" s="94" t="e">
        <f>IF(AB48&lt;&gt;"",E48*(1+IF(AC48&gt;4,0.1,LOOKUP(#REF!,Rates!$D$2:$D$5,Rates!$B$2:$B$5))*LOOKUP(#REF!,Rates!$I$2:$I$7,Rates!$G$2:$G$7))+D47*(1+IF(AC48&gt;4,0.1,LOOKUP(#REF!,Rates!$D$2:$D$5,Rates!$B$2:$B$5))),"")</f>
        <v>#REF!</v>
      </c>
      <c r="E48" s="84" t="e">
        <f>IF(AB48&lt;&gt;"",IF(#REF!="بله",IF(AND(AC48&lt;=#REF!,AC48&gt;=#REF!),#REF!,0)+(Z48-S48-I48-H48-G48-F48-L48),IF(AND(AC48&lt;=#REF!,AC48&gt;=#REF!),#REF!,0)+(Z48-S48-I48-H48-G48-F48)),"")</f>
        <v>#REF!</v>
      </c>
      <c r="F48" s="84" t="e">
        <f t="shared" si="0"/>
        <v>#REF!</v>
      </c>
      <c r="G48" s="84" t="e">
        <f t="shared" si="1"/>
        <v>#REF!</v>
      </c>
      <c r="H48" s="86" t="e">
        <f t="shared" si="2"/>
        <v>#REF!</v>
      </c>
      <c r="I48" s="93">
        <v>0</v>
      </c>
      <c r="J48" s="93" t="e">
        <f t="shared" si="8"/>
        <v>#REF!</v>
      </c>
      <c r="K48" s="84" t="e">
        <f>IF(U48&lt;&gt;"",#REF!*U48,"")</f>
        <v>#REF!</v>
      </c>
      <c r="L48" s="95" t="e">
        <f t="shared" si="3"/>
        <v>#REF!</v>
      </c>
      <c r="M48" s="96">
        <f t="shared" si="4"/>
        <v>0</v>
      </c>
      <c r="N48" s="96">
        <v>0</v>
      </c>
      <c r="O48" s="96" t="e">
        <f>IF(Z48&lt;&gt;"",0.02*Z48*(1-#REF!),"")</f>
        <v>#REF!</v>
      </c>
      <c r="P48" s="95" t="e">
        <f>IF(AND(AB48&lt;=70,W48&lt;&gt;""),(1-#REF!)*((W48*0.0008*(1+(LOOKUP(#REF!,Rates!$O:$O,Rates!$M:$M)/100)))+((Y48*0.0008*#REF!))*(1+(LOOKUP(#REF!,Rates!$O:$O,Rates!$N:$N)/100))),"")</f>
        <v>#REF!</v>
      </c>
      <c r="Q48" s="88" t="e">
        <f>IF(AB48&lt;=60,(LOOKUP(AB48,Rates!$U:$U,Rates!#REF!))*V48/1000000*(1+#REF!)*(1-#REF!),"")</f>
        <v>#REF!</v>
      </c>
      <c r="R48" s="83" t="e">
        <f>IF(AND(Z48&lt;&gt;"",Q48&lt;&gt;"",P48&lt;&gt;""),IF(#REF!="بله",(Z48-Q48-P48),Z48),"")</f>
        <v>#REF!</v>
      </c>
      <c r="S48" s="84">
        <v>0</v>
      </c>
      <c r="T48" s="84" t="e">
        <f t="shared" si="6"/>
        <v>#REF!</v>
      </c>
      <c r="U48" s="84" t="e">
        <f>IF(AB48&lt;&gt;"",(Y48*LOOKUP(AB48,Rates!$U:$U,Rates!$T:$T))/SQRT(1.1),"")</f>
        <v>#REF!</v>
      </c>
      <c r="V48" s="97" t="e">
        <f>IF(AND(AB48&lt;&gt;"",AB48&lt;=60),IF(V47*(1+#REF!)&lt;300000000,V47*(1+#REF!),300000000),"")</f>
        <v>#REF!</v>
      </c>
      <c r="W48" s="89" t="e">
        <f>IF(AND(AB48&lt;&gt;"",AB48&lt;=60),Y48*#REF!,"")</f>
        <v>#REF!</v>
      </c>
      <c r="X48" s="97" t="e">
        <f>IF(AND(AB48&lt;&gt;"",AB48&lt;=70),Y48*(1+#REF!),"")</f>
        <v>#REF!</v>
      </c>
      <c r="Y48" s="97" t="e">
        <f>IF(AB48&lt;&gt;"",(1+#REF!)*Y47,"")</f>
        <v>#REF!</v>
      </c>
      <c r="Z48" s="83">
        <v>0</v>
      </c>
      <c r="AA48" s="98" t="e">
        <f>IF(AC48&lt;&gt;"",#REF!+AC48-1,"")</f>
        <v>#REF!</v>
      </c>
      <c r="AB48" s="98" t="e">
        <f>IF(AC48&lt;&gt;"",#REF!+AC48-1,"")</f>
        <v>#REF!</v>
      </c>
      <c r="AC48" s="98" t="e">
        <f>IF(AC47&lt;&gt;"",IF(AC47+1&lt;=#REF!,AC47+1,""),"")</f>
        <v>#REF!</v>
      </c>
      <c r="AD48" s="91"/>
      <c r="AE48" s="91"/>
    </row>
    <row r="49" spans="1:31" ht="17.25" x14ac:dyDescent="0.25">
      <c r="A49" s="92">
        <v>0</v>
      </c>
      <c r="B49" s="92" t="e">
        <f>IF(AB49&lt;&gt;"",E49+E49*(IF(AC49&gt;4,0.1,LOOKUP(#REF!,Rates!$D$2:$D$4,Rates!$C$2:$C$4))+0.85*(#REF!-(IF(AC49&gt;4,0.1,LOOKUP(#REF!,Rates!$D$2:$D$4,Rates!$C$2:$C$4)))))*LOOKUP(#REF!,Rates!$I$2:$I$7,Rates!$G$2:$G$7)+B48*(1+IF(AC49&gt;4,0.1,LOOKUP(#REF!,Rates!$D$2:$D$4,Rates!$C$2:$C$4))+0.85*(#REF!-IF(AC49&gt;4,0.1,LOOKUP(#REF!,Rates!$D$2:$D$4,Rates!$C$2:$C$4)))),"")</f>
        <v>#REF!</v>
      </c>
      <c r="C49" s="93" t="e">
        <f t="shared" si="9"/>
        <v>#REF!</v>
      </c>
      <c r="D49" s="94" t="e">
        <f>IF(AB49&lt;&gt;"",E49*(1+IF(AC49&gt;4,0.1,LOOKUP(#REF!,Rates!$D$2:$D$5,Rates!$B$2:$B$5))*LOOKUP(#REF!,Rates!$I$2:$I$7,Rates!$G$2:$G$7))+D48*(1+IF(AC49&gt;4,0.1,LOOKUP(#REF!,Rates!$D$2:$D$5,Rates!$B$2:$B$5))),"")</f>
        <v>#REF!</v>
      </c>
      <c r="E49" s="84" t="e">
        <f>IF(AB49&lt;&gt;"",IF(#REF!="بله",IF(AND(AC49&lt;=#REF!,AC49&gt;=#REF!),#REF!,0)+(Z49-S49-I49-H49-G49-F49-L49),IF(AND(AC49&lt;=#REF!,AC49&gt;=#REF!),#REF!,0)+(Z49-S49-I49-H49-G49-F49)),"")</f>
        <v>#REF!</v>
      </c>
      <c r="F49" s="84" t="e">
        <f t="shared" si="0"/>
        <v>#REF!</v>
      </c>
      <c r="G49" s="84" t="e">
        <f t="shared" si="1"/>
        <v>#REF!</v>
      </c>
      <c r="H49" s="86" t="e">
        <f t="shared" si="2"/>
        <v>#REF!</v>
      </c>
      <c r="I49" s="93">
        <v>0</v>
      </c>
      <c r="J49" s="93" t="e">
        <f t="shared" si="8"/>
        <v>#REF!</v>
      </c>
      <c r="K49" s="84" t="e">
        <f>IF(U49&lt;&gt;"",#REF!*U49,"")</f>
        <v>#REF!</v>
      </c>
      <c r="L49" s="95" t="e">
        <f t="shared" si="3"/>
        <v>#REF!</v>
      </c>
      <c r="M49" s="96">
        <f t="shared" si="4"/>
        <v>0</v>
      </c>
      <c r="N49" s="96">
        <v>0</v>
      </c>
      <c r="O49" s="96" t="e">
        <f>IF(Z49&lt;&gt;"",0.02*Z49*(1-#REF!),"")</f>
        <v>#REF!</v>
      </c>
      <c r="P49" s="95" t="e">
        <f>IF(AND(AB49&lt;=70,W49&lt;&gt;""),(1-#REF!)*((W49*0.0008*(1+(LOOKUP(#REF!,Rates!$O:$O,Rates!$M:$M)/100)))+((Y49*0.0008*#REF!))*(1+(LOOKUP(#REF!,Rates!$O:$O,Rates!$N:$N)/100))),"")</f>
        <v>#REF!</v>
      </c>
      <c r="Q49" s="88" t="e">
        <f>IF(AB49&lt;=60,(LOOKUP(AB49,Rates!$U:$U,Rates!#REF!))*V49/1000000*(1+#REF!)*(1-#REF!),"")</f>
        <v>#REF!</v>
      </c>
      <c r="R49" s="83" t="e">
        <f>IF(AND(Z49&lt;&gt;"",Q49&lt;&gt;"",P49&lt;&gt;""),IF(#REF!="بله",(Z49-Q49-P49),Z49),"")</f>
        <v>#REF!</v>
      </c>
      <c r="S49" s="84">
        <v>0</v>
      </c>
      <c r="T49" s="84" t="e">
        <f t="shared" si="6"/>
        <v>#REF!</v>
      </c>
      <c r="U49" s="84" t="e">
        <f>IF(AB49&lt;&gt;"",(Y49*LOOKUP(AB49,Rates!$U:$U,Rates!$T:$T))/SQRT(1.1),"")</f>
        <v>#REF!</v>
      </c>
      <c r="V49" s="97" t="e">
        <f>IF(AND(AB49&lt;&gt;"",AB49&lt;=60),IF(V48*(1+#REF!)&lt;300000000,V48*(1+#REF!),300000000),"")</f>
        <v>#REF!</v>
      </c>
      <c r="W49" s="89" t="e">
        <f>IF(AND(AB49&lt;&gt;"",AB49&lt;=60),Y49*#REF!,"")</f>
        <v>#REF!</v>
      </c>
      <c r="X49" s="97" t="e">
        <f>IF(AND(AB49&lt;&gt;"",AB49&lt;=70),Y49*(1+#REF!),"")</f>
        <v>#REF!</v>
      </c>
      <c r="Y49" s="97" t="e">
        <f>IF(AB49&lt;&gt;"",(1+#REF!)*Y48,"")</f>
        <v>#REF!</v>
      </c>
      <c r="Z49" s="83">
        <v>0</v>
      </c>
      <c r="AA49" s="98" t="e">
        <f>IF(AC49&lt;&gt;"",#REF!+AC49-1,"")</f>
        <v>#REF!</v>
      </c>
      <c r="AB49" s="98" t="e">
        <f>IF(AC49&lt;&gt;"",#REF!+AC49-1,"")</f>
        <v>#REF!</v>
      </c>
      <c r="AC49" s="98" t="e">
        <f>IF(AC48&lt;&gt;"",IF(AC48+1&lt;=#REF!,AC48+1,""),"")</f>
        <v>#REF!</v>
      </c>
      <c r="AD49" s="91"/>
      <c r="AE49" s="91"/>
    </row>
    <row r="50" spans="1:31" ht="17.25" x14ac:dyDescent="0.25">
      <c r="A50" s="92">
        <v>0</v>
      </c>
      <c r="B50" s="92" t="e">
        <f>IF(AB50&lt;&gt;"",E50+E50*(IF(AC50&gt;4,0.1,LOOKUP(#REF!,Rates!$D$2:$D$4,Rates!$C$2:$C$4))+0.85*(#REF!-(IF(AC50&gt;4,0.1,LOOKUP(#REF!,Rates!$D$2:$D$4,Rates!$C$2:$C$4)))))*LOOKUP(#REF!,Rates!$I$2:$I$7,Rates!$G$2:$G$7)+B49*(1+IF(AC50&gt;4,0.1,LOOKUP(#REF!,Rates!$D$2:$D$4,Rates!$C$2:$C$4))+0.85*(#REF!-IF(AC50&gt;4,0.1,LOOKUP(#REF!,Rates!$D$2:$D$4,Rates!$C$2:$C$4)))),"")</f>
        <v>#REF!</v>
      </c>
      <c r="C50" s="93" t="e">
        <f t="shared" si="9"/>
        <v>#REF!</v>
      </c>
      <c r="D50" s="94" t="e">
        <f>IF(AB50&lt;&gt;"",E50*(1+IF(AC50&gt;4,0.1,LOOKUP(#REF!,Rates!$D$2:$D$5,Rates!$B$2:$B$5))*LOOKUP(#REF!,Rates!$I$2:$I$7,Rates!$G$2:$G$7))+D49*(1+IF(AC50&gt;4,0.1,LOOKUP(#REF!,Rates!$D$2:$D$5,Rates!$B$2:$B$5))),"")</f>
        <v>#REF!</v>
      </c>
      <c r="E50" s="84" t="e">
        <f>IF(AB50&lt;&gt;"",IF(#REF!="بله",IF(AND(AC50&lt;=#REF!,AC50&gt;=#REF!),#REF!,0)+(Z50-S50-I50-H50-G50-F50-L50),IF(AND(AC50&lt;=#REF!,AC50&gt;=#REF!),#REF!,0)+(Z50-S50-I50-H50-G50-F50)),"")</f>
        <v>#REF!</v>
      </c>
      <c r="F50" s="84" t="e">
        <f t="shared" si="0"/>
        <v>#REF!</v>
      </c>
      <c r="G50" s="84" t="e">
        <f t="shared" si="1"/>
        <v>#REF!</v>
      </c>
      <c r="H50" s="86" t="e">
        <f t="shared" si="2"/>
        <v>#REF!</v>
      </c>
      <c r="I50" s="93">
        <v>0</v>
      </c>
      <c r="J50" s="93" t="e">
        <f t="shared" si="8"/>
        <v>#REF!</v>
      </c>
      <c r="K50" s="84" t="e">
        <f>IF(U50&lt;&gt;"",#REF!*U50,"")</f>
        <v>#REF!</v>
      </c>
      <c r="L50" s="95" t="e">
        <f t="shared" si="3"/>
        <v>#REF!</v>
      </c>
      <c r="M50" s="96">
        <f t="shared" si="4"/>
        <v>0</v>
      </c>
      <c r="N50" s="96">
        <v>0</v>
      </c>
      <c r="O50" s="96" t="e">
        <f>IF(Z50&lt;&gt;"",0.02*Z50*(1-#REF!),"")</f>
        <v>#REF!</v>
      </c>
      <c r="P50" s="95" t="e">
        <f>IF(AND(AB50&lt;=70,W50&lt;&gt;""),(1-#REF!)*((W50*0.0008*(1+(LOOKUP(#REF!,Rates!$O:$O,Rates!$M:$M)/100)))+((Y50*0.0008*#REF!))*(1+(LOOKUP(#REF!,Rates!$O:$O,Rates!$N:$N)/100))),"")</f>
        <v>#REF!</v>
      </c>
      <c r="Q50" s="88" t="e">
        <f>IF(AB50&lt;=60,(LOOKUP(AB50,Rates!$U:$U,Rates!#REF!))*V50/1000000*(1+#REF!)*(1-#REF!),"")</f>
        <v>#REF!</v>
      </c>
      <c r="R50" s="83" t="e">
        <f>IF(AND(Z50&lt;&gt;"",Q50&lt;&gt;"",P50&lt;&gt;""),IF(#REF!="بله",(Z50-Q50-P50),Z50),"")</f>
        <v>#REF!</v>
      </c>
      <c r="S50" s="84">
        <v>0</v>
      </c>
      <c r="T50" s="84" t="e">
        <f t="shared" si="6"/>
        <v>#REF!</v>
      </c>
      <c r="U50" s="84" t="e">
        <f>IF(AB50&lt;&gt;"",(Y50*LOOKUP(AB50,Rates!$U:$U,Rates!$T:$T))/SQRT(1.1),"")</f>
        <v>#REF!</v>
      </c>
      <c r="V50" s="97" t="e">
        <f>IF(AND(AB50&lt;&gt;"",AB50&lt;=60),IF(V49*(1+#REF!)&lt;300000000,V49*(1+#REF!),300000000),"")</f>
        <v>#REF!</v>
      </c>
      <c r="W50" s="89" t="e">
        <f>IF(AND(AB50&lt;&gt;"",AB50&lt;=60),Y50*#REF!,"")</f>
        <v>#REF!</v>
      </c>
      <c r="X50" s="97" t="e">
        <f>IF(AND(AB50&lt;&gt;"",AB50&lt;=70),Y50*(1+#REF!),"")</f>
        <v>#REF!</v>
      </c>
      <c r="Y50" s="97" t="e">
        <f>IF(AB50&lt;&gt;"",(1+#REF!)*Y49,"")</f>
        <v>#REF!</v>
      </c>
      <c r="Z50" s="83">
        <v>0</v>
      </c>
      <c r="AA50" s="98" t="e">
        <f>IF(AC50&lt;&gt;"",#REF!+AC50-1,"")</f>
        <v>#REF!</v>
      </c>
      <c r="AB50" s="98" t="e">
        <f>IF(AC50&lt;&gt;"",#REF!+AC50-1,"")</f>
        <v>#REF!</v>
      </c>
      <c r="AC50" s="98" t="e">
        <f>IF(AC49&lt;&gt;"",IF(AC49+1&lt;=#REF!,AC49+1,""),"")</f>
        <v>#REF!</v>
      </c>
      <c r="AD50" s="91"/>
      <c r="AE50" s="91"/>
    </row>
    <row r="51" spans="1:31" ht="17.25" x14ac:dyDescent="0.25">
      <c r="A51" s="92">
        <v>0</v>
      </c>
      <c r="B51" s="92" t="e">
        <f>IF(AB51&lt;&gt;"",E51+E51*(IF(AC51&gt;4,0.1,LOOKUP(#REF!,Rates!$D$2:$D$4,Rates!$C$2:$C$4))+0.85*(#REF!-(IF(AC51&gt;4,0.1,LOOKUP(#REF!,Rates!$D$2:$D$4,Rates!$C$2:$C$4)))))*LOOKUP(#REF!,Rates!$I$2:$I$7,Rates!$G$2:$G$7)+B50*(1+IF(AC51&gt;4,0.1,LOOKUP(#REF!,Rates!$D$2:$D$4,Rates!$C$2:$C$4))+0.85*(#REF!-IF(AC51&gt;4,0.1,LOOKUP(#REF!,Rates!$D$2:$D$4,Rates!$C$2:$C$4)))),"")</f>
        <v>#REF!</v>
      </c>
      <c r="C51" s="93" t="e">
        <f t="shared" si="9"/>
        <v>#REF!</v>
      </c>
      <c r="D51" s="94" t="e">
        <f>IF(AB51&lt;&gt;"",E51*(1+IF(AC51&gt;4,0.1,LOOKUP(#REF!,Rates!$D$2:$D$5,Rates!$B$2:$B$5))*LOOKUP(#REF!,Rates!$I$2:$I$7,Rates!$G$2:$G$7))+D50*(1+IF(AC51&gt;4,0.1,LOOKUP(#REF!,Rates!$D$2:$D$5,Rates!$B$2:$B$5))),"")</f>
        <v>#REF!</v>
      </c>
      <c r="E51" s="84" t="e">
        <f>IF(AB51&lt;&gt;"",IF(#REF!="بله",IF(AND(AC51&lt;=#REF!,AC51&gt;=#REF!),#REF!,0)+(Z51-S51-I51-H51-G51-F51-L51),IF(AND(AC51&lt;=#REF!,AC51&gt;=#REF!),#REF!,0)+(Z51-S51-I51-H51-G51-F51)),"")</f>
        <v>#REF!</v>
      </c>
      <c r="F51" s="84" t="e">
        <f t="shared" si="0"/>
        <v>#REF!</v>
      </c>
      <c r="G51" s="84" t="e">
        <f t="shared" si="1"/>
        <v>#REF!</v>
      </c>
      <c r="H51" s="86" t="e">
        <f t="shared" si="2"/>
        <v>#REF!</v>
      </c>
      <c r="I51" s="93">
        <v>0</v>
      </c>
      <c r="J51" s="93" t="e">
        <f t="shared" si="8"/>
        <v>#REF!</v>
      </c>
      <c r="K51" s="84" t="e">
        <f>IF(U51&lt;&gt;"",#REF!*U51,"")</f>
        <v>#REF!</v>
      </c>
      <c r="L51" s="95" t="e">
        <f t="shared" si="3"/>
        <v>#REF!</v>
      </c>
      <c r="M51" s="96">
        <f t="shared" si="4"/>
        <v>0</v>
      </c>
      <c r="N51" s="96">
        <v>0</v>
      </c>
      <c r="O51" s="96" t="e">
        <f>IF(Z51&lt;&gt;"",0.02*Z51*(1-#REF!),"")</f>
        <v>#REF!</v>
      </c>
      <c r="P51" s="95" t="e">
        <f>IF(AND(AB51&lt;=70,W51&lt;&gt;""),(1-#REF!)*((W51*0.0008*(1+(LOOKUP(#REF!,Rates!$O:$O,Rates!$M:$M)/100)))+((Y51*0.0008*#REF!))*(1+(LOOKUP(#REF!,Rates!$O:$O,Rates!$N:$N)/100))),"")</f>
        <v>#REF!</v>
      </c>
      <c r="Q51" s="88" t="e">
        <f>IF(AB51&lt;=60,(LOOKUP(AB51,Rates!$U:$U,Rates!#REF!))*V51/1000000*(1+#REF!)*(1-#REF!),"")</f>
        <v>#REF!</v>
      </c>
      <c r="R51" s="83" t="e">
        <f>IF(AND(Z51&lt;&gt;"",Q51&lt;&gt;"",P51&lt;&gt;""),IF(#REF!="بله",(Z51-Q51-P51),Z51),"")</f>
        <v>#REF!</v>
      </c>
      <c r="S51" s="84">
        <v>0</v>
      </c>
      <c r="T51" s="84" t="e">
        <f t="shared" si="6"/>
        <v>#REF!</v>
      </c>
      <c r="U51" s="84" t="e">
        <f>IF(AB51&lt;&gt;"",(Y51*LOOKUP(AB51,Rates!$U:$U,Rates!$T:$T))/SQRT(1.1),"")</f>
        <v>#REF!</v>
      </c>
      <c r="V51" s="97" t="e">
        <f>IF(AND(AB51&lt;&gt;"",AB51&lt;=60),IF(V50*(1+#REF!)&lt;300000000,V50*(1+#REF!),300000000),"")</f>
        <v>#REF!</v>
      </c>
      <c r="W51" s="89" t="e">
        <f>IF(AND(AB51&lt;&gt;"",AB51&lt;=60),Y51*#REF!,"")</f>
        <v>#REF!</v>
      </c>
      <c r="X51" s="97" t="e">
        <f>IF(AND(AB51&lt;&gt;"",AB51&lt;=70),Y51*(1+#REF!),"")</f>
        <v>#REF!</v>
      </c>
      <c r="Y51" s="97" t="e">
        <f>IF(AB51&lt;&gt;"",(1+#REF!)*Y50,"")</f>
        <v>#REF!</v>
      </c>
      <c r="Z51" s="83">
        <v>0</v>
      </c>
      <c r="AA51" s="98" t="e">
        <f>IF(AC51&lt;&gt;"",#REF!+AC51-1,"")</f>
        <v>#REF!</v>
      </c>
      <c r="AB51" s="98" t="e">
        <f>IF(AC51&lt;&gt;"",#REF!+AC51-1,"")</f>
        <v>#REF!</v>
      </c>
      <c r="AC51" s="98" t="e">
        <f>IF(AC50&lt;&gt;"",IF(AC50+1&lt;=#REF!,AC50+1,""),"")</f>
        <v>#REF!</v>
      </c>
      <c r="AD51" s="91"/>
      <c r="AE51" s="91"/>
    </row>
    <row r="52" spans="1:31" ht="17.25" x14ac:dyDescent="0.25">
      <c r="A52" s="92">
        <v>0</v>
      </c>
      <c r="B52" s="92" t="e">
        <f>IF(AB52&lt;&gt;"",E52+E52*(IF(AC52&gt;4,0.1,LOOKUP(#REF!,Rates!$D$2:$D$4,Rates!$C$2:$C$4))+0.85*(#REF!-(IF(AC52&gt;4,0.1,LOOKUP(#REF!,Rates!$D$2:$D$4,Rates!$C$2:$C$4)))))*LOOKUP(#REF!,Rates!$I$2:$I$7,Rates!$G$2:$G$7)+B51*(1+IF(AC52&gt;4,0.1,LOOKUP(#REF!,Rates!$D$2:$D$4,Rates!$C$2:$C$4))+0.85*(#REF!-IF(AC52&gt;4,0.1,LOOKUP(#REF!,Rates!$D$2:$D$4,Rates!$C$2:$C$4)))),"")</f>
        <v>#REF!</v>
      </c>
      <c r="C52" s="93" t="e">
        <f t="shared" si="9"/>
        <v>#REF!</v>
      </c>
      <c r="D52" s="94" t="e">
        <f>IF(AB52&lt;&gt;"",E52*(1+IF(AC52&gt;4,0.1,LOOKUP(#REF!,Rates!$D$2:$D$5,Rates!$B$2:$B$5))*LOOKUP(#REF!,Rates!$I$2:$I$7,Rates!$G$2:$G$7))+D51*(1+IF(AC52&gt;4,0.1,LOOKUP(#REF!,Rates!$D$2:$D$5,Rates!$B$2:$B$5))),"")</f>
        <v>#REF!</v>
      </c>
      <c r="E52" s="84" t="e">
        <f>IF(AB52&lt;&gt;"",IF(#REF!="بله",IF(AND(AC52&lt;=#REF!,AC52&gt;=#REF!),#REF!,0)+(Z52-S52-I52-H52-G52-F52-L52),IF(AND(AC52&lt;=#REF!,AC52&gt;=#REF!),#REF!,0)+(Z52-S52-I52-H52-G52-F52)),"")</f>
        <v>#REF!</v>
      </c>
      <c r="F52" s="84" t="e">
        <f t="shared" si="0"/>
        <v>#REF!</v>
      </c>
      <c r="G52" s="84" t="e">
        <f t="shared" si="1"/>
        <v>#REF!</v>
      </c>
      <c r="H52" s="86" t="e">
        <f t="shared" si="2"/>
        <v>#REF!</v>
      </c>
      <c r="I52" s="93">
        <v>0</v>
      </c>
      <c r="J52" s="93" t="e">
        <f t="shared" si="8"/>
        <v>#REF!</v>
      </c>
      <c r="K52" s="84" t="e">
        <f>IF(U52&lt;&gt;"",#REF!*U52,"")</f>
        <v>#REF!</v>
      </c>
      <c r="L52" s="95" t="e">
        <f t="shared" si="3"/>
        <v>#REF!</v>
      </c>
      <c r="M52" s="96">
        <f t="shared" si="4"/>
        <v>0</v>
      </c>
      <c r="N52" s="96">
        <v>0</v>
      </c>
      <c r="O52" s="96" t="e">
        <f>IF(Z52&lt;&gt;"",0.02*Z52*(1-#REF!),"")</f>
        <v>#REF!</v>
      </c>
      <c r="P52" s="95" t="e">
        <f>IF(AND(AB52&lt;=70,W52&lt;&gt;""),(1-#REF!)*((W52*0.0008*(1+(LOOKUP(#REF!,Rates!$O:$O,Rates!$M:$M)/100)))+((Y52*0.0008*#REF!))*(1+(LOOKUP(#REF!,Rates!$O:$O,Rates!$N:$N)/100))),"")</f>
        <v>#REF!</v>
      </c>
      <c r="Q52" s="88" t="e">
        <f>IF(AB52&lt;=60,(LOOKUP(AB52,Rates!$U:$U,Rates!#REF!))*V52/1000000*(1+#REF!)*(1-#REF!),"")</f>
        <v>#REF!</v>
      </c>
      <c r="R52" s="83" t="e">
        <f>IF(AND(Z52&lt;&gt;"",Q52&lt;&gt;"",P52&lt;&gt;""),IF(#REF!="بله",(Z52-Q52-P52),Z52),"")</f>
        <v>#REF!</v>
      </c>
      <c r="S52" s="84">
        <v>0</v>
      </c>
      <c r="T52" s="84" t="e">
        <f t="shared" si="6"/>
        <v>#REF!</v>
      </c>
      <c r="U52" s="84" t="e">
        <f>IF(AB52&lt;&gt;"",(Y52*LOOKUP(AB52,Rates!$U:$U,Rates!$T:$T))/SQRT(1.1),"")</f>
        <v>#REF!</v>
      </c>
      <c r="V52" s="97" t="e">
        <f>IF(AND(AB52&lt;&gt;"",AB52&lt;=60),IF(V51*(1+#REF!)&lt;300000000,V51*(1+#REF!),300000000),"")</f>
        <v>#REF!</v>
      </c>
      <c r="W52" s="89" t="e">
        <f>IF(AND(AB52&lt;&gt;"",AB52&lt;=60),Y52*#REF!,"")</f>
        <v>#REF!</v>
      </c>
      <c r="X52" s="97" t="e">
        <f>IF(AND(AB52&lt;&gt;"",AB52&lt;=70),Y52*(1+#REF!),"")</f>
        <v>#REF!</v>
      </c>
      <c r="Y52" s="97" t="e">
        <f>IF(AB52&lt;&gt;"",(1+#REF!)*Y51,"")</f>
        <v>#REF!</v>
      </c>
      <c r="Z52" s="83">
        <v>0</v>
      </c>
      <c r="AA52" s="98" t="e">
        <f>IF(AC52&lt;&gt;"",#REF!+AC52-1,"")</f>
        <v>#REF!</v>
      </c>
      <c r="AB52" s="98" t="e">
        <f>IF(AC52&lt;&gt;"",#REF!+AC52-1,"")</f>
        <v>#REF!</v>
      </c>
      <c r="AC52" s="98" t="e">
        <f>IF(AC51&lt;&gt;"",IF(AC51+1&lt;=#REF!,AC51+1,""),"")</f>
        <v>#REF!</v>
      </c>
      <c r="AD52" s="91"/>
      <c r="AE52" s="91"/>
    </row>
    <row r="53" spans="1:31" ht="17.25" x14ac:dyDescent="0.25">
      <c r="A53" s="92">
        <v>0</v>
      </c>
      <c r="B53" s="92" t="e">
        <f>IF(AB53&lt;&gt;"",E53+E53*(IF(AC53&gt;4,0.1,LOOKUP(#REF!,Rates!$D$2:$D$4,Rates!$C$2:$C$4))+0.85*(#REF!-(IF(AC53&gt;4,0.1,LOOKUP(#REF!,Rates!$D$2:$D$4,Rates!$C$2:$C$4)))))*LOOKUP(#REF!,Rates!$I$2:$I$7,Rates!$G$2:$G$7)+B52*(1+IF(AC53&gt;4,0.1,LOOKUP(#REF!,Rates!$D$2:$D$4,Rates!$C$2:$C$4))+0.85*(#REF!-IF(AC53&gt;4,0.1,LOOKUP(#REF!,Rates!$D$2:$D$4,Rates!$C$2:$C$4)))),"")</f>
        <v>#REF!</v>
      </c>
      <c r="C53" s="93" t="e">
        <f t="shared" si="9"/>
        <v>#REF!</v>
      </c>
      <c r="D53" s="94" t="e">
        <f>IF(AB53&lt;&gt;"",E53*(1+IF(AC53&gt;4,0.1,LOOKUP(#REF!,Rates!$D$2:$D$5,Rates!$B$2:$B$5))*LOOKUP(#REF!,Rates!$I$2:$I$7,Rates!$G$2:$G$7))+D52*(1+IF(AC53&gt;4,0.1,LOOKUP(#REF!,Rates!$D$2:$D$5,Rates!$B$2:$B$5))),"")</f>
        <v>#REF!</v>
      </c>
      <c r="E53" s="84" t="e">
        <f>IF(AB53&lt;&gt;"",IF(#REF!="بله",IF(AND(AC53&lt;=#REF!,AC53&gt;=#REF!),#REF!,0)+(Z53-S53-I53-H53-G53-F53-L53),IF(AND(AC53&lt;=#REF!,AC53&gt;=#REF!),#REF!,0)+(Z53-S53-I53-H53-G53-F53)),"")</f>
        <v>#REF!</v>
      </c>
      <c r="F53" s="84" t="e">
        <f t="shared" si="0"/>
        <v>#REF!</v>
      </c>
      <c r="G53" s="84" t="e">
        <f t="shared" si="1"/>
        <v>#REF!</v>
      </c>
      <c r="H53" s="86" t="e">
        <f t="shared" si="2"/>
        <v>#REF!</v>
      </c>
      <c r="I53" s="93">
        <v>0</v>
      </c>
      <c r="J53" s="93" t="e">
        <f t="shared" si="8"/>
        <v>#REF!</v>
      </c>
      <c r="K53" s="84" t="e">
        <f>IF(U53&lt;&gt;"",#REF!*U53,"")</f>
        <v>#REF!</v>
      </c>
      <c r="L53" s="95" t="e">
        <f t="shared" si="3"/>
        <v>#REF!</v>
      </c>
      <c r="M53" s="96">
        <f t="shared" si="4"/>
        <v>0</v>
      </c>
      <c r="N53" s="96">
        <v>0</v>
      </c>
      <c r="O53" s="96" t="e">
        <f>IF(Z53&lt;&gt;"",0.02*Z53*(1-#REF!),"")</f>
        <v>#REF!</v>
      </c>
      <c r="P53" s="95" t="e">
        <f>IF(AND(AB53&lt;=70,W53&lt;&gt;""),(1-#REF!)*((W53*0.0008*(1+(LOOKUP(#REF!,Rates!$O:$O,Rates!$M:$M)/100)))+((Y53*0.0008*#REF!))*(1+(LOOKUP(#REF!,Rates!$O:$O,Rates!$N:$N)/100))),"")</f>
        <v>#REF!</v>
      </c>
      <c r="Q53" s="88" t="e">
        <f>IF(AB53&lt;=60,(LOOKUP(AB53,Rates!$U:$U,Rates!#REF!))*V53/1000000*(1+#REF!)*(1-#REF!),"")</f>
        <v>#REF!</v>
      </c>
      <c r="R53" s="83" t="e">
        <f>IF(AND(Z53&lt;&gt;"",Q53&lt;&gt;"",P53&lt;&gt;""),IF(#REF!="بله",(Z53-Q53-P53),Z53),"")</f>
        <v>#REF!</v>
      </c>
      <c r="S53" s="84">
        <v>0</v>
      </c>
      <c r="T53" s="84" t="e">
        <f t="shared" si="6"/>
        <v>#REF!</v>
      </c>
      <c r="U53" s="84" t="e">
        <f>IF(AB53&lt;&gt;"",(Y53*LOOKUP(AB53,Rates!$U:$U,Rates!$T:$T))/SQRT(1.1),"")</f>
        <v>#REF!</v>
      </c>
      <c r="V53" s="97" t="e">
        <f>IF(AND(AB53&lt;&gt;"",AB53&lt;=60),IF(V52*(1+#REF!)&lt;300000000,V52*(1+#REF!),300000000),"")</f>
        <v>#REF!</v>
      </c>
      <c r="W53" s="89" t="e">
        <f>IF(AND(AB53&lt;&gt;"",AB53&lt;=60),Y53*#REF!,"")</f>
        <v>#REF!</v>
      </c>
      <c r="X53" s="97" t="e">
        <f>IF(AND(AB53&lt;&gt;"",AB53&lt;=70),Y53*(1+#REF!),"")</f>
        <v>#REF!</v>
      </c>
      <c r="Y53" s="97" t="e">
        <f>IF(AB53&lt;&gt;"",(1+#REF!)*Y52,"")</f>
        <v>#REF!</v>
      </c>
      <c r="Z53" s="83">
        <v>0</v>
      </c>
      <c r="AA53" s="98" t="e">
        <f>IF(AC53&lt;&gt;"",#REF!+AC53-1,"")</f>
        <v>#REF!</v>
      </c>
      <c r="AB53" s="98" t="e">
        <f>IF(AC53&lt;&gt;"",#REF!+AC53-1,"")</f>
        <v>#REF!</v>
      </c>
      <c r="AC53" s="98" t="e">
        <f>IF(AC52&lt;&gt;"",IF(AC52+1&lt;=#REF!,AC52+1,""),"")</f>
        <v>#REF!</v>
      </c>
      <c r="AD53" s="91"/>
      <c r="AE53" s="91"/>
    </row>
    <row r="54" spans="1:31" ht="17.25" x14ac:dyDescent="0.25">
      <c r="A54" s="92">
        <v>0</v>
      </c>
      <c r="B54" s="92" t="e">
        <f>IF(AB54&lt;&gt;"",E54+E54*(IF(AC54&gt;4,0.1,LOOKUP(#REF!,Rates!$D$2:$D$4,Rates!$C$2:$C$4))+0.85*(#REF!-(IF(AC54&gt;4,0.1,LOOKUP(#REF!,Rates!$D$2:$D$4,Rates!$C$2:$C$4)))))*LOOKUP(#REF!,Rates!$I$2:$I$7,Rates!$G$2:$G$7)+B53*(1+IF(AC54&gt;4,0.1,LOOKUP(#REF!,Rates!$D$2:$D$4,Rates!$C$2:$C$4))+0.85*(#REF!-IF(AC54&gt;4,0.1,LOOKUP(#REF!,Rates!$D$2:$D$4,Rates!$C$2:$C$4)))),"")</f>
        <v>#REF!</v>
      </c>
      <c r="C54" s="93" t="e">
        <f t="shared" si="9"/>
        <v>#REF!</v>
      </c>
      <c r="D54" s="94" t="e">
        <f>IF(AB54&lt;&gt;"",E54*(1+IF(AC54&gt;4,0.1,LOOKUP(#REF!,Rates!$D$2:$D$5,Rates!$B$2:$B$5))*LOOKUP(#REF!,Rates!$I$2:$I$7,Rates!$G$2:$G$7))+D53*(1+IF(AC54&gt;4,0.1,LOOKUP(#REF!,Rates!$D$2:$D$5,Rates!$B$2:$B$5))),"")</f>
        <v>#REF!</v>
      </c>
      <c r="E54" s="84" t="e">
        <f>IF(AB54&lt;&gt;"",IF(#REF!="بله",IF(AND(AC54&lt;=#REF!,AC54&gt;=#REF!),#REF!,0)+(Z54-S54-I54-H54-G54-F54-L54),IF(AND(AC54&lt;=#REF!,AC54&gt;=#REF!),#REF!,0)+(Z54-S54-I54-H54-G54-F54)),"")</f>
        <v>#REF!</v>
      </c>
      <c r="F54" s="84" t="e">
        <f t="shared" si="0"/>
        <v>#REF!</v>
      </c>
      <c r="G54" s="84" t="e">
        <f t="shared" si="1"/>
        <v>#REF!</v>
      </c>
      <c r="H54" s="86" t="e">
        <f t="shared" si="2"/>
        <v>#REF!</v>
      </c>
      <c r="I54" s="93">
        <v>0</v>
      </c>
      <c r="J54" s="93" t="e">
        <f t="shared" si="8"/>
        <v>#REF!</v>
      </c>
      <c r="K54" s="84" t="e">
        <f>IF(U54&lt;&gt;"",#REF!*U54,"")</f>
        <v>#REF!</v>
      </c>
      <c r="L54" s="95" t="e">
        <f t="shared" si="3"/>
        <v>#REF!</v>
      </c>
      <c r="M54" s="96">
        <f t="shared" si="4"/>
        <v>0</v>
      </c>
      <c r="N54" s="96">
        <v>0</v>
      </c>
      <c r="O54" s="96" t="e">
        <f>IF(Z54&lt;&gt;"",0.02*Z54*(1-#REF!),"")</f>
        <v>#REF!</v>
      </c>
      <c r="P54" s="95" t="e">
        <f>IF(AND(AB54&lt;=70,W54&lt;&gt;""),(1-#REF!)*((W54*0.0008*(1+(LOOKUP(#REF!,Rates!$O:$O,Rates!$M:$M)/100)))+((Y54*0.0008*#REF!))*(1+(LOOKUP(#REF!,Rates!$O:$O,Rates!$N:$N)/100))),"")</f>
        <v>#REF!</v>
      </c>
      <c r="Q54" s="88" t="e">
        <f>IF(AB54&lt;=60,(LOOKUP(AB54,Rates!$U:$U,Rates!#REF!))*V54/1000000*(1+#REF!)*(1-#REF!),"")</f>
        <v>#REF!</v>
      </c>
      <c r="R54" s="83" t="e">
        <f>IF(AND(Z54&lt;&gt;"",Q54&lt;&gt;"",P54&lt;&gt;""),IF(#REF!="بله",(Z54-Q54-P54),Z54),"")</f>
        <v>#REF!</v>
      </c>
      <c r="S54" s="84">
        <v>0</v>
      </c>
      <c r="T54" s="84" t="e">
        <f t="shared" si="6"/>
        <v>#REF!</v>
      </c>
      <c r="U54" s="84" t="e">
        <f>IF(AB54&lt;&gt;"",(Y54*LOOKUP(AB54,Rates!$U:$U,Rates!$T:$T))/SQRT(1.1),"")</f>
        <v>#REF!</v>
      </c>
      <c r="V54" s="97" t="e">
        <f>IF(AND(AB54&lt;&gt;"",AB54&lt;=60),IF(V53*(1+#REF!)&lt;300000000,V53*(1+#REF!),300000000),"")</f>
        <v>#REF!</v>
      </c>
      <c r="W54" s="89" t="e">
        <f>IF(AND(AB54&lt;&gt;"",AB54&lt;=60),Y54*#REF!,"")</f>
        <v>#REF!</v>
      </c>
      <c r="X54" s="97" t="e">
        <f>IF(AND(AB54&lt;&gt;"",AB54&lt;=70),Y54*(1+#REF!),"")</f>
        <v>#REF!</v>
      </c>
      <c r="Y54" s="97" t="e">
        <f>IF(AB54&lt;&gt;"",(1+#REF!)*Y53,"")</f>
        <v>#REF!</v>
      </c>
      <c r="Z54" s="83">
        <v>0</v>
      </c>
      <c r="AA54" s="98" t="e">
        <f>IF(AC54&lt;&gt;"",#REF!+AC54-1,"")</f>
        <v>#REF!</v>
      </c>
      <c r="AB54" s="98" t="e">
        <f>IF(AC54&lt;&gt;"",#REF!+AC54-1,"")</f>
        <v>#REF!</v>
      </c>
      <c r="AC54" s="98" t="e">
        <f>IF(AC53&lt;&gt;"",IF(AC53+1&lt;=#REF!,AC53+1,""),"")</f>
        <v>#REF!</v>
      </c>
      <c r="AD54" s="91"/>
      <c r="AE54" s="91"/>
    </row>
    <row r="55" spans="1:31" ht="17.25" x14ac:dyDescent="0.25">
      <c r="A55" s="92">
        <v>0</v>
      </c>
      <c r="B55" s="92" t="e">
        <f>IF(AB55&lt;&gt;"",E55+E55*(IF(AC55&gt;4,0.1,LOOKUP(#REF!,Rates!$D$2:$D$4,Rates!$C$2:$C$4))+0.85*(#REF!-(IF(AC55&gt;4,0.1,LOOKUP(#REF!,Rates!$D$2:$D$4,Rates!$C$2:$C$4)))))*LOOKUP(#REF!,Rates!$I$2:$I$7,Rates!$G$2:$G$7)+B54*(1+IF(AC55&gt;4,0.1,LOOKUP(#REF!,Rates!$D$2:$D$4,Rates!$C$2:$C$4))+0.85*(#REF!-IF(AC55&gt;4,0.1,LOOKUP(#REF!,Rates!$D$2:$D$4,Rates!$C$2:$C$4)))),"")</f>
        <v>#REF!</v>
      </c>
      <c r="C55" s="93" t="e">
        <f t="shared" si="9"/>
        <v>#REF!</v>
      </c>
      <c r="D55" s="94" t="e">
        <f>IF(AB55&lt;&gt;"",E55*(1+IF(AC55&gt;4,0.1,LOOKUP(#REF!,Rates!$D$2:$D$5,Rates!$B$2:$B$5))*LOOKUP(#REF!,Rates!$I$2:$I$7,Rates!$G$2:$G$7))+D54*(1+IF(AC55&gt;4,0.1,LOOKUP(#REF!,Rates!$D$2:$D$5,Rates!$B$2:$B$5))),"")</f>
        <v>#REF!</v>
      </c>
      <c r="E55" s="84" t="e">
        <f>IF(AB55&lt;&gt;"",IF(#REF!="بله",IF(AND(AC55&lt;=#REF!,AC55&gt;=#REF!),#REF!,0)+(Z55-S55-I55-H55-G55-F55-L55),IF(AND(AC55&lt;=#REF!,AC55&gt;=#REF!),#REF!,0)+(Z55-S55-I55-H55-G55-F55)),"")</f>
        <v>#REF!</v>
      </c>
      <c r="F55" s="84" t="e">
        <f t="shared" si="0"/>
        <v>#REF!</v>
      </c>
      <c r="G55" s="84" t="e">
        <f t="shared" si="1"/>
        <v>#REF!</v>
      </c>
      <c r="H55" s="86" t="e">
        <f t="shared" si="2"/>
        <v>#REF!</v>
      </c>
      <c r="I55" s="93">
        <v>0</v>
      </c>
      <c r="J55" s="93" t="e">
        <f t="shared" si="8"/>
        <v>#REF!</v>
      </c>
      <c r="K55" s="84" t="e">
        <f>IF(U55&lt;&gt;"",#REF!*U55,"")</f>
        <v>#REF!</v>
      </c>
      <c r="L55" s="95" t="e">
        <f t="shared" si="3"/>
        <v>#REF!</v>
      </c>
      <c r="M55" s="96">
        <f t="shared" si="4"/>
        <v>0</v>
      </c>
      <c r="N55" s="96">
        <v>0</v>
      </c>
      <c r="O55" s="96" t="e">
        <f>IF(Z55&lt;&gt;"",0.02*Z55*(1-#REF!),"")</f>
        <v>#REF!</v>
      </c>
      <c r="P55" s="95" t="e">
        <f>IF(AND(AB55&lt;=70,W55&lt;&gt;""),(1-#REF!)*((W55*0.0008*(1+(LOOKUP(#REF!,Rates!$O:$O,Rates!$M:$M)/100)))+((Y55*0.0008*#REF!))*(1+(LOOKUP(#REF!,Rates!$O:$O,Rates!$N:$N)/100))),"")</f>
        <v>#REF!</v>
      </c>
      <c r="Q55" s="88" t="e">
        <f>IF(AB55&lt;=60,(LOOKUP(AB55,Rates!$U:$U,Rates!#REF!))*V55/1000000*(1+#REF!)*(1-#REF!),"")</f>
        <v>#REF!</v>
      </c>
      <c r="R55" s="83" t="e">
        <f>IF(AND(Z55&lt;&gt;"",Q55&lt;&gt;"",P55&lt;&gt;""),IF(#REF!="بله",(Z55-Q55-P55),Z55),"")</f>
        <v>#REF!</v>
      </c>
      <c r="S55" s="84">
        <v>0</v>
      </c>
      <c r="T55" s="84" t="e">
        <f t="shared" si="6"/>
        <v>#REF!</v>
      </c>
      <c r="U55" s="84" t="e">
        <f>IF(AB55&lt;&gt;"",(Y55*LOOKUP(AB55,Rates!$U:$U,Rates!$T:$T))/SQRT(1.1),"")</f>
        <v>#REF!</v>
      </c>
      <c r="V55" s="97" t="e">
        <f>IF(AND(AB55&lt;&gt;"",AB55&lt;=60),IF(V54*(1+#REF!)&lt;300000000,V54*(1+#REF!),300000000),"")</f>
        <v>#REF!</v>
      </c>
      <c r="W55" s="89" t="e">
        <f>IF(AND(AB55&lt;&gt;"",AB55&lt;=60),Y55*#REF!,"")</f>
        <v>#REF!</v>
      </c>
      <c r="X55" s="97" t="e">
        <f>IF(AND(AB55&lt;&gt;"",AB55&lt;=70),Y55*(1+#REF!),"")</f>
        <v>#REF!</v>
      </c>
      <c r="Y55" s="97" t="e">
        <f>IF(AB55&lt;&gt;"",(1+#REF!)*Y54,"")</f>
        <v>#REF!</v>
      </c>
      <c r="Z55" s="83">
        <v>0</v>
      </c>
      <c r="AA55" s="98" t="e">
        <f>IF(AC55&lt;&gt;"",#REF!+AC55-1,"")</f>
        <v>#REF!</v>
      </c>
      <c r="AB55" s="98" t="e">
        <f>IF(AC55&lt;&gt;"",#REF!+AC55-1,"")</f>
        <v>#REF!</v>
      </c>
      <c r="AC55" s="98" t="e">
        <f>IF(AC54&lt;&gt;"",IF(AC54+1&lt;=#REF!,AC54+1,""),"")</f>
        <v>#REF!</v>
      </c>
      <c r="AD55" s="91"/>
      <c r="AE55" s="91"/>
    </row>
    <row r="56" spans="1:31" ht="17.25" x14ac:dyDescent="0.25">
      <c r="A56" s="92">
        <v>0</v>
      </c>
      <c r="B56" s="92" t="e">
        <f>IF(AB56&lt;&gt;"",E56+E56*(IF(AC56&gt;4,0.1,LOOKUP(#REF!,Rates!$D$2:$D$4,Rates!$C$2:$C$4))+0.85*(#REF!-(IF(AC56&gt;4,0.1,LOOKUP(#REF!,Rates!$D$2:$D$4,Rates!$C$2:$C$4)))))*LOOKUP(#REF!,Rates!$I$2:$I$7,Rates!$G$2:$G$7)+B55*(1+IF(AC56&gt;4,0.1,LOOKUP(#REF!,Rates!$D$2:$D$4,Rates!$C$2:$C$4))+0.85*(#REF!-IF(AC56&gt;4,0.1,LOOKUP(#REF!,Rates!$D$2:$D$4,Rates!$C$2:$C$4)))),"")</f>
        <v>#REF!</v>
      </c>
      <c r="C56" s="93" t="e">
        <f t="shared" si="9"/>
        <v>#REF!</v>
      </c>
      <c r="D56" s="94" t="e">
        <f>IF(AB56&lt;&gt;"",E56*(1+IF(AC56&gt;4,0.1,LOOKUP(#REF!,Rates!$D$2:$D$5,Rates!$B$2:$B$5))*LOOKUP(#REF!,Rates!$I$2:$I$7,Rates!$G$2:$G$7))+D55*(1+IF(AC56&gt;4,0.1,LOOKUP(#REF!,Rates!$D$2:$D$5,Rates!$B$2:$B$5))),"")</f>
        <v>#REF!</v>
      </c>
      <c r="E56" s="84" t="e">
        <f>IF(AB56&lt;&gt;"",IF(#REF!="بله",IF(AND(AC56&lt;=#REF!,AC56&gt;=#REF!),#REF!,0)+(Z56-S56-I56-H56-G56-F56-L56),IF(AND(AC56&lt;=#REF!,AC56&gt;=#REF!),#REF!,0)+(Z56-S56-I56-H56-G56-F56)),"")</f>
        <v>#REF!</v>
      </c>
      <c r="F56" s="84" t="e">
        <f t="shared" si="0"/>
        <v>#REF!</v>
      </c>
      <c r="G56" s="84" t="e">
        <f t="shared" si="1"/>
        <v>#REF!</v>
      </c>
      <c r="H56" s="86" t="e">
        <f t="shared" si="2"/>
        <v>#REF!</v>
      </c>
      <c r="I56" s="93">
        <v>0</v>
      </c>
      <c r="J56" s="93" t="e">
        <f t="shared" si="8"/>
        <v>#REF!</v>
      </c>
      <c r="K56" s="84" t="e">
        <f>IF(U56&lt;&gt;"",#REF!*U56,"")</f>
        <v>#REF!</v>
      </c>
      <c r="L56" s="95" t="e">
        <f t="shared" si="3"/>
        <v>#REF!</v>
      </c>
      <c r="M56" s="96">
        <f t="shared" si="4"/>
        <v>0</v>
      </c>
      <c r="N56" s="96">
        <v>0</v>
      </c>
      <c r="O56" s="96" t="e">
        <f>IF(Z56&lt;&gt;"",0.02*Z56*(1-#REF!),"")</f>
        <v>#REF!</v>
      </c>
      <c r="P56" s="95" t="e">
        <f>IF(AND(AB56&lt;=70,W56&lt;&gt;""),(1-#REF!)*((W56*0.0008*(1+(LOOKUP(#REF!,Rates!$O:$O,Rates!$M:$M)/100)))+((Y56*0.0008*#REF!))*(1+(LOOKUP(#REF!,Rates!$O:$O,Rates!$N:$N)/100))),"")</f>
        <v>#REF!</v>
      </c>
      <c r="Q56" s="88" t="e">
        <f>IF(AB56&lt;=60,(LOOKUP(AB56,Rates!$U:$U,Rates!#REF!))*V56/1000000*(1+#REF!)*(1-#REF!),"")</f>
        <v>#REF!</v>
      </c>
      <c r="R56" s="83" t="e">
        <f>IF(AND(Z56&lt;&gt;"",Q56&lt;&gt;"",P56&lt;&gt;""),IF(#REF!="بله",(Z56-Q56-P56),Z56),"")</f>
        <v>#REF!</v>
      </c>
      <c r="S56" s="84">
        <v>0</v>
      </c>
      <c r="T56" s="84" t="e">
        <f t="shared" si="6"/>
        <v>#REF!</v>
      </c>
      <c r="U56" s="84" t="e">
        <f>IF(AB56&lt;&gt;"",(Y56*LOOKUP(AB56,Rates!$U:$U,Rates!$T:$T))/SQRT(1.1),"")</f>
        <v>#REF!</v>
      </c>
      <c r="V56" s="97" t="e">
        <f>IF(AND(AB56&lt;&gt;"",AB56&lt;=60),IF(V55*(1+#REF!)&lt;300000000,V55*(1+#REF!),300000000),"")</f>
        <v>#REF!</v>
      </c>
      <c r="W56" s="89" t="e">
        <f>IF(AND(AB56&lt;&gt;"",AB56&lt;=60),Y56*#REF!,"")</f>
        <v>#REF!</v>
      </c>
      <c r="X56" s="97" t="e">
        <f>IF(AND(AB56&lt;&gt;"",AB56&lt;=70),Y56*(1+#REF!),"")</f>
        <v>#REF!</v>
      </c>
      <c r="Y56" s="97" t="e">
        <f>IF(AB56&lt;&gt;"",(1+#REF!)*Y55,"")</f>
        <v>#REF!</v>
      </c>
      <c r="Z56" s="83">
        <v>0</v>
      </c>
      <c r="AA56" s="98" t="e">
        <f>IF(AC56&lt;&gt;"",#REF!+AC56-1,"")</f>
        <v>#REF!</v>
      </c>
      <c r="AB56" s="98" t="e">
        <f>IF(AC56&lt;&gt;"",#REF!+AC56-1,"")</f>
        <v>#REF!</v>
      </c>
      <c r="AC56" s="98" t="e">
        <f>IF(AC55&lt;&gt;"",IF(AC55+1&lt;=#REF!,AC55+1,""),"")</f>
        <v>#REF!</v>
      </c>
      <c r="AD56" s="91"/>
      <c r="AE56" s="91"/>
    </row>
    <row r="57" spans="1:31" ht="17.25" x14ac:dyDescent="0.25">
      <c r="A57" s="92">
        <v>0</v>
      </c>
      <c r="B57" s="92" t="e">
        <f>IF(AB57&lt;&gt;"",E57+E57*(IF(AC57&gt;4,0.1,LOOKUP(#REF!,Rates!$D$2:$D$4,Rates!$C$2:$C$4))+0.85*(#REF!-(IF(AC57&gt;4,0.1,LOOKUP(#REF!,Rates!$D$2:$D$4,Rates!$C$2:$C$4)))))*LOOKUP(#REF!,Rates!$I$2:$I$7,Rates!$G$2:$G$7)+B56*(1+IF(AC57&gt;4,0.1,LOOKUP(#REF!,Rates!$D$2:$D$4,Rates!$C$2:$C$4))+0.85*(#REF!-IF(AC57&gt;4,0.1,LOOKUP(#REF!,Rates!$D$2:$D$4,Rates!$C$2:$C$4)))),"")</f>
        <v>#REF!</v>
      </c>
      <c r="C57" s="93" t="e">
        <f t="shared" si="9"/>
        <v>#REF!</v>
      </c>
      <c r="D57" s="94" t="e">
        <f>IF(AB57&lt;&gt;"",E57*(1+IF(AC57&gt;4,0.1,LOOKUP(#REF!,Rates!$D$2:$D$5,Rates!$B$2:$B$5))*LOOKUP(#REF!,Rates!$I$2:$I$7,Rates!$G$2:$G$7))+D56*(1+IF(AC57&gt;4,0.1,LOOKUP(#REF!,Rates!$D$2:$D$5,Rates!$B$2:$B$5))),"")</f>
        <v>#REF!</v>
      </c>
      <c r="E57" s="84" t="e">
        <f>IF(AB57&lt;&gt;"",IF(#REF!="بله",IF(AND(AC57&lt;=#REF!,AC57&gt;=#REF!),#REF!,0)+(Z57-S57-I57-H57-G57-F57-L57),IF(AND(AC57&lt;=#REF!,AC57&gt;=#REF!),#REF!,0)+(Z57-S57-I57-H57-G57-F57)),"")</f>
        <v>#REF!</v>
      </c>
      <c r="F57" s="84" t="e">
        <f t="shared" si="0"/>
        <v>#REF!</v>
      </c>
      <c r="G57" s="84" t="e">
        <f t="shared" si="1"/>
        <v>#REF!</v>
      </c>
      <c r="H57" s="86" t="e">
        <f t="shared" si="2"/>
        <v>#REF!</v>
      </c>
      <c r="I57" s="93">
        <v>0</v>
      </c>
      <c r="J57" s="93" t="e">
        <f t="shared" si="8"/>
        <v>#REF!</v>
      </c>
      <c r="K57" s="84" t="e">
        <f>IF(U57&lt;&gt;"",#REF!*U57,"")</f>
        <v>#REF!</v>
      </c>
      <c r="L57" s="95" t="e">
        <f t="shared" si="3"/>
        <v>#REF!</v>
      </c>
      <c r="M57" s="96">
        <f t="shared" si="4"/>
        <v>0</v>
      </c>
      <c r="N57" s="96">
        <v>0</v>
      </c>
      <c r="O57" s="96" t="e">
        <f>IF(Z57&lt;&gt;"",0.02*Z57*(1-#REF!),"")</f>
        <v>#REF!</v>
      </c>
      <c r="P57" s="95" t="e">
        <f>IF(AND(AB57&lt;=70,W57&lt;&gt;""),(1-#REF!)*((W57*0.0008*(1+(LOOKUP(#REF!,Rates!$O:$O,Rates!$M:$M)/100)))+((Y57*0.0008*#REF!))*(1+(LOOKUP(#REF!,Rates!$O:$O,Rates!$N:$N)/100))),"")</f>
        <v>#REF!</v>
      </c>
      <c r="Q57" s="88" t="e">
        <f>IF(AB57&lt;=60,(LOOKUP(AB57,Rates!$U:$U,Rates!#REF!))*V57/1000000*(1+#REF!)*(1-#REF!),"")</f>
        <v>#REF!</v>
      </c>
      <c r="R57" s="83" t="e">
        <f>IF(AND(Z57&lt;&gt;"",Q57&lt;&gt;"",P57&lt;&gt;""),IF(#REF!="بله",(Z57-Q57-P57),Z57),"")</f>
        <v>#REF!</v>
      </c>
      <c r="S57" s="84">
        <v>0</v>
      </c>
      <c r="T57" s="84" t="e">
        <f t="shared" si="6"/>
        <v>#REF!</v>
      </c>
      <c r="U57" s="84" t="e">
        <f>IF(AB57&lt;&gt;"",(Y57*LOOKUP(AB57,Rates!$U:$U,Rates!$T:$T))/SQRT(1.1),"")</f>
        <v>#REF!</v>
      </c>
      <c r="V57" s="97" t="e">
        <f>IF(AND(AB57&lt;&gt;"",AB57&lt;=60),IF(V56*(1+#REF!)&lt;300000000,V56*(1+#REF!),300000000),"")</f>
        <v>#REF!</v>
      </c>
      <c r="W57" s="89" t="e">
        <f>IF(AND(AB57&lt;&gt;"",AB57&lt;=60),Y57*#REF!,"")</f>
        <v>#REF!</v>
      </c>
      <c r="X57" s="97" t="e">
        <f>IF(AND(AB57&lt;&gt;"",AB57&lt;=70),Y57*(1+#REF!),"")</f>
        <v>#REF!</v>
      </c>
      <c r="Y57" s="97" t="e">
        <f>IF(AB57&lt;&gt;"",(1+#REF!)*Y56,"")</f>
        <v>#REF!</v>
      </c>
      <c r="Z57" s="83">
        <v>0</v>
      </c>
      <c r="AA57" s="98" t="e">
        <f>IF(AC57&lt;&gt;"",#REF!+AC57-1,"")</f>
        <v>#REF!</v>
      </c>
      <c r="AB57" s="98" t="e">
        <f>IF(AC57&lt;&gt;"",#REF!+AC57-1,"")</f>
        <v>#REF!</v>
      </c>
      <c r="AC57" s="98" t="e">
        <f>IF(AC56&lt;&gt;"",IF(AC56+1&lt;=#REF!,AC56+1,""),"")</f>
        <v>#REF!</v>
      </c>
      <c r="AD57" s="91"/>
      <c r="AE57" s="91"/>
    </row>
    <row r="58" spans="1:31" ht="17.25" x14ac:dyDescent="0.25">
      <c r="A58" s="92">
        <v>0</v>
      </c>
      <c r="B58" s="92" t="e">
        <f>IF(AB58&lt;&gt;"",E58+E58*(IF(AC58&gt;4,0.1,LOOKUP(#REF!,Rates!$D$2:$D$4,Rates!$C$2:$C$4))+0.85*(#REF!-(IF(AC58&gt;4,0.1,LOOKUP(#REF!,Rates!$D$2:$D$4,Rates!$C$2:$C$4)))))*LOOKUP(#REF!,Rates!$I$2:$I$7,Rates!$G$2:$G$7)+B57*(1+IF(AC58&gt;4,0.1,LOOKUP(#REF!,Rates!$D$2:$D$4,Rates!$C$2:$C$4))+0.85*(#REF!-IF(AC58&gt;4,0.1,LOOKUP(#REF!,Rates!$D$2:$D$4,Rates!$C$2:$C$4)))),"")</f>
        <v>#REF!</v>
      </c>
      <c r="C58" s="93" t="e">
        <f t="shared" si="9"/>
        <v>#REF!</v>
      </c>
      <c r="D58" s="94" t="e">
        <f>IF(AB58&lt;&gt;"",E58*(1+IF(AC58&gt;4,0.1,LOOKUP(#REF!,Rates!$D$2:$D$5,Rates!$B$2:$B$5))*LOOKUP(#REF!,Rates!$I$2:$I$7,Rates!$G$2:$G$7))+D57*(1+IF(AC58&gt;4,0.1,LOOKUP(#REF!,Rates!$D$2:$D$5,Rates!$B$2:$B$5))),"")</f>
        <v>#REF!</v>
      </c>
      <c r="E58" s="84" t="e">
        <f>IF(AB58&lt;&gt;"",IF(#REF!="بله",IF(AND(AC58&lt;=#REF!,AC58&gt;=#REF!),#REF!,0)+(Z58-S58-I58-H58-G58-F58-L58),IF(AND(AC58&lt;=#REF!,AC58&gt;=#REF!),#REF!,0)+(Z58-S58-I58-H58-G58-F58)),"")</f>
        <v>#REF!</v>
      </c>
      <c r="F58" s="84" t="e">
        <f t="shared" si="0"/>
        <v>#REF!</v>
      </c>
      <c r="G58" s="84" t="e">
        <f t="shared" si="1"/>
        <v>#REF!</v>
      </c>
      <c r="H58" s="86" t="e">
        <f t="shared" si="2"/>
        <v>#REF!</v>
      </c>
      <c r="I58" s="93">
        <v>0</v>
      </c>
      <c r="J58" s="93" t="e">
        <f t="shared" si="8"/>
        <v>#REF!</v>
      </c>
      <c r="K58" s="84" t="e">
        <f>IF(U58&lt;&gt;"",#REF!*U58,"")</f>
        <v>#REF!</v>
      </c>
      <c r="L58" s="95" t="e">
        <f t="shared" si="3"/>
        <v>#REF!</v>
      </c>
      <c r="M58" s="96">
        <f t="shared" si="4"/>
        <v>0</v>
      </c>
      <c r="N58" s="96">
        <v>0</v>
      </c>
      <c r="O58" s="96" t="e">
        <f>IF(Z58&lt;&gt;"",0.02*Z58*(1-#REF!),"")</f>
        <v>#REF!</v>
      </c>
      <c r="P58" s="95" t="e">
        <f>IF(AND(AB58&lt;=70,W58&lt;&gt;""),(1-#REF!)*((W58*0.0008*(1+(LOOKUP(#REF!,Rates!$O:$O,Rates!$M:$M)/100)))+((Y58*0.0008*#REF!))*(1+(LOOKUP(#REF!,Rates!$O:$O,Rates!$N:$N)/100))),"")</f>
        <v>#REF!</v>
      </c>
      <c r="Q58" s="88" t="e">
        <f>IF(AB58&lt;=60,(LOOKUP(AB58,Rates!$U:$U,Rates!#REF!))*V58/1000000*(1+#REF!)*(1-#REF!),"")</f>
        <v>#REF!</v>
      </c>
      <c r="R58" s="83" t="e">
        <f>IF(AND(Z58&lt;&gt;"",Q58&lt;&gt;"",P58&lt;&gt;""),IF(#REF!="بله",(Z58-Q58-P58),Z58),"")</f>
        <v>#REF!</v>
      </c>
      <c r="S58" s="84">
        <v>0</v>
      </c>
      <c r="T58" s="84" t="e">
        <f t="shared" si="6"/>
        <v>#REF!</v>
      </c>
      <c r="U58" s="84" t="e">
        <f>IF(AB58&lt;&gt;"",(Y58*LOOKUP(AB58,Rates!$U:$U,Rates!$T:$T))/SQRT(1.1),"")</f>
        <v>#REF!</v>
      </c>
      <c r="V58" s="97" t="e">
        <f>IF(AND(AB58&lt;&gt;"",AB58&lt;=60),IF(V57*(1+#REF!)&lt;300000000,V57*(1+#REF!),300000000),"")</f>
        <v>#REF!</v>
      </c>
      <c r="W58" s="89" t="e">
        <f>IF(AND(AB58&lt;&gt;"",AB58&lt;=60),Y58*#REF!,"")</f>
        <v>#REF!</v>
      </c>
      <c r="X58" s="97" t="e">
        <f>IF(AND(AB58&lt;&gt;"",AB58&lt;=70),Y58*(1+#REF!),"")</f>
        <v>#REF!</v>
      </c>
      <c r="Y58" s="97" t="e">
        <f>IF(AB58&lt;&gt;"",(1+#REF!)*Y57,"")</f>
        <v>#REF!</v>
      </c>
      <c r="Z58" s="83">
        <v>0</v>
      </c>
      <c r="AA58" s="98" t="e">
        <f>IF(AC58&lt;&gt;"",#REF!+AC58-1,"")</f>
        <v>#REF!</v>
      </c>
      <c r="AB58" s="98" t="e">
        <f>IF(AC58&lt;&gt;"",#REF!+AC58-1,"")</f>
        <v>#REF!</v>
      </c>
      <c r="AC58" s="98" t="e">
        <f>IF(AC57&lt;&gt;"",IF(AC57+1&lt;=#REF!,AC57+1,""),"")</f>
        <v>#REF!</v>
      </c>
      <c r="AD58" s="91"/>
      <c r="AE58" s="91"/>
    </row>
    <row r="59" spans="1:31" ht="17.25" x14ac:dyDescent="0.25">
      <c r="A59" s="92">
        <v>0</v>
      </c>
      <c r="B59" s="92" t="e">
        <f>IF(AB59&lt;&gt;"",E59+E59*(IF(AC59&gt;4,0.1,LOOKUP(#REF!,Rates!$D$2:$D$4,Rates!$C$2:$C$4))+0.85*(#REF!-(IF(AC59&gt;4,0.1,LOOKUP(#REF!,Rates!$D$2:$D$4,Rates!$C$2:$C$4)))))*LOOKUP(#REF!,Rates!$I$2:$I$7,Rates!$G$2:$G$7)+B58*(1+IF(AC59&gt;4,0.1,LOOKUP(#REF!,Rates!$D$2:$D$4,Rates!$C$2:$C$4))+0.85*(#REF!-IF(AC59&gt;4,0.1,LOOKUP(#REF!,Rates!$D$2:$D$4,Rates!$C$2:$C$4)))),"")</f>
        <v>#REF!</v>
      </c>
      <c r="C59" s="93" t="e">
        <f t="shared" si="9"/>
        <v>#REF!</v>
      </c>
      <c r="D59" s="94" t="e">
        <f>IF(AB59&lt;&gt;"",E59*(1+IF(AC59&gt;4,0.1,LOOKUP(#REF!,Rates!$D$2:$D$5,Rates!$B$2:$B$5))*LOOKUP(#REF!,Rates!$I$2:$I$7,Rates!$G$2:$G$7))+D58*(1+IF(AC59&gt;4,0.1,LOOKUP(#REF!,Rates!$D$2:$D$5,Rates!$B$2:$B$5))),"")</f>
        <v>#REF!</v>
      </c>
      <c r="E59" s="84" t="e">
        <f>IF(AB59&lt;&gt;"",IF(#REF!="بله",IF(AND(AC59&lt;=#REF!,AC59&gt;=#REF!),#REF!,0)+(Z59-S59-I59-H59-G59-F59-L59),IF(AND(AC59&lt;=#REF!,AC59&gt;=#REF!),#REF!,0)+(Z59-S59-I59-H59-G59-F59)),"")</f>
        <v>#REF!</v>
      </c>
      <c r="F59" s="84" t="e">
        <f t="shared" si="0"/>
        <v>#REF!</v>
      </c>
      <c r="G59" s="84" t="e">
        <f t="shared" si="1"/>
        <v>#REF!</v>
      </c>
      <c r="H59" s="86" t="e">
        <f t="shared" si="2"/>
        <v>#REF!</v>
      </c>
      <c r="I59" s="93">
        <v>0</v>
      </c>
      <c r="J59" s="93" t="e">
        <f t="shared" si="8"/>
        <v>#REF!</v>
      </c>
      <c r="K59" s="84" t="e">
        <f>IF(U59&lt;&gt;"",#REF!*U59,"")</f>
        <v>#REF!</v>
      </c>
      <c r="L59" s="95" t="e">
        <f t="shared" si="3"/>
        <v>#REF!</v>
      </c>
      <c r="M59" s="96">
        <f t="shared" si="4"/>
        <v>0</v>
      </c>
      <c r="N59" s="96">
        <v>0</v>
      </c>
      <c r="O59" s="96" t="e">
        <f>IF(Z59&lt;&gt;"",0.02*Z59*(1-#REF!),"")</f>
        <v>#REF!</v>
      </c>
      <c r="P59" s="95" t="e">
        <f>IF(AND(AB59&lt;=70,W59&lt;&gt;""),(1-#REF!)*((W59*0.0008*(1+(LOOKUP(#REF!,Rates!$O:$O,Rates!$M:$M)/100)))+((Y59*0.0008*#REF!))*(1+(LOOKUP(#REF!,Rates!$O:$O,Rates!$N:$N)/100))),"")</f>
        <v>#REF!</v>
      </c>
      <c r="Q59" s="88" t="e">
        <f>IF(AB59&lt;=60,(LOOKUP(AB59,Rates!$U:$U,Rates!#REF!))*V59/1000000*(1+#REF!)*(1-#REF!),"")</f>
        <v>#REF!</v>
      </c>
      <c r="R59" s="83" t="e">
        <f>IF(AND(Z59&lt;&gt;"",Q59&lt;&gt;"",P59&lt;&gt;""),IF(#REF!="بله",(Z59-Q59-P59),Z59),"")</f>
        <v>#REF!</v>
      </c>
      <c r="S59" s="84">
        <v>0</v>
      </c>
      <c r="T59" s="84" t="e">
        <f t="shared" si="6"/>
        <v>#REF!</v>
      </c>
      <c r="U59" s="84" t="e">
        <f>IF(AB59&lt;&gt;"",(Y59*LOOKUP(AB59,Rates!$U:$U,Rates!$T:$T))/SQRT(1.1),"")</f>
        <v>#REF!</v>
      </c>
      <c r="V59" s="97" t="e">
        <f>IF(AND(AB59&lt;&gt;"",AB59&lt;=60),IF(V58*(1+#REF!)&lt;300000000,V58*(1+#REF!),300000000),"")</f>
        <v>#REF!</v>
      </c>
      <c r="W59" s="89" t="e">
        <f>IF(AND(AB59&lt;&gt;"",AB59&lt;=60),Y59*#REF!,"")</f>
        <v>#REF!</v>
      </c>
      <c r="X59" s="97" t="e">
        <f>IF(AND(AB59&lt;&gt;"",AB59&lt;=70),Y59*(1+#REF!),"")</f>
        <v>#REF!</v>
      </c>
      <c r="Y59" s="97" t="e">
        <f>IF(AB59&lt;&gt;"",(1+#REF!)*Y58,"")</f>
        <v>#REF!</v>
      </c>
      <c r="Z59" s="83">
        <v>0</v>
      </c>
      <c r="AA59" s="98" t="e">
        <f>IF(AC59&lt;&gt;"",#REF!+AC59-1,"")</f>
        <v>#REF!</v>
      </c>
      <c r="AB59" s="98" t="e">
        <f>IF(AC59&lt;&gt;"",#REF!+AC59-1,"")</f>
        <v>#REF!</v>
      </c>
      <c r="AC59" s="98" t="e">
        <f>IF(AC58&lt;&gt;"",IF(AC58+1&lt;=#REF!,AC58+1,""),"")</f>
        <v>#REF!</v>
      </c>
      <c r="AD59" s="91"/>
      <c r="AE59" s="91"/>
    </row>
    <row r="60" spans="1:31" ht="17.25" x14ac:dyDescent="0.25">
      <c r="A60" s="92">
        <v>0</v>
      </c>
      <c r="B60" s="92" t="e">
        <f>IF(AB60&lt;&gt;"",E60+E60*(IF(AC60&gt;4,0.1,LOOKUP(#REF!,Rates!$D$2:$D$4,Rates!$C$2:$C$4))+0.85*(#REF!-(IF(AC60&gt;4,0.1,LOOKUP(#REF!,Rates!$D$2:$D$4,Rates!$C$2:$C$4)))))*LOOKUP(#REF!,Rates!$I$2:$I$7,Rates!$G$2:$G$7)+B59*(1+IF(AC60&gt;4,0.1,LOOKUP(#REF!,Rates!$D$2:$D$4,Rates!$C$2:$C$4))+0.85*(#REF!-IF(AC60&gt;4,0.1,LOOKUP(#REF!,Rates!$D$2:$D$4,Rates!$C$2:$C$4)))),"")</f>
        <v>#REF!</v>
      </c>
      <c r="C60" s="93" t="e">
        <f t="shared" si="9"/>
        <v>#REF!</v>
      </c>
      <c r="D60" s="94" t="e">
        <f>IF(AB60&lt;&gt;"",E60*(1+IF(AC60&gt;4,0.1,LOOKUP(#REF!,Rates!$D$2:$D$5,Rates!$B$2:$B$5))*LOOKUP(#REF!,Rates!$I$2:$I$7,Rates!$G$2:$G$7))+D59*(1+IF(AC60&gt;4,0.1,LOOKUP(#REF!,Rates!$D$2:$D$5,Rates!$B$2:$B$5))),"")</f>
        <v>#REF!</v>
      </c>
      <c r="E60" s="84" t="e">
        <f>IF(AB60&lt;&gt;"",IF(#REF!="بله",IF(AND(AC60&lt;=#REF!,AC60&gt;=#REF!),#REF!,0)+(Z60-S60-I60-H60-G60-F60-L60),IF(AND(AC60&lt;=#REF!,AC60&gt;=#REF!),#REF!,0)+(Z60-S60-I60-H60-G60-F60)),"")</f>
        <v>#REF!</v>
      </c>
      <c r="F60" s="84" t="e">
        <f t="shared" si="0"/>
        <v>#REF!</v>
      </c>
      <c r="G60" s="84" t="e">
        <f t="shared" si="1"/>
        <v>#REF!</v>
      </c>
      <c r="H60" s="86" t="e">
        <f t="shared" si="2"/>
        <v>#REF!</v>
      </c>
      <c r="I60" s="93">
        <v>0</v>
      </c>
      <c r="J60" s="93" t="e">
        <f t="shared" si="8"/>
        <v>#REF!</v>
      </c>
      <c r="K60" s="84" t="e">
        <f>IF(U60&lt;&gt;"",#REF!*U60,"")</f>
        <v>#REF!</v>
      </c>
      <c r="L60" s="95" t="e">
        <f t="shared" si="3"/>
        <v>#REF!</v>
      </c>
      <c r="M60" s="96">
        <f t="shared" si="4"/>
        <v>0</v>
      </c>
      <c r="N60" s="96">
        <v>0</v>
      </c>
      <c r="O60" s="96" t="e">
        <f>IF(Z60&lt;&gt;"",0.02*Z60*(1-#REF!),"")</f>
        <v>#REF!</v>
      </c>
      <c r="P60" s="95" t="e">
        <f>IF(AND(AB60&lt;=70,W60&lt;&gt;""),(1-#REF!)*((W60*0.0008*(1+(LOOKUP(#REF!,Rates!$O:$O,Rates!$M:$M)/100)))+((Y60*0.0008*#REF!))*(1+(LOOKUP(#REF!,Rates!$O:$O,Rates!$N:$N)/100))),"")</f>
        <v>#REF!</v>
      </c>
      <c r="Q60" s="88" t="e">
        <f>IF(AB60&lt;=60,(LOOKUP(AB60,Rates!$U:$U,Rates!#REF!))*V60/1000000*(1+#REF!)*(1-#REF!),"")</f>
        <v>#REF!</v>
      </c>
      <c r="R60" s="83" t="e">
        <f>IF(AND(Z60&lt;&gt;"",Q60&lt;&gt;"",P60&lt;&gt;""),IF(#REF!="بله",(Z60-Q60-P60),Z60),"")</f>
        <v>#REF!</v>
      </c>
      <c r="S60" s="84">
        <v>0</v>
      </c>
      <c r="T60" s="84" t="e">
        <f t="shared" si="6"/>
        <v>#REF!</v>
      </c>
      <c r="U60" s="84" t="e">
        <f>IF(AB60&lt;&gt;"",(Y60*LOOKUP(AB60,Rates!$U:$U,Rates!$T:$T))/SQRT(1.1),"")</f>
        <v>#REF!</v>
      </c>
      <c r="V60" s="97" t="e">
        <f>IF(AND(AB60&lt;&gt;"",AB60&lt;=60),IF(V59*(1+#REF!)&lt;300000000,V59*(1+#REF!),300000000),"")</f>
        <v>#REF!</v>
      </c>
      <c r="W60" s="89" t="e">
        <f>IF(AND(AB60&lt;&gt;"",AB60&lt;=60),Y60*#REF!,"")</f>
        <v>#REF!</v>
      </c>
      <c r="X60" s="97" t="e">
        <f>IF(AND(AB60&lt;&gt;"",AB60&lt;=70),Y60*(1+#REF!),"")</f>
        <v>#REF!</v>
      </c>
      <c r="Y60" s="97" t="e">
        <f>IF(AB60&lt;&gt;"",(1+#REF!)*Y59,"")</f>
        <v>#REF!</v>
      </c>
      <c r="Z60" s="83">
        <v>0</v>
      </c>
      <c r="AA60" s="98" t="e">
        <f>IF(AC60&lt;&gt;"",#REF!+AC60-1,"")</f>
        <v>#REF!</v>
      </c>
      <c r="AB60" s="98" t="e">
        <f>IF(AC60&lt;&gt;"",#REF!+AC60-1,"")</f>
        <v>#REF!</v>
      </c>
      <c r="AC60" s="98" t="e">
        <f>IF(AC59&lt;&gt;"",IF(AC59+1&lt;=#REF!,AC59+1,""),"")</f>
        <v>#REF!</v>
      </c>
      <c r="AD60" s="91"/>
      <c r="AE60" s="91"/>
    </row>
    <row r="61" spans="1:31" ht="17.25" x14ac:dyDescent="0.25">
      <c r="A61" s="92">
        <v>0</v>
      </c>
      <c r="B61" s="92" t="e">
        <f>IF(AB61&lt;&gt;"",E61+E61*(IF(AC61&gt;4,0.1,LOOKUP(#REF!,Rates!$D$2:$D$4,Rates!$C$2:$C$4))+0.85*(#REF!-(IF(AC61&gt;4,0.1,LOOKUP(#REF!,Rates!$D$2:$D$4,Rates!$C$2:$C$4)))))*LOOKUP(#REF!,Rates!$I$2:$I$7,Rates!$G$2:$G$7)+B60*(1+IF(AC61&gt;4,0.1,LOOKUP(#REF!,Rates!$D$2:$D$4,Rates!$C$2:$C$4))+0.85*(#REF!-IF(AC61&gt;4,0.1,LOOKUP(#REF!,Rates!$D$2:$D$4,Rates!$C$2:$C$4)))),"")</f>
        <v>#REF!</v>
      </c>
      <c r="C61" s="93" t="e">
        <f t="shared" si="9"/>
        <v>#REF!</v>
      </c>
      <c r="D61" s="94" t="e">
        <f>IF(AB61&lt;&gt;"",E61*(1+IF(AC61&gt;4,0.1,LOOKUP(#REF!,Rates!$D$2:$D$5,Rates!$B$2:$B$5))*LOOKUP(#REF!,Rates!$I$2:$I$7,Rates!$G$2:$G$7))+D60*(1+IF(AC61&gt;4,0.1,LOOKUP(#REF!,Rates!$D$2:$D$5,Rates!$B$2:$B$5))),"")</f>
        <v>#REF!</v>
      </c>
      <c r="E61" s="84" t="e">
        <f>IF(AB61&lt;&gt;"",IF(#REF!="بله",IF(AND(AC61&lt;=#REF!,AC61&gt;=#REF!),#REF!,0)+(Z61-S61-I61-H61-G61-F61-L61),IF(AND(AC61&lt;=#REF!,AC61&gt;=#REF!),#REF!,0)+(Z61-S61-I61-H61-G61-F61)),"")</f>
        <v>#REF!</v>
      </c>
      <c r="F61" s="84" t="e">
        <f t="shared" si="0"/>
        <v>#REF!</v>
      </c>
      <c r="G61" s="84" t="e">
        <f t="shared" si="1"/>
        <v>#REF!</v>
      </c>
      <c r="H61" s="86" t="e">
        <f t="shared" si="2"/>
        <v>#REF!</v>
      </c>
      <c r="I61" s="93">
        <v>0</v>
      </c>
      <c r="J61" s="93" t="e">
        <f t="shared" si="8"/>
        <v>#REF!</v>
      </c>
      <c r="K61" s="84" t="e">
        <f>IF(U61&lt;&gt;"",#REF!*U61,"")</f>
        <v>#REF!</v>
      </c>
      <c r="L61" s="95" t="e">
        <f t="shared" si="3"/>
        <v>#REF!</v>
      </c>
      <c r="M61" s="96">
        <f t="shared" si="4"/>
        <v>0</v>
      </c>
      <c r="N61" s="96">
        <v>0</v>
      </c>
      <c r="O61" s="96" t="e">
        <f>IF(Z61&lt;&gt;"",0.02*Z61*(1-#REF!),"")</f>
        <v>#REF!</v>
      </c>
      <c r="P61" s="95" t="e">
        <f>IF(AND(AB61&lt;=70,W61&lt;&gt;""),(1-#REF!)*((W61*0.0008*(1+(LOOKUP(#REF!,Rates!$O:$O,Rates!$M:$M)/100)))+((Y61*0.0008*#REF!))*(1+(LOOKUP(#REF!,Rates!$O:$O,Rates!$N:$N)/100))),"")</f>
        <v>#REF!</v>
      </c>
      <c r="Q61" s="88" t="e">
        <f>IF(AB61&lt;=60,(LOOKUP(AB61,Rates!$U:$U,Rates!#REF!))*V61/1000000*(1+#REF!)*(1-#REF!),"")</f>
        <v>#REF!</v>
      </c>
      <c r="R61" s="83" t="e">
        <f>IF(AND(Z61&lt;&gt;"",Q61&lt;&gt;"",P61&lt;&gt;""),IF(#REF!="بله",(Z61-Q61-P61),Z61),"")</f>
        <v>#REF!</v>
      </c>
      <c r="S61" s="84">
        <v>0</v>
      </c>
      <c r="T61" s="84" t="e">
        <f t="shared" si="6"/>
        <v>#REF!</v>
      </c>
      <c r="U61" s="84" t="e">
        <f>IF(AB61&lt;&gt;"",(Y61*LOOKUP(AB61,Rates!$U:$U,Rates!$T:$T))/SQRT(1.1),"")</f>
        <v>#REF!</v>
      </c>
      <c r="V61" s="97" t="e">
        <f>IF(AND(AB61&lt;&gt;"",AB61&lt;=60),IF(V60*(1+#REF!)&lt;300000000,V60*(1+#REF!),300000000),"")</f>
        <v>#REF!</v>
      </c>
      <c r="W61" s="89" t="e">
        <f>IF(AND(AB61&lt;&gt;"",AB61&lt;=60),Y61*#REF!,"")</f>
        <v>#REF!</v>
      </c>
      <c r="X61" s="97" t="e">
        <f>IF(AND(AB61&lt;&gt;"",AB61&lt;=70),Y61*(1+#REF!),"")</f>
        <v>#REF!</v>
      </c>
      <c r="Y61" s="97" t="e">
        <f>IF(AB61&lt;&gt;"",(1+#REF!)*Y60,"")</f>
        <v>#REF!</v>
      </c>
      <c r="Z61" s="83">
        <v>0</v>
      </c>
      <c r="AA61" s="98" t="e">
        <f>IF(AC61&lt;&gt;"",#REF!+AC61-1,"")</f>
        <v>#REF!</v>
      </c>
      <c r="AB61" s="98" t="e">
        <f>IF(AC61&lt;&gt;"",#REF!+AC61-1,"")</f>
        <v>#REF!</v>
      </c>
      <c r="AC61" s="98" t="e">
        <f>IF(AC60&lt;&gt;"",IF(AC60+1&lt;=#REF!,AC60+1,""),"")</f>
        <v>#REF!</v>
      </c>
      <c r="AD61" s="91"/>
      <c r="AE61" s="91"/>
    </row>
    <row r="62" spans="1:31" ht="17.25" x14ac:dyDescent="0.25">
      <c r="A62" s="92">
        <v>0</v>
      </c>
      <c r="B62" s="92" t="e">
        <f>IF(AB62&lt;&gt;"",E62+E62*(IF(AC62&gt;4,0.1,LOOKUP(#REF!,Rates!$D$2:$D$4,Rates!$C$2:$C$4))+0.85*(#REF!-(IF(AC62&gt;4,0.1,LOOKUP(#REF!,Rates!$D$2:$D$4,Rates!$C$2:$C$4)))))*LOOKUP(#REF!,Rates!$I$2:$I$7,Rates!$G$2:$G$7)+B61*(1+IF(AC62&gt;4,0.1,LOOKUP(#REF!,Rates!$D$2:$D$4,Rates!$C$2:$C$4))+0.85*(#REF!-IF(AC62&gt;4,0.1,LOOKUP(#REF!,Rates!$D$2:$D$4,Rates!$C$2:$C$4)))),"")</f>
        <v>#REF!</v>
      </c>
      <c r="C62" s="93" t="e">
        <f t="shared" si="9"/>
        <v>#REF!</v>
      </c>
      <c r="D62" s="94" t="e">
        <f>IF(AB62&lt;&gt;"",E62*(1+IF(AC62&gt;4,0.1,LOOKUP(#REF!,Rates!$D$2:$D$5,Rates!$B$2:$B$5))*LOOKUP(#REF!,Rates!$I$2:$I$7,Rates!$G$2:$G$7))+D61*(1+IF(AC62&gt;4,0.1,LOOKUP(#REF!,Rates!$D$2:$D$5,Rates!$B$2:$B$5))),"")</f>
        <v>#REF!</v>
      </c>
      <c r="E62" s="84" t="e">
        <f>IF(AB62&lt;&gt;"",IF(#REF!="بله",IF(AND(AC62&lt;=#REF!,AC62&gt;=#REF!),#REF!,0)+(Z62-S62-I62-H62-G62-F62-L62),IF(AND(AC62&lt;=#REF!,AC62&gt;=#REF!),#REF!,0)+(Z62-S62-I62-H62-G62-F62)),"")</f>
        <v>#REF!</v>
      </c>
      <c r="F62" s="84" t="e">
        <f t="shared" si="0"/>
        <v>#REF!</v>
      </c>
      <c r="G62" s="84" t="e">
        <f t="shared" si="1"/>
        <v>#REF!</v>
      </c>
      <c r="H62" s="86" t="e">
        <f t="shared" si="2"/>
        <v>#REF!</v>
      </c>
      <c r="I62" s="93">
        <v>0</v>
      </c>
      <c r="J62" s="93" t="e">
        <f t="shared" si="8"/>
        <v>#REF!</v>
      </c>
      <c r="K62" s="84" t="e">
        <f>IF(U62&lt;&gt;"",#REF!*U62,"")</f>
        <v>#REF!</v>
      </c>
      <c r="L62" s="95" t="e">
        <f t="shared" si="3"/>
        <v>#REF!</v>
      </c>
      <c r="M62" s="96">
        <f t="shared" si="4"/>
        <v>0</v>
      </c>
      <c r="N62" s="96">
        <v>0</v>
      </c>
      <c r="O62" s="96" t="e">
        <f>IF(Z62&lt;&gt;"",0.02*Z62*(1-#REF!),"")</f>
        <v>#REF!</v>
      </c>
      <c r="P62" s="95" t="e">
        <f>IF(AND(AB62&lt;=70,W62&lt;&gt;""),(1-#REF!)*((W62*0.0008*(1+(LOOKUP(#REF!,Rates!$O:$O,Rates!$M:$M)/100)))+((Y62*0.0008*#REF!))*(1+(LOOKUP(#REF!,Rates!$O:$O,Rates!$N:$N)/100))),"")</f>
        <v>#REF!</v>
      </c>
      <c r="Q62" s="88" t="e">
        <f>IF(AB62&lt;=60,(LOOKUP(AB62,Rates!$U:$U,Rates!#REF!))*V62/1000000*(1+#REF!)*(1-#REF!),"")</f>
        <v>#REF!</v>
      </c>
      <c r="R62" s="83" t="e">
        <f>IF(AND(Z62&lt;&gt;"",Q62&lt;&gt;"",P62&lt;&gt;""),IF(#REF!="بله",(Z62-Q62-P62),Z62),"")</f>
        <v>#REF!</v>
      </c>
      <c r="S62" s="84">
        <v>0</v>
      </c>
      <c r="T62" s="84" t="e">
        <f t="shared" si="6"/>
        <v>#REF!</v>
      </c>
      <c r="U62" s="84" t="e">
        <f>IF(AB62&lt;&gt;"",(Y62*LOOKUP(AB62,Rates!$U:$U,Rates!$T:$T))/SQRT(1.1),"")</f>
        <v>#REF!</v>
      </c>
      <c r="V62" s="97" t="e">
        <f>IF(AND(AB62&lt;&gt;"",AB62&lt;=60),IF(V61*(1+#REF!)&lt;300000000,V61*(1+#REF!),300000000),"")</f>
        <v>#REF!</v>
      </c>
      <c r="W62" s="89" t="e">
        <f>IF(AND(AB62&lt;&gt;"",AB62&lt;=60),Y62*#REF!,"")</f>
        <v>#REF!</v>
      </c>
      <c r="X62" s="97" t="e">
        <f>IF(AND(AB62&lt;&gt;"",AB62&lt;=70),Y62*(1+#REF!),"")</f>
        <v>#REF!</v>
      </c>
      <c r="Y62" s="97" t="e">
        <f>IF(AB62&lt;&gt;"",(1+#REF!)*Y61,"")</f>
        <v>#REF!</v>
      </c>
      <c r="Z62" s="83">
        <v>0</v>
      </c>
      <c r="AA62" s="98" t="e">
        <f>IF(AC62&lt;&gt;"",#REF!+AC62-1,"")</f>
        <v>#REF!</v>
      </c>
      <c r="AB62" s="98" t="e">
        <f>IF(AC62&lt;&gt;"",#REF!+AC62-1,"")</f>
        <v>#REF!</v>
      </c>
      <c r="AC62" s="98" t="e">
        <f>IF(AC61&lt;&gt;"",IF(AC61+1&lt;=#REF!,AC61+1,""),"")</f>
        <v>#REF!</v>
      </c>
      <c r="AD62" s="91"/>
      <c r="AE62" s="91"/>
    </row>
    <row r="63" spans="1:31" ht="17.25" x14ac:dyDescent="0.25">
      <c r="A63" s="92">
        <v>0</v>
      </c>
      <c r="B63" s="92" t="e">
        <f>IF(AB63&lt;&gt;"",E63+E63*(IF(AC63&gt;4,0.1,LOOKUP(#REF!,Rates!$D$2:$D$4,Rates!$C$2:$C$4))+0.85*(#REF!-(IF(AC63&gt;4,0.1,LOOKUP(#REF!,Rates!$D$2:$D$4,Rates!$C$2:$C$4)))))*LOOKUP(#REF!,Rates!$I$2:$I$7,Rates!$G$2:$G$7)+B62*(1+IF(AC63&gt;4,0.1,LOOKUP(#REF!,Rates!$D$2:$D$4,Rates!$C$2:$C$4))+0.85*(#REF!-IF(AC63&gt;4,0.1,LOOKUP(#REF!,Rates!$D$2:$D$4,Rates!$C$2:$C$4)))),"")</f>
        <v>#REF!</v>
      </c>
      <c r="C63" s="93" t="e">
        <f t="shared" si="9"/>
        <v>#REF!</v>
      </c>
      <c r="D63" s="94" t="e">
        <f>IF(AB63&lt;&gt;"",E63*(1+IF(AC63&gt;4,0.1,LOOKUP(#REF!,Rates!$D$2:$D$5,Rates!$B$2:$B$5))*LOOKUP(#REF!,Rates!$I$2:$I$7,Rates!$G$2:$G$7))+D62*(1+IF(AC63&gt;4,0.1,LOOKUP(#REF!,Rates!$D$2:$D$5,Rates!$B$2:$B$5))),"")</f>
        <v>#REF!</v>
      </c>
      <c r="E63" s="84" t="e">
        <f>IF(AB63&lt;&gt;"",IF(#REF!="بله",IF(AND(AC63&lt;=#REF!,AC63&gt;=#REF!),#REF!,0)+(Z63-S63-I63-H63-G63-F63-L63),IF(AND(AC63&lt;=#REF!,AC63&gt;=#REF!),#REF!,0)+(Z63-S63-I63-H63-G63-F63)),"")</f>
        <v>#REF!</v>
      </c>
      <c r="F63" s="84" t="e">
        <f t="shared" si="0"/>
        <v>#REF!</v>
      </c>
      <c r="G63" s="84" t="e">
        <f t="shared" si="1"/>
        <v>#REF!</v>
      </c>
      <c r="H63" s="86" t="e">
        <f t="shared" si="2"/>
        <v>#REF!</v>
      </c>
      <c r="I63" s="93">
        <v>0</v>
      </c>
      <c r="J63" s="93" t="e">
        <f t="shared" si="8"/>
        <v>#REF!</v>
      </c>
      <c r="K63" s="84" t="e">
        <f>IF(U63&lt;&gt;"",#REF!*U63,"")</f>
        <v>#REF!</v>
      </c>
      <c r="L63" s="95" t="e">
        <f t="shared" si="3"/>
        <v>#REF!</v>
      </c>
      <c r="M63" s="96">
        <f t="shared" si="4"/>
        <v>0</v>
      </c>
      <c r="N63" s="96">
        <v>0</v>
      </c>
      <c r="O63" s="96" t="e">
        <f>IF(Z63&lt;&gt;"",0.02*Z63*(1-#REF!),"")</f>
        <v>#REF!</v>
      </c>
      <c r="P63" s="95" t="e">
        <f>IF(AND(AB63&lt;=70,W63&lt;&gt;""),(1-#REF!)*((W63*0.0008*(1+(LOOKUP(#REF!,Rates!$O:$O,Rates!$M:$M)/100)))+((Y63*0.0008*#REF!))*(1+(LOOKUP(#REF!,Rates!$O:$O,Rates!$N:$N)/100))),"")</f>
        <v>#REF!</v>
      </c>
      <c r="Q63" s="88" t="e">
        <f>IF(AB63&lt;=60,(LOOKUP(AB63,Rates!$U:$U,Rates!#REF!))*V63/1000000*(1+#REF!)*(1-#REF!),"")</f>
        <v>#REF!</v>
      </c>
      <c r="R63" s="83" t="e">
        <f>IF(AND(Z63&lt;&gt;"",Q63&lt;&gt;"",P63&lt;&gt;""),IF(#REF!="بله",(Z63-Q63-P63),Z63),"")</f>
        <v>#REF!</v>
      </c>
      <c r="S63" s="84">
        <v>0</v>
      </c>
      <c r="T63" s="84" t="e">
        <f t="shared" si="6"/>
        <v>#REF!</v>
      </c>
      <c r="U63" s="84" t="e">
        <f>IF(AB63&lt;&gt;"",(Y63*LOOKUP(AB63,Rates!$U:$U,Rates!$T:$T))/SQRT(1.1),"")</f>
        <v>#REF!</v>
      </c>
      <c r="V63" s="97" t="e">
        <f>IF(AND(AB63&lt;&gt;"",AB63&lt;=60),IF(V62*(1+#REF!)&lt;300000000,V62*(1+#REF!),300000000),"")</f>
        <v>#REF!</v>
      </c>
      <c r="W63" s="89" t="e">
        <f>IF(AND(AB63&lt;&gt;"",AB63&lt;=60),Y63*#REF!,"")</f>
        <v>#REF!</v>
      </c>
      <c r="X63" s="97" t="e">
        <f>IF(AND(AB63&lt;&gt;"",AB63&lt;=70),Y63*(1+#REF!),"")</f>
        <v>#REF!</v>
      </c>
      <c r="Y63" s="97" t="e">
        <f>IF(AB63&lt;&gt;"",(1+#REF!)*Y62,"")</f>
        <v>#REF!</v>
      </c>
      <c r="Z63" s="83">
        <v>0</v>
      </c>
      <c r="AA63" s="98" t="e">
        <f>IF(AC63&lt;&gt;"",#REF!+AC63-1,"")</f>
        <v>#REF!</v>
      </c>
      <c r="AB63" s="98" t="e">
        <f>IF(AC63&lt;&gt;"",#REF!+AC63-1,"")</f>
        <v>#REF!</v>
      </c>
      <c r="AC63" s="98" t="e">
        <f>IF(AC62&lt;&gt;"",IF(AC62+1&lt;=#REF!,AC62+1,""),"")</f>
        <v>#REF!</v>
      </c>
      <c r="AD63" s="91"/>
      <c r="AE63" s="91"/>
    </row>
    <row r="64" spans="1:31" ht="17.25" x14ac:dyDescent="0.25">
      <c r="A64" s="92">
        <v>0</v>
      </c>
      <c r="B64" s="92" t="e">
        <f>IF(AB64&lt;&gt;"",E64+E64*(IF(AC64&gt;4,0.1,LOOKUP(#REF!,Rates!$D$2:$D$4,Rates!$C$2:$C$4))+0.85*(#REF!-(IF(AC64&gt;4,0.1,LOOKUP(#REF!,Rates!$D$2:$D$4,Rates!$C$2:$C$4)))))*LOOKUP(#REF!,Rates!$I$2:$I$7,Rates!$G$2:$G$7)+B63*(1+IF(AC64&gt;4,0.1,LOOKUP(#REF!,Rates!$D$2:$D$4,Rates!$C$2:$C$4))+0.85*(#REF!-IF(AC64&gt;4,0.1,LOOKUP(#REF!,Rates!$D$2:$D$4,Rates!$C$2:$C$4)))),"")</f>
        <v>#REF!</v>
      </c>
      <c r="C64" s="93" t="e">
        <f t="shared" si="9"/>
        <v>#REF!</v>
      </c>
      <c r="D64" s="94" t="e">
        <f>IF(AB64&lt;&gt;"",E64*(1+IF(AC64&gt;4,0.1,LOOKUP(#REF!,Rates!$D$2:$D$5,Rates!$B$2:$B$5))*LOOKUP(#REF!,Rates!$I$2:$I$7,Rates!$G$2:$G$7))+D63*(1+IF(AC64&gt;4,0.1,LOOKUP(#REF!,Rates!$D$2:$D$5,Rates!$B$2:$B$5))),"")</f>
        <v>#REF!</v>
      </c>
      <c r="E64" s="84" t="e">
        <f>IF(AB64&lt;&gt;"",IF(#REF!="بله",IF(AND(AC64&lt;=#REF!,AC64&gt;=#REF!),#REF!,0)+(Z64-S64-I64-H64-G64-F64-L64),IF(AND(AC64&lt;=#REF!,AC64&gt;=#REF!),#REF!,0)+(Z64-S64-I64-H64-G64-F64)),"")</f>
        <v>#REF!</v>
      </c>
      <c r="F64" s="84" t="e">
        <f t="shared" si="0"/>
        <v>#REF!</v>
      </c>
      <c r="G64" s="84" t="e">
        <f t="shared" si="1"/>
        <v>#REF!</v>
      </c>
      <c r="H64" s="86" t="e">
        <f t="shared" si="2"/>
        <v>#REF!</v>
      </c>
      <c r="I64" s="93">
        <v>0</v>
      </c>
      <c r="J64" s="93" t="e">
        <f t="shared" si="8"/>
        <v>#REF!</v>
      </c>
      <c r="K64" s="84" t="e">
        <f>IF(U64&lt;&gt;"",#REF!*U64,"")</f>
        <v>#REF!</v>
      </c>
      <c r="L64" s="95" t="e">
        <f t="shared" si="3"/>
        <v>#REF!</v>
      </c>
      <c r="M64" s="96">
        <f t="shared" si="4"/>
        <v>0</v>
      </c>
      <c r="N64" s="96">
        <v>0</v>
      </c>
      <c r="O64" s="96" t="e">
        <f>IF(Z64&lt;&gt;"",0.02*Z64*(1-#REF!),"")</f>
        <v>#REF!</v>
      </c>
      <c r="P64" s="95" t="e">
        <f>IF(AND(AB64&lt;=70,W64&lt;&gt;""),(1-#REF!)*((W64*0.0008*(1+(LOOKUP(#REF!,Rates!$O:$O,Rates!$M:$M)/100)))+((Y64*0.0008*#REF!))*(1+(LOOKUP(#REF!,Rates!$O:$O,Rates!$N:$N)/100))),"")</f>
        <v>#REF!</v>
      </c>
      <c r="Q64" s="88" t="e">
        <f>IF(AB64&lt;=60,(LOOKUP(AB64,Rates!$U:$U,Rates!#REF!))*V64/1000000*(1+#REF!)*(1-#REF!),"")</f>
        <v>#REF!</v>
      </c>
      <c r="R64" s="83" t="e">
        <f>IF(AND(Z64&lt;&gt;"",Q64&lt;&gt;"",P64&lt;&gt;""),IF(#REF!="بله",(Z64-Q64-P64),Z64),"")</f>
        <v>#REF!</v>
      </c>
      <c r="S64" s="84">
        <v>0</v>
      </c>
      <c r="T64" s="84" t="e">
        <f t="shared" si="6"/>
        <v>#REF!</v>
      </c>
      <c r="U64" s="84" t="e">
        <f>IF(AB64&lt;&gt;"",(Y64*LOOKUP(AB64,Rates!$U:$U,Rates!$T:$T))/SQRT(1.1),"")</f>
        <v>#REF!</v>
      </c>
      <c r="V64" s="97" t="e">
        <f>IF(AND(AB64&lt;&gt;"",AB64&lt;=60),IF(V63*(1+#REF!)&lt;300000000,V63*(1+#REF!),300000000),"")</f>
        <v>#REF!</v>
      </c>
      <c r="W64" s="89" t="e">
        <f>IF(AND(AB64&lt;&gt;"",AB64&lt;=60),Y64*#REF!,"")</f>
        <v>#REF!</v>
      </c>
      <c r="X64" s="97" t="e">
        <f>IF(AND(AB64&lt;&gt;"",AB64&lt;=70),Y64*(1+#REF!),"")</f>
        <v>#REF!</v>
      </c>
      <c r="Y64" s="97" t="e">
        <f>IF(AB64&lt;&gt;"",(1+#REF!)*Y63,"")</f>
        <v>#REF!</v>
      </c>
      <c r="Z64" s="83">
        <v>0</v>
      </c>
      <c r="AA64" s="98" t="e">
        <f>IF(AC64&lt;&gt;"",#REF!+AC64-1,"")</f>
        <v>#REF!</v>
      </c>
      <c r="AB64" s="98" t="e">
        <f>IF(AC64&lt;&gt;"",#REF!+AC64-1,"")</f>
        <v>#REF!</v>
      </c>
      <c r="AC64" s="98" t="e">
        <f>IF(AC63&lt;&gt;"",IF(AC63+1&lt;=#REF!,AC63+1,""),"")</f>
        <v>#REF!</v>
      </c>
      <c r="AD64" s="91"/>
      <c r="AE64" s="91"/>
    </row>
    <row r="65" spans="1:31" ht="17.25" x14ac:dyDescent="0.25">
      <c r="A65" s="92">
        <v>0</v>
      </c>
      <c r="B65" s="92" t="e">
        <f>IF(AB65&lt;&gt;"",E65+E65*(IF(AC65&gt;4,0.1,LOOKUP(#REF!,Rates!$D$2:$D$4,Rates!$C$2:$C$4))+0.85*(#REF!-(IF(AC65&gt;4,0.1,LOOKUP(#REF!,Rates!$D$2:$D$4,Rates!$C$2:$C$4)))))*LOOKUP(#REF!,Rates!$I$2:$I$7,Rates!$G$2:$G$7)+B64*(1+IF(AC65&gt;4,0.1,LOOKUP(#REF!,Rates!$D$2:$D$4,Rates!$C$2:$C$4))+0.85*(#REF!-IF(AC65&gt;4,0.1,LOOKUP(#REF!,Rates!$D$2:$D$4,Rates!$C$2:$C$4)))),"")</f>
        <v>#REF!</v>
      </c>
      <c r="C65" s="93" t="e">
        <f t="shared" si="9"/>
        <v>#REF!</v>
      </c>
      <c r="D65" s="94" t="e">
        <f>IF(AB65&lt;&gt;"",E65*(1+IF(AC65&gt;4,0.1,LOOKUP(#REF!,Rates!$D$2:$D$5,Rates!$B$2:$B$5))*LOOKUP(#REF!,Rates!$I$2:$I$7,Rates!$G$2:$G$7))+D64*(1+IF(AC65&gt;4,0.1,LOOKUP(#REF!,Rates!$D$2:$D$5,Rates!$B$2:$B$5))),"")</f>
        <v>#REF!</v>
      </c>
      <c r="E65" s="84" t="e">
        <f>IF(AB65&lt;&gt;"",IF(#REF!="بله",IF(AND(AC65&lt;=#REF!,AC65&gt;=#REF!),#REF!,0)+(Z65-S65-I65-H65-G65-F65-L65),IF(AND(AC65&lt;=#REF!,AC65&gt;=#REF!),#REF!,0)+(Z65-S65-I65-H65-G65-F65)),"")</f>
        <v>#REF!</v>
      </c>
      <c r="F65" s="84" t="e">
        <f t="shared" si="0"/>
        <v>#REF!</v>
      </c>
      <c r="G65" s="84" t="e">
        <f t="shared" si="1"/>
        <v>#REF!</v>
      </c>
      <c r="H65" s="86" t="e">
        <f t="shared" si="2"/>
        <v>#REF!</v>
      </c>
      <c r="I65" s="93">
        <v>0</v>
      </c>
      <c r="J65" s="93" t="e">
        <f t="shared" si="8"/>
        <v>#REF!</v>
      </c>
      <c r="K65" s="84" t="e">
        <f>IF(U65&lt;&gt;"",#REF!*U65,"")</f>
        <v>#REF!</v>
      </c>
      <c r="L65" s="95" t="e">
        <f t="shared" si="3"/>
        <v>#REF!</v>
      </c>
      <c r="M65" s="96">
        <f t="shared" si="4"/>
        <v>0</v>
      </c>
      <c r="N65" s="96">
        <v>0</v>
      </c>
      <c r="O65" s="96" t="e">
        <f>IF(Z65&lt;&gt;"",0.02*Z65*(1-#REF!),"")</f>
        <v>#REF!</v>
      </c>
      <c r="P65" s="95" t="e">
        <f>IF(AND(AB65&lt;=70,W65&lt;&gt;""),(1-#REF!)*((W65*0.0008*(1+(LOOKUP(#REF!,Rates!$O:$O,Rates!$M:$M)/100)))+((Y65*0.0008*#REF!))*(1+(LOOKUP(#REF!,Rates!$O:$O,Rates!$N:$N)/100))),"")</f>
        <v>#REF!</v>
      </c>
      <c r="Q65" s="88" t="e">
        <f>IF(AB65&lt;=60,(LOOKUP(AB65,Rates!$U:$U,Rates!#REF!))*V65/1000000*(1+#REF!)*(1-#REF!),"")</f>
        <v>#REF!</v>
      </c>
      <c r="R65" s="83" t="e">
        <f>IF(AND(Z65&lt;&gt;"",Q65&lt;&gt;"",P65&lt;&gt;""),IF(#REF!="بله",(Z65-Q65-P65),Z65),"")</f>
        <v>#REF!</v>
      </c>
      <c r="S65" s="84">
        <v>0</v>
      </c>
      <c r="T65" s="84" t="e">
        <f t="shared" si="6"/>
        <v>#REF!</v>
      </c>
      <c r="U65" s="84" t="e">
        <f>IF(AB65&lt;&gt;"",(Y65*LOOKUP(AB65,Rates!$U:$U,Rates!$T:$T))/SQRT(1.1),"")</f>
        <v>#REF!</v>
      </c>
      <c r="V65" s="97" t="e">
        <f>IF(AND(AB65&lt;&gt;"",AB65&lt;=60),IF(V64*(1+#REF!)&lt;300000000,V64*(1+#REF!),300000000),"")</f>
        <v>#REF!</v>
      </c>
      <c r="W65" s="89" t="e">
        <f>IF(AND(AB65&lt;&gt;"",AB65&lt;=60),Y65*#REF!,"")</f>
        <v>#REF!</v>
      </c>
      <c r="X65" s="97" t="e">
        <f>IF(AND(AB65&lt;&gt;"",AB65&lt;=70),Y65*(1+#REF!),"")</f>
        <v>#REF!</v>
      </c>
      <c r="Y65" s="97" t="e">
        <f>IF(AB65&lt;&gt;"",(1+#REF!)*Y64,"")</f>
        <v>#REF!</v>
      </c>
      <c r="Z65" s="83">
        <v>0</v>
      </c>
      <c r="AA65" s="98" t="e">
        <f>IF(AC65&lt;&gt;"",#REF!+AC65-1,"")</f>
        <v>#REF!</v>
      </c>
      <c r="AB65" s="98" t="e">
        <f>IF(AC65&lt;&gt;"",#REF!+AC65-1,"")</f>
        <v>#REF!</v>
      </c>
      <c r="AC65" s="98" t="e">
        <f>IF(AC64&lt;&gt;"",IF(AC64+1&lt;=#REF!,AC64+1,""),"")</f>
        <v>#REF!</v>
      </c>
      <c r="AD65" s="91"/>
      <c r="AE65" s="91"/>
    </row>
    <row r="66" spans="1:31" ht="17.25" x14ac:dyDescent="0.25">
      <c r="A66" s="92">
        <v>0</v>
      </c>
      <c r="B66" s="92" t="e">
        <f>IF(AB66&lt;&gt;"",E66+E66*(IF(AC66&gt;4,0.1,LOOKUP(#REF!,Rates!$D$2:$D$4,Rates!$C$2:$C$4))+0.85*(#REF!-(IF(AC66&gt;4,0.1,LOOKUP(#REF!,Rates!$D$2:$D$4,Rates!$C$2:$C$4)))))*LOOKUP(#REF!,Rates!$I$2:$I$7,Rates!$G$2:$G$7)+B65*(1+IF(AC66&gt;4,0.1,LOOKUP(#REF!,Rates!$D$2:$D$4,Rates!$C$2:$C$4))+0.85*(#REF!-IF(AC66&gt;4,0.1,LOOKUP(#REF!,Rates!$D$2:$D$4,Rates!$C$2:$C$4)))),"")</f>
        <v>#REF!</v>
      </c>
      <c r="C66" s="93" t="e">
        <f t="shared" si="9"/>
        <v>#REF!</v>
      </c>
      <c r="D66" s="94" t="e">
        <f>IF(AB66&lt;&gt;"",E66*(1+IF(AC66&gt;4,0.1,LOOKUP(#REF!,Rates!$D$2:$D$5,Rates!$B$2:$B$5))*LOOKUP(#REF!,Rates!$I$2:$I$7,Rates!$G$2:$G$7))+D65*(1+IF(AC66&gt;4,0.1,LOOKUP(#REF!,Rates!$D$2:$D$5,Rates!$B$2:$B$5))),"")</f>
        <v>#REF!</v>
      </c>
      <c r="E66" s="84" t="e">
        <f>IF(AB66&lt;&gt;"",IF(#REF!="بله",IF(AND(AC66&lt;=#REF!,AC66&gt;=#REF!),#REF!,0)+(Z66-S66-I66-H66-G66-F66-L66),IF(AND(AC66&lt;=#REF!,AC66&gt;=#REF!),#REF!,0)+(Z66-S66-I66-H66-G66-F66)),"")</f>
        <v>#REF!</v>
      </c>
      <c r="F66" s="84" t="e">
        <f t="shared" si="0"/>
        <v>#REF!</v>
      </c>
      <c r="G66" s="84" t="e">
        <f t="shared" si="1"/>
        <v>#REF!</v>
      </c>
      <c r="H66" s="86" t="e">
        <f t="shared" si="2"/>
        <v>#REF!</v>
      </c>
      <c r="I66" s="93">
        <v>0</v>
      </c>
      <c r="J66" s="93" t="e">
        <f t="shared" ref="J66:J71" si="10">IF(AB66&lt;&gt;"",K66/((1+10/100)^(AC66-1)),"")</f>
        <v>#REF!</v>
      </c>
      <c r="K66" s="84" t="e">
        <f>IF(U66&lt;&gt;"",#REF!*U66,"")</f>
        <v>#REF!</v>
      </c>
      <c r="L66" s="95" t="e">
        <f t="shared" si="3"/>
        <v>#REF!</v>
      </c>
      <c r="M66" s="96">
        <f t="shared" si="4"/>
        <v>0</v>
      </c>
      <c r="N66" s="96">
        <v>0</v>
      </c>
      <c r="O66" s="96" t="e">
        <f>IF(Z66&lt;&gt;"",0.02*Z66*(1-#REF!),"")</f>
        <v>#REF!</v>
      </c>
      <c r="P66" s="95" t="e">
        <f>IF(AND(AB66&lt;=70,W66&lt;&gt;""),(1-#REF!)*((W66*0.0008*(1+(LOOKUP(#REF!,Rates!$O:$O,Rates!$M:$M)/100)))+((Y66*0.0008*#REF!))*(1+(LOOKUP(#REF!,Rates!$O:$O,Rates!$N:$N)/100))),"")</f>
        <v>#REF!</v>
      </c>
      <c r="Q66" s="88" t="e">
        <f>IF(AB66&lt;=60,(LOOKUP(AB66,Rates!$U:$U,Rates!#REF!))*V66/1000000*(1+#REF!)*(1-#REF!),"")</f>
        <v>#REF!</v>
      </c>
      <c r="R66" s="83" t="e">
        <f>IF(AND(Z66&lt;&gt;"",Q66&lt;&gt;"",P66&lt;&gt;""),IF(#REF!="بله",(Z66-Q66-P66),Z66),"")</f>
        <v>#REF!</v>
      </c>
      <c r="S66" s="84">
        <v>0</v>
      </c>
      <c r="T66" s="84" t="e">
        <f t="shared" si="6"/>
        <v>#REF!</v>
      </c>
      <c r="U66" s="84" t="e">
        <f>IF(AB66&lt;&gt;"",(Y66*LOOKUP(AB66,Rates!$U:$U,Rates!$T:$T))/SQRT(1.1),"")</f>
        <v>#REF!</v>
      </c>
      <c r="V66" s="97" t="e">
        <f>IF(AND(AB66&lt;&gt;"",AB66&lt;=60),IF(V65*(1+#REF!)&lt;300000000,V65*(1+#REF!),300000000),"")</f>
        <v>#REF!</v>
      </c>
      <c r="W66" s="89" t="e">
        <f>IF(AND(AB66&lt;&gt;"",AB66&lt;=60),Y66*#REF!,"")</f>
        <v>#REF!</v>
      </c>
      <c r="X66" s="97" t="e">
        <f>IF(AND(AB66&lt;&gt;"",AB66&lt;=70),Y66*(1+#REF!),"")</f>
        <v>#REF!</v>
      </c>
      <c r="Y66" s="97" t="e">
        <f>IF(AB66&lt;&gt;"",(1+#REF!)*Y65,"")</f>
        <v>#REF!</v>
      </c>
      <c r="Z66" s="83">
        <v>0</v>
      </c>
      <c r="AA66" s="98" t="e">
        <f>IF(AC66&lt;&gt;"",#REF!+AC66-1,"")</f>
        <v>#REF!</v>
      </c>
      <c r="AB66" s="98" t="e">
        <f>IF(AC66&lt;&gt;"",#REF!+AC66-1,"")</f>
        <v>#REF!</v>
      </c>
      <c r="AC66" s="98" t="e">
        <f>IF(AC65&lt;&gt;"",IF(AC65+1&lt;=#REF!,AC65+1,""),"")</f>
        <v>#REF!</v>
      </c>
      <c r="AD66" s="91"/>
      <c r="AE66" s="91"/>
    </row>
    <row r="67" spans="1:31" ht="17.25" x14ac:dyDescent="0.25">
      <c r="A67" s="92">
        <v>0</v>
      </c>
      <c r="B67" s="92" t="e">
        <f>IF(AB67&lt;&gt;"",E67+E67*(IF(AC67&gt;4,0.1,LOOKUP(#REF!,Rates!$D$2:$D$4,Rates!$C$2:$C$4))+0.85*(#REF!-(IF(AC67&gt;4,0.1,LOOKUP(#REF!,Rates!$D$2:$D$4,Rates!$C$2:$C$4)))))*LOOKUP(#REF!,Rates!$I$2:$I$7,Rates!$G$2:$G$7)+B66*(1+IF(AC67&gt;4,0.1,LOOKUP(#REF!,Rates!$D$2:$D$4,Rates!$C$2:$C$4))+0.85*(#REF!-IF(AC67&gt;4,0.1,LOOKUP(#REF!,Rates!$D$2:$D$4,Rates!$C$2:$C$4)))),"")</f>
        <v>#REF!</v>
      </c>
      <c r="C67" s="93" t="e">
        <f t="shared" si="9"/>
        <v>#REF!</v>
      </c>
      <c r="D67" s="94" t="e">
        <f>IF(AB67&lt;&gt;"",E67*(1+IF(AC67&gt;4,0.1,LOOKUP(#REF!,Rates!$D$2:$D$5,Rates!$B$2:$B$5))*LOOKUP(#REF!,Rates!$I$2:$I$7,Rates!$G$2:$G$7))+D66*(1+IF(AC67&gt;4,0.1,LOOKUP(#REF!,Rates!$D$2:$D$5,Rates!$B$2:$B$5))),"")</f>
        <v>#REF!</v>
      </c>
      <c r="E67" s="84" t="e">
        <f>IF(AB67&lt;&gt;"",IF(#REF!="بله",IF(AND(AC67&lt;=#REF!,AC67&gt;=#REF!),#REF!,0)+(Z67-S67-I67-H67-G67-F67-L67),IF(AND(AC67&lt;=#REF!,AC67&gt;=#REF!),#REF!,0)+(Z67-S67-I67-H67-G67-F67)),"")</f>
        <v>#REF!</v>
      </c>
      <c r="F67" s="84" t="e">
        <f t="shared" ref="F67:F71" si="11">IF(AB67&lt;&gt;"",0.03*(H67+I67+S67+L67),"")</f>
        <v>#REF!</v>
      </c>
      <c r="G67" s="84" t="e">
        <f t="shared" ref="G67:G71" si="12">IF(AB67&lt;&gt;"",0.06*(H67+I67+S67+L67),"")</f>
        <v>#REF!</v>
      </c>
      <c r="H67" s="86" t="e">
        <f t="shared" ref="H67:H71" si="13">IF(M67="",0,M67)+IF(N67="",0,N67)+IF(O67="",0,O67)</f>
        <v>#REF!</v>
      </c>
      <c r="I67" s="93">
        <v>0</v>
      </c>
      <c r="J67" s="93" t="e">
        <f t="shared" si="10"/>
        <v>#REF!</v>
      </c>
      <c r="K67" s="84" t="e">
        <f>IF(U67&lt;&gt;"",#REF!*U67,"")</f>
        <v>#REF!</v>
      </c>
      <c r="L67" s="95" t="e">
        <f t="shared" ref="L67:L71" si="14">IF(P67="",0,P67)+IF(Q67="",0,Q67)</f>
        <v>#REF!</v>
      </c>
      <c r="M67" s="96">
        <f t="shared" si="4"/>
        <v>0</v>
      </c>
      <c r="N67" s="96">
        <v>0</v>
      </c>
      <c r="O67" s="96" t="e">
        <f>IF(Z67&lt;&gt;"",0.02*Z67*(1-#REF!),"")</f>
        <v>#REF!</v>
      </c>
      <c r="P67" s="95" t="e">
        <f>IF(AND(AB67&lt;=70,W67&lt;&gt;""),(1-#REF!)*((W67*0.0008*(1+(LOOKUP(#REF!,Rates!$O:$O,Rates!$M:$M)/100)))+((Y67*0.0008*#REF!))*(1+(LOOKUP(#REF!,Rates!$O:$O,Rates!$N:$N)/100))),"")</f>
        <v>#REF!</v>
      </c>
      <c r="Q67" s="88" t="e">
        <f>IF(AB67&lt;=60,(LOOKUP(AB67,Rates!$U:$U,Rates!#REF!))*V67/1000000*(1+#REF!)*(1-#REF!),"")</f>
        <v>#REF!</v>
      </c>
      <c r="R67" s="83" t="e">
        <f>IF(AND(Z67&lt;&gt;"",Q67&lt;&gt;"",P67&lt;&gt;""),IF(#REF!="بله",(Z67-Q67-P67),Z67),"")</f>
        <v>#REF!</v>
      </c>
      <c r="S67" s="84">
        <v>0</v>
      </c>
      <c r="T67" s="84" t="e">
        <f t="shared" ref="T67:T71" si="15">IF(AB67&lt;&gt;"",U67/((1+10/100)^(AC67-1)),"")</f>
        <v>#REF!</v>
      </c>
      <c r="U67" s="84" t="e">
        <f>IF(AB67&lt;&gt;"",(Y67*LOOKUP(AB67,Rates!$U:$U,Rates!$T:$T))/SQRT(1.1),"")</f>
        <v>#REF!</v>
      </c>
      <c r="V67" s="97" t="e">
        <f>IF(AND(AB67&lt;&gt;"",AB67&lt;=60),IF(V66*(1+#REF!)&lt;300000000,V66*(1+#REF!),300000000),"")</f>
        <v>#REF!</v>
      </c>
      <c r="W67" s="89" t="e">
        <f>IF(AND(AB67&lt;&gt;"",AB67&lt;=60),Y67*#REF!,"")</f>
        <v>#REF!</v>
      </c>
      <c r="X67" s="97" t="e">
        <f>IF(AND(AB67&lt;&gt;"",AB67&lt;=70),Y67*(1+#REF!),"")</f>
        <v>#REF!</v>
      </c>
      <c r="Y67" s="97" t="e">
        <f>IF(AB67&lt;&gt;"",(1+#REF!)*Y66,"")</f>
        <v>#REF!</v>
      </c>
      <c r="Z67" s="83">
        <v>0</v>
      </c>
      <c r="AA67" s="98" t="e">
        <f>IF(AC67&lt;&gt;"",#REF!+AC67-1,"")</f>
        <v>#REF!</v>
      </c>
      <c r="AB67" s="98" t="e">
        <f>IF(AC67&lt;&gt;"",#REF!+AC67-1,"")</f>
        <v>#REF!</v>
      </c>
      <c r="AC67" s="98" t="e">
        <f>IF(AC66&lt;&gt;"",IF(AC66+1&lt;=#REF!,AC66+1,""),"")</f>
        <v>#REF!</v>
      </c>
      <c r="AD67" s="91"/>
      <c r="AE67" s="91"/>
    </row>
    <row r="68" spans="1:31" ht="17.25" x14ac:dyDescent="0.25">
      <c r="A68" s="92">
        <v>0</v>
      </c>
      <c r="B68" s="92" t="e">
        <f>IF(AB68&lt;&gt;"",E68+E68*(IF(AC68&gt;4,0.1,LOOKUP(#REF!,Rates!$D$2:$D$4,Rates!$C$2:$C$4))+0.85*(#REF!-(IF(AC68&gt;4,0.1,LOOKUP(#REF!,Rates!$D$2:$D$4,Rates!$C$2:$C$4)))))*LOOKUP(#REF!,Rates!$I$2:$I$7,Rates!$G$2:$G$7)+B67*(1+IF(AC68&gt;4,0.1,LOOKUP(#REF!,Rates!$D$2:$D$4,Rates!$C$2:$C$4))+0.85*(#REF!-IF(AC68&gt;4,0.1,LOOKUP(#REF!,Rates!$D$2:$D$4,Rates!$C$2:$C$4)))),"")</f>
        <v>#REF!</v>
      </c>
      <c r="C68" s="93" t="e">
        <f t="shared" si="9"/>
        <v>#REF!</v>
      </c>
      <c r="D68" s="94" t="e">
        <f>IF(AB68&lt;&gt;"",E68*(1+IF(AC68&gt;4,0.1,LOOKUP(#REF!,Rates!$D$2:$D$5,Rates!$B$2:$B$5))*LOOKUP(#REF!,Rates!$I$2:$I$7,Rates!$G$2:$G$7))+D67*(1+IF(AC68&gt;4,0.1,LOOKUP(#REF!,Rates!$D$2:$D$5,Rates!$B$2:$B$5))),"")</f>
        <v>#REF!</v>
      </c>
      <c r="E68" s="84" t="e">
        <f>IF(AB68&lt;&gt;"",IF(#REF!="بله",IF(AND(AC68&lt;=#REF!,AC68&gt;=#REF!),#REF!,0)+(Z68-S68-I68-H68-G68-F68-L68),IF(AND(AC68&lt;=#REF!,AC68&gt;=#REF!),#REF!,0)+(Z68-S68-I68-H68-G68-F68)),"")</f>
        <v>#REF!</v>
      </c>
      <c r="F68" s="84" t="e">
        <f t="shared" si="11"/>
        <v>#REF!</v>
      </c>
      <c r="G68" s="84" t="e">
        <f t="shared" si="12"/>
        <v>#REF!</v>
      </c>
      <c r="H68" s="86" t="e">
        <f t="shared" si="13"/>
        <v>#REF!</v>
      </c>
      <c r="I68" s="93">
        <v>0</v>
      </c>
      <c r="J68" s="93" t="e">
        <f t="shared" si="10"/>
        <v>#REF!</v>
      </c>
      <c r="K68" s="84" t="e">
        <f>IF(U68&lt;&gt;"",#REF!*U68,"")</f>
        <v>#REF!</v>
      </c>
      <c r="L68" s="95" t="e">
        <f t="shared" si="14"/>
        <v>#REF!</v>
      </c>
      <c r="M68" s="96">
        <f t="shared" ref="M68:M71" si="16">IF(Z68&lt;&gt;"",5/100*Z68,"")</f>
        <v>0</v>
      </c>
      <c r="N68" s="96">
        <v>0</v>
      </c>
      <c r="O68" s="96" t="e">
        <f>IF(Z68&lt;&gt;"",0.02*Z68*(1-#REF!),"")</f>
        <v>#REF!</v>
      </c>
      <c r="P68" s="95" t="e">
        <f>IF(AND(AB68&lt;=70,W68&lt;&gt;""),(1-#REF!)*((W68*0.0008*(1+(LOOKUP(#REF!,Rates!$O:$O,Rates!$M:$M)/100)))+((Y68*0.0008*#REF!))*(1+(LOOKUP(#REF!,Rates!$O:$O,Rates!$N:$N)/100))),"")</f>
        <v>#REF!</v>
      </c>
      <c r="Q68" s="88" t="e">
        <f>IF(AB68&lt;=60,(LOOKUP(AB68,Rates!$U:$U,Rates!#REF!))*V68/1000000*(1+#REF!)*(1-#REF!),"")</f>
        <v>#REF!</v>
      </c>
      <c r="R68" s="83" t="e">
        <f>IF(AND(Z68&lt;&gt;"",Q68&lt;&gt;"",P68&lt;&gt;""),IF(#REF!="بله",(Z68-Q68-P68),Z68),"")</f>
        <v>#REF!</v>
      </c>
      <c r="S68" s="84">
        <v>0</v>
      </c>
      <c r="T68" s="84" t="e">
        <f t="shared" si="15"/>
        <v>#REF!</v>
      </c>
      <c r="U68" s="84" t="e">
        <f>IF(AB68&lt;&gt;"",(Y68*LOOKUP(AB68,Rates!$U:$U,Rates!$T:$T))/SQRT(1.1),"")</f>
        <v>#REF!</v>
      </c>
      <c r="V68" s="97" t="e">
        <f>IF(AND(AB68&lt;&gt;"",AB68&lt;=60),IF(V67*(1+#REF!)&lt;300000000,V67*(1+#REF!),300000000),"")</f>
        <v>#REF!</v>
      </c>
      <c r="W68" s="89" t="e">
        <f>IF(AND(AB68&lt;&gt;"",AB68&lt;=60),Y68*#REF!,"")</f>
        <v>#REF!</v>
      </c>
      <c r="X68" s="97" t="e">
        <f>IF(AND(AB68&lt;&gt;"",AB68&lt;=70),Y68*(1+#REF!),"")</f>
        <v>#REF!</v>
      </c>
      <c r="Y68" s="97" t="e">
        <f>IF(AB68&lt;&gt;"",(1+#REF!)*Y67,"")</f>
        <v>#REF!</v>
      </c>
      <c r="Z68" s="83">
        <v>0</v>
      </c>
      <c r="AA68" s="98" t="e">
        <f>IF(AC68&lt;&gt;"",#REF!+AC68-1,"")</f>
        <v>#REF!</v>
      </c>
      <c r="AB68" s="98" t="e">
        <f>IF(AC68&lt;&gt;"",#REF!+AC68-1,"")</f>
        <v>#REF!</v>
      </c>
      <c r="AC68" s="98" t="e">
        <f>IF(AC67&lt;&gt;"",IF(AC67+1&lt;=#REF!,AC67+1,""),"")</f>
        <v>#REF!</v>
      </c>
      <c r="AD68" s="91"/>
      <c r="AE68" s="91"/>
    </row>
    <row r="69" spans="1:31" ht="17.25" x14ac:dyDescent="0.25">
      <c r="A69" s="92">
        <v>0</v>
      </c>
      <c r="B69" s="92" t="e">
        <f>IF(AB69&lt;&gt;"",E69+E69*(IF(AC69&gt;4,0.1,LOOKUP(#REF!,Rates!$D$2:$D$4,Rates!$C$2:$C$4))+0.85*(#REF!-(IF(AC69&gt;4,0.1,LOOKUP(#REF!,Rates!$D$2:$D$4,Rates!$C$2:$C$4)))))*LOOKUP(#REF!,Rates!$I$2:$I$7,Rates!$G$2:$G$7)+B68*(1+IF(AC69&gt;4,0.1,LOOKUP(#REF!,Rates!$D$2:$D$4,Rates!$C$2:$C$4))+0.85*(#REF!-IF(AC69&gt;4,0.1,LOOKUP(#REF!,Rates!$D$2:$D$4,Rates!$C$2:$C$4)))),"")</f>
        <v>#REF!</v>
      </c>
      <c r="C69" s="93" t="e">
        <f t="shared" si="9"/>
        <v>#REF!</v>
      </c>
      <c r="D69" s="94" t="e">
        <f>IF(AB69&lt;&gt;"",E69*(1+IF(AC69&gt;4,0.1,LOOKUP(#REF!,Rates!$D$2:$D$5,Rates!$B$2:$B$5))*LOOKUP(#REF!,Rates!$I$2:$I$7,Rates!$G$2:$G$7))+D68*(1+IF(AC69&gt;4,0.1,LOOKUP(#REF!,Rates!$D$2:$D$5,Rates!$B$2:$B$5))),"")</f>
        <v>#REF!</v>
      </c>
      <c r="E69" s="84" t="e">
        <f>IF(AB69&lt;&gt;"",IF(#REF!="بله",IF(AND(AC69&lt;=#REF!,AC69&gt;=#REF!),#REF!,0)+(Z69-S69-I69-H69-G69-F69-L69),IF(AND(AC69&lt;=#REF!,AC69&gt;=#REF!),#REF!,0)+(Z69-S69-I69-H69-G69-F69)),"")</f>
        <v>#REF!</v>
      </c>
      <c r="F69" s="84" t="e">
        <f t="shared" si="11"/>
        <v>#REF!</v>
      </c>
      <c r="G69" s="84" t="e">
        <f t="shared" si="12"/>
        <v>#REF!</v>
      </c>
      <c r="H69" s="86" t="e">
        <f t="shared" si="13"/>
        <v>#REF!</v>
      </c>
      <c r="I69" s="93">
        <v>0</v>
      </c>
      <c r="J69" s="93" t="e">
        <f t="shared" si="10"/>
        <v>#REF!</v>
      </c>
      <c r="K69" s="84" t="e">
        <f>IF(U69&lt;&gt;"",#REF!*U69,"")</f>
        <v>#REF!</v>
      </c>
      <c r="L69" s="95" t="e">
        <f t="shared" si="14"/>
        <v>#REF!</v>
      </c>
      <c r="M69" s="96">
        <f t="shared" si="16"/>
        <v>0</v>
      </c>
      <c r="N69" s="96">
        <v>0</v>
      </c>
      <c r="O69" s="96" t="e">
        <f>IF(Z69&lt;&gt;"",0.02*Z69*(1-#REF!),"")</f>
        <v>#REF!</v>
      </c>
      <c r="P69" s="95" t="e">
        <f>IF(AND(AB69&lt;=70,W69&lt;&gt;""),(1-#REF!)*((W69*0.0008*(1+(LOOKUP(#REF!,Rates!$O:$O,Rates!$M:$M)/100)))+((Y69*0.0008*#REF!))*(1+(LOOKUP(#REF!,Rates!$O:$O,Rates!$N:$N)/100))),"")</f>
        <v>#REF!</v>
      </c>
      <c r="Q69" s="88" t="e">
        <f>IF(AB69&lt;=60,(LOOKUP(AB69,Rates!$U:$U,Rates!#REF!))*V69/1000000*(1+#REF!)*(1-#REF!),"")</f>
        <v>#REF!</v>
      </c>
      <c r="R69" s="83" t="e">
        <f>IF(AND(Z69&lt;&gt;"",Q69&lt;&gt;"",P69&lt;&gt;""),IF(#REF!="بله",(Z69-Q69-P69),Z69),"")</f>
        <v>#REF!</v>
      </c>
      <c r="S69" s="84">
        <v>0</v>
      </c>
      <c r="T69" s="84" t="e">
        <f t="shared" si="15"/>
        <v>#REF!</v>
      </c>
      <c r="U69" s="84" t="e">
        <f>IF(AB69&lt;&gt;"",(Y69*LOOKUP(AB69,Rates!$U:$U,Rates!$T:$T))/SQRT(1.1),"")</f>
        <v>#REF!</v>
      </c>
      <c r="V69" s="97" t="e">
        <f>IF(AND(AB69&lt;&gt;"",AB69&lt;=60),IF(V68*(1+#REF!)&lt;300000000,V68*(1+#REF!),300000000),"")</f>
        <v>#REF!</v>
      </c>
      <c r="W69" s="89" t="e">
        <f>IF(AND(AB69&lt;&gt;"",AB69&lt;=60),Y69*#REF!,"")</f>
        <v>#REF!</v>
      </c>
      <c r="X69" s="97" t="e">
        <f>IF(AND(AB69&lt;&gt;"",AB69&lt;=70),Y69*(1+#REF!),"")</f>
        <v>#REF!</v>
      </c>
      <c r="Y69" s="97" t="e">
        <f>IF(AB69&lt;&gt;"",(1+#REF!)*Y68,"")</f>
        <v>#REF!</v>
      </c>
      <c r="Z69" s="83">
        <v>0</v>
      </c>
      <c r="AA69" s="98" t="e">
        <f>IF(AC69&lt;&gt;"",#REF!+AC69-1,"")</f>
        <v>#REF!</v>
      </c>
      <c r="AB69" s="98" t="e">
        <f>IF(AC69&lt;&gt;"",#REF!+AC69-1,"")</f>
        <v>#REF!</v>
      </c>
      <c r="AC69" s="98" t="e">
        <f>IF(AC68&lt;&gt;"",IF(AC68+1&lt;=#REF!,AC68+1,""),"")</f>
        <v>#REF!</v>
      </c>
      <c r="AD69" s="91"/>
      <c r="AE69" s="91"/>
    </row>
    <row r="70" spans="1:31" ht="17.25" x14ac:dyDescent="0.25">
      <c r="A70" s="92">
        <v>0</v>
      </c>
      <c r="B70" s="92" t="e">
        <f>IF(AB70&lt;&gt;"",E70+E70*(IF(AC70&gt;4,0.1,LOOKUP(#REF!,Rates!$D$2:$D$4,Rates!$C$2:$C$4))+0.85*(#REF!-(IF(AC70&gt;4,0.1,LOOKUP(#REF!,Rates!$D$2:$D$4,Rates!$C$2:$C$4)))))*LOOKUP(#REF!,Rates!$I$2:$I$7,Rates!$G$2:$G$7)+B69*(1+IF(AC70&gt;4,0.1,LOOKUP(#REF!,Rates!$D$2:$D$4,Rates!$C$2:$C$4))+0.85*(#REF!-IF(AC70&gt;4,0.1,LOOKUP(#REF!,Rates!$D$2:$D$4,Rates!$C$2:$C$4)))),"")</f>
        <v>#REF!</v>
      </c>
      <c r="C70" s="93" t="e">
        <f t="shared" si="9"/>
        <v>#REF!</v>
      </c>
      <c r="D70" s="94" t="e">
        <f>IF(AB70&lt;&gt;"",E70*(1+IF(AC70&gt;4,0.1,LOOKUP(#REF!,Rates!$D$2:$D$5,Rates!$B$2:$B$5))*LOOKUP(#REF!,Rates!$I$2:$I$7,Rates!$G$2:$G$7))+D69*(1+IF(AC70&gt;4,0.1,LOOKUP(#REF!,Rates!$D$2:$D$5,Rates!$B$2:$B$5))),"")</f>
        <v>#REF!</v>
      </c>
      <c r="E70" s="84" t="e">
        <f>IF(AB70&lt;&gt;"",IF(#REF!="بله",IF(AND(AC70&lt;=#REF!,AC70&gt;=#REF!),#REF!,0)+(Z70-S70-I70-H70-G70-F70-L70),IF(AND(AC70&lt;=#REF!,AC70&gt;=#REF!),#REF!,0)+(Z70-S70-I70-H70-G70-F70)),"")</f>
        <v>#REF!</v>
      </c>
      <c r="F70" s="84" t="e">
        <f t="shared" si="11"/>
        <v>#REF!</v>
      </c>
      <c r="G70" s="84" t="e">
        <f t="shared" si="12"/>
        <v>#REF!</v>
      </c>
      <c r="H70" s="86" t="e">
        <f t="shared" si="13"/>
        <v>#REF!</v>
      </c>
      <c r="I70" s="93">
        <v>0</v>
      </c>
      <c r="J70" s="93" t="e">
        <f t="shared" si="10"/>
        <v>#REF!</v>
      </c>
      <c r="K70" s="84" t="e">
        <f>IF(U70&lt;&gt;"",#REF!*U70,"")</f>
        <v>#REF!</v>
      </c>
      <c r="L70" s="95" t="e">
        <f t="shared" si="14"/>
        <v>#REF!</v>
      </c>
      <c r="M70" s="96">
        <f t="shared" si="16"/>
        <v>0</v>
      </c>
      <c r="N70" s="96">
        <v>0</v>
      </c>
      <c r="O70" s="96" t="e">
        <f>IF(Z70&lt;&gt;"",0.02*Z70*(1-#REF!),"")</f>
        <v>#REF!</v>
      </c>
      <c r="P70" s="95" t="e">
        <f>IF(AND(AB70&lt;=70,W70&lt;&gt;""),(1-#REF!)*((W70*0.0008*(1+(LOOKUP(#REF!,Rates!$O:$O,Rates!$M:$M)/100)))+((Y70*0.0008*#REF!))*(1+(LOOKUP(#REF!,Rates!$O:$O,Rates!$N:$N)/100))),"")</f>
        <v>#REF!</v>
      </c>
      <c r="Q70" s="88" t="e">
        <f>IF(AB70&lt;=60,(LOOKUP(AB70,Rates!$U:$U,Rates!#REF!))*V70/1000000*(1+#REF!)*(1-#REF!),"")</f>
        <v>#REF!</v>
      </c>
      <c r="R70" s="83" t="e">
        <f>IF(AND(Z70&lt;&gt;"",Q70&lt;&gt;"",P70&lt;&gt;""),IF(#REF!="بله",(Z70-Q70-P70),Z70),"")</f>
        <v>#REF!</v>
      </c>
      <c r="S70" s="84">
        <v>0</v>
      </c>
      <c r="T70" s="84" t="e">
        <f t="shared" si="15"/>
        <v>#REF!</v>
      </c>
      <c r="U70" s="84" t="e">
        <f>IF(AB70&lt;&gt;"",(Y70*LOOKUP(AB70,Rates!$U:$U,Rates!$T:$T))/SQRT(1.1),"")</f>
        <v>#REF!</v>
      </c>
      <c r="V70" s="97" t="e">
        <f>IF(AND(AB70&lt;&gt;"",AB70&lt;=60),IF(V69*(1+#REF!)&lt;300000000,V69*(1+#REF!),300000000),"")</f>
        <v>#REF!</v>
      </c>
      <c r="W70" s="89" t="e">
        <f>IF(AND(AB70&lt;&gt;"",AB70&lt;=60),Y70*#REF!,"")</f>
        <v>#REF!</v>
      </c>
      <c r="X70" s="97" t="e">
        <f>IF(AND(AB70&lt;&gt;"",AB70&lt;=70),Y70*(1+#REF!),"")</f>
        <v>#REF!</v>
      </c>
      <c r="Y70" s="97" t="e">
        <f>IF(AB70&lt;&gt;"",(1+#REF!)*Y69,"")</f>
        <v>#REF!</v>
      </c>
      <c r="Z70" s="83">
        <v>0</v>
      </c>
      <c r="AA70" s="98" t="e">
        <f>IF(AC70&lt;&gt;"",#REF!+AC70-1,"")</f>
        <v>#REF!</v>
      </c>
      <c r="AB70" s="98" t="e">
        <f>IF(AC70&lt;&gt;"",#REF!+AC70-1,"")</f>
        <v>#REF!</v>
      </c>
      <c r="AC70" s="98" t="e">
        <f>IF(AC69&lt;&gt;"",IF(AC69+1&lt;=#REF!,AC69+1,""),"")</f>
        <v>#REF!</v>
      </c>
      <c r="AD70" s="91"/>
      <c r="AE70" s="91"/>
    </row>
    <row r="71" spans="1:31" ht="18" thickBot="1" x14ac:dyDescent="0.3">
      <c r="A71" s="92">
        <v>0</v>
      </c>
      <c r="B71" s="92" t="e">
        <f>IF(AB71&lt;&gt;"",E71+E71*(IF(AC71&gt;4,0.1,LOOKUP(#REF!,Rates!$D$2:$D$4,Rates!$C$2:$C$4))+0.85*(#REF!-(IF(AC71&gt;4,0.1,LOOKUP(#REF!,Rates!$D$2:$D$4,Rates!$C$2:$C$4)))))*LOOKUP(#REF!,Rates!$I$2:$I$7,Rates!$G$2:$G$7)+B70*(1+IF(AC71&gt;4,0.1,LOOKUP(#REF!,Rates!$D$2:$D$4,Rates!$C$2:$C$4))+0.85*(#REF!-IF(AC71&gt;4,0.1,LOOKUP(#REF!,Rates!$D$2:$D$4,Rates!$C$2:$C$4)))),"")</f>
        <v>#REF!</v>
      </c>
      <c r="C71" s="99" t="e">
        <f t="shared" si="9"/>
        <v>#REF!</v>
      </c>
      <c r="D71" s="94" t="e">
        <f>IF(AB71&lt;&gt;"",E71*(1+IF(AC71&gt;4,0.1,LOOKUP(#REF!,Rates!$D$2:$D$5,Rates!$B$2:$B$5))*LOOKUP(#REF!,Rates!$I$2:$I$7,Rates!$G$2:$G$7))+D70*(1+IF(AC71&gt;4,0.1,LOOKUP(#REF!,Rates!$D$2:$D$5,Rates!$B$2:$B$5))),"")</f>
        <v>#REF!</v>
      </c>
      <c r="E71" s="84" t="e">
        <f>IF(AB71&lt;&gt;"",IF(#REF!="بله",IF(AND(AC71&lt;=#REF!,AC71&gt;=#REF!),#REF!,0)+(Z71-S71-I71-H71-G71-F71-L71),IF(AND(AC71&lt;=#REF!,AC71&gt;=#REF!),#REF!,0)+(Z71-S71-I71-H71-G71-F71)),"")</f>
        <v>#REF!</v>
      </c>
      <c r="F71" s="84" t="e">
        <f t="shared" si="11"/>
        <v>#REF!</v>
      </c>
      <c r="G71" s="84" t="e">
        <f t="shared" si="12"/>
        <v>#REF!</v>
      </c>
      <c r="H71" s="86" t="e">
        <f t="shared" si="13"/>
        <v>#REF!</v>
      </c>
      <c r="I71" s="93">
        <v>0</v>
      </c>
      <c r="J71" s="99" t="e">
        <f t="shared" si="10"/>
        <v>#REF!</v>
      </c>
      <c r="K71" s="84" t="e">
        <f>IF(U71&lt;&gt;"",#REF!*U71,"")</f>
        <v>#REF!</v>
      </c>
      <c r="L71" s="100" t="e">
        <f t="shared" si="14"/>
        <v>#REF!</v>
      </c>
      <c r="M71" s="96">
        <f t="shared" si="16"/>
        <v>0</v>
      </c>
      <c r="N71" s="96">
        <v>0</v>
      </c>
      <c r="O71" s="101" t="e">
        <f>IF(Z71&lt;&gt;"",0.02*Z71*(1-#REF!),"")</f>
        <v>#REF!</v>
      </c>
      <c r="P71" s="100" t="e">
        <f>IF(AND(AB71&lt;=70,W71&lt;&gt;""),(1-#REF!)*((W71*0.0008*(1+(LOOKUP(#REF!,Rates!$O:$O,Rates!$M:$M)/100)))+((Y71*0.0008*#REF!))*(1+(LOOKUP(#REF!,Rates!$O:$O,Rates!$N:$N)/100))),"")</f>
        <v>#REF!</v>
      </c>
      <c r="Q71" s="88" t="e">
        <f>IF(AB71&lt;=60,(LOOKUP(AB71,Rates!$U:$U,Rates!#REF!))*V71/1000000*(1+#REF!)*(1-#REF!),"")</f>
        <v>#REF!</v>
      </c>
      <c r="R71" s="83" t="e">
        <f>IF(AND(Z71&lt;&gt;"",Q71&lt;&gt;"",P71&lt;&gt;""),IF(#REF!="بله",(Z71-Q71-P71),Z71),"")</f>
        <v>#REF!</v>
      </c>
      <c r="S71" s="84">
        <v>0</v>
      </c>
      <c r="T71" s="84" t="e">
        <f t="shared" si="15"/>
        <v>#REF!</v>
      </c>
      <c r="U71" s="84" t="e">
        <f>IF(AB71&lt;&gt;"",(Y71*LOOKUP(AB71,Rates!$U:$U,Rates!$T:$T))/SQRT(1.1),"")</f>
        <v>#REF!</v>
      </c>
      <c r="V71" s="97" t="e">
        <f>IF(AND(AB71&lt;&gt;"",AB71&lt;=60),IF(V70*(1+#REF!)&lt;300000000,V70*(1+#REF!),300000000),"")</f>
        <v>#REF!</v>
      </c>
      <c r="W71" s="89" t="e">
        <f>IF(AND(AB71&lt;&gt;"",AB71&lt;=60),Y71*#REF!,"")</f>
        <v>#REF!</v>
      </c>
      <c r="X71" s="102" t="e">
        <f>IF(AND(AB71&lt;&gt;"",AB71&lt;=70),Y71*(1+#REF!),"")</f>
        <v>#REF!</v>
      </c>
      <c r="Y71" s="102" t="e">
        <f>IF(AB71&lt;&gt;"",(1+#REF!)*Y70,"")</f>
        <v>#REF!</v>
      </c>
      <c r="Z71" s="83">
        <v>0</v>
      </c>
      <c r="AA71" s="103" t="e">
        <f>IF(AC71&lt;&gt;"",#REF!+AC71-1,"")</f>
        <v>#REF!</v>
      </c>
      <c r="AB71" s="103" t="e">
        <f>IF(AC71&lt;&gt;"",#REF!+AC71-1,"")</f>
        <v>#REF!</v>
      </c>
      <c r="AC71" s="103" t="e">
        <f>IF(AC70&lt;&gt;"",IF(AC70+1&lt;=#REF!,AC70+1,""),"")</f>
        <v>#REF!</v>
      </c>
      <c r="AD71" s="91"/>
      <c r="AE71" s="91"/>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87"/>
  <sheetViews>
    <sheetView zoomScale="70" zoomScaleNormal="70" workbookViewId="0">
      <pane ySplit="1" topLeftCell="A2" activePane="bottomLeft" state="frozen"/>
      <selection activeCell="AB1" sqref="AB1"/>
      <selection pane="bottomLeft" activeCell="AB1" sqref="AB1"/>
    </sheetView>
  </sheetViews>
  <sheetFormatPr defaultColWidth="9.28515625" defaultRowHeight="15" x14ac:dyDescent="0.25"/>
  <cols>
    <col min="1" max="1" width="22.140625" style="30" hidden="1" customWidth="1"/>
    <col min="2" max="5" width="16.140625" style="30" hidden="1" customWidth="1"/>
    <col min="6" max="6" width="14" style="30" hidden="1" customWidth="1"/>
    <col min="7" max="7" width="17.42578125" style="30" hidden="1" customWidth="1"/>
    <col min="8" max="9" width="14" style="30" hidden="1" customWidth="1"/>
    <col min="10" max="10" width="21" style="30" hidden="1" customWidth="1"/>
    <col min="11" max="11" width="25" style="30" hidden="1" customWidth="1"/>
    <col min="12" max="13" width="13.140625" style="30" hidden="1" customWidth="1"/>
    <col min="14" max="14" width="11.85546875" style="30" hidden="1" customWidth="1"/>
    <col min="15" max="15" width="13.140625" style="30" hidden="1" customWidth="1"/>
    <col min="16" max="16" width="22" style="30" hidden="1" customWidth="1"/>
    <col min="17" max="17" width="14.5703125" style="30" hidden="1" customWidth="1"/>
    <col min="18" max="18" width="14.28515625" style="30" hidden="1" customWidth="1"/>
    <col min="19" max="19" width="26.7109375" style="30" hidden="1" customWidth="1"/>
    <col min="20" max="20" width="15" style="30" hidden="1" customWidth="1"/>
    <col min="21" max="21" width="18.5703125" style="30" hidden="1" customWidth="1"/>
    <col min="22" max="22" width="15" style="30" hidden="1" customWidth="1"/>
    <col min="23" max="23" width="22.28515625" style="30" hidden="1" customWidth="1"/>
    <col min="24" max="24" width="17.5703125" style="30" hidden="1" customWidth="1"/>
    <col min="25" max="25" width="12.85546875" style="30" hidden="1" customWidth="1"/>
    <col min="26" max="26" width="11.140625" style="30" hidden="1" customWidth="1"/>
    <col min="27" max="27" width="12" style="30" hidden="1" customWidth="1"/>
    <col min="28" max="28" width="14.140625" style="30" hidden="1" customWidth="1"/>
    <col min="29" max="29" width="19.42578125" style="30" hidden="1" customWidth="1"/>
    <col min="30" max="30" width="26.42578125" style="30" hidden="1" customWidth="1"/>
    <col min="31" max="31" width="20.7109375" style="30" hidden="1" customWidth="1"/>
    <col min="32" max="32" width="23.7109375" style="30" hidden="1" customWidth="1"/>
    <col min="33" max="33" width="16.85546875" style="30" hidden="1" customWidth="1"/>
    <col min="34" max="34" width="29.85546875" style="30" hidden="1" customWidth="1"/>
    <col min="35" max="35" width="22.42578125" style="30" hidden="1" customWidth="1"/>
    <col min="36" max="37" width="10.7109375" style="30" hidden="1" customWidth="1"/>
    <col min="38" max="38" width="10.140625" style="30" hidden="1" customWidth="1"/>
    <col min="39" max="39" width="9.28515625" style="30"/>
    <col min="40" max="40" width="11.140625" style="30" bestFit="1" customWidth="1"/>
    <col min="41" max="16384" width="9.28515625" style="30"/>
  </cols>
  <sheetData>
    <row r="1" spans="1:40" ht="18.75" thickBot="1" x14ac:dyDescent="0.3">
      <c r="A1" s="77" t="s">
        <v>168</v>
      </c>
      <c r="B1" s="77" t="s">
        <v>169</v>
      </c>
      <c r="C1" s="77" t="s">
        <v>76</v>
      </c>
      <c r="D1" s="77" t="s">
        <v>77</v>
      </c>
      <c r="E1" s="77" t="s">
        <v>183</v>
      </c>
      <c r="F1" s="77" t="s">
        <v>78</v>
      </c>
      <c r="G1" s="77" t="s">
        <v>184</v>
      </c>
      <c r="H1" s="77" t="s">
        <v>185</v>
      </c>
      <c r="I1" s="77" t="s">
        <v>80</v>
      </c>
      <c r="J1" s="79" t="s">
        <v>81</v>
      </c>
      <c r="K1" s="79" t="s">
        <v>186</v>
      </c>
      <c r="L1" s="79" t="s">
        <v>85</v>
      </c>
      <c r="M1" s="79" t="s">
        <v>86</v>
      </c>
      <c r="N1" s="79" t="s">
        <v>88</v>
      </c>
      <c r="O1" s="79" t="s">
        <v>87</v>
      </c>
      <c r="P1" s="80" t="s">
        <v>187</v>
      </c>
      <c r="Q1" s="80" t="s">
        <v>188</v>
      </c>
      <c r="R1" s="80" t="s">
        <v>189</v>
      </c>
      <c r="S1" s="80" t="s">
        <v>190</v>
      </c>
      <c r="T1" s="80" t="s">
        <v>191</v>
      </c>
      <c r="U1" s="80" t="s">
        <v>192</v>
      </c>
      <c r="V1" s="80" t="s">
        <v>89</v>
      </c>
      <c r="W1" s="80" t="s">
        <v>193</v>
      </c>
      <c r="X1" s="80" t="s">
        <v>194</v>
      </c>
      <c r="Y1" s="80" t="s">
        <v>195</v>
      </c>
      <c r="Z1" s="80" t="s">
        <v>162</v>
      </c>
      <c r="AA1" s="80" t="s">
        <v>174</v>
      </c>
      <c r="AB1" s="77" t="s">
        <v>95</v>
      </c>
      <c r="AC1" s="81" t="s">
        <v>179</v>
      </c>
      <c r="AD1" s="81" t="s">
        <v>97</v>
      </c>
      <c r="AE1" s="81" t="s">
        <v>98</v>
      </c>
      <c r="AF1" s="81" t="e">
        <f>"سرمایه فوت با تعدیل "&amp;(100*#REF!)&amp;" درصد"</f>
        <v>#REF!</v>
      </c>
      <c r="AG1" s="76" t="s">
        <v>99</v>
      </c>
      <c r="AH1" s="76" t="s">
        <v>196</v>
      </c>
      <c r="AI1" s="76" t="s">
        <v>197</v>
      </c>
      <c r="AJ1" s="82" t="s">
        <v>101</v>
      </c>
      <c r="AK1" s="104" t="s">
        <v>3</v>
      </c>
      <c r="AL1" s="105" t="s">
        <v>182</v>
      </c>
    </row>
    <row r="2" spans="1:40" ht="17.25" x14ac:dyDescent="0.25">
      <c r="A2" s="84" t="e">
        <f>IF(AJ2&lt;&gt;"",D2+D2*(IF(AL2&gt;4,0.1,LOOKUP(#REF!,Rates!$D$2:$D$4,Rates!$C$2:$C$4))+0.85*(#REF!-IF(AL2&gt;4,0.1,LOOKUP(#REF!,Rates!$D$2:$D$4,Rates!$C$2:$C$4))))*LOOKUP(#REF!,Rates!$I$2:$I$7,Rates!$G$2:$G$7),"")</f>
        <v>#REF!</v>
      </c>
      <c r="B2" s="84" t="e">
        <f>IF(AJ2&lt;&gt;"",IF(AL2&gt;=8,C2,C2*LOOKUP(AL2,Rates!$AH$2:$AH$8,Rates!$AG$2:$AG$8)),"")</f>
        <v>#REF!</v>
      </c>
      <c r="C2" s="84" t="e">
        <f>IF(AJ2&lt;&gt;"",D2*(1+IF(AL2&gt;4,0.1,LOOKUP(#REF!,Rates!$D$2:$D$5,Rates!$C$2:$C$5))*LOOKUP(#REF!,Rates!$I$2:$I$7,Rates!$G$2:$G$7)),"")</f>
        <v>#REF!</v>
      </c>
      <c r="D2" s="84" t="e">
        <f>IF(AJ2&lt;&gt;"",AI2-(H2+G2+F2+E2+P2+Q2)+IF(#REF!&gt;0,IF(AND(AL2&lt;=#REF!,AL2&gt;=#REF!),#REF!,0),0),"")</f>
        <v>#REF!</v>
      </c>
      <c r="E2" s="84" t="e">
        <f>IF(AJ2&lt;&gt;"",(LOOKUP(#REF!,Rates!$AE$2:$AE$4,Rates!$AD$2:$AD$4))*(H2+P2+Q2),"")</f>
        <v>#REF!</v>
      </c>
      <c r="F2" s="84" t="e">
        <f>IF(AJ2&lt;&gt;"",(LOOKUP(#REF!,Rates!$AE$2:$AE$4,Rates!$AB$2:$AB$4))*(H2+P2+Q2),"")</f>
        <v>#REF!</v>
      </c>
      <c r="G2" s="84" t="e">
        <f>IF(AJ2&lt;&gt;"",(LOOKUP(#REF!,Rates!$AE$2:$AE$4,Rates!$AC$2:$AC$4))*(H2+P2+Q2),"")</f>
        <v>#REF!</v>
      </c>
      <c r="H2" s="84" t="e">
        <f>IF(AJ2&lt;&gt;"",I2+J2+AB2,"")</f>
        <v>#REF!</v>
      </c>
      <c r="I2" s="84" t="e">
        <f>IF(AJ2&lt;&gt;"",LOOKUP(#REF!,Rates!$I$2:$I$7,Rates!$H$2:$H$7)*(J2+P2+Q2+AB2),"")</f>
        <v>#REF!</v>
      </c>
      <c r="J2" s="86" t="e">
        <f>IF(L2="",0,L2)+IF(N2="",0,N2)+IF(O2="",0,O2)</f>
        <v>#REF!</v>
      </c>
      <c r="K2" s="86" t="e">
        <f>30/100*M2</f>
        <v>#REF!</v>
      </c>
      <c r="L2" s="86" t="e">
        <f>30/100*M2</f>
        <v>#REF!</v>
      </c>
      <c r="M2" s="86" t="e">
        <f>IF(AND(AI2&lt;&gt;"",AL2&lt;=10),(1-#REF!)*MIN(30/1000*AF2,0.75*AI2),"")</f>
        <v>#REF!</v>
      </c>
      <c r="N2" s="86" t="e">
        <f>IF(AL2&lt;=5,IF(AJ2&lt;&gt;"",0.002*AF2,"")*(1-#REF!),"")</f>
        <v>#REF!</v>
      </c>
      <c r="O2" s="86" t="e">
        <f>IF(AJ2&lt;&gt;"",0.07*AI2*(1-#REF!),0)</f>
        <v>#REF!</v>
      </c>
      <c r="P2" s="87" t="e">
        <f>IF(AJ2&lt;&gt;"",Y2+W2+U2+S2+R2,0)</f>
        <v>#REF!</v>
      </c>
      <c r="Q2" s="87" t="e">
        <f>IF(AJ2&lt;&gt;"",AA2+Z2+X2+V2+T2,0)</f>
        <v>#REF!</v>
      </c>
      <c r="R2" s="87" t="e">
        <f>IF(AJ2&lt;&gt;"",(AB2+AA2+V2+T2)*#REF!,0)</f>
        <v>#REF!</v>
      </c>
      <c r="S2" s="87" t="e">
        <f>IF(AJ2&lt;&gt;"",T2*(LOOKUP(#REF!,Rates!$O$2:$O$9,Rates!$L$2:$L$9)/100),0)</f>
        <v>#REF!</v>
      </c>
      <c r="T2" s="87" t="e">
        <f>IF(AJ2&lt;&gt;"",IF(#REF!="بله",V2*Rates!$Z$7,0),0)</f>
        <v>#REF!</v>
      </c>
      <c r="U2" s="87" t="e">
        <f>IF(AJ2&lt;&gt;"",IF(#REF!="بله",V2*(LOOKUP(#REF!,Rates!$O$2:$O$9,Rates!$L$2:$L$9)/100),V2*(LOOKUP(#REF!,Rates!$O$2:$O$9,Rates!$L$2:$L$9)/100)),0)</f>
        <v>#REF!</v>
      </c>
      <c r="V2" s="88" t="e">
        <f>IF(AND(AJ2&lt;&gt;"",AJ2&lt;=Rates!$Z$8,#REF!="بله"),AH2*(LOOKUP(AJ2,Rates!$U$2:$U$108,Rates!#REF!)),IF(AND(AK2&lt;&gt;"",AK2&lt;=Rates!$Z$8,#REF!="خیر"),AH2*(LOOKUP(AK2,Rates!$U$2:$U$108,Rates!#REF!)),0))*(1-#REF!)</f>
        <v>#REF!</v>
      </c>
      <c r="W2" s="88" t="e">
        <f>IF(AJ2&lt;&gt;"",X2*LOOKUP(#REF!,Rates!$O$2:$O$9,Rates!$M$2:$M$9)/100,0)</f>
        <v>#REF!</v>
      </c>
      <c r="X2" s="88" t="e">
        <f>IF(AJ2&lt;=Rates!$Z$4,0.0008*AF2*#REF!,0)</f>
        <v>#REF!</v>
      </c>
      <c r="Y2" s="88" t="e">
        <f>IF(AJ2&lt;&gt;"",Z2*(LOOKUP(#REF!,Rates!$O$2:$O$9,Rates!$N$2:$N$9/100)),0)</f>
        <v>#REF!</v>
      </c>
      <c r="Z2" s="87" t="e">
        <f>IF(AND(AJ2&lt;=(Rates!$Z$3),AD2&lt;&gt;""),(1-#REF!)*0.0008*AF2*#REF!,0)</f>
        <v>#REF!</v>
      </c>
      <c r="AA2" s="87" t="e">
        <f>IF(AJ2&lt;=60,(LOOKUP(AJ2,Rates!$U$2:$U$108,Rates!#REF!))*AC2/1000000*(1-#REF!),0)</f>
        <v>#REF!</v>
      </c>
      <c r="AB2" s="84" t="e">
        <f>IF(AJ2&lt;&gt;"",(AF2*LOOKUP(AJ2,Rates!$U$2:$U$108,Rates!$T$2:$T$108))/SQRT(1+IF(AL2&lt;=10,Rates!$Z$5,Rates!$Z$6)),"")</f>
        <v>#REF!</v>
      </c>
      <c r="AC2" s="89" t="e">
        <f>IF(AND(AJ2&lt;&gt;"",AJ2&lt;=Rates!$Z$2),MIN(0.5*$AF$2,300000000,#REF!),"")</f>
        <v>#REF!</v>
      </c>
      <c r="AD2" s="89" t="e">
        <f>IF(AND(AJ2&lt;&gt;"",AJ2&lt;=60),AF2*#REF!,"")</f>
        <v>#REF!</v>
      </c>
      <c r="AE2" s="106" t="e">
        <f>IF(AND(AJ2&lt;&gt;"",AJ2&lt;=70),AF2*(1+#REF!),"")</f>
        <v>#REF!</v>
      </c>
      <c r="AF2" s="106" t="e">
        <f>IF(AJ2&lt;&gt;"",#REF!,"")</f>
        <v>#REF!</v>
      </c>
      <c r="AG2" s="83" t="e">
        <f>AI2</f>
        <v>#REF!</v>
      </c>
      <c r="AH2" s="83" t="e">
        <f>IF(AJ2&lt;&gt;"",AI2*Rates!$Z$9,"")</f>
        <v>#REF!</v>
      </c>
      <c r="AI2" s="83" t="e">
        <f>IF(AJ2&lt;&gt;"",#REF!,"")</f>
        <v>#REF!</v>
      </c>
      <c r="AJ2" s="90" t="e">
        <f>IF(AL2&lt;&gt;"",#REF!+AL2-1,"")</f>
        <v>#REF!</v>
      </c>
      <c r="AK2" s="107" t="e">
        <f>IF(AL2&lt;&gt;"",#REF!+AL2-1,"")</f>
        <v>#REF!</v>
      </c>
      <c r="AL2" s="108" t="e">
        <f>IF(#REF!&lt;&gt;"",1,"")</f>
        <v>#REF!</v>
      </c>
    </row>
    <row r="3" spans="1:40" ht="17.25" x14ac:dyDescent="0.25">
      <c r="A3" s="84" t="e">
        <f>IF(AJ3&lt;&gt;"",D3+D3*(IF(AL3&gt;4,0.1,LOOKUP(#REF!,Rates!$D$2:$D$4,Rates!$C$2:$C$4))+0.85*(#REF!-(IF(AL3&gt;4,0.1,LOOKUP(#REF!,Rates!$D$2:$D$4,Rates!$C$2:$C$4)))))*LOOKUP(#REF!,Rates!$I$2:$I$7,Rates!$G$2:$G$7)+A2*(1+IF(AL3&gt;4,0.1,LOOKUP(#REF!,Rates!$D$2:$D$4,Rates!$C$2:$C$4))+0.85*(#REF!-IF(AL3&gt;4,0.1,LOOKUP(#REF!,Rates!$D$2:$D$4,Rates!$C$2:$C$4)))),"")</f>
        <v>#REF!</v>
      </c>
      <c r="B3" s="84" t="e">
        <f>IF(AJ3&lt;&gt;"",IF(AL3&gt;=8,C3,C3*LOOKUP(AL3,Rates!$AH$2:$AH$8,Rates!$AG$2:$AG$8)),"")</f>
        <v>#REF!</v>
      </c>
      <c r="C3" s="84" t="e">
        <f>IF(AJ3&lt;&gt;"",D3*(1+IF(AL3&gt;4,0.1,LOOKUP(#REF!,Rates!$D$2:$D$5,Rates!$C$2:$C$5))*LOOKUP(#REF!,Rates!$I$2:$I$7,Rates!$G$2:$G$7))+C2*(1+IF(AL3&gt;4,0.1,LOOKUP(#REF!,Rates!$D$2:$D$5,Rates!$C$2:$C$5))),"")</f>
        <v>#REF!</v>
      </c>
      <c r="D3" s="84" t="e">
        <f>IF(AJ3&lt;&gt;"",AI3-(H3+G3+F3+E3+P3+Q3)+IF(#REF!&gt;0,IF(AND(AL3&lt;=#REF!,AL3&gt;=#REF!),#REF!,0),0),"")</f>
        <v>#REF!</v>
      </c>
      <c r="E3" s="84" t="e">
        <f>IF(AJ3&lt;&gt;"",(LOOKUP(#REF!,Rates!$AE$2:$AE$4,Rates!$AD$2:$AD$4))*(H3+P3+Q3),"")</f>
        <v>#REF!</v>
      </c>
      <c r="F3" s="84" t="e">
        <f>IF(AJ3&lt;&gt;"",(LOOKUP(#REF!,Rates!$AE$2:$AE$4,Rates!$AB$2:$AB$4))*(H3+P3+Q3),"")</f>
        <v>#REF!</v>
      </c>
      <c r="G3" s="84" t="e">
        <f>IF(AJ3&lt;&gt;"",(LOOKUP(#REF!,Rates!$AE$2:$AE$4,Rates!$AC$2:$AC$4))*(H3+P3+Q3),"")</f>
        <v>#REF!</v>
      </c>
      <c r="H3" s="84" t="e">
        <f t="shared" ref="H3:H66" si="0">IF(AJ3&lt;&gt;"",I3+J3+AB3,"")</f>
        <v>#REF!</v>
      </c>
      <c r="I3" s="84" t="e">
        <f>IF(AJ3&lt;&gt;"",LOOKUP(#REF!,Rates!$I$2:$I$7,Rates!$H$2:$H$7)*(J3+P3+Q3+AB3),"")</f>
        <v>#REF!</v>
      </c>
      <c r="J3" s="96" t="e">
        <f>IF(L3="",0,L3)+IF(N3="",0,N3)+IF(O3="",0,O3)</f>
        <v>#REF!</v>
      </c>
      <c r="K3" s="96" t="e">
        <f>0.3*M3+0.7*M2*0.25</f>
        <v>#REF!</v>
      </c>
      <c r="L3" s="96" t="e">
        <f>L2+0.3*M3-12.5/100*M2</f>
        <v>#REF!</v>
      </c>
      <c r="M3" s="96" t="e">
        <f>IF(AND(AI3&lt;&gt;"",AL3&lt;=10),(1-#REF!)*MIN(30/1000*(AF3-AF2),0.75*(AI3-AI2)),"")</f>
        <v>#REF!</v>
      </c>
      <c r="N3" s="96" t="e">
        <f>IF(AL3&lt;=5,IF(AJ3&lt;&gt;"",0.002*AF3,"")*(1-#REF!),"")</f>
        <v>#REF!</v>
      </c>
      <c r="O3" s="96" t="e">
        <f>IF(AJ3&lt;&gt;"",0.07*AI3*(1-#REF!),0)</f>
        <v>#REF!</v>
      </c>
      <c r="P3" s="87" t="e">
        <f>IF(AJ3&lt;&gt;"",Y3+W3+U3+S3+R3,0)</f>
        <v>#REF!</v>
      </c>
      <c r="Q3" s="87" t="e">
        <f>IF(AJ3&lt;&gt;"",AA3+Z3+X3+V3+T3,0)</f>
        <v>#REF!</v>
      </c>
      <c r="R3" s="87" t="e">
        <f>IF(AJ3&lt;&gt;"",(AB3+AA3+V3+T3)*#REF!,0)</f>
        <v>#REF!</v>
      </c>
      <c r="S3" s="87" t="e">
        <f>IF(AJ3&lt;&gt;"",T3*(LOOKUP(#REF!,Rates!$O$2:$O$9,Rates!$L$2:$L$9)/100),0)</f>
        <v>#REF!</v>
      </c>
      <c r="T3" s="87" t="e">
        <f>IF(AJ3&lt;&gt;"",IF(#REF!="بله",V3*Rates!$Z$7,0),0)</f>
        <v>#REF!</v>
      </c>
      <c r="U3" s="87" t="e">
        <f>IF(AJ3&lt;&gt;"",IF(#REF!="بله",V3*(LOOKUP(#REF!,Rates!$O$2:$O$9,Rates!$L$2:$L$9)/100),V3*(LOOKUP(#REF!,Rates!$O$2:$O$9,Rates!$L$2:$L$9)/100)),0)</f>
        <v>#REF!</v>
      </c>
      <c r="V3" s="88" t="e">
        <f>IF(AND(AJ3&lt;&gt;"",AJ3&lt;=Rates!$Z$8,#REF!="بله"),AH3*(LOOKUP(AJ3,Rates!$U$2:$U$108,Rates!#REF!)),IF(AND(AK3&lt;&gt;"",AK3&lt;=Rates!$Z$8,#REF!="خیر"),AH3*(LOOKUP(AK3,Rates!$U$2:$U$108,Rates!#REF!)),0)*(1-#REF!))</f>
        <v>#REF!</v>
      </c>
      <c r="W3" s="88" t="e">
        <f>IF(AJ3&lt;&gt;"",X3*LOOKUP(#REF!,Rates!$O$2:$O$9,Rates!$M$2:$M$9)/100,0)</f>
        <v>#REF!</v>
      </c>
      <c r="X3" s="88" t="e">
        <f>IF(AJ3&lt;=Rates!$Z$4,0.0008*AF3*#REF!,0)</f>
        <v>#REF!</v>
      </c>
      <c r="Y3" s="88" t="e">
        <f>IF(AJ3&lt;&gt;"",Z3*(LOOKUP(#REF!,Rates!$O$2:$O$9,Rates!$N$2:$N$9/100)),0)</f>
        <v>#REF!</v>
      </c>
      <c r="Z3" s="87" t="e">
        <f>IF(AND(AJ3&lt;=(Rates!$Z$3),AD3&lt;&gt;""),(1-#REF!)*0.0008*AF3*#REF!,0)</f>
        <v>#REF!</v>
      </c>
      <c r="AA3" s="87" t="e">
        <f>IF(AJ3&lt;=60,(LOOKUP(AJ3,Rates!$U$2:$U$108,Rates!#REF!))*AC3/1000000*(1-#REF!),0)</f>
        <v>#REF!</v>
      </c>
      <c r="AB3" s="84" t="e">
        <f>IF(AJ3&lt;&gt;"",(AF3*LOOKUP(AJ3,Rates!$U$2:$U$108,Rates!$T$2:$T$108))/SQRT(1+IF(AL3&lt;=10,Rates!$Z$5,Rates!$Z$6)),"")</f>
        <v>#REF!</v>
      </c>
      <c r="AC3" s="89" t="e">
        <f>IF(AND(AJ3&lt;&gt;"",AJ3&lt;=Rates!$Z$2),MIN(0.5*AF3,300000000,AC2*(1+#REF!)),"")</f>
        <v>#REF!</v>
      </c>
      <c r="AD3" s="89" t="e">
        <f>IF(AND(AJ3&lt;&gt;"",AJ3&lt;=60),AF3*#REF!,"")</f>
        <v>#REF!</v>
      </c>
      <c r="AE3" s="109" t="e">
        <f>IF(AND(AJ3&lt;&gt;"",AJ3&lt;=70),AF3*(1+#REF!),"")</f>
        <v>#REF!</v>
      </c>
      <c r="AF3" s="109" t="e">
        <f>IF(AJ3&lt;&gt;"",AF2*(1+#REF!),"")</f>
        <v>#REF!</v>
      </c>
      <c r="AG3" s="92" t="e">
        <f>IF(AJ3&lt;&gt;"",AI3+AG2,"")</f>
        <v>#REF!</v>
      </c>
      <c r="AH3" s="83" t="e">
        <f>IF(AJ3&lt;&gt;"",AI3*Rates!$Z$9,"")</f>
        <v>#REF!</v>
      </c>
      <c r="AI3" s="92" t="e">
        <f>IF(AJ3&lt;&gt;"",AI2*(1+#REF!),"")</f>
        <v>#REF!</v>
      </c>
      <c r="AJ3" s="98" t="e">
        <f>IF(AL3&lt;&gt;"",#REF!+AL3-1,"")</f>
        <v>#REF!</v>
      </c>
      <c r="AK3" s="107" t="e">
        <f>IF(AL3&lt;&gt;"",#REF!+AL3-1,"")</f>
        <v>#REF!</v>
      </c>
      <c r="AL3" s="110" t="e">
        <f>IF(AL2&lt;&gt;"",IF(AL2+1&lt;=#REF!,AL2+1,""),"")</f>
        <v>#REF!</v>
      </c>
      <c r="AM3" s="31"/>
      <c r="AN3" s="31"/>
    </row>
    <row r="4" spans="1:40" ht="17.25" x14ac:dyDescent="0.25">
      <c r="A4" s="84" t="e">
        <f>IF(AJ4&lt;&gt;"",D4+D4*(IF(AL4&gt;4,0.1,LOOKUP(#REF!,Rates!$D$2:$D$4,Rates!$C$2:$C$4))+0.85*(#REF!-(IF(AL4&gt;4,0.1,LOOKUP(#REF!,Rates!$D$2:$D$4,Rates!$C$2:$C$4)))))*LOOKUP(#REF!,Rates!$I$2:$I$7,Rates!$G$2:$G$7)+A3*(1+IF(AL4&gt;4,0.1,LOOKUP(#REF!,Rates!$D$2:$D$4,Rates!$C$2:$C$4))+0.85*(#REF!-IF(AL4&gt;4,0.1,LOOKUP(#REF!,Rates!$D$2:$D$4,Rates!$C$2:$C$4)))),"")</f>
        <v>#REF!</v>
      </c>
      <c r="B4" s="84" t="e">
        <f>IF(AJ4&lt;&gt;"",IF(AL4&gt;=8,C4,C4*LOOKUP(AL4,Rates!$AH$2:$AH$8,Rates!$AG$2:$AG$8)),"")</f>
        <v>#REF!</v>
      </c>
      <c r="C4" s="84" t="e">
        <f>IF(AJ4&lt;&gt;"",D4*(1+IF(AL4&gt;4,0.1,LOOKUP(#REF!,Rates!$D$2:$D$5,Rates!$B$2:$B$5))*LOOKUP(#REF!,Rates!$I$2:$I$7,Rates!$G$2:$G$7))+C3*(1+IF(AL4&gt;4,0.1,LOOKUP(#REF!,Rates!$D$2:$D$5,Rates!$B$2:$B$5))),"")</f>
        <v>#REF!</v>
      </c>
      <c r="D4" s="84" t="e">
        <f>IF(AJ4&lt;&gt;"",AI4-(H4+G4+F4+E4+P4+Q4)+IF(#REF!&gt;0,IF(AND(AL4&lt;=#REF!,AL4&gt;=#REF!),#REF!,0),0),"")</f>
        <v>#REF!</v>
      </c>
      <c r="E4" s="84" t="e">
        <f>IF(AJ4&lt;&gt;"",(LOOKUP(#REF!,Rates!$AE$2:$AE$4,Rates!$AD$2:$AD$4))*(H4+P4+Q4),"")</f>
        <v>#REF!</v>
      </c>
      <c r="F4" s="84" t="e">
        <f>IF(AJ4&lt;&gt;"",(LOOKUP(#REF!,Rates!$AE$2:$AE$4,Rates!$AB$2:$AB$4))*(H4+P4+Q4),"")</f>
        <v>#REF!</v>
      </c>
      <c r="G4" s="84" t="e">
        <f>IF(AJ4&lt;&gt;"",(LOOKUP(#REF!,Rates!$AE$2:$AE$4,Rates!$AC$2:$AC$4))*(H4+P4+Q4),"")</f>
        <v>#REF!</v>
      </c>
      <c r="H4" s="84" t="e">
        <f t="shared" si="0"/>
        <v>#REF!</v>
      </c>
      <c r="I4" s="84" t="e">
        <f>IF(AJ4&lt;&gt;"",LOOKUP(#REF!,Rates!$I$2:$I$7,Rates!$H$2:$H$7)*(J4+P4+Q4+AB4),"")</f>
        <v>#REF!</v>
      </c>
      <c r="J4" s="96" t="e">
        <f>IF(L4="",0,L4)+IF(N4="",0,N4)+IF(O4="",0,O4)</f>
        <v>#REF!</v>
      </c>
      <c r="K4" s="96" t="e">
        <f>0.3*M4+0.7*0.25*M3+0.7*0.25*M2</f>
        <v>#REF!</v>
      </c>
      <c r="L4" s="96" t="e">
        <f t="shared" ref="L4:L6" si="1">L3+0.3*M4-12.5/100*M3</f>
        <v>#REF!</v>
      </c>
      <c r="M4" s="96" t="e">
        <f>IF(AND(AI4&lt;&gt;"",AL4&lt;=10),(1-#REF!)*MIN(30/1000*(AF4-AF3),0.75*(AI4-AI3)),"")</f>
        <v>#REF!</v>
      </c>
      <c r="N4" s="96" t="e">
        <f>IF(AL4&lt;=5,IF(AJ4&lt;&gt;"",0.002*AF4,"")*(1-#REF!),"")</f>
        <v>#REF!</v>
      </c>
      <c r="O4" s="96" t="e">
        <f>IF(AJ4&lt;&gt;"",0.07*AI4*(1-#REF!),0)</f>
        <v>#REF!</v>
      </c>
      <c r="P4" s="87" t="e">
        <f t="shared" ref="P4:P67" si="2">IF(AJ4&lt;&gt;"",Y4+W4+U4+S4+R4,0)</f>
        <v>#REF!</v>
      </c>
      <c r="Q4" s="87" t="e">
        <f t="shared" ref="Q4:Q67" si="3">IF(AJ4&lt;&gt;"",AA4+Z4+X4+V4+T4,0)</f>
        <v>#REF!</v>
      </c>
      <c r="R4" s="87" t="e">
        <f>IF(AJ4&lt;&gt;"",(AB4+AA4+V4+T4)*#REF!,0)</f>
        <v>#REF!</v>
      </c>
      <c r="S4" s="87" t="e">
        <f>IF(AJ4&lt;&gt;"",T4*(LOOKUP(#REF!,Rates!$O$2:$O$9,Rates!$L$2:$L$9)/100),0)</f>
        <v>#REF!</v>
      </c>
      <c r="T4" s="87" t="e">
        <f>IF(AJ4&lt;&gt;"",IF(#REF!="بله",V4*Rates!$Z$7,0),0)</f>
        <v>#REF!</v>
      </c>
      <c r="U4" s="87" t="e">
        <f>IF(AJ4&lt;&gt;"",IF(#REF!="بله",V4*(LOOKUP(#REF!,Rates!$O$2:$O$9,Rates!$L$2:$L$9)/100),V4*(LOOKUP(#REF!,Rates!$O$2:$O$9,Rates!$L$2:$L$9)/100)),0)</f>
        <v>#REF!</v>
      </c>
      <c r="V4" s="88" t="e">
        <f>IF(AND(AJ4&lt;&gt;"",AJ4&lt;=Rates!$Z$8,#REF!="بله"),AH4*(LOOKUP(AJ4,Rates!$U$2:$U$108,Rates!#REF!)),IF(AND(AK4&lt;&gt;"",AK4&lt;=Rates!$Z$8,#REF!="خیر"),AH4*(LOOKUP(AK4,Rates!$U$2:$U$108,Rates!#REF!)),0)*(1-#REF!))</f>
        <v>#REF!</v>
      </c>
      <c r="W4" s="88" t="e">
        <f>IF(AJ4&lt;&gt;"",X4*LOOKUP(#REF!,Rates!$O$2:$O$9,Rates!$M$2:$M$9)/100,0)</f>
        <v>#REF!</v>
      </c>
      <c r="X4" s="88" t="e">
        <f>IF(AJ4&lt;=Rates!$Z$4,0.0008*AF4*#REF!,0)</f>
        <v>#REF!</v>
      </c>
      <c r="Y4" s="88" t="e">
        <f>IF(AJ4&lt;&gt;"",Z4*(LOOKUP(#REF!,Rates!$O$2:$O$9,Rates!$N$2:$N$9/100)),0)</f>
        <v>#REF!</v>
      </c>
      <c r="Z4" s="87" t="e">
        <f>IF(AND(AJ4&lt;=(Rates!$Z$3),AD4&lt;&gt;""),(1-#REF!)*0.0008*AF4*#REF!,0)</f>
        <v>#REF!</v>
      </c>
      <c r="AA4" s="87" t="e">
        <f>IF(AJ4&lt;=60,(LOOKUP(AJ4,Rates!$U$2:$U$108,Rates!#REF!))*AC4/1000000*(1-#REF!),0)</f>
        <v>#REF!</v>
      </c>
      <c r="AB4" s="84" t="e">
        <f>IF(AJ4&lt;&gt;"",(AF4*LOOKUP(AJ4,Rates!$U$2:$U$108,Rates!$T$2:$T$108))/SQRT(1+IF(AL4&lt;=10,Rates!$Z$5,Rates!$Z$6)),"")</f>
        <v>#REF!</v>
      </c>
      <c r="AC4" s="89" t="e">
        <f>IF(AND(AJ4&lt;&gt;"",AJ4&lt;=Rates!$Z$2),MIN(0.5*AF4,300000000,AC3*(1+#REF!)),"")</f>
        <v>#REF!</v>
      </c>
      <c r="AD4" s="89" t="e">
        <f>IF(AND(AJ4&lt;&gt;"",AJ4&lt;=60),AF4*#REF!,"")</f>
        <v>#REF!</v>
      </c>
      <c r="AE4" s="109" t="e">
        <f>IF(AND(AJ4&lt;&gt;"",AJ4&lt;=70),AF4*(1+#REF!),"")</f>
        <v>#REF!</v>
      </c>
      <c r="AF4" s="109" t="e">
        <f>IF(AJ4&lt;&gt;"",AF3*(1+#REF!),"")</f>
        <v>#REF!</v>
      </c>
      <c r="AG4" s="92" t="e">
        <f>IF(AJ4&lt;&gt;"",AI4+AG3,"")</f>
        <v>#REF!</v>
      </c>
      <c r="AH4" s="83" t="e">
        <f>IF(AJ4&lt;&gt;"",AI4*Rates!$Z$9,"")</f>
        <v>#REF!</v>
      </c>
      <c r="AI4" s="92" t="e">
        <f>IF(AJ4&lt;&gt;"",AI3*(1+#REF!),"")</f>
        <v>#REF!</v>
      </c>
      <c r="AJ4" s="98" t="e">
        <f>IF(AL4&lt;&gt;"",#REF!+AL4-1,"")</f>
        <v>#REF!</v>
      </c>
      <c r="AK4" s="107" t="e">
        <f>IF(AL4&lt;&gt;"",#REF!+AL4-1,"")</f>
        <v>#REF!</v>
      </c>
      <c r="AL4" s="110" t="e">
        <f>IF(AL3&lt;&gt;"",IF(AL3+1&lt;=#REF!,AL3+1,""),"")</f>
        <v>#REF!</v>
      </c>
    </row>
    <row r="5" spans="1:40" ht="17.25" x14ac:dyDescent="0.25">
      <c r="A5" s="84" t="e">
        <f>IF(AJ5&lt;&gt;"",D5+D5*(IF(AL5&gt;4,0.1,LOOKUP(#REF!,Rates!$D$2:$D$4,Rates!$C$2:$C$4))+0.85*(#REF!-(IF(AL5&gt;4,0.1,LOOKUP(#REF!,Rates!$D$2:$D$4,Rates!$C$2:$C$4)))))*LOOKUP(#REF!,Rates!$I$2:$I$7,Rates!$G$2:$G$7)+A4*(1+IF(AL5&gt;4,0.1,LOOKUP(#REF!,Rates!$D$2:$D$4,Rates!$C$2:$C$4))+0.85*(#REF!-IF(AL5&gt;4,0.1,LOOKUP(#REF!,Rates!$D$2:$D$4,Rates!$C$2:$C$4)))),"")</f>
        <v>#REF!</v>
      </c>
      <c r="B5" s="84" t="e">
        <f>IF(AJ5&lt;&gt;"",IF(AL5&gt;=8,C5,C5*LOOKUP(AL5,Rates!$AH$2:$AH$8,Rates!$AG$2:$AG$8)),"")</f>
        <v>#REF!</v>
      </c>
      <c r="C5" s="84" t="e">
        <f>IF(AJ5&lt;&gt;"",D5*(1+IF(AL5&gt;4,0.1,LOOKUP(#REF!,Rates!$D$2:$D$5,Rates!$B$2:$B$5))*LOOKUP(#REF!,Rates!$I$2:$I$7,Rates!$G$2:$G$7))+C4*(1+IF(AL5&gt;4,0.1,LOOKUP(#REF!,Rates!$D$2:$D$5,Rates!$B$2:$B$5))),"")</f>
        <v>#REF!</v>
      </c>
      <c r="D5" s="84" t="e">
        <f>IF(AJ5&lt;&gt;"",AI5-(H5+G5+F5+E5+P5+Q5)+IF(#REF!&gt;0,IF(AND(AL5&lt;=#REF!,AL5&gt;=#REF!),#REF!,0),0),"")</f>
        <v>#REF!</v>
      </c>
      <c r="E5" s="84" t="e">
        <f>IF(AJ5&lt;&gt;"",(LOOKUP(#REF!,Rates!$AE$2:$AE$4,Rates!$AD$2:$AD$4))*(H5+P5+Q5),"")</f>
        <v>#REF!</v>
      </c>
      <c r="F5" s="84" t="e">
        <f>IF(AJ5&lt;&gt;"",(LOOKUP(#REF!,Rates!$AE$2:$AE$4,Rates!$AB$2:$AB$4))*(H5+P5+Q5),"")</f>
        <v>#REF!</v>
      </c>
      <c r="G5" s="84" t="e">
        <f>IF(AJ5&lt;&gt;"",(LOOKUP(#REF!,Rates!$AE$2:$AE$4,Rates!$AC$2:$AC$4))*(H5+P5+Q5),"")</f>
        <v>#REF!</v>
      </c>
      <c r="H5" s="84" t="e">
        <f t="shared" si="0"/>
        <v>#REF!</v>
      </c>
      <c r="I5" s="84" t="e">
        <f>IF(AJ5&lt;&gt;"",LOOKUP(#REF!,Rates!$I$2:$I$7,Rates!$H$2:$H$7)*(J5+P5+Q5+AB5),"")</f>
        <v>#REF!</v>
      </c>
      <c r="J5" s="96" t="e">
        <f>IF(L5="",0,L5)+IF(N5="",0,N5)+IF(O5="",0,O5)</f>
        <v>#REF!</v>
      </c>
      <c r="K5" s="96" t="e">
        <f>0.3*M5+0.7*0.25*M4+0.7*0.25*M3+0.7*0.25*M2</f>
        <v>#REF!</v>
      </c>
      <c r="L5" s="96" t="e">
        <f>L4+0.3*M5-12.5/100*M4</f>
        <v>#REF!</v>
      </c>
      <c r="M5" s="96" t="e">
        <f>IF(AND(AI5&lt;&gt;"",AL5&lt;=10),(1-#REF!)*MIN(30/1000*(AF5-AF4),0.75*(AI5-AI4)),"")</f>
        <v>#REF!</v>
      </c>
      <c r="N5" s="96" t="e">
        <f>IF(AL5&lt;=5,IF(AJ5&lt;&gt;"",0.002*AF5,"")*(1-#REF!),"")</f>
        <v>#REF!</v>
      </c>
      <c r="O5" s="96" t="e">
        <f>IF(AJ5&lt;&gt;"",0.07*AI5*(1-#REF!),0)</f>
        <v>#REF!</v>
      </c>
      <c r="P5" s="87" t="e">
        <f t="shared" si="2"/>
        <v>#REF!</v>
      </c>
      <c r="Q5" s="87" t="e">
        <f t="shared" si="3"/>
        <v>#REF!</v>
      </c>
      <c r="R5" s="87" t="e">
        <f>IF(AJ5&lt;&gt;"",(AB5+AA5+V5+T5)*#REF!,0)</f>
        <v>#REF!</v>
      </c>
      <c r="S5" s="87" t="e">
        <f>IF(AJ5&lt;&gt;"",T5*(LOOKUP(#REF!,Rates!$O$2:$O$9,Rates!$L$2:$L$9)/100),0)</f>
        <v>#REF!</v>
      </c>
      <c r="T5" s="87" t="e">
        <f>IF(AJ5&lt;&gt;"",IF(#REF!="بله",V5*Rates!$Z$7,0),0)</f>
        <v>#REF!</v>
      </c>
      <c r="U5" s="87" t="e">
        <f>IF(AJ5&lt;&gt;"",IF(#REF!="بله",V5*(LOOKUP(#REF!,Rates!$O$2:$O$9,Rates!$L$2:$L$9)/100),V5*(LOOKUP(#REF!,Rates!$O$2:$O$9,Rates!$L$2:$L$9)/100)),0)</f>
        <v>#REF!</v>
      </c>
      <c r="V5" s="88" t="e">
        <f>IF(AND(AJ5&lt;&gt;"",AJ5&lt;=Rates!$Z$8,#REF!="بله"),AH5*(LOOKUP(AJ5,Rates!$U$2:$U$108,Rates!#REF!)),IF(AND(AK5&lt;&gt;"",AK5&lt;=Rates!$Z$8,#REF!="خیر"),AH5*(LOOKUP(AK5,Rates!$U$2:$U$108,Rates!#REF!)),0)*(1-#REF!))</f>
        <v>#REF!</v>
      </c>
      <c r="W5" s="88" t="e">
        <f>IF(AJ5&lt;&gt;"",X5*LOOKUP(#REF!,Rates!$O$2:$O$9,Rates!$M$2:$M$9)/100,0)</f>
        <v>#REF!</v>
      </c>
      <c r="X5" s="88" t="e">
        <f>IF(AJ5&lt;=Rates!$Z$4,0.0008*AF5*#REF!,0)</f>
        <v>#REF!</v>
      </c>
      <c r="Y5" s="88" t="e">
        <f>IF(AJ5&lt;&gt;"",Z5*(LOOKUP(#REF!,Rates!$O$2:$O$9,Rates!$N$2:$N$9/100)),0)</f>
        <v>#REF!</v>
      </c>
      <c r="Z5" s="87" t="e">
        <f>IF(AND(AJ5&lt;=(Rates!$Z$3),AD5&lt;&gt;""),(1-#REF!)*0.0008*AF5*#REF!,0)</f>
        <v>#REF!</v>
      </c>
      <c r="AA5" s="87" t="e">
        <f>IF(AJ5&lt;=60,(LOOKUP(AJ5,Rates!$U$2:$U$108,Rates!#REF!))*AC5/1000000*(1-#REF!),0)</f>
        <v>#REF!</v>
      </c>
      <c r="AB5" s="84" t="e">
        <f>IF(AJ5&lt;&gt;"",(AF5*LOOKUP(AJ5,Rates!$U$2:$U$108,Rates!$T$2:$T$108))/SQRT(1+IF(AL5&lt;=10,Rates!$Z$5,Rates!$Z$6)),"")</f>
        <v>#REF!</v>
      </c>
      <c r="AC5" s="89" t="e">
        <f>IF(AND(AJ5&lt;&gt;"",AJ5&lt;=Rates!$Z$2),MIN(0.5*AF5,300000000,AC4*(1+#REF!)),"")</f>
        <v>#REF!</v>
      </c>
      <c r="AD5" s="89" t="e">
        <f>IF(AND(AJ5&lt;&gt;"",AJ5&lt;=60),AF5*#REF!,"")</f>
        <v>#REF!</v>
      </c>
      <c r="AE5" s="109" t="e">
        <f>IF(AND(AJ5&lt;&gt;"",AJ5&lt;=70),AF5*(1+#REF!),"")</f>
        <v>#REF!</v>
      </c>
      <c r="AF5" s="109" t="e">
        <f>IF(AJ5&lt;&gt;"",AF4*(1+#REF!),"")</f>
        <v>#REF!</v>
      </c>
      <c r="AG5" s="92" t="e">
        <f>IF(AJ5&lt;&gt;"",AI5+AG4,"")</f>
        <v>#REF!</v>
      </c>
      <c r="AH5" s="83" t="e">
        <f>IF(AJ5&lt;&gt;"",AI5*Rates!$Z$9,"")</f>
        <v>#REF!</v>
      </c>
      <c r="AI5" s="92" t="e">
        <f>IF(AJ5&lt;&gt;"",AI4*(1+#REF!),"")</f>
        <v>#REF!</v>
      </c>
      <c r="AJ5" s="98" t="e">
        <f>IF(AL5&lt;&gt;"",#REF!+AL5-1,"")</f>
        <v>#REF!</v>
      </c>
      <c r="AK5" s="107" t="e">
        <f>IF(AL5&lt;&gt;"",#REF!+AL5-1,"")</f>
        <v>#REF!</v>
      </c>
      <c r="AL5" s="110" t="e">
        <f>IF(AL4&lt;&gt;"",IF(AL4+1&lt;=#REF!,AL4+1,""),"")</f>
        <v>#REF!</v>
      </c>
    </row>
    <row r="6" spans="1:40" ht="17.25" x14ac:dyDescent="0.25">
      <c r="A6" s="84" t="e">
        <f>IF(AJ6&lt;&gt;"",D6+D6*(IF(AL6&gt;4,0.1,LOOKUP(#REF!,Rates!$D$2:$D$4,Rates!$C$2:$C$4))+0.85*(#REF!-(IF(AL6&gt;4,0.1,LOOKUP(#REF!,Rates!$D$2:$D$4,Rates!$C$2:$C$4)))))*LOOKUP(#REF!,Rates!$I$2:$I$7,Rates!$G$2:$G$7)+A5*(1+IF(AL6&gt;4,0.1,LOOKUP(#REF!,Rates!$D$2:$D$4,Rates!$C$2:$C$4))+0.85*(#REF!-IF(AL6&gt;4,0.1,LOOKUP(#REF!,Rates!$D$2:$D$4,Rates!$C$2:$C$4)))),"")</f>
        <v>#REF!</v>
      </c>
      <c r="B6" s="84" t="e">
        <f>IF(AJ6&lt;&gt;"",IF(AL6&gt;=8,C6,C6*LOOKUP(AL6,Rates!$AH$2:$AH$8,Rates!$AG$2:$AG$8)),"")</f>
        <v>#REF!</v>
      </c>
      <c r="C6" s="84" t="e">
        <f>IF(AJ6&lt;&gt;"",D6*(1+IF(AL6&gt;4,0.1,LOOKUP(#REF!,Rates!$D$2:$D$5,Rates!$B$2:$B$5))*LOOKUP(#REF!,Rates!$I$2:$I$7,Rates!$G$2:$G$7))+C5*(1+IF(AL6&gt;4,0.1,LOOKUP(#REF!,Rates!$D$2:$D$5,Rates!$B$2:$B$5))),"")</f>
        <v>#REF!</v>
      </c>
      <c r="D6" s="84" t="e">
        <f>IF(AJ6&lt;&gt;"",AI6-(H6+G6+F6+E6+P6+Q6)+IF(#REF!&gt;0,IF(AND(AL6&lt;=#REF!,AL6&gt;=#REF!),#REF!,0),0),"")</f>
        <v>#REF!</v>
      </c>
      <c r="E6" s="84" t="e">
        <f>IF(AJ6&lt;&gt;"",(LOOKUP(#REF!,Rates!$AE$2:$AE$4,Rates!$AD$2:$AD$4))*(H6+P6+Q6),"")</f>
        <v>#REF!</v>
      </c>
      <c r="F6" s="84" t="e">
        <f>IF(AJ6&lt;&gt;"",(LOOKUP(#REF!,Rates!$AE$2:$AE$4,Rates!$AB$2:$AB$4))*(H6+P6+Q6),"")</f>
        <v>#REF!</v>
      </c>
      <c r="G6" s="84" t="e">
        <f>IF(AJ6&lt;&gt;"",(LOOKUP(#REF!,Rates!$AE$2:$AE$4,Rates!$AC$2:$AC$4))*(H6+P6+Q6),"")</f>
        <v>#REF!</v>
      </c>
      <c r="H6" s="84" t="e">
        <f t="shared" si="0"/>
        <v>#REF!</v>
      </c>
      <c r="I6" s="84" t="e">
        <f>IF(AJ6&lt;&gt;"",LOOKUP(#REF!,Rates!$I$2:$I$7,Rates!$H$2:$H$7)*(J6+P6+Q6+AB6),"")</f>
        <v>#REF!</v>
      </c>
      <c r="J6" s="96" t="e">
        <f>IF(L6="",0,L6)+IF(N6="",0,N6)+IF(O6="",0,O6)</f>
        <v>#REF!</v>
      </c>
      <c r="K6" s="96" t="e">
        <f>0.3*M6+0.7*0.25*M5+0.7*0.25*M4+0.7*0.25*M3+0.7*0.25*M2</f>
        <v>#REF!</v>
      </c>
      <c r="L6" s="96" t="e">
        <f t="shared" si="1"/>
        <v>#REF!</v>
      </c>
      <c r="M6" s="96" t="e">
        <f>IF(AND(AI6&lt;&gt;"",AL6&lt;=10),(1-#REF!)*MIN(30/1000*(AF6-AF5),0.75*(AI6-AI5)),"")</f>
        <v>#REF!</v>
      </c>
      <c r="N6" s="96" t="e">
        <f>IF(AL6&lt;=5,IF(AJ6&lt;&gt;"",0.002*AF6,"")*(1-#REF!),"")</f>
        <v>#REF!</v>
      </c>
      <c r="O6" s="96" t="e">
        <f>IF(AJ6&lt;&gt;"",0.07*AI6*(1-#REF!),0)</f>
        <v>#REF!</v>
      </c>
      <c r="P6" s="87" t="e">
        <f t="shared" si="2"/>
        <v>#REF!</v>
      </c>
      <c r="Q6" s="87" t="e">
        <f t="shared" si="3"/>
        <v>#REF!</v>
      </c>
      <c r="R6" s="87" t="e">
        <f>IF(AJ6&lt;&gt;"",(AB6+AA6+V6+T6)*#REF!,0)</f>
        <v>#REF!</v>
      </c>
      <c r="S6" s="87" t="e">
        <f>IF(AJ6&lt;&gt;"",T6*(LOOKUP(#REF!,Rates!$O$2:$O$9,Rates!$L$2:$L$9)/100),0)</f>
        <v>#REF!</v>
      </c>
      <c r="T6" s="87" t="e">
        <f>IF(AJ6&lt;&gt;"",IF(#REF!="بله",V6*Rates!$Z$7,0),0)</f>
        <v>#REF!</v>
      </c>
      <c r="U6" s="87" t="e">
        <f>IF(AJ6&lt;&gt;"",IF(#REF!="بله",V6*(LOOKUP(#REF!,Rates!$O$2:$O$9,Rates!$L$2:$L$9)/100),V6*(LOOKUP(#REF!,Rates!$O$2:$O$9,Rates!$L$2:$L$9)/100)),0)</f>
        <v>#REF!</v>
      </c>
      <c r="V6" s="88" t="e">
        <f>IF(AND(AJ6&lt;&gt;"",AJ6&lt;=Rates!$Z$8,#REF!="بله"),AH6*(LOOKUP(AJ6,Rates!$U$2:$U$108,Rates!#REF!)),IF(AND(AK6&lt;&gt;"",AK6&lt;=Rates!$Z$8,#REF!="خیر"),AH6*(LOOKUP(AK6,Rates!$U$2:$U$108,Rates!#REF!)),0)*(1-#REF!))</f>
        <v>#REF!</v>
      </c>
      <c r="W6" s="88" t="e">
        <f>IF(AJ6&lt;&gt;"",X6*LOOKUP(#REF!,Rates!$O$2:$O$9,Rates!$M$2:$M$9)/100,0)</f>
        <v>#REF!</v>
      </c>
      <c r="X6" s="88" t="e">
        <f>IF(AJ6&lt;=Rates!$Z$4,0.0008*AF6*#REF!,0)</f>
        <v>#REF!</v>
      </c>
      <c r="Y6" s="88" t="e">
        <f>IF(AJ6&lt;&gt;"",Z6*(LOOKUP(#REF!,Rates!$O$2:$O$9,Rates!$N$2:$N$9/100)),0)</f>
        <v>#REF!</v>
      </c>
      <c r="Z6" s="87" t="e">
        <f>IF(AND(AJ6&lt;=(Rates!$Z$3),AD6&lt;&gt;""),(1-#REF!)*0.0008*AF6*#REF!,0)</f>
        <v>#REF!</v>
      </c>
      <c r="AA6" s="87" t="e">
        <f>IF(AJ6&lt;=60,(LOOKUP(AJ6,Rates!$U$2:$U$108,Rates!#REF!))*AC6/1000000*(1-#REF!),0)</f>
        <v>#REF!</v>
      </c>
      <c r="AB6" s="84" t="e">
        <f>IF(AJ6&lt;&gt;"",(AF6*LOOKUP(AJ6,Rates!$U$2:$U$108,Rates!$T$2:$T$108))/SQRT(1+IF(AL6&lt;=10,Rates!$Z$5,Rates!$Z$6)),"")</f>
        <v>#REF!</v>
      </c>
      <c r="AC6" s="89" t="e">
        <f>IF(AND(AJ6&lt;&gt;"",AJ6&lt;=Rates!$Z$2),MIN(0.5*AF6,300000000,AC5*(1+#REF!)),"")</f>
        <v>#REF!</v>
      </c>
      <c r="AD6" s="89" t="e">
        <f>IF(AND(AJ6&lt;&gt;"",AJ6&lt;=60),AF6*#REF!,"")</f>
        <v>#REF!</v>
      </c>
      <c r="AE6" s="109" t="e">
        <f>IF(AND(AJ6&lt;&gt;"",AJ6&lt;=70),AF6*(1+#REF!),"")</f>
        <v>#REF!</v>
      </c>
      <c r="AF6" s="109" t="e">
        <f>IF(AJ6&lt;&gt;"",AF5*(1+#REF!),"")</f>
        <v>#REF!</v>
      </c>
      <c r="AG6" s="92" t="e">
        <f>IF(AJ6&lt;&gt;"",AI6+AG5,"")</f>
        <v>#REF!</v>
      </c>
      <c r="AH6" s="83" t="e">
        <f>IF(AJ6&lt;&gt;"",AI6*Rates!$Z$9,"")</f>
        <v>#REF!</v>
      </c>
      <c r="AI6" s="92" t="e">
        <f>IF(AJ6&lt;&gt;"",AI5*(1+#REF!),"")</f>
        <v>#REF!</v>
      </c>
      <c r="AJ6" s="98" t="e">
        <f>IF(AL6&lt;&gt;"",#REF!+AL6-1,"")</f>
        <v>#REF!</v>
      </c>
      <c r="AK6" s="107" t="e">
        <f>IF(AL6&lt;&gt;"",#REF!+AL6-1,"")</f>
        <v>#REF!</v>
      </c>
      <c r="AL6" s="110" t="e">
        <f>IF(AL5&lt;&gt;"",IF(AL5+1&lt;=#REF!,AL5+1,""),"")</f>
        <v>#REF!</v>
      </c>
    </row>
    <row r="7" spans="1:40" ht="17.25" x14ac:dyDescent="0.25">
      <c r="A7" s="84" t="e">
        <f>IF(AJ7&lt;&gt;"",D7+D7*(IF(AL7&gt;4,0.1,LOOKUP(#REF!,Rates!$D$2:$D$4,Rates!$C$2:$C$4))+0.85*(#REF!-(IF(AL7&gt;4,0.1,LOOKUP(#REF!,Rates!$D$2:$D$4,Rates!$C$2:$C$4)))))*LOOKUP(#REF!,Rates!$I$2:$I$7,Rates!$G$2:$G$7)+A6*(1+IF(AL7&gt;4,0.1,LOOKUP(#REF!,Rates!$D$2:$D$4,Rates!$C$2:$C$4))+0.85*(#REF!-IF(AL7&gt;4,0.1,LOOKUP(#REF!,Rates!$D$2:$D$4,Rates!$C$2:$C$4)))),"")</f>
        <v>#REF!</v>
      </c>
      <c r="B7" s="84" t="e">
        <f>IF(AJ7&lt;&gt;"",IF(AL7&gt;=8,C7,C7*LOOKUP(AL7,Rates!$AH$2:$AH$8,Rates!$AG$2:$AG$8)),"")</f>
        <v>#REF!</v>
      </c>
      <c r="C7" s="84" t="e">
        <f>IF(AJ7&lt;&gt;"",D7*(1+IF(AL7&gt;4,0.1,LOOKUP(#REF!,Rates!$D$2:$D$5,Rates!$B$2:$B$5))*LOOKUP(#REF!,Rates!$I$2:$I$7,Rates!$G$2:$G$7))+C6*(1+IF(AL7&gt;4,0.1,LOOKUP(#REF!,Rates!$D$2:$D$5,Rates!$B$2:$B$5))),"")</f>
        <v>#REF!</v>
      </c>
      <c r="D7" s="84" t="e">
        <f>IF(AJ7&lt;&gt;"",AI7-(H7+G7+F7+E7+P7+Q7)+IF(#REF!&gt;0,IF(AND(AL7&lt;=#REF!,AL7&gt;=#REF!),#REF!,0),0),"")</f>
        <v>#REF!</v>
      </c>
      <c r="E7" s="84" t="e">
        <f>IF(AJ7&lt;&gt;"",(LOOKUP(#REF!,Rates!$AE$2:$AE$4,Rates!$AD$2:$AD$4))*(H7+P7+Q7),"")</f>
        <v>#REF!</v>
      </c>
      <c r="F7" s="84" t="e">
        <f>IF(AJ7&lt;&gt;"",(LOOKUP(#REF!,Rates!$AE$2:$AE$4,Rates!$AB$2:$AB$4))*(H7+P7+Q7),"")</f>
        <v>#REF!</v>
      </c>
      <c r="G7" s="84" t="e">
        <f>IF(AJ7&lt;&gt;"",(LOOKUP(#REF!,Rates!$AE$2:$AE$4,Rates!$AC$2:$AC$4))*(H7+P7+Q7),"")</f>
        <v>#REF!</v>
      </c>
      <c r="H7" s="84" t="e">
        <f t="shared" si="0"/>
        <v>#REF!</v>
      </c>
      <c r="I7" s="84" t="e">
        <f>IF(AJ7&lt;&gt;"",LOOKUP(#REF!,Rates!$I$2:$I$7,Rates!$H$2:$H$7)*(J7+P7+Q7+AB7),"")</f>
        <v>#REF!</v>
      </c>
      <c r="J7" s="96" t="e">
        <f t="shared" ref="J7:J38" si="4">IF(L7="",0,L7)+IF(N7="",0,N7)+IF(O7="",0,O7)</f>
        <v>#REF!</v>
      </c>
      <c r="K7" s="96" t="e">
        <f>0.3*M7+0.7*0.25*M6+0.7*0.25*M5+0.7*0.25*M4+0.7*0.25*M3</f>
        <v>#REF!</v>
      </c>
      <c r="L7" s="96" t="e">
        <f>IF(M7&lt;&gt;"",L6-12.5/100*M6+0.3*M7-17.5/100*M2,"")</f>
        <v>#REF!</v>
      </c>
      <c r="M7" s="96" t="e">
        <f>IF(AND(AI7&lt;&gt;"",AL7&lt;=10),(1-#REF!)*MIN(30/1000*(AF7-AF6),0.75*(AI7-AI6)),"")</f>
        <v>#REF!</v>
      </c>
      <c r="N7" s="96">
        <v>0</v>
      </c>
      <c r="O7" s="96" t="e">
        <f>IF(AJ7&lt;&gt;"",0.07*AI7*(1-#REF!),0)</f>
        <v>#REF!</v>
      </c>
      <c r="P7" s="87" t="e">
        <f t="shared" si="2"/>
        <v>#REF!</v>
      </c>
      <c r="Q7" s="87" t="e">
        <f t="shared" si="3"/>
        <v>#REF!</v>
      </c>
      <c r="R7" s="87" t="e">
        <f>IF(AJ7&lt;&gt;"",(AB7+AA7+V7+T7)*#REF!,0)</f>
        <v>#REF!</v>
      </c>
      <c r="S7" s="87" t="e">
        <f>IF(AJ7&lt;&gt;"",T7*(LOOKUP(#REF!,Rates!$O$2:$O$9,Rates!$L$2:$L$9)/100),0)</f>
        <v>#REF!</v>
      </c>
      <c r="T7" s="87" t="e">
        <f>IF(AJ7&lt;&gt;"",IF(#REF!="بله",V7*Rates!$Z$7,0),0)</f>
        <v>#REF!</v>
      </c>
      <c r="U7" s="87" t="e">
        <f>IF(AJ7&lt;&gt;"",IF(#REF!="بله",V7*(LOOKUP(#REF!,Rates!$O$2:$O$9,Rates!$L$2:$L$9)/100),V7*(LOOKUP(#REF!,Rates!$O$2:$O$9,Rates!$L$2:$L$9)/100)),0)</f>
        <v>#REF!</v>
      </c>
      <c r="V7" s="88" t="e">
        <f>IF(AND(AJ7&lt;&gt;"",AJ7&lt;=Rates!$Z$8,#REF!="بله"),AH7*(LOOKUP(AJ7,Rates!$U$2:$U$108,Rates!#REF!)),IF(AND(AK7&lt;&gt;"",AK7&lt;=Rates!$Z$8,#REF!="خیر"),AH7*(LOOKUP(AK7,Rates!$U$2:$U$108,Rates!#REF!)),0)*(1-#REF!))</f>
        <v>#REF!</v>
      </c>
      <c r="W7" s="88" t="e">
        <f>IF(AJ7&lt;&gt;"",X7*LOOKUP(#REF!,Rates!$O$2:$O$9,Rates!$M$2:$M$9)/100,0)</f>
        <v>#REF!</v>
      </c>
      <c r="X7" s="88" t="e">
        <f>IF(AJ7&lt;=Rates!$Z$4,0.0008*AF7*#REF!,0)</f>
        <v>#REF!</v>
      </c>
      <c r="Y7" s="88" t="e">
        <f>IF(AJ7&lt;&gt;"",Z7*(LOOKUP(#REF!,Rates!$O$2:$O$9,Rates!$N$2:$N$9/100)),0)</f>
        <v>#REF!</v>
      </c>
      <c r="Z7" s="87" t="e">
        <f>IF(AND(AJ7&lt;=(Rates!$Z$3),AD7&lt;&gt;""),(1-#REF!)*0.0008*AF7*#REF!,0)</f>
        <v>#REF!</v>
      </c>
      <c r="AA7" s="87" t="e">
        <f>IF(AJ7&lt;=60,(LOOKUP(AJ7,Rates!$U$2:$U$108,Rates!#REF!))*AC7/1000000*(1-#REF!),0)</f>
        <v>#REF!</v>
      </c>
      <c r="AB7" s="84" t="e">
        <f>IF(AJ7&lt;&gt;"",(AF7*LOOKUP(AJ7,Rates!$U$2:$U$108,Rates!$T$2:$T$108))/SQRT(1+IF(AL7&lt;=10,Rates!$Z$5,Rates!$Z$6)),"")</f>
        <v>#REF!</v>
      </c>
      <c r="AC7" s="89" t="e">
        <f>IF(AND(AJ7&lt;&gt;"",AJ7&lt;=Rates!$Z$2),MIN(0.5*AF7,300000000,AC6*(1+#REF!)),"")</f>
        <v>#REF!</v>
      </c>
      <c r="AD7" s="89" t="e">
        <f>IF(AND(AJ7&lt;&gt;"",AJ7&lt;=60),AF7*#REF!,"")</f>
        <v>#REF!</v>
      </c>
      <c r="AE7" s="109" t="e">
        <f>IF(AND(AJ7&lt;&gt;"",AJ7&lt;=70),AF7*(1+#REF!),"")</f>
        <v>#REF!</v>
      </c>
      <c r="AF7" s="109" t="e">
        <f>IF(AJ7&lt;&gt;"",AF6*(1+#REF!),"")</f>
        <v>#REF!</v>
      </c>
      <c r="AG7" s="92" t="e">
        <f>IF(AJ7&lt;&gt;"",AI7+AG6,"")</f>
        <v>#REF!</v>
      </c>
      <c r="AH7" s="83" t="e">
        <f>IF(AJ7&lt;&gt;"",AI7*Rates!$Z$9,"")</f>
        <v>#REF!</v>
      </c>
      <c r="AI7" s="92" t="e">
        <f>IF(AJ7&lt;&gt;"",AI6*(1+#REF!),"")</f>
        <v>#REF!</v>
      </c>
      <c r="AJ7" s="98" t="e">
        <f>IF(AL7&lt;&gt;"",#REF!+AL7-1,"")</f>
        <v>#REF!</v>
      </c>
      <c r="AK7" s="107" t="e">
        <f>IF(AL7&lt;&gt;"",#REF!+AL7-1,"")</f>
        <v>#REF!</v>
      </c>
      <c r="AL7" s="110" t="e">
        <f>IF(AL6&lt;&gt;"",IF(AL6+1&lt;=#REF!,AL6+1,""),"")</f>
        <v>#REF!</v>
      </c>
    </row>
    <row r="8" spans="1:40" ht="17.25" x14ac:dyDescent="0.25">
      <c r="A8" s="84" t="e">
        <f>IF(AJ8&lt;&gt;"",D8+D8*(IF(AL8&gt;4,0.1,LOOKUP(#REF!,Rates!$D$2:$D$4,Rates!$C$2:$C$4))+0.85*(#REF!-(IF(AL8&gt;4,0.1,LOOKUP(#REF!,Rates!$D$2:$D$4,Rates!$C$2:$C$4)))))*LOOKUP(#REF!,Rates!$I$2:$I$7,Rates!$G$2:$G$7)+A7*(1+IF(AL8&gt;4,0.1,LOOKUP(#REF!,Rates!$D$2:$D$4,Rates!$C$2:$C$4))+0.85*(#REF!-IF(AL8&gt;4,0.1,LOOKUP(#REF!,Rates!$D$2:$D$4,Rates!$C$2:$C$4)))),"")</f>
        <v>#REF!</v>
      </c>
      <c r="B8" s="84" t="e">
        <f>IF(AJ8&lt;&gt;"",IF(AL8&gt;=8,C8,C8*LOOKUP(AL8,Rates!$AH$2:$AH$8,Rates!$AG$2:$AG$8)),"")</f>
        <v>#REF!</v>
      </c>
      <c r="C8" s="84" t="e">
        <f>IF(AJ8&lt;&gt;"",D8*(1+IF(AL8&gt;4,0.1,LOOKUP(#REF!,Rates!$D$2:$D$5,Rates!$B$2:$B$5))*LOOKUP(#REF!,Rates!$I$2:$I$7,Rates!$G$2:$G$7))+C7*(1+IF(AL8&gt;4,0.1,LOOKUP(#REF!,Rates!$D$2:$D$5,Rates!$B$2:$B$5))),"")</f>
        <v>#REF!</v>
      </c>
      <c r="D8" s="84" t="e">
        <f>IF(AJ8&lt;&gt;"",AI8-(H8+G8+F8+E8+P8+Q8)+IF(#REF!&gt;0,IF(AND(AL8&lt;=#REF!,AL8&gt;=#REF!),#REF!,0),0),"")</f>
        <v>#REF!</v>
      </c>
      <c r="E8" s="84" t="e">
        <f>IF(AJ8&lt;&gt;"",(LOOKUP(#REF!,Rates!$AE$2:$AE$4,Rates!$AD$2:$AD$4))*(H8+P8+Q8),"")</f>
        <v>#REF!</v>
      </c>
      <c r="F8" s="84" t="e">
        <f>IF(AJ8&lt;&gt;"",(LOOKUP(#REF!,Rates!$AE$2:$AE$4,Rates!$AB$2:$AB$4))*(H8+P8+Q8),"")</f>
        <v>#REF!</v>
      </c>
      <c r="G8" s="84" t="e">
        <f>IF(AJ8&lt;&gt;"",(LOOKUP(#REF!,Rates!$AE$2:$AE$4,Rates!$AC$2:$AC$4))*(H8+P8+Q8),"")</f>
        <v>#REF!</v>
      </c>
      <c r="H8" s="84" t="e">
        <f t="shared" si="0"/>
        <v>#REF!</v>
      </c>
      <c r="I8" s="84" t="e">
        <f>IF(AJ8&lt;&gt;"",LOOKUP(#REF!,Rates!$I$2:$I$7,Rates!$H$2:$H$7)*(J8+P8+Q8+AB8),"")</f>
        <v>#REF!</v>
      </c>
      <c r="J8" s="96" t="e">
        <f t="shared" si="4"/>
        <v>#REF!</v>
      </c>
      <c r="K8" s="96" t="e">
        <f>0.3*M8+0.7*0.25*M7+0.7*0.25*M6+0.7*0.25*M5+0.7*0.25*M4</f>
        <v>#REF!</v>
      </c>
      <c r="L8" s="96" t="e">
        <f t="shared" ref="L8" si="5">IF(M8&lt;&gt;"",L7-12.5/100*M7+0.3*M8-17.5/100*M3,"")</f>
        <v>#REF!</v>
      </c>
      <c r="M8" s="96" t="e">
        <f>IF(AND(AI8&lt;&gt;"",AL8&lt;=10),(1-#REF!)*MIN(30/1000*(AF8-AF7),0.75*(AI8-AI7)),"")</f>
        <v>#REF!</v>
      </c>
      <c r="N8" s="96">
        <v>0</v>
      </c>
      <c r="O8" s="96" t="e">
        <f>IF(AJ8&lt;&gt;"",0.07*AI8*(1-#REF!),0)</f>
        <v>#REF!</v>
      </c>
      <c r="P8" s="87" t="e">
        <f t="shared" si="2"/>
        <v>#REF!</v>
      </c>
      <c r="Q8" s="87" t="e">
        <f t="shared" si="3"/>
        <v>#REF!</v>
      </c>
      <c r="R8" s="87" t="e">
        <f>IF(AJ8&lt;&gt;"",(AB8+AA8+V8+T8)*#REF!,0)</f>
        <v>#REF!</v>
      </c>
      <c r="S8" s="87" t="e">
        <f>IF(AJ8&lt;&gt;"",T8*(LOOKUP(#REF!,Rates!$O$2:$O$9,Rates!$L$2:$L$9)/100),0)</f>
        <v>#REF!</v>
      </c>
      <c r="T8" s="87" t="e">
        <f>IF(AJ8&lt;&gt;"",IF(#REF!="بله",V8*Rates!$Z$7,0),0)</f>
        <v>#REF!</v>
      </c>
      <c r="U8" s="87" t="e">
        <f>IF(AJ8&lt;&gt;"",IF(#REF!="بله",V8*(LOOKUP(#REF!,Rates!$O$2:$O$9,Rates!$L$2:$L$9)/100),V8*(LOOKUP(#REF!,Rates!$O$2:$O$9,Rates!$L$2:$L$9)/100)),0)</f>
        <v>#REF!</v>
      </c>
      <c r="V8" s="88" t="e">
        <f>IF(AND(AJ8&lt;&gt;"",AJ8&lt;=Rates!$Z$8,#REF!="بله"),AH8*(LOOKUP(AJ8,Rates!$U$2:$U$108,Rates!#REF!)),IF(AND(AK8&lt;&gt;"",AK8&lt;=Rates!$Z$8,#REF!="خیر"),AH8*(LOOKUP(AK8,Rates!$U$2:$U$108,Rates!#REF!)),0)*(1-#REF!))</f>
        <v>#REF!</v>
      </c>
      <c r="W8" s="88" t="e">
        <f>IF(AJ8&lt;&gt;"",X8*LOOKUP(#REF!,Rates!$O$2:$O$9,Rates!$M$2:$M$9)/100,0)</f>
        <v>#REF!</v>
      </c>
      <c r="X8" s="88" t="e">
        <f>IF(AJ8&lt;=Rates!$Z$4,0.0008*AF8*#REF!,0)</f>
        <v>#REF!</v>
      </c>
      <c r="Y8" s="88" t="e">
        <f>IF(AJ8&lt;&gt;"",Z8*(LOOKUP(#REF!,Rates!$O$2:$O$9,Rates!$N$2:$N$9/100)),0)</f>
        <v>#REF!</v>
      </c>
      <c r="Z8" s="87" t="e">
        <f>IF(AND(AJ8&lt;=(Rates!$Z$3),AD8&lt;&gt;""),(1-#REF!)*0.0008*AF8*#REF!,0)</f>
        <v>#REF!</v>
      </c>
      <c r="AA8" s="87" t="e">
        <f>IF(AJ8&lt;=60,(LOOKUP(AJ8,Rates!$U$2:$U$108,Rates!#REF!))*AC8/1000000*(1-#REF!),0)</f>
        <v>#REF!</v>
      </c>
      <c r="AB8" s="84" t="e">
        <f>IF(AJ8&lt;&gt;"",(AF8*LOOKUP(AJ8,Rates!$U$2:$U$108,Rates!$T$2:$T$108))/SQRT(1+IF(AL8&lt;=10,Rates!$Z$5,Rates!$Z$6)),"")</f>
        <v>#REF!</v>
      </c>
      <c r="AC8" s="89" t="e">
        <f>IF(AND(AJ8&lt;&gt;"",AJ8&lt;=Rates!$Z$2),MIN(0.5*AF8,300000000,AC7*(1+#REF!)),"")</f>
        <v>#REF!</v>
      </c>
      <c r="AD8" s="89" t="e">
        <f>IF(AND(AJ8&lt;&gt;"",AJ8&lt;=60),AF8*#REF!,"")</f>
        <v>#REF!</v>
      </c>
      <c r="AE8" s="109" t="e">
        <f>IF(AND(AJ8&lt;&gt;"",AJ8&lt;=70),AF8*(1+#REF!),"")</f>
        <v>#REF!</v>
      </c>
      <c r="AF8" s="109" t="e">
        <f>IF(AJ8&lt;&gt;"",AF7*(1+#REF!),"")</f>
        <v>#REF!</v>
      </c>
      <c r="AG8" s="92" t="e">
        <f t="shared" ref="AG8:AG71" si="6">IF(AJ8&lt;&gt;"",AI8+AG7,"")</f>
        <v>#REF!</v>
      </c>
      <c r="AH8" s="83" t="e">
        <f>IF(AJ8&lt;&gt;"",AI8*Rates!$Z$9,"")</f>
        <v>#REF!</v>
      </c>
      <c r="AI8" s="92" t="e">
        <f>IF(AJ8&lt;&gt;"",AI7*(1+#REF!),"")</f>
        <v>#REF!</v>
      </c>
      <c r="AJ8" s="98" t="e">
        <f>IF(AL8&lt;&gt;"",#REF!+AL8-1,"")</f>
        <v>#REF!</v>
      </c>
      <c r="AK8" s="107" t="e">
        <f>IF(AL8&lt;&gt;"",#REF!+AL8-1,"")</f>
        <v>#REF!</v>
      </c>
      <c r="AL8" s="110" t="e">
        <f>IF(AL7&lt;&gt;"",IF(AL7+1&lt;=#REF!,AL7+1,""),"")</f>
        <v>#REF!</v>
      </c>
    </row>
    <row r="9" spans="1:40" ht="17.25" x14ac:dyDescent="0.25">
      <c r="A9" s="84" t="e">
        <f>IF(AJ9&lt;&gt;"",D9+D9*(IF(AL9&gt;4,0.1,LOOKUP(#REF!,Rates!$D$2:$D$4,Rates!$C$2:$C$4))+0.85*(#REF!-(IF(AL9&gt;4,0.1,LOOKUP(#REF!,Rates!$D$2:$D$4,Rates!$C$2:$C$4)))))*LOOKUP(#REF!,Rates!$I$2:$I$7,Rates!$G$2:$G$7)+A8*(1+IF(AL9&gt;4,0.1,LOOKUP(#REF!,Rates!$D$2:$D$4,Rates!$C$2:$C$4))+0.85*(#REF!-IF(AL9&gt;4,0.1,LOOKUP(#REF!,Rates!$D$2:$D$4,Rates!$C$2:$C$4)))),"")</f>
        <v>#REF!</v>
      </c>
      <c r="B9" s="84" t="e">
        <f>IF(AJ9&lt;&gt;"",IF(AL9&gt;=8,C9,C9*LOOKUP(AL9,Rates!$AH$2:$AH$8,Rates!$AG$2:$AG$8)),"")</f>
        <v>#REF!</v>
      </c>
      <c r="C9" s="84" t="e">
        <f>IF(AJ9&lt;&gt;"",D9*(1+IF(AL9&gt;4,0.1,LOOKUP(#REF!,Rates!$D$2:$D$5,Rates!$B$2:$B$5))*LOOKUP(#REF!,Rates!$I$2:$I$7,Rates!$G$2:$G$7))+C8*(1+IF(AL9&gt;4,0.1,LOOKUP(#REF!,Rates!$D$2:$D$5,Rates!$B$2:$B$5))),"")</f>
        <v>#REF!</v>
      </c>
      <c r="D9" s="84" t="e">
        <f>IF(AJ9&lt;&gt;"",AI9-(H9+G9+F9+E9+P9+Q9)+IF(#REF!&gt;0,IF(AND(AL9&lt;=#REF!,AL9&gt;=#REF!),#REF!,0),0),"")</f>
        <v>#REF!</v>
      </c>
      <c r="E9" s="84" t="e">
        <f>IF(AJ9&lt;&gt;"",(LOOKUP(#REF!,Rates!$AE$2:$AE$4,Rates!$AD$2:$AD$4))*(H9+P9+Q9),"")</f>
        <v>#REF!</v>
      </c>
      <c r="F9" s="84" t="e">
        <f>IF(AJ9&lt;&gt;"",(LOOKUP(#REF!,Rates!$AE$2:$AE$4,Rates!$AB$2:$AB$4))*(H9+P9+Q9),"")</f>
        <v>#REF!</v>
      </c>
      <c r="G9" s="84" t="e">
        <f>IF(AJ9&lt;&gt;"",(LOOKUP(#REF!,Rates!$AE$2:$AE$4,Rates!$AC$2:$AC$4))*(H9+P9+Q9),"")</f>
        <v>#REF!</v>
      </c>
      <c r="H9" s="84" t="e">
        <f t="shared" si="0"/>
        <v>#REF!</v>
      </c>
      <c r="I9" s="84" t="e">
        <f>IF(AJ9&lt;&gt;"",LOOKUP(#REF!,Rates!$I$2:$I$7,Rates!$H$2:$H$7)*(J9+P9+Q9+AB9),"")</f>
        <v>#REF!</v>
      </c>
      <c r="J9" s="96" t="e">
        <f t="shared" si="4"/>
        <v>#REF!</v>
      </c>
      <c r="K9" s="96" t="e">
        <f>0.3*M9+0.7*0.5*M8+0.7*0.25*M7+0.7*0.25*M6+0.7*0.25*M5</f>
        <v>#REF!</v>
      </c>
      <c r="L9" s="96" t="e">
        <f>IF(M9&lt;&gt;"",L8+5/100*M8+0.3*M9-17.5/100*M4,"")</f>
        <v>#REF!</v>
      </c>
      <c r="M9" s="96" t="e">
        <f>IF(AND(AI9&lt;&gt;"",AL9&lt;=10),(1-#REF!)*MIN(30/1000*(AF9-AF8),0.75*(AI9-AI8)),"")</f>
        <v>#REF!</v>
      </c>
      <c r="N9" s="96">
        <v>0</v>
      </c>
      <c r="O9" s="96" t="e">
        <f>IF(AJ9&lt;&gt;"",0.07*AI9*(1-#REF!),0)</f>
        <v>#REF!</v>
      </c>
      <c r="P9" s="87" t="e">
        <f t="shared" si="2"/>
        <v>#REF!</v>
      </c>
      <c r="Q9" s="87" t="e">
        <f t="shared" si="3"/>
        <v>#REF!</v>
      </c>
      <c r="R9" s="87" t="e">
        <f>IF(AJ9&lt;&gt;"",(AB9+AA9+V9+T9)*#REF!,0)</f>
        <v>#REF!</v>
      </c>
      <c r="S9" s="87" t="e">
        <f>IF(AJ9&lt;&gt;"",T9*(LOOKUP(#REF!,Rates!$O$2:$O$9,Rates!$L$2:$L$9)/100),0)</f>
        <v>#REF!</v>
      </c>
      <c r="T9" s="87" t="e">
        <f>IF(AJ9&lt;&gt;"",IF(#REF!="بله",V9*Rates!$Z$7,0),0)</f>
        <v>#REF!</v>
      </c>
      <c r="U9" s="87" t="e">
        <f>IF(AJ9&lt;&gt;"",IF(#REF!="بله",V9*(LOOKUP(#REF!,Rates!$O$2:$O$9,Rates!$L$2:$L$9)/100),V9*(LOOKUP(#REF!,Rates!$O$2:$O$9,Rates!$L$2:$L$9)/100)),0)</f>
        <v>#REF!</v>
      </c>
      <c r="V9" s="88" t="e">
        <f>IF(AND(AJ9&lt;&gt;"",AJ9&lt;=Rates!$Z$8,#REF!="بله"),AH9*(LOOKUP(AJ9,Rates!$U$2:$U$108,Rates!#REF!)),IF(AND(AK9&lt;&gt;"",AK9&lt;=Rates!$Z$8,#REF!="خیر"),AH9*(LOOKUP(AK9,Rates!$U$2:$U$108,Rates!#REF!)),0)*(1-#REF!))</f>
        <v>#REF!</v>
      </c>
      <c r="W9" s="88" t="e">
        <f>IF(AJ9&lt;&gt;"",X9*LOOKUP(#REF!,Rates!$O$2:$O$9,Rates!$M$2:$M$9)/100,0)</f>
        <v>#REF!</v>
      </c>
      <c r="X9" s="88" t="e">
        <f>IF(AJ9&lt;=Rates!$Z$4,0.0008*AF9*#REF!,0)</f>
        <v>#REF!</v>
      </c>
      <c r="Y9" s="88" t="e">
        <f>IF(AJ9&lt;&gt;"",Z9*(LOOKUP(#REF!,Rates!$O$2:$O$9,Rates!$N$2:$N$9/100)),0)</f>
        <v>#REF!</v>
      </c>
      <c r="Z9" s="87" t="e">
        <f>IF(AND(AJ9&lt;=(Rates!$Z$3),AD9&lt;&gt;""),(1-#REF!)*0.0008*AF9*#REF!,0)</f>
        <v>#REF!</v>
      </c>
      <c r="AA9" s="87" t="e">
        <f>IF(AJ9&lt;=60,(LOOKUP(AJ9,Rates!$U$2:$U$108,Rates!#REF!))*AC9/1000000*(1-#REF!),0)</f>
        <v>#REF!</v>
      </c>
      <c r="AB9" s="84" t="e">
        <f>IF(AJ9&lt;&gt;"",(AF9*LOOKUP(AJ9,Rates!$U$2:$U$108,Rates!$T$2:$T$108))/SQRT(1+IF(AL9&lt;=10,Rates!$Z$5,Rates!$Z$6)),"")</f>
        <v>#REF!</v>
      </c>
      <c r="AC9" s="89" t="e">
        <f>IF(AND(AJ9&lt;&gt;"",AJ9&lt;=Rates!$Z$2),MIN(0.5*AF9,300000000,AC8*(1+#REF!)),"")</f>
        <v>#REF!</v>
      </c>
      <c r="AD9" s="89" t="e">
        <f>IF(AND(AJ9&lt;&gt;"",AJ9&lt;=60),AF9*#REF!,"")</f>
        <v>#REF!</v>
      </c>
      <c r="AE9" s="109" t="e">
        <f>IF(AND(AJ9&lt;&gt;"",AJ9&lt;=70),AF9*(1+#REF!),"")</f>
        <v>#REF!</v>
      </c>
      <c r="AF9" s="109" t="e">
        <f>IF(AJ9&lt;&gt;"",AF8*(1+#REF!),"")</f>
        <v>#REF!</v>
      </c>
      <c r="AG9" s="92" t="e">
        <f t="shared" si="6"/>
        <v>#REF!</v>
      </c>
      <c r="AH9" s="83" t="e">
        <f>IF(AJ9&lt;&gt;"",AI9*Rates!$Z$9,"")</f>
        <v>#REF!</v>
      </c>
      <c r="AI9" s="92" t="e">
        <f>IF(AJ9&lt;&gt;"",AI8*(1+#REF!),"")</f>
        <v>#REF!</v>
      </c>
      <c r="AJ9" s="98" t="e">
        <f>IF(AL9&lt;&gt;"",#REF!+AL9-1,"")</f>
        <v>#REF!</v>
      </c>
      <c r="AK9" s="107" t="e">
        <f>IF(AL9&lt;&gt;"",#REF!+AL9-1,"")</f>
        <v>#REF!</v>
      </c>
      <c r="AL9" s="110" t="e">
        <f>IF(AL8&lt;&gt;"",IF(AL8+1&lt;=#REF!,AL8+1,""),"")</f>
        <v>#REF!</v>
      </c>
    </row>
    <row r="10" spans="1:40" ht="17.25" x14ac:dyDescent="0.25">
      <c r="A10" s="84" t="e">
        <f>IF(AJ10&lt;&gt;"",D10+D10*(IF(AL10&gt;4,0.1,LOOKUP(#REF!,Rates!$D$2:$D$4,Rates!$C$2:$C$4))+0.85*(#REF!-(IF(AL10&gt;4,0.1,LOOKUP(#REF!,Rates!$D$2:$D$4,Rates!$C$2:$C$4)))))*LOOKUP(#REF!,Rates!$I$2:$I$7,Rates!$G$2:$G$7)+A9*(1+IF(AL10&gt;4,0.1,LOOKUP(#REF!,Rates!$D$2:$D$4,Rates!$C$2:$C$4))+0.85*(#REF!-IF(AL10&gt;4,0.1,LOOKUP(#REF!,Rates!$D$2:$D$4,Rates!$C$2:$C$4)))),"")</f>
        <v>#REF!</v>
      </c>
      <c r="B10" s="84" t="e">
        <f>IF(AJ10&lt;&gt;"",IF(AL10&gt;=8,C10,C10*LOOKUP(AL10,Rates!$AH$2:$AH$8,Rates!$AG$2:$AG$8)),"")</f>
        <v>#REF!</v>
      </c>
      <c r="C10" s="84" t="e">
        <f>IF(AJ10&lt;&gt;"",D10*(1+IF(AL10&gt;4,0.1,LOOKUP(#REF!,Rates!$D$2:$D$5,Rates!$B$2:$B$5))*LOOKUP(#REF!,Rates!$I$2:$I$7,Rates!$G$2:$G$7))+C9*(1+IF(AL10&gt;4,0.1,LOOKUP(#REF!,Rates!$D$2:$D$5,Rates!$B$2:$B$5))),"")</f>
        <v>#REF!</v>
      </c>
      <c r="D10" s="84" t="e">
        <f>IF(AJ10&lt;&gt;"",AI10-(H10+G10+F10+E10+P10+Q10)+IF(#REF!&gt;0,IF(AND(AL10&lt;=#REF!,AL10&gt;=#REF!),#REF!,0),0),"")</f>
        <v>#REF!</v>
      </c>
      <c r="E10" s="84" t="e">
        <f>IF(AJ10&lt;&gt;"",(LOOKUP(#REF!,Rates!$AE$2:$AE$4,Rates!$AD$2:$AD$4))*(H10+P10+Q10),"")</f>
        <v>#REF!</v>
      </c>
      <c r="F10" s="84" t="e">
        <f>IF(AJ10&lt;&gt;"",(LOOKUP(#REF!,Rates!$AE$2:$AE$4,Rates!$AB$2:$AB$4))*(H10+P10+Q10),"")</f>
        <v>#REF!</v>
      </c>
      <c r="G10" s="84" t="e">
        <f>IF(AJ10&lt;&gt;"",(LOOKUP(#REF!,Rates!$AE$2:$AE$4,Rates!$AC$2:$AC$4))*(H10+P10+Q10),"")</f>
        <v>#REF!</v>
      </c>
      <c r="H10" s="84" t="e">
        <f t="shared" si="0"/>
        <v>#REF!</v>
      </c>
      <c r="I10" s="84" t="e">
        <f>IF(AJ10&lt;&gt;"",LOOKUP(#REF!,Rates!$I$2:$I$7,Rates!$H$2:$H$7)*(J10+P10+Q10+AB10),"")</f>
        <v>#REF!</v>
      </c>
      <c r="J10" s="96" t="e">
        <f t="shared" si="4"/>
        <v>#REF!</v>
      </c>
      <c r="K10" s="96" t="e">
        <f>0.3*M10+0.7*0.5*M9+0.7*0.25*M8+0.7*0.25*M7+0.7*0.25*M6</f>
        <v>#REF!</v>
      </c>
      <c r="L10" s="96" t="e">
        <f>IF(M10&lt;&gt;"",L9+5/100*M9+0.3*M10-17.5/100*M5-17.5/100*M8,"")</f>
        <v>#REF!</v>
      </c>
      <c r="M10" s="96" t="e">
        <f>IF(AND(AI10&lt;&gt;"",AL10&lt;=10),(1-#REF!)*MIN(30/1000*(AF10-AF9),0.75*(AI10-AI9)),"")</f>
        <v>#REF!</v>
      </c>
      <c r="N10" s="96">
        <v>0</v>
      </c>
      <c r="O10" s="96" t="e">
        <f>IF(AJ10&lt;&gt;"",0.07*AI10*(1-#REF!),0)</f>
        <v>#REF!</v>
      </c>
      <c r="P10" s="87" t="e">
        <f t="shared" si="2"/>
        <v>#REF!</v>
      </c>
      <c r="Q10" s="87" t="e">
        <f t="shared" si="3"/>
        <v>#REF!</v>
      </c>
      <c r="R10" s="87" t="e">
        <f>IF(AJ10&lt;&gt;"",(AB10+AA10+V10+T10)*#REF!,0)</f>
        <v>#REF!</v>
      </c>
      <c r="S10" s="87" t="e">
        <f>IF(AJ10&lt;&gt;"",T10*(LOOKUP(#REF!,Rates!$O$2:$O$9,Rates!$L$2:$L$9)/100),0)</f>
        <v>#REF!</v>
      </c>
      <c r="T10" s="87" t="e">
        <f>IF(AJ10&lt;&gt;"",IF(#REF!="بله",V10*Rates!$Z$7,0),0)</f>
        <v>#REF!</v>
      </c>
      <c r="U10" s="87" t="e">
        <f>IF(AJ10&lt;&gt;"",IF(#REF!="بله",V10*(LOOKUP(#REF!,Rates!$O$2:$O$9,Rates!$L$2:$L$9)/100),V10*(LOOKUP(#REF!,Rates!$O$2:$O$9,Rates!$L$2:$L$9)/100)),0)</f>
        <v>#REF!</v>
      </c>
      <c r="V10" s="88" t="e">
        <f>IF(AND(AJ10&lt;&gt;"",AJ10&lt;=Rates!$Z$8,#REF!="بله"),AH10*(LOOKUP(AJ10,Rates!$U$2:$U$108,Rates!#REF!)),IF(AND(AK10&lt;&gt;"",AK10&lt;=Rates!$Z$8,#REF!="خیر"),AH10*(LOOKUP(AK10,Rates!$U$2:$U$108,Rates!#REF!)),0)*(1-#REF!))</f>
        <v>#REF!</v>
      </c>
      <c r="W10" s="88" t="e">
        <f>IF(AJ10&lt;&gt;"",X10*LOOKUP(#REF!,Rates!$O$2:$O$9,Rates!$M$2:$M$9)/100,0)</f>
        <v>#REF!</v>
      </c>
      <c r="X10" s="88" t="e">
        <f>IF(AJ10&lt;=Rates!$Z$4,0.0008*AF10*#REF!,0)</f>
        <v>#REF!</v>
      </c>
      <c r="Y10" s="88" t="e">
        <f>IF(AJ10&lt;&gt;"",Z10*(LOOKUP(#REF!,Rates!$O$2:$O$9,Rates!$N$2:$N$9/100)),0)</f>
        <v>#REF!</v>
      </c>
      <c r="Z10" s="87" t="e">
        <f>IF(AND(AJ10&lt;=(Rates!$Z$3),AD10&lt;&gt;""),(1-#REF!)*0.0008*AF10*#REF!,0)</f>
        <v>#REF!</v>
      </c>
      <c r="AA10" s="87" t="e">
        <f>IF(AJ10&lt;=60,(LOOKUP(AJ10,Rates!$U$2:$U$108,Rates!#REF!))*AC10/1000000*(1-#REF!),0)</f>
        <v>#REF!</v>
      </c>
      <c r="AB10" s="84" t="e">
        <f>IF(AJ10&lt;&gt;"",(AF10*LOOKUP(AJ10,Rates!$U$2:$U$108,Rates!$T$2:$T$108))/SQRT(1+IF(AL10&lt;=10,Rates!$Z$5,Rates!$Z$6)),"")</f>
        <v>#REF!</v>
      </c>
      <c r="AC10" s="89" t="e">
        <f>IF(AND(AJ10&lt;&gt;"",AJ10&lt;=Rates!$Z$2),MIN(0.5*AF10,300000000,AC9*(1+#REF!)),"")</f>
        <v>#REF!</v>
      </c>
      <c r="AD10" s="89" t="e">
        <f>IF(AND(AJ10&lt;&gt;"",AJ10&lt;=60),AF10*#REF!,"")</f>
        <v>#REF!</v>
      </c>
      <c r="AE10" s="109" t="e">
        <f>IF(AND(AJ10&lt;&gt;"",AJ10&lt;=70),AF10*(1+#REF!),"")</f>
        <v>#REF!</v>
      </c>
      <c r="AF10" s="109" t="e">
        <f>IF(AJ10&lt;&gt;"",AF9*(1+#REF!),"")</f>
        <v>#REF!</v>
      </c>
      <c r="AG10" s="92" t="e">
        <f t="shared" si="6"/>
        <v>#REF!</v>
      </c>
      <c r="AH10" s="83" t="e">
        <f>IF(AJ10&lt;&gt;"",AI10*Rates!$Z$9,"")</f>
        <v>#REF!</v>
      </c>
      <c r="AI10" s="92" t="e">
        <f>IF(AJ10&lt;&gt;"",AI9*(1+#REF!),"")</f>
        <v>#REF!</v>
      </c>
      <c r="AJ10" s="98" t="e">
        <f>IF(AL10&lt;&gt;"",#REF!+AL10-1,"")</f>
        <v>#REF!</v>
      </c>
      <c r="AK10" s="107" t="e">
        <f>IF(AL10&lt;&gt;"",#REF!+AL10-1,"")</f>
        <v>#REF!</v>
      </c>
      <c r="AL10" s="110" t="e">
        <f>IF(AL9&lt;&gt;"",IF(AL9+1&lt;=#REF!,AL9+1,""),"")</f>
        <v>#REF!</v>
      </c>
    </row>
    <row r="11" spans="1:40" ht="17.25" x14ac:dyDescent="0.25">
      <c r="A11" s="84" t="e">
        <f>IF(AJ11&lt;&gt;"",D11+D11*(IF(AL11&gt;4,0.1,LOOKUP(#REF!,Rates!$D$2:$D$4,Rates!$C$2:$C$4))+0.85*(#REF!-(IF(AL11&gt;4,0.1,LOOKUP(#REF!,Rates!$D$2:$D$4,Rates!$C$2:$C$4)))))*LOOKUP(#REF!,Rates!$I$2:$I$7,Rates!$G$2:$G$7)+A10*(1+IF(AL11&gt;4,0.1,LOOKUP(#REF!,Rates!$D$2:$D$4,Rates!$C$2:$C$4))+0.85*(#REF!-IF(AL11&gt;4,0.1,LOOKUP(#REF!,Rates!$D$2:$D$4,Rates!$C$2:$C$4)))),"")</f>
        <v>#REF!</v>
      </c>
      <c r="B11" s="84" t="e">
        <f>IF(AJ11&lt;&gt;"",IF(AL11&gt;=8,C11,C11*LOOKUP(AL11,Rates!$AH$2:$AH$8,Rates!$AG$2:$AG$8)),"")</f>
        <v>#REF!</v>
      </c>
      <c r="C11" s="84" t="e">
        <f>IF(AJ11&lt;&gt;"",D11*(1+IF(AL11&gt;4,0.1,LOOKUP(#REF!,Rates!$D$2:$D$5,Rates!$B$2:$B$5))*LOOKUP(#REF!,Rates!$I$2:$I$7,Rates!$G$2:$G$7))+C10*(1+IF(AL11&gt;4,0.1,LOOKUP(#REF!,Rates!$D$2:$D$5,Rates!$B$2:$B$5))),"")</f>
        <v>#REF!</v>
      </c>
      <c r="D11" s="84" t="e">
        <f>IF(AJ11&lt;&gt;"",AI11-(H11+G11+F11+E11+P11+Q11)+IF(#REF!&gt;0,IF(AND(AL11&lt;=#REF!,AL11&gt;=#REF!),#REF!,0),0),"")</f>
        <v>#REF!</v>
      </c>
      <c r="E11" s="84" t="e">
        <f>IF(AJ11&lt;&gt;"",(LOOKUP(#REF!,Rates!$AE$2:$AE$4,Rates!$AD$2:$AD$4))*(H11+P11+Q11),"")</f>
        <v>#REF!</v>
      </c>
      <c r="F11" s="84" t="e">
        <f>IF(AJ11&lt;&gt;"",(LOOKUP(#REF!,Rates!$AE$2:$AE$4,Rates!$AB$2:$AB$4))*(H11+P11+Q11),"")</f>
        <v>#REF!</v>
      </c>
      <c r="G11" s="84" t="e">
        <f>IF(AJ11&lt;&gt;"",(LOOKUP(#REF!,Rates!$AE$2:$AE$4,Rates!$AC$2:$AC$4))*(H11+P11+Q11),"")</f>
        <v>#REF!</v>
      </c>
      <c r="H11" s="84" t="e">
        <f t="shared" si="0"/>
        <v>#REF!</v>
      </c>
      <c r="I11" s="84" t="e">
        <f>IF(AJ11&lt;&gt;"",LOOKUP(#REF!,Rates!$I$2:$I$7,Rates!$H$2:$H$7)*(J11+P11+Q11+AB11),"")</f>
        <v>#REF!</v>
      </c>
      <c r="J11" s="96" t="e">
        <f t="shared" si="4"/>
        <v>#REF!</v>
      </c>
      <c r="K11" s="96" t="e">
        <f>M11+0.7*M10+0.7*0.5*M9+0.7*0.25*M8+0.7*0.25*M7</f>
        <v>#REF!</v>
      </c>
      <c r="L11" s="96" t="e">
        <f>IF(M11&lt;&gt;"",L10+40/100*M10+M11-17.5/100*M6,0)</f>
        <v>#REF!</v>
      </c>
      <c r="M11" s="96" t="e">
        <f>IF(AND(AI11&lt;&gt;"",AL11&lt;=10),(1-#REF!)*MIN(30/1000*(AF11-AF10),0.75*(AI11-AI10)),0)</f>
        <v>#REF!</v>
      </c>
      <c r="N11" s="96">
        <v>0</v>
      </c>
      <c r="O11" s="96" t="e">
        <f>IF(AJ11&lt;&gt;"",0.07*AI11*(1-#REF!),0)</f>
        <v>#REF!</v>
      </c>
      <c r="P11" s="87" t="e">
        <f t="shared" si="2"/>
        <v>#REF!</v>
      </c>
      <c r="Q11" s="87" t="e">
        <f t="shared" si="3"/>
        <v>#REF!</v>
      </c>
      <c r="R11" s="87" t="e">
        <f>IF(AJ11&lt;&gt;"",(AB11+AA11+V11+T11)*#REF!,0)</f>
        <v>#REF!</v>
      </c>
      <c r="S11" s="87" t="e">
        <f>IF(AJ11&lt;&gt;"",T11*(LOOKUP(#REF!,Rates!$O$2:$O$9,Rates!$L$2:$L$9)/100),0)</f>
        <v>#REF!</v>
      </c>
      <c r="T11" s="87" t="e">
        <f>IF(AJ11&lt;&gt;"",IF(#REF!="بله",V11*Rates!$Z$7,0),0)</f>
        <v>#REF!</v>
      </c>
      <c r="U11" s="87" t="e">
        <f>IF(AJ11&lt;&gt;"",IF(#REF!="بله",V11*(LOOKUP(#REF!,Rates!$O$2:$O$9,Rates!$L$2:$L$9)/100),V11*(LOOKUP(#REF!,Rates!$O$2:$O$9,Rates!$L$2:$L$9)/100)),0)</f>
        <v>#REF!</v>
      </c>
      <c r="V11" s="88" t="e">
        <f>IF(AND(AJ11&lt;&gt;"",AJ11&lt;=Rates!$Z$8,#REF!="بله"),AH11*(LOOKUP(AJ11,Rates!$U$2:$U$108,Rates!#REF!)),IF(AND(AK11&lt;&gt;"",AK11&lt;=Rates!$Z$8,#REF!="خیر"),AH11*(LOOKUP(AK11,Rates!$U$2:$U$108,Rates!#REF!)),0)*(1-#REF!))</f>
        <v>#REF!</v>
      </c>
      <c r="W11" s="88" t="e">
        <f>IF(AJ11&lt;&gt;"",X11*LOOKUP(#REF!,Rates!$O$2:$O$9,Rates!$M$2:$M$9)/100,0)</f>
        <v>#REF!</v>
      </c>
      <c r="X11" s="88" t="e">
        <f>IF(AJ11&lt;=Rates!$Z$4,0.0008*AF11*#REF!,0)</f>
        <v>#REF!</v>
      </c>
      <c r="Y11" s="88" t="e">
        <f>IF(AJ11&lt;&gt;"",Z11*(LOOKUP(#REF!,Rates!$O$2:$O$9,Rates!$N$2:$N$9/100)),0)</f>
        <v>#REF!</v>
      </c>
      <c r="Z11" s="87" t="e">
        <f>IF(AND(AJ11&lt;=(Rates!$Z$3),AD11&lt;&gt;""),(1-#REF!)*0.0008*AF11*#REF!,0)</f>
        <v>#REF!</v>
      </c>
      <c r="AA11" s="87" t="e">
        <f>IF(AJ11&lt;=60,(LOOKUP(AJ11,Rates!$U$2:$U$108,Rates!#REF!))*AC11/1000000*(1-#REF!),0)</f>
        <v>#REF!</v>
      </c>
      <c r="AB11" s="84" t="e">
        <f>IF(AJ11&lt;&gt;"",(AF11*LOOKUP(AJ11,Rates!$U$2:$U$108,Rates!$T$2:$T$108))/SQRT(1+IF(AL11&lt;=10,Rates!$Z$5,Rates!$Z$6)),"")</f>
        <v>#REF!</v>
      </c>
      <c r="AC11" s="89" t="e">
        <f>IF(AND(AJ11&lt;&gt;"",AJ11&lt;=Rates!$Z$2),MIN(0.5*AF11,300000000,AC10*(1+#REF!)),"")</f>
        <v>#REF!</v>
      </c>
      <c r="AD11" s="89" t="e">
        <f>IF(AND(AJ11&lt;&gt;"",AJ11&lt;=60),AF11*#REF!,"")</f>
        <v>#REF!</v>
      </c>
      <c r="AE11" s="109" t="e">
        <f>IF(AND(AJ11&lt;&gt;"",AJ11&lt;=70),AF11*(1+#REF!),"")</f>
        <v>#REF!</v>
      </c>
      <c r="AF11" s="109" t="e">
        <f>IF(AJ11&lt;&gt;"",AF10*(1+#REF!),"")</f>
        <v>#REF!</v>
      </c>
      <c r="AG11" s="92" t="e">
        <f t="shared" si="6"/>
        <v>#REF!</v>
      </c>
      <c r="AH11" s="83" t="e">
        <f>IF(AJ11&lt;&gt;"",AI11*Rates!$Z$9,"")</f>
        <v>#REF!</v>
      </c>
      <c r="AI11" s="92" t="e">
        <f>IF(AJ11&lt;&gt;"",AI10*(1+#REF!),"")</f>
        <v>#REF!</v>
      </c>
      <c r="AJ11" s="98" t="e">
        <f>IF(AL11&lt;&gt;"",#REF!+AL11-1,"")</f>
        <v>#REF!</v>
      </c>
      <c r="AK11" s="107" t="e">
        <f>IF(AL11&lt;&gt;"",#REF!+AL11-1,"")</f>
        <v>#REF!</v>
      </c>
      <c r="AL11" s="110" t="e">
        <f>IF(AL10&lt;&gt;"",IF(AL10+1&lt;=#REF!,AL10+1,""),"")</f>
        <v>#REF!</v>
      </c>
    </row>
    <row r="12" spans="1:40" ht="17.25" x14ac:dyDescent="0.25">
      <c r="A12" s="84" t="e">
        <f>IF(AJ12&lt;&gt;"",D12+D12*(IF(AL12&gt;4,0.1,LOOKUP(#REF!,Rates!$D$2:$D$4,Rates!$C$2:$C$4))+0.85*(#REF!-(IF(AL12&gt;4,0.1,LOOKUP(#REF!,Rates!$D$2:$D$4,Rates!$C$2:$C$4)))))*LOOKUP(#REF!,Rates!$I$2:$I$7,Rates!$G$2:$G$7)+A11*(1+IF(AL12&gt;4,0.1,LOOKUP(#REF!,Rates!$D$2:$D$4,Rates!$C$2:$C$4))+0.85*(#REF!-IF(AL12&gt;4,0.1,LOOKUP(#REF!,Rates!$D$2:$D$4,Rates!$C$2:$C$4)))),"")</f>
        <v>#REF!</v>
      </c>
      <c r="B12" s="84" t="e">
        <f>IF(AJ12&lt;&gt;"",IF(AL12&gt;=8,C12,C12*LOOKUP(AL12,Rates!$AH$2:$AH$8,Rates!$AG$2:$AG$8)),"")</f>
        <v>#REF!</v>
      </c>
      <c r="C12" s="84" t="e">
        <f>IF(AJ12&lt;&gt;"",D12*(1+IF(AL12&gt;4,0.1,LOOKUP(#REF!,Rates!$D$2:$D$5,Rates!$B$2:$B$5))*LOOKUP(#REF!,Rates!$I$2:$I$7,Rates!$G$2:$G$7))+C11*(1+IF(AL12&gt;4,0.1,LOOKUP(#REF!,Rates!$D$2:$D$5,Rates!$B$2:$B$5))),"")</f>
        <v>#REF!</v>
      </c>
      <c r="D12" s="84" t="e">
        <f>IF(AJ12&lt;&gt;"",AI12-(H12+G12+F12+E12+P12+Q12)+IF(#REF!&gt;0,IF(AND(AL12&lt;=#REF!,AL12&gt;=#REF!),#REF!,0),0),"")</f>
        <v>#REF!</v>
      </c>
      <c r="E12" s="84" t="e">
        <f>IF(AJ12&lt;&gt;"",(LOOKUP(#REF!,Rates!$AE$2:$AE$4,Rates!$AD$2:$AD$4))*(H12+P12+Q12),"")</f>
        <v>#REF!</v>
      </c>
      <c r="F12" s="84" t="e">
        <f>IF(AJ12&lt;&gt;"",(LOOKUP(#REF!,Rates!$AE$2:$AE$4,Rates!$AB$2:$AB$4))*(H12+P12+Q12),"")</f>
        <v>#REF!</v>
      </c>
      <c r="G12" s="84" t="e">
        <f>IF(AJ12&lt;&gt;"",(LOOKUP(#REF!,Rates!$AE$2:$AE$4,Rates!$AC$2:$AC$4))*(H12+P12+Q12),"")</f>
        <v>#REF!</v>
      </c>
      <c r="H12" s="84" t="e">
        <f t="shared" si="0"/>
        <v>#REF!</v>
      </c>
      <c r="I12" s="84" t="e">
        <f>IF(AJ12&lt;&gt;"",LOOKUP(#REF!,Rates!$I$2:$I$7,Rates!$H$2:$H$7)*(J12+P12+Q12+AB12),"")</f>
        <v>#REF!</v>
      </c>
      <c r="J12" s="96" t="e">
        <f t="shared" si="4"/>
        <v>#REF!</v>
      </c>
      <c r="K12" s="96" t="e">
        <f t="shared" ref="K12:K71" si="7">M12+0.7*M11+0.7*0.5*M10+0.7*0.25*M9+0.7*0.25*M8</f>
        <v>#REF!</v>
      </c>
      <c r="L12" s="96" t="e">
        <f t="shared" ref="L12:L71" si="8">IF(M12&lt;&gt;"",L11+40/100*M11+M12-17.5/100*M7,0)</f>
        <v>#REF!</v>
      </c>
      <c r="M12" s="96" t="e">
        <f>IF(AND(AI12&lt;&gt;"",AL12&lt;=10),(1-#REF!)*MIN(30/1000*(AF12-AF11),0.75*(AI12-AI11)),0)</f>
        <v>#REF!</v>
      </c>
      <c r="N12" s="96">
        <v>0</v>
      </c>
      <c r="O12" s="96" t="e">
        <f>IF(AJ12&lt;&gt;"",0.07*AI12*(1-#REF!),0)</f>
        <v>#REF!</v>
      </c>
      <c r="P12" s="87" t="e">
        <f t="shared" si="2"/>
        <v>#REF!</v>
      </c>
      <c r="Q12" s="87" t="e">
        <f t="shared" si="3"/>
        <v>#REF!</v>
      </c>
      <c r="R12" s="87" t="e">
        <f>IF(AJ12&lt;&gt;"",(AB12+AA12+V12+T12)*#REF!,0)</f>
        <v>#REF!</v>
      </c>
      <c r="S12" s="87" t="e">
        <f>IF(AJ12&lt;&gt;"",T12*(LOOKUP(#REF!,Rates!$O$2:$O$9,Rates!$L$2:$L$9)/100),0)</f>
        <v>#REF!</v>
      </c>
      <c r="T12" s="87" t="e">
        <f>IF(AJ12&lt;&gt;"",IF(#REF!="بله",V12*Rates!$Z$7,0),0)</f>
        <v>#REF!</v>
      </c>
      <c r="U12" s="87" t="e">
        <f>IF(AJ12&lt;&gt;"",IF(#REF!="بله",V12*(LOOKUP(#REF!,Rates!$O$2:$O$9,Rates!$L$2:$L$9)/100),V12*(LOOKUP(#REF!,Rates!$O$2:$O$9,Rates!$L$2:$L$9)/100)),0)</f>
        <v>#REF!</v>
      </c>
      <c r="V12" s="88" t="e">
        <f>IF(AND(AJ12&lt;&gt;"",AJ12&lt;=Rates!$Z$8,#REF!="بله"),AH12*(LOOKUP(AJ12,Rates!$U$2:$U$108,Rates!#REF!)),IF(AND(AK12&lt;&gt;"",AK12&lt;=Rates!$Z$8,#REF!="خیر"),AH12*(LOOKUP(AK12,Rates!$U$2:$U$108,Rates!#REF!)),0)*(1-#REF!))</f>
        <v>#REF!</v>
      </c>
      <c r="W12" s="88" t="e">
        <f>IF(AJ12&lt;&gt;"",X12*LOOKUP(#REF!,Rates!$O$2:$O$9,Rates!$M$2:$M$9)/100,0)</f>
        <v>#REF!</v>
      </c>
      <c r="X12" s="88" t="e">
        <f>IF(AJ12&lt;=Rates!$Z$4,0.0008*AF12*#REF!,0)</f>
        <v>#REF!</v>
      </c>
      <c r="Y12" s="88" t="e">
        <f>IF(AJ12&lt;&gt;"",Z12*(LOOKUP(#REF!,Rates!$O$2:$O$9,Rates!$N$2:$N$9/100)),0)</f>
        <v>#REF!</v>
      </c>
      <c r="Z12" s="87" t="e">
        <f>IF(AND(AJ12&lt;=(Rates!$Z$3),AD12&lt;&gt;""),(1-#REF!)*0.0008*AF12*#REF!,0)</f>
        <v>#REF!</v>
      </c>
      <c r="AA12" s="87" t="e">
        <f>IF(AJ12&lt;=60,(LOOKUP(AJ12,Rates!$U$2:$U$108,Rates!#REF!))*AC12/1000000*(1-#REF!),0)</f>
        <v>#REF!</v>
      </c>
      <c r="AB12" s="84" t="e">
        <f>IF(AJ12&lt;&gt;"",(AF12*LOOKUP(AJ12,Rates!$U$2:$U$108,Rates!$T$2:$T$108))/SQRT(1+IF(AL12&lt;=10,Rates!$Z$5,Rates!$Z$6)),"")</f>
        <v>#REF!</v>
      </c>
      <c r="AC12" s="89" t="e">
        <f>IF(AND(AJ12&lt;&gt;"",AJ12&lt;=Rates!$Z$2),MIN(0.5*AF12,300000000,AC11*(1+#REF!)),"")</f>
        <v>#REF!</v>
      </c>
      <c r="AD12" s="89" t="e">
        <f>IF(AND(AJ12&lt;&gt;"",AJ12&lt;=60),AF12*#REF!,"")</f>
        <v>#REF!</v>
      </c>
      <c r="AE12" s="109" t="e">
        <f>IF(AND(AJ12&lt;&gt;"",AJ12&lt;=70),AF12*(1+#REF!),"")</f>
        <v>#REF!</v>
      </c>
      <c r="AF12" s="109" t="e">
        <f>IF(AJ12&lt;&gt;"",AF11*(1+#REF!),"")</f>
        <v>#REF!</v>
      </c>
      <c r="AG12" s="92" t="e">
        <f t="shared" si="6"/>
        <v>#REF!</v>
      </c>
      <c r="AH12" s="83" t="e">
        <f>IF(AJ12&lt;&gt;"",AI12*Rates!$Z$9,"")</f>
        <v>#REF!</v>
      </c>
      <c r="AI12" s="92" t="e">
        <f>IF(AJ12&lt;&gt;"",AI11*(1+#REF!),"")</f>
        <v>#REF!</v>
      </c>
      <c r="AJ12" s="98" t="e">
        <f>IF(AL12&lt;&gt;"",#REF!+AL12-1,"")</f>
        <v>#REF!</v>
      </c>
      <c r="AK12" s="107" t="e">
        <f>IF(AL12&lt;&gt;"",#REF!+AL12-1,"")</f>
        <v>#REF!</v>
      </c>
      <c r="AL12" s="110" t="e">
        <f>IF(AL11&lt;&gt;"",IF(AL11+1&lt;=#REF!,AL11+1,""),"")</f>
        <v>#REF!</v>
      </c>
    </row>
    <row r="13" spans="1:40" ht="17.25" x14ac:dyDescent="0.25">
      <c r="A13" s="84" t="e">
        <f>IF(AJ13&lt;&gt;"",D13+D13*(IF(AL13&gt;4,0.1,LOOKUP(#REF!,Rates!$D$2:$D$4,Rates!$C$2:$C$4))+0.85*(#REF!-(IF(AL13&gt;4,0.1,LOOKUP(#REF!,Rates!$D$2:$D$4,Rates!$C$2:$C$4)))))*LOOKUP(#REF!,Rates!$I$2:$I$7,Rates!$G$2:$G$7)+A12*(1+IF(AL13&gt;4,0.1,LOOKUP(#REF!,Rates!$D$2:$D$4,Rates!$C$2:$C$4))+0.85*(#REF!-IF(AL13&gt;4,0.1,LOOKUP(#REF!,Rates!$D$2:$D$4,Rates!$C$2:$C$4)))),"")</f>
        <v>#REF!</v>
      </c>
      <c r="B13" s="84" t="e">
        <f>IF(AJ13&lt;&gt;"",IF(AL13&gt;=8,C13,C13*LOOKUP(AL13,Rates!$AH$2:$AH$8,Rates!$AG$2:$AG$8)),"")</f>
        <v>#REF!</v>
      </c>
      <c r="C13" s="84" t="e">
        <f>IF(AJ13&lt;&gt;"",D13*(1+IF(AL13&gt;4,0.1,LOOKUP(#REF!,Rates!$D$2:$D$5,Rates!$B$2:$B$5))*LOOKUP(#REF!,Rates!$I$2:$I$7,Rates!$G$2:$G$7))+C12*(1+IF(AL13&gt;4,0.1,LOOKUP(#REF!,Rates!$D$2:$D$5,Rates!$B$2:$B$5))),"")</f>
        <v>#REF!</v>
      </c>
      <c r="D13" s="84" t="e">
        <f>IF(AJ13&lt;&gt;"",AI13-(H13+G13+F13+E13+P13+Q13)+IF(#REF!&gt;0,IF(AND(AL13&lt;=#REF!,AL13&gt;=#REF!),#REF!,0),0),"")</f>
        <v>#REF!</v>
      </c>
      <c r="E13" s="84" t="e">
        <f>IF(AJ13&lt;&gt;"",(LOOKUP(#REF!,Rates!$AE$2:$AE$4,Rates!$AD$2:$AD$4))*(H13+P13+Q13),"")</f>
        <v>#REF!</v>
      </c>
      <c r="F13" s="84" t="e">
        <f>IF(AJ13&lt;&gt;"",(LOOKUP(#REF!,Rates!$AE$2:$AE$4,Rates!$AB$2:$AB$4))*(H13+P13+Q13),"")</f>
        <v>#REF!</v>
      </c>
      <c r="G13" s="84" t="e">
        <f>IF(AJ13&lt;&gt;"",(LOOKUP(#REF!,Rates!$AE$2:$AE$4,Rates!$AC$2:$AC$4))*(H13+P13+Q13),"")</f>
        <v>#REF!</v>
      </c>
      <c r="H13" s="84" t="e">
        <f t="shared" si="0"/>
        <v>#REF!</v>
      </c>
      <c r="I13" s="84" t="e">
        <f>IF(AJ13&lt;&gt;"",LOOKUP(#REF!,Rates!$I$2:$I$7,Rates!$H$2:$H$7)*(J13+P13+Q13+AB13),"")</f>
        <v>#REF!</v>
      </c>
      <c r="J13" s="96" t="e">
        <f t="shared" si="4"/>
        <v>#REF!</v>
      </c>
      <c r="K13" s="96" t="e">
        <f t="shared" si="7"/>
        <v>#REF!</v>
      </c>
      <c r="L13" s="96" t="e">
        <f t="shared" si="8"/>
        <v>#REF!</v>
      </c>
      <c r="M13" s="96" t="e">
        <f>IF(AND(AI13&lt;&gt;"",AL13&lt;=10),(1-#REF!)*MIN(30/1000*(AF13-AF12),0.75*(AI13-AI12)),0)</f>
        <v>#REF!</v>
      </c>
      <c r="N13" s="96">
        <v>0</v>
      </c>
      <c r="O13" s="96" t="e">
        <f>IF(AJ13&lt;&gt;"",0.07*AI13*(1-#REF!),0)</f>
        <v>#REF!</v>
      </c>
      <c r="P13" s="87" t="e">
        <f t="shared" si="2"/>
        <v>#REF!</v>
      </c>
      <c r="Q13" s="87" t="e">
        <f t="shared" si="3"/>
        <v>#REF!</v>
      </c>
      <c r="R13" s="87" t="e">
        <f>IF(AJ13&lt;&gt;"",(AB13+AA13+V13+T13)*#REF!,0)</f>
        <v>#REF!</v>
      </c>
      <c r="S13" s="87" t="e">
        <f>IF(AJ13&lt;&gt;"",T13*(LOOKUP(#REF!,Rates!$O$2:$O$9,Rates!$L$2:$L$9)/100),0)</f>
        <v>#REF!</v>
      </c>
      <c r="T13" s="87" t="e">
        <f>IF(AJ13&lt;&gt;"",IF(#REF!="بله",V13*Rates!$Z$7,0),0)</f>
        <v>#REF!</v>
      </c>
      <c r="U13" s="87" t="e">
        <f>IF(AJ13&lt;&gt;"",IF(#REF!="بله",V13*(LOOKUP(#REF!,Rates!$O$2:$O$9,Rates!$L$2:$L$9)/100),V13*(LOOKUP(#REF!,Rates!$O$2:$O$9,Rates!$L$2:$L$9)/100)),0)</f>
        <v>#REF!</v>
      </c>
      <c r="V13" s="88" t="e">
        <f>IF(AND(AJ13&lt;&gt;"",AJ13&lt;=Rates!$Z$8,#REF!="بله"),AH13*(LOOKUP(AJ13,Rates!$U$2:$U$108,Rates!#REF!)),IF(AND(AK13&lt;&gt;"",AK13&lt;=Rates!$Z$8,#REF!="خیر"),AH13*(LOOKUP(AK13,Rates!$U$2:$U$108,Rates!#REF!)),0)*(1-#REF!))</f>
        <v>#REF!</v>
      </c>
      <c r="W13" s="88" t="e">
        <f>IF(AJ13&lt;&gt;"",X13*LOOKUP(#REF!,Rates!$O$2:$O$9,Rates!$M$2:$M$9)/100,0)</f>
        <v>#REF!</v>
      </c>
      <c r="X13" s="88" t="e">
        <f>IF(AJ13&lt;=Rates!$Z$4,0.0008*AF13*#REF!,0)</f>
        <v>#REF!</v>
      </c>
      <c r="Y13" s="88" t="e">
        <f>IF(AJ13&lt;&gt;"",Z13*(LOOKUP(#REF!,Rates!$O$2:$O$9,Rates!$N$2:$N$9/100)),0)</f>
        <v>#REF!</v>
      </c>
      <c r="Z13" s="87" t="e">
        <f>IF(AND(AJ13&lt;=(Rates!$Z$3),AD13&lt;&gt;""),(1-#REF!)*0.0008*AF13*#REF!,0)</f>
        <v>#REF!</v>
      </c>
      <c r="AA13" s="87" t="e">
        <f>IF(AJ13&lt;=60,(LOOKUP(AJ13,Rates!$U$2:$U$108,Rates!#REF!))*AC13/1000000*(1-#REF!),0)</f>
        <v>#REF!</v>
      </c>
      <c r="AB13" s="84" t="e">
        <f>IF(AJ13&lt;&gt;"",(AF13*LOOKUP(AJ13,Rates!$U$2:$U$108,Rates!$T$2:$T$108))/SQRT(1+IF(AL13&lt;=10,Rates!$Z$5,Rates!$Z$6)),"")</f>
        <v>#REF!</v>
      </c>
      <c r="AC13" s="89" t="e">
        <f>IF(AND(AJ13&lt;&gt;"",AJ13&lt;=Rates!$Z$2),MIN(0.5*AF13,300000000,AC12*(1+#REF!)),"")</f>
        <v>#REF!</v>
      </c>
      <c r="AD13" s="89" t="e">
        <f>IF(AND(AJ13&lt;&gt;"",AJ13&lt;=60),AF13*#REF!,"")</f>
        <v>#REF!</v>
      </c>
      <c r="AE13" s="109" t="e">
        <f>IF(AND(AJ13&lt;&gt;"",AJ13&lt;=70),AF13*(1+#REF!),"")</f>
        <v>#REF!</v>
      </c>
      <c r="AF13" s="109" t="e">
        <f>IF(AJ13&lt;&gt;"",AF12*(1+#REF!),"")</f>
        <v>#REF!</v>
      </c>
      <c r="AG13" s="92" t="e">
        <f t="shared" si="6"/>
        <v>#REF!</v>
      </c>
      <c r="AH13" s="83" t="e">
        <f>IF(AJ13&lt;&gt;"",AI13*Rates!$Z$9,"")</f>
        <v>#REF!</v>
      </c>
      <c r="AI13" s="92" t="e">
        <f>IF(AJ13&lt;&gt;"",AI12*(1+#REF!),"")</f>
        <v>#REF!</v>
      </c>
      <c r="AJ13" s="98" t="e">
        <f>IF(AL13&lt;&gt;"",#REF!+AL13-1,"")</f>
        <v>#REF!</v>
      </c>
      <c r="AK13" s="107" t="e">
        <f>IF(AL13&lt;&gt;"",#REF!+AL13-1,"")</f>
        <v>#REF!</v>
      </c>
      <c r="AL13" s="110" t="e">
        <f>IF(AL12&lt;&gt;"",IF(AL12+1&lt;=#REF!,AL12+1,""),"")</f>
        <v>#REF!</v>
      </c>
    </row>
    <row r="14" spans="1:40" ht="17.25" x14ac:dyDescent="0.25">
      <c r="A14" s="84" t="e">
        <f>IF(AJ14&lt;&gt;"",D14+D14*(IF(AL14&gt;4,0.1,LOOKUP(#REF!,Rates!$D$2:$D$4,Rates!$C$2:$C$4))+0.85*(#REF!-(IF(AL14&gt;4,0.1,LOOKUP(#REF!,Rates!$D$2:$D$4,Rates!$C$2:$C$4)))))*LOOKUP(#REF!,Rates!$I$2:$I$7,Rates!$G$2:$G$7)+A13*(1+IF(AL14&gt;4,0.1,LOOKUP(#REF!,Rates!$D$2:$D$4,Rates!$C$2:$C$4))+0.85*(#REF!-IF(AL14&gt;4,0.1,LOOKUP(#REF!,Rates!$D$2:$D$4,Rates!$C$2:$C$4)))),"")</f>
        <v>#REF!</v>
      </c>
      <c r="B14" s="84" t="e">
        <f>IF(AJ14&lt;&gt;"",IF(AL14&gt;=8,C14,C14*LOOKUP(AL14,Rates!$AH$2:$AH$8,Rates!$AG$2:$AG$8)),"")</f>
        <v>#REF!</v>
      </c>
      <c r="C14" s="84" t="e">
        <f>IF(AJ14&lt;&gt;"",D14*(1+IF(AL14&gt;4,0.1,LOOKUP(#REF!,Rates!$D$2:$D$5,Rates!$B$2:$B$5))*LOOKUP(#REF!,Rates!$I$2:$I$7,Rates!$G$2:$G$7))+C13*(1+IF(AL14&gt;4,0.1,LOOKUP(#REF!,Rates!$D$2:$D$5,Rates!$B$2:$B$5))),"")</f>
        <v>#REF!</v>
      </c>
      <c r="D14" s="84" t="e">
        <f>IF(AJ14&lt;&gt;"",AI14-(H14+G14+F14+E14+P14+Q14)+IF(#REF!&gt;0,IF(AND(AL14&lt;=#REF!,AL14&gt;=#REF!),#REF!,0),0),"")</f>
        <v>#REF!</v>
      </c>
      <c r="E14" s="84" t="e">
        <f>IF(AJ14&lt;&gt;"",(LOOKUP(#REF!,Rates!$AE$2:$AE$4,Rates!$AD$2:$AD$4))*(H14+P14+Q14),"")</f>
        <v>#REF!</v>
      </c>
      <c r="F14" s="84" t="e">
        <f>IF(AJ14&lt;&gt;"",(LOOKUP(#REF!,Rates!$AE$2:$AE$4,Rates!$AB$2:$AB$4))*(H14+P14+Q14),"")</f>
        <v>#REF!</v>
      </c>
      <c r="G14" s="84" t="e">
        <f>IF(AJ14&lt;&gt;"",(LOOKUP(#REF!,Rates!$AE$2:$AE$4,Rates!$AC$2:$AC$4))*(H14+P14+Q14),"")</f>
        <v>#REF!</v>
      </c>
      <c r="H14" s="84" t="e">
        <f t="shared" si="0"/>
        <v>#REF!</v>
      </c>
      <c r="I14" s="84" t="e">
        <f>IF(AJ14&lt;&gt;"",LOOKUP(#REF!,Rates!$I$2:$I$7,Rates!$H$2:$H$7)*(J14+P14+Q14+AB14),"")</f>
        <v>#REF!</v>
      </c>
      <c r="J14" s="96" t="e">
        <f t="shared" si="4"/>
        <v>#REF!</v>
      </c>
      <c r="K14" s="96" t="e">
        <f t="shared" si="7"/>
        <v>#REF!</v>
      </c>
      <c r="L14" s="96" t="e">
        <f t="shared" si="8"/>
        <v>#REF!</v>
      </c>
      <c r="M14" s="96" t="e">
        <f>IF(AND(AI14&lt;&gt;"",AL14&lt;=10),(1-#REF!)*MIN(30/1000*(AF14-AF13),0.75*(AI14-AI13)),0)</f>
        <v>#REF!</v>
      </c>
      <c r="N14" s="96">
        <v>0</v>
      </c>
      <c r="O14" s="96" t="e">
        <f>IF(AJ14&lt;&gt;"",0.07*AI14*(1-#REF!),0)</f>
        <v>#REF!</v>
      </c>
      <c r="P14" s="87" t="e">
        <f t="shared" si="2"/>
        <v>#REF!</v>
      </c>
      <c r="Q14" s="87" t="e">
        <f t="shared" si="3"/>
        <v>#REF!</v>
      </c>
      <c r="R14" s="87" t="e">
        <f>IF(AJ14&lt;&gt;"",(AB14+AA14+V14+T14)*#REF!,0)</f>
        <v>#REF!</v>
      </c>
      <c r="S14" s="87" t="e">
        <f>IF(AJ14&lt;&gt;"",T14*(LOOKUP(#REF!,Rates!$O$2:$O$9,Rates!$L$2:$L$9)/100),0)</f>
        <v>#REF!</v>
      </c>
      <c r="T14" s="87" t="e">
        <f>IF(AJ14&lt;&gt;"",IF(#REF!="بله",V14*Rates!$Z$7,0),0)</f>
        <v>#REF!</v>
      </c>
      <c r="U14" s="87" t="e">
        <f>IF(AJ14&lt;&gt;"",IF(#REF!="بله",V14*(LOOKUP(#REF!,Rates!$O$2:$O$9,Rates!$L$2:$L$9)/100),V14*(LOOKUP(#REF!,Rates!$O$2:$O$9,Rates!$L$2:$L$9)/100)),0)</f>
        <v>#REF!</v>
      </c>
      <c r="V14" s="88" t="e">
        <f>IF(AND(AJ14&lt;&gt;"",AJ14&lt;=Rates!$Z$8,#REF!="بله"),AH14*(LOOKUP(AJ14,Rates!$U$2:$U$108,Rates!#REF!)),IF(AND(AK14&lt;&gt;"",AK14&lt;=Rates!$Z$8,#REF!="خیر"),AH14*(LOOKUP(AK14,Rates!$U$2:$U$108,Rates!#REF!)),0)*(1-#REF!))</f>
        <v>#REF!</v>
      </c>
      <c r="W14" s="88" t="e">
        <f>IF(AJ14&lt;&gt;"",X14*LOOKUP(#REF!,Rates!$O$2:$O$9,Rates!$M$2:$M$9)/100,0)</f>
        <v>#REF!</v>
      </c>
      <c r="X14" s="88" t="e">
        <f>IF(AJ14&lt;=Rates!$Z$4,0.0008*AF14*#REF!,0)</f>
        <v>#REF!</v>
      </c>
      <c r="Y14" s="88" t="e">
        <f>IF(AJ14&lt;&gt;"",Z14*(LOOKUP(#REF!,Rates!$O$2:$O$9,Rates!$N$2:$N$9/100)),0)</f>
        <v>#REF!</v>
      </c>
      <c r="Z14" s="87" t="e">
        <f>IF(AND(AJ14&lt;=(Rates!$Z$3),AD14&lt;&gt;""),(1-#REF!)*0.0008*AF14*#REF!,0)</f>
        <v>#REF!</v>
      </c>
      <c r="AA14" s="87" t="e">
        <f>IF(AJ14&lt;=60,(LOOKUP(AJ14,Rates!$U$2:$U$108,Rates!#REF!))*AC14/1000000*(1-#REF!),0)</f>
        <v>#REF!</v>
      </c>
      <c r="AB14" s="84" t="e">
        <f>IF(AJ14&lt;&gt;"",(AF14*LOOKUP(AJ14,Rates!$U$2:$U$108,Rates!$T$2:$T$108))/SQRT(1+IF(AL14&lt;=10,Rates!$Z$5,Rates!$Z$6)),"")</f>
        <v>#REF!</v>
      </c>
      <c r="AC14" s="89" t="e">
        <f>IF(AND(AJ14&lt;&gt;"",AJ14&lt;=Rates!$Z$2),MIN(0.5*AF14,300000000,AC13*(1+#REF!)),"")</f>
        <v>#REF!</v>
      </c>
      <c r="AD14" s="89" t="e">
        <f>IF(AND(AJ14&lt;&gt;"",AJ14&lt;=60),AF14*#REF!,"")</f>
        <v>#REF!</v>
      </c>
      <c r="AE14" s="109" t="e">
        <f>IF(AND(AJ14&lt;&gt;"",AJ14&lt;=70),AF14*(1+#REF!),"")</f>
        <v>#REF!</v>
      </c>
      <c r="AF14" s="109" t="e">
        <f>IF(AJ14&lt;&gt;"",AF13*(1+#REF!),"")</f>
        <v>#REF!</v>
      </c>
      <c r="AG14" s="92" t="e">
        <f t="shared" si="6"/>
        <v>#REF!</v>
      </c>
      <c r="AH14" s="83" t="e">
        <f>IF(AJ14&lt;&gt;"",AI14*Rates!$Z$9,"")</f>
        <v>#REF!</v>
      </c>
      <c r="AI14" s="92" t="e">
        <f>IF(AJ14&lt;&gt;"",AI13*(1+#REF!),"")</f>
        <v>#REF!</v>
      </c>
      <c r="AJ14" s="98" t="e">
        <f>IF(AL14&lt;&gt;"",#REF!+AL14-1,"")</f>
        <v>#REF!</v>
      </c>
      <c r="AK14" s="107" t="e">
        <f>IF(AL14&lt;&gt;"",#REF!+AL14-1,"")</f>
        <v>#REF!</v>
      </c>
      <c r="AL14" s="110" t="e">
        <f>IF(AL13&lt;&gt;"",IF(AL13+1&lt;=#REF!,AL13+1,""),"")</f>
        <v>#REF!</v>
      </c>
    </row>
    <row r="15" spans="1:40" ht="17.25" x14ac:dyDescent="0.25">
      <c r="A15" s="84" t="e">
        <f>IF(AJ15&lt;&gt;"",D15+D15*(IF(AL15&gt;4,0.1,LOOKUP(#REF!,Rates!$D$2:$D$4,Rates!$C$2:$C$4))+0.85*(#REF!-(IF(AL15&gt;4,0.1,LOOKUP(#REF!,Rates!$D$2:$D$4,Rates!$C$2:$C$4)))))*LOOKUP(#REF!,Rates!$I$2:$I$7,Rates!$G$2:$G$7)+A14*(1+IF(AL15&gt;4,0.1,LOOKUP(#REF!,Rates!$D$2:$D$4,Rates!$C$2:$C$4))+0.85*(#REF!-IF(AL15&gt;4,0.1,LOOKUP(#REF!,Rates!$D$2:$D$4,Rates!$C$2:$C$4)))),"")</f>
        <v>#REF!</v>
      </c>
      <c r="B15" s="84" t="e">
        <f>IF(AJ15&lt;&gt;"",IF(AL15&gt;=8,C15,C15*LOOKUP(AL15,Rates!$AH$2:$AH$8,Rates!$AG$2:$AG$8)),"")</f>
        <v>#REF!</v>
      </c>
      <c r="C15" s="84" t="e">
        <f>IF(AJ15&lt;&gt;"",D15*(1+IF(AL15&gt;4,0.1,LOOKUP(#REF!,Rates!$D$2:$D$5,Rates!$B$2:$B$5))*LOOKUP(#REF!,Rates!$I$2:$I$7,Rates!$G$2:$G$7))+C14*(1+IF(AL15&gt;4,0.1,LOOKUP(#REF!,Rates!$D$2:$D$5,Rates!$B$2:$B$5))),"")</f>
        <v>#REF!</v>
      </c>
      <c r="D15" s="84" t="e">
        <f>IF(AJ15&lt;&gt;"",AI15-(H15+G15+F15+E15+P15+Q15)+IF(#REF!&gt;0,IF(AND(AL15&lt;=#REF!,AL15&gt;=#REF!),#REF!,0),0),"")</f>
        <v>#REF!</v>
      </c>
      <c r="E15" s="84" t="e">
        <f>IF(AJ15&lt;&gt;"",(LOOKUP(#REF!,Rates!$AE$2:$AE$4,Rates!$AD$2:$AD$4))*(H15+P15+Q15),"")</f>
        <v>#REF!</v>
      </c>
      <c r="F15" s="84" t="e">
        <f>IF(AJ15&lt;&gt;"",(LOOKUP(#REF!,Rates!$AE$2:$AE$4,Rates!$AB$2:$AB$4))*(H15+P15+Q15),"")</f>
        <v>#REF!</v>
      </c>
      <c r="G15" s="84" t="e">
        <f>IF(AJ15&lt;&gt;"",(LOOKUP(#REF!,Rates!$AE$2:$AE$4,Rates!$AC$2:$AC$4))*(H15+P15+Q15),"")</f>
        <v>#REF!</v>
      </c>
      <c r="H15" s="84" t="e">
        <f t="shared" si="0"/>
        <v>#REF!</v>
      </c>
      <c r="I15" s="84" t="e">
        <f>IF(AJ15&lt;&gt;"",LOOKUP(#REF!,Rates!$I$2:$I$7,Rates!$H$2:$H$7)*(J15+P15+Q15+AB15),"")</f>
        <v>#REF!</v>
      </c>
      <c r="J15" s="96" t="e">
        <f t="shared" si="4"/>
        <v>#REF!</v>
      </c>
      <c r="K15" s="96" t="e">
        <f t="shared" si="7"/>
        <v>#REF!</v>
      </c>
      <c r="L15" s="96" t="e">
        <f t="shared" si="8"/>
        <v>#REF!</v>
      </c>
      <c r="M15" s="96" t="e">
        <f>IF(AND(AI15&lt;&gt;"",AL15&lt;=10),(1-#REF!)*MIN(30/1000*(AF15-AF14),0.75*(AI15-AI14)),0)</f>
        <v>#REF!</v>
      </c>
      <c r="N15" s="96">
        <v>0</v>
      </c>
      <c r="O15" s="96" t="e">
        <f>IF(AJ15&lt;&gt;"",0.07*AI15*(1-#REF!),0)</f>
        <v>#REF!</v>
      </c>
      <c r="P15" s="87" t="e">
        <f t="shared" si="2"/>
        <v>#REF!</v>
      </c>
      <c r="Q15" s="87" t="e">
        <f t="shared" si="3"/>
        <v>#REF!</v>
      </c>
      <c r="R15" s="87" t="e">
        <f>IF(AJ15&lt;&gt;"",(AB15+AA15+V15+T15)*#REF!,0)</f>
        <v>#REF!</v>
      </c>
      <c r="S15" s="87" t="e">
        <f>IF(AJ15&lt;&gt;"",T15*(LOOKUP(#REF!,Rates!$O$2:$O$9,Rates!$L$2:$L$9)/100),0)</f>
        <v>#REF!</v>
      </c>
      <c r="T15" s="87" t="e">
        <f>IF(AJ15&lt;&gt;"",IF(#REF!="بله",V15*Rates!$Z$7,0),0)</f>
        <v>#REF!</v>
      </c>
      <c r="U15" s="87" t="e">
        <f>IF(AJ15&lt;&gt;"",IF(#REF!="بله",V15*(LOOKUP(#REF!,Rates!$O$2:$O$9,Rates!$L$2:$L$9)/100),V15*(LOOKUP(#REF!,Rates!$O$2:$O$9,Rates!$L$2:$L$9)/100)),0)</f>
        <v>#REF!</v>
      </c>
      <c r="V15" s="88" t="e">
        <f>IF(AND(AJ15&lt;&gt;"",AJ15&lt;=Rates!$Z$8,#REF!="بله"),AH15*(LOOKUP(AJ15,Rates!$U$2:$U$108,Rates!#REF!)),IF(AND(AK15&lt;&gt;"",AK15&lt;=Rates!$Z$8,#REF!="خیر"),AH15*(LOOKUP(AK15,Rates!$U$2:$U$108,Rates!#REF!)),0)*(1-#REF!))</f>
        <v>#REF!</v>
      </c>
      <c r="W15" s="88" t="e">
        <f>IF(AJ15&lt;&gt;"",X15*LOOKUP(#REF!,Rates!$O$2:$O$9,Rates!$M$2:$M$9)/100,0)</f>
        <v>#REF!</v>
      </c>
      <c r="X15" s="88" t="e">
        <f>IF(AJ15&lt;=Rates!$Z$4,0.0008*AF15*#REF!,0)</f>
        <v>#REF!</v>
      </c>
      <c r="Y15" s="88" t="e">
        <f>IF(AJ15&lt;&gt;"",Z15*(LOOKUP(#REF!,Rates!$O$2:$O$9,Rates!$N$2:$N$9/100)),0)</f>
        <v>#REF!</v>
      </c>
      <c r="Z15" s="87" t="e">
        <f>IF(AND(AJ15&lt;=(Rates!$Z$3),AD15&lt;&gt;""),(1-#REF!)*0.0008*AF15*#REF!,0)</f>
        <v>#REF!</v>
      </c>
      <c r="AA15" s="87" t="e">
        <f>IF(AJ15&lt;=60,(LOOKUP(AJ15,Rates!$U$2:$U$108,Rates!#REF!))*AC15/1000000*(1-#REF!),0)</f>
        <v>#REF!</v>
      </c>
      <c r="AB15" s="84" t="e">
        <f>IF(AJ15&lt;&gt;"",(AF15*LOOKUP(AJ15,Rates!$U$2:$U$108,Rates!$T$2:$T$108))/SQRT(1+IF(AL15&lt;=10,Rates!$Z$5,Rates!$Z$6)),"")</f>
        <v>#REF!</v>
      </c>
      <c r="AC15" s="89" t="e">
        <f>IF(AND(AJ15&lt;&gt;"",AJ15&lt;=Rates!$Z$2),MIN(0.5*AF15,300000000,AC14*(1+#REF!)),"")</f>
        <v>#REF!</v>
      </c>
      <c r="AD15" s="89" t="e">
        <f>IF(AND(AJ15&lt;&gt;"",AJ15&lt;=60),AF15*#REF!,"")</f>
        <v>#REF!</v>
      </c>
      <c r="AE15" s="109" t="e">
        <f>IF(AND(AJ15&lt;&gt;"",AJ15&lt;=70),AF15*(1+#REF!),"")</f>
        <v>#REF!</v>
      </c>
      <c r="AF15" s="109" t="e">
        <f>IF(AJ15&lt;&gt;"",AF14*(1+#REF!),"")</f>
        <v>#REF!</v>
      </c>
      <c r="AG15" s="92" t="e">
        <f t="shared" si="6"/>
        <v>#REF!</v>
      </c>
      <c r="AH15" s="83" t="e">
        <f>IF(AJ15&lt;&gt;"",AI15*Rates!$Z$9,"")</f>
        <v>#REF!</v>
      </c>
      <c r="AI15" s="92" t="e">
        <f>IF(AJ15&lt;&gt;"",AI14*(1+#REF!),"")</f>
        <v>#REF!</v>
      </c>
      <c r="AJ15" s="98" t="e">
        <f>IF(AL15&lt;&gt;"",#REF!+AL15-1,"")</f>
        <v>#REF!</v>
      </c>
      <c r="AK15" s="107" t="e">
        <f>IF(AL15&lt;&gt;"",#REF!+AL15-1,"")</f>
        <v>#REF!</v>
      </c>
      <c r="AL15" s="110" t="e">
        <f>IF(AL14&lt;&gt;"",IF(AL14+1&lt;=#REF!,AL14+1,""),"")</f>
        <v>#REF!</v>
      </c>
    </row>
    <row r="16" spans="1:40" ht="17.25" x14ac:dyDescent="0.25">
      <c r="A16" s="84" t="e">
        <f>IF(AJ16&lt;&gt;"",D16+D16*(IF(AL16&gt;4,0.1,LOOKUP(#REF!,Rates!$D$2:$D$4,Rates!$C$2:$C$4))+0.85*(#REF!-(IF(AL16&gt;4,0.1,LOOKUP(#REF!,Rates!$D$2:$D$4,Rates!$C$2:$C$4)))))*LOOKUP(#REF!,Rates!$I$2:$I$7,Rates!$G$2:$G$7)+A15*(1+IF(AL16&gt;4,0.1,LOOKUP(#REF!,Rates!$D$2:$D$4,Rates!$C$2:$C$4))+0.85*(#REF!-IF(AL16&gt;4,0.1,LOOKUP(#REF!,Rates!$D$2:$D$4,Rates!$C$2:$C$4)))),"")</f>
        <v>#REF!</v>
      </c>
      <c r="B16" s="84" t="e">
        <f>IF(AJ16&lt;&gt;"",IF(AL16&gt;=8,C16,C16*LOOKUP(AL16,Rates!$AH$2:$AH$8,Rates!$AG$2:$AG$8)),"")</f>
        <v>#REF!</v>
      </c>
      <c r="C16" s="84" t="e">
        <f>IF(AJ16&lt;&gt;"",D16*(1+IF(AL16&gt;4,0.1,LOOKUP(#REF!,Rates!$D$2:$D$5,Rates!$B$2:$B$5))*LOOKUP(#REF!,Rates!$I$2:$I$7,Rates!$G$2:$G$7))+C15*(1+IF(AL16&gt;4,0.1,LOOKUP(#REF!,Rates!$D$2:$D$5,Rates!$B$2:$B$5))),"")</f>
        <v>#REF!</v>
      </c>
      <c r="D16" s="84" t="e">
        <f>IF(AJ16&lt;&gt;"",AI16-(H16+G16+F16+E16+P16+Q16)+IF(#REF!&gt;0,IF(AND(AL16&lt;=#REF!,AL16&gt;=#REF!),#REF!,0),0),"")</f>
        <v>#REF!</v>
      </c>
      <c r="E16" s="84" t="e">
        <f>IF(AJ16&lt;&gt;"",(LOOKUP(#REF!,Rates!$AE$2:$AE$4,Rates!$AD$2:$AD$4))*(H16+P16+Q16),"")</f>
        <v>#REF!</v>
      </c>
      <c r="F16" s="84" t="e">
        <f>IF(AJ16&lt;&gt;"",(LOOKUP(#REF!,Rates!$AE$2:$AE$4,Rates!$AB$2:$AB$4))*(H16+P16+Q16),"")</f>
        <v>#REF!</v>
      </c>
      <c r="G16" s="84" t="e">
        <f>IF(AJ16&lt;&gt;"",(LOOKUP(#REF!,Rates!$AE$2:$AE$4,Rates!$AC$2:$AC$4))*(H16+P16+Q16),"")</f>
        <v>#REF!</v>
      </c>
      <c r="H16" s="84" t="e">
        <f t="shared" si="0"/>
        <v>#REF!</v>
      </c>
      <c r="I16" s="84" t="e">
        <f>IF(AJ16&lt;&gt;"",LOOKUP(#REF!,Rates!$I$2:$I$7,Rates!$H$2:$H$7)*(J16+P16+Q16+AB16),"")</f>
        <v>#REF!</v>
      </c>
      <c r="J16" s="96" t="e">
        <f t="shared" si="4"/>
        <v>#REF!</v>
      </c>
      <c r="K16" s="96" t="e">
        <f t="shared" si="7"/>
        <v>#REF!</v>
      </c>
      <c r="L16" s="96" t="e">
        <f t="shared" si="8"/>
        <v>#REF!</v>
      </c>
      <c r="M16" s="96" t="e">
        <f>IF(AND(AI16&lt;&gt;"",AL16&lt;=10),(1-#REF!)*MIN(30/1000*(AF16-AF15),0.75*(AI16-AI15)),0)</f>
        <v>#REF!</v>
      </c>
      <c r="N16" s="96">
        <v>0</v>
      </c>
      <c r="O16" s="96" t="e">
        <f>IF(AJ16&lt;&gt;"",0.07*AI16*(1-#REF!),0)</f>
        <v>#REF!</v>
      </c>
      <c r="P16" s="87" t="e">
        <f t="shared" si="2"/>
        <v>#REF!</v>
      </c>
      <c r="Q16" s="87" t="e">
        <f t="shared" si="3"/>
        <v>#REF!</v>
      </c>
      <c r="R16" s="87" t="e">
        <f>IF(AJ16&lt;&gt;"",(AB16+AA16+V16+T16)*#REF!,0)</f>
        <v>#REF!</v>
      </c>
      <c r="S16" s="87" t="e">
        <f>IF(AJ16&lt;&gt;"",T16*(LOOKUP(#REF!,Rates!$O$2:$O$9,Rates!$L$2:$L$9)/100),0)</f>
        <v>#REF!</v>
      </c>
      <c r="T16" s="87" t="e">
        <f>IF(AJ16&lt;&gt;"",IF(#REF!="بله",V16*Rates!$Z$7,0),0)</f>
        <v>#REF!</v>
      </c>
      <c r="U16" s="87" t="e">
        <f>IF(AJ16&lt;&gt;"",IF(#REF!="بله",V16*(LOOKUP(#REF!,Rates!$O$2:$O$9,Rates!$L$2:$L$9)/100),V16*(LOOKUP(#REF!,Rates!$O$2:$O$9,Rates!$L$2:$L$9)/100)),0)</f>
        <v>#REF!</v>
      </c>
      <c r="V16" s="88" t="e">
        <f>IF(AND(AJ16&lt;&gt;"",AJ16&lt;=Rates!$Z$8,#REF!="بله"),AH16*(LOOKUP(AJ16,Rates!$U$2:$U$108,Rates!#REF!)),IF(AND(AK16&lt;&gt;"",AK16&lt;=Rates!$Z$8,#REF!="خیر"),AH16*(LOOKUP(AK16,Rates!$U$2:$U$108,Rates!#REF!)),0)*(1-#REF!))</f>
        <v>#REF!</v>
      </c>
      <c r="W16" s="88" t="e">
        <f>IF(AJ16&lt;&gt;"",X16*LOOKUP(#REF!,Rates!$O$2:$O$9,Rates!$M$2:$M$9)/100,0)</f>
        <v>#REF!</v>
      </c>
      <c r="X16" s="88" t="e">
        <f>IF(AJ16&lt;=Rates!$Z$4,0.0008*AF16*#REF!,0)</f>
        <v>#REF!</v>
      </c>
      <c r="Y16" s="88" t="e">
        <f>IF(AJ16&lt;&gt;"",Z16*(LOOKUP(#REF!,Rates!$O$2:$O$9,Rates!$N$2:$N$9/100)),0)</f>
        <v>#REF!</v>
      </c>
      <c r="Z16" s="87" t="e">
        <f>IF(AND(AJ16&lt;=(Rates!$Z$3),AD16&lt;&gt;""),(1-#REF!)*0.0008*AF16*#REF!,0)</f>
        <v>#REF!</v>
      </c>
      <c r="AA16" s="87" t="e">
        <f>IF(AJ16&lt;=60,(LOOKUP(AJ16,Rates!$U$2:$U$108,Rates!#REF!))*AC16/1000000*(1-#REF!),0)</f>
        <v>#REF!</v>
      </c>
      <c r="AB16" s="84" t="e">
        <f>IF(AJ16&lt;&gt;"",(AF16*LOOKUP(AJ16,Rates!$U$2:$U$108,Rates!$T$2:$T$108))/SQRT(1+IF(AL16&lt;=10,Rates!$Z$5,Rates!$Z$6)),"")</f>
        <v>#REF!</v>
      </c>
      <c r="AC16" s="89" t="e">
        <f>IF(AND(AJ16&lt;&gt;"",AJ16&lt;=Rates!$Z$2),MIN(0.5*AF16,300000000,AC15*(1+#REF!)),"")</f>
        <v>#REF!</v>
      </c>
      <c r="AD16" s="89" t="e">
        <f>IF(AND(AJ16&lt;&gt;"",AJ16&lt;=60),AF16*#REF!,"")</f>
        <v>#REF!</v>
      </c>
      <c r="AE16" s="109" t="e">
        <f>IF(AND(AJ16&lt;&gt;"",AJ16&lt;=70),AF16*(1+#REF!),"")</f>
        <v>#REF!</v>
      </c>
      <c r="AF16" s="109" t="e">
        <f>IF(AJ16&lt;&gt;"",AF15*(1+#REF!),"")</f>
        <v>#REF!</v>
      </c>
      <c r="AG16" s="92" t="e">
        <f t="shared" si="6"/>
        <v>#REF!</v>
      </c>
      <c r="AH16" s="83" t="e">
        <f>IF(AJ16&lt;&gt;"",AI16*Rates!$Z$9,"")</f>
        <v>#REF!</v>
      </c>
      <c r="AI16" s="92" t="e">
        <f>IF(AJ16&lt;&gt;"",AI15*(1+#REF!),"")</f>
        <v>#REF!</v>
      </c>
      <c r="AJ16" s="98" t="e">
        <f>IF(AL16&lt;&gt;"",#REF!+AL16-1,"")</f>
        <v>#REF!</v>
      </c>
      <c r="AK16" s="107" t="e">
        <f>IF(AL16&lt;&gt;"",#REF!+AL16-1,"")</f>
        <v>#REF!</v>
      </c>
      <c r="AL16" s="110" t="e">
        <f>IF(AL15&lt;&gt;"",IF(AL15+1&lt;=#REF!,AL15+1,""),"")</f>
        <v>#REF!</v>
      </c>
    </row>
    <row r="17" spans="1:38" ht="17.25" x14ac:dyDescent="0.25">
      <c r="A17" s="84" t="e">
        <f>IF(AJ17&lt;&gt;"",D17+D17*(IF(AL17&gt;4,0.1,LOOKUP(#REF!,Rates!$D$2:$D$4,Rates!$C$2:$C$4))+0.85*(#REF!-(IF(AL17&gt;4,0.1,LOOKUP(#REF!,Rates!$D$2:$D$4,Rates!$C$2:$C$4)))))*LOOKUP(#REF!,Rates!$I$2:$I$7,Rates!$G$2:$G$7)+A16*(1+IF(AL17&gt;4,0.1,LOOKUP(#REF!,Rates!$D$2:$D$4,Rates!$C$2:$C$4))+0.85*(#REF!-IF(AL17&gt;4,0.1,LOOKUP(#REF!,Rates!$D$2:$D$4,Rates!$C$2:$C$4)))),"")</f>
        <v>#REF!</v>
      </c>
      <c r="B17" s="84" t="e">
        <f>IF(AJ17&lt;&gt;"",IF(AL17&gt;=8,C17,C17*LOOKUP(AL17,Rates!$AH$2:$AH$8,Rates!$AG$2:$AG$8)),"")</f>
        <v>#REF!</v>
      </c>
      <c r="C17" s="84" t="e">
        <f>IF(AJ17&lt;&gt;"",D17*(1+IF(AL17&gt;4,0.1,LOOKUP(#REF!,Rates!$D$2:$D$5,Rates!$B$2:$B$5))*LOOKUP(#REF!,Rates!$I$2:$I$7,Rates!$G$2:$G$7))+C16*(1+IF(AL17&gt;4,0.1,LOOKUP(#REF!,Rates!$D$2:$D$5,Rates!$B$2:$B$5))),"")</f>
        <v>#REF!</v>
      </c>
      <c r="D17" s="84" t="e">
        <f>IF(AJ17&lt;&gt;"",AI17-(H17+G17+F17+E17+P17+Q17)+IF(#REF!&gt;0,IF(AND(AL17&lt;=#REF!,AL17&gt;=#REF!),#REF!,0),0),"")</f>
        <v>#REF!</v>
      </c>
      <c r="E17" s="84" t="e">
        <f>IF(AJ17&lt;&gt;"",(LOOKUP(#REF!,Rates!$AE$2:$AE$4,Rates!$AD$2:$AD$4))*(H17+P17+Q17),"")</f>
        <v>#REF!</v>
      </c>
      <c r="F17" s="84" t="e">
        <f>IF(AJ17&lt;&gt;"",(LOOKUP(#REF!,Rates!$AE$2:$AE$4,Rates!$AB$2:$AB$4))*(H17+P17+Q17),"")</f>
        <v>#REF!</v>
      </c>
      <c r="G17" s="84" t="e">
        <f>IF(AJ17&lt;&gt;"",(LOOKUP(#REF!,Rates!$AE$2:$AE$4,Rates!$AC$2:$AC$4))*(H17+P17+Q17),"")</f>
        <v>#REF!</v>
      </c>
      <c r="H17" s="84" t="e">
        <f t="shared" si="0"/>
        <v>#REF!</v>
      </c>
      <c r="I17" s="84" t="e">
        <f>IF(AJ17&lt;&gt;"",LOOKUP(#REF!,Rates!$I$2:$I$7,Rates!$H$2:$H$7)*(J17+P17+Q17+AB17),"")</f>
        <v>#REF!</v>
      </c>
      <c r="J17" s="96" t="e">
        <f t="shared" si="4"/>
        <v>#REF!</v>
      </c>
      <c r="K17" s="96" t="e">
        <f t="shared" si="7"/>
        <v>#REF!</v>
      </c>
      <c r="L17" s="96" t="e">
        <f t="shared" si="8"/>
        <v>#REF!</v>
      </c>
      <c r="M17" s="96" t="e">
        <f>IF(AND(AI17&lt;&gt;"",AL17&lt;=10),(1-#REF!)*MIN(30/1000*(AF17-AF16),0.75*(AI17-AI16)),0)</f>
        <v>#REF!</v>
      </c>
      <c r="N17" s="96">
        <v>0</v>
      </c>
      <c r="O17" s="96" t="e">
        <f>IF(AJ17&lt;&gt;"",0.07*AI17*(1-#REF!),0)</f>
        <v>#REF!</v>
      </c>
      <c r="P17" s="87" t="e">
        <f t="shared" si="2"/>
        <v>#REF!</v>
      </c>
      <c r="Q17" s="87" t="e">
        <f t="shared" si="3"/>
        <v>#REF!</v>
      </c>
      <c r="R17" s="87" t="e">
        <f>IF(AJ17&lt;&gt;"",(AB17+AA17+V17+T17)*#REF!,0)</f>
        <v>#REF!</v>
      </c>
      <c r="S17" s="87" t="e">
        <f>IF(AJ17&lt;&gt;"",T17*(LOOKUP(#REF!,Rates!$O$2:$O$9,Rates!$L$2:$L$9)/100),0)</f>
        <v>#REF!</v>
      </c>
      <c r="T17" s="87" t="e">
        <f>IF(AJ17&lt;&gt;"",IF(#REF!="بله",V17*Rates!$Z$7,0),0)</f>
        <v>#REF!</v>
      </c>
      <c r="U17" s="87" t="e">
        <f>IF(AJ17&lt;&gt;"",IF(#REF!="بله",V17*(LOOKUP(#REF!,Rates!$O$2:$O$9,Rates!$L$2:$L$9)/100),V17*(LOOKUP(#REF!,Rates!$O$2:$O$9,Rates!$L$2:$L$9)/100)),0)</f>
        <v>#REF!</v>
      </c>
      <c r="V17" s="88" t="e">
        <f>IF(AND(AJ17&lt;&gt;"",AJ17&lt;=Rates!$Z$8,#REF!="بله"),AH17*(LOOKUP(AJ17,Rates!$U$2:$U$108,Rates!#REF!)),IF(AND(AK17&lt;&gt;"",AK17&lt;=Rates!$Z$8,#REF!="خیر"),AH17*(LOOKUP(AK17,Rates!$U$2:$U$108,Rates!#REF!)),0)*(1-#REF!))</f>
        <v>#REF!</v>
      </c>
      <c r="W17" s="88" t="e">
        <f>IF(AJ17&lt;&gt;"",X17*LOOKUP(#REF!,Rates!$O$2:$O$9,Rates!$M$2:$M$9)/100,0)</f>
        <v>#REF!</v>
      </c>
      <c r="X17" s="88" t="e">
        <f>IF(AJ17&lt;=Rates!$Z$4,0.0008*AF17*#REF!,0)</f>
        <v>#REF!</v>
      </c>
      <c r="Y17" s="88" t="e">
        <f>IF(AJ17&lt;&gt;"",Z17*(LOOKUP(#REF!,Rates!$O$2:$O$9,Rates!$N$2:$N$9/100)),0)</f>
        <v>#REF!</v>
      </c>
      <c r="Z17" s="87" t="e">
        <f>IF(AND(AJ17&lt;=(Rates!$Z$3),AD17&lt;&gt;""),(1-#REF!)*0.0008*AF17*#REF!,0)</f>
        <v>#REF!</v>
      </c>
      <c r="AA17" s="87" t="e">
        <f>IF(AJ17&lt;=60,(LOOKUP(AJ17,Rates!$U$2:$U$108,Rates!#REF!))*AC17/1000000*(1-#REF!),0)</f>
        <v>#REF!</v>
      </c>
      <c r="AB17" s="84" t="e">
        <f>IF(AJ17&lt;&gt;"",(AF17*LOOKUP(AJ17,Rates!$U$2:$U$108,Rates!$T$2:$T$108))/SQRT(1+IF(AL17&lt;=10,Rates!$Z$5,Rates!$Z$6)),"")</f>
        <v>#REF!</v>
      </c>
      <c r="AC17" s="89" t="e">
        <f>IF(AND(AJ17&lt;&gt;"",AJ17&lt;=Rates!$Z$2),MIN(0.5*AF17,300000000,AC16*(1+#REF!)),"")</f>
        <v>#REF!</v>
      </c>
      <c r="AD17" s="89" t="e">
        <f>IF(AND(AJ17&lt;&gt;"",AJ17&lt;=60),AF17*#REF!,"")</f>
        <v>#REF!</v>
      </c>
      <c r="AE17" s="109" t="e">
        <f>IF(AND(AJ17&lt;&gt;"",AJ17&lt;=70),AF17*(1+#REF!),"")</f>
        <v>#REF!</v>
      </c>
      <c r="AF17" s="109" t="e">
        <f>IF(AJ17&lt;&gt;"",AF16*(1+#REF!),"")</f>
        <v>#REF!</v>
      </c>
      <c r="AG17" s="92" t="e">
        <f t="shared" si="6"/>
        <v>#REF!</v>
      </c>
      <c r="AH17" s="83" t="e">
        <f>IF(AJ17&lt;&gt;"",AI17*Rates!$Z$9,"")</f>
        <v>#REF!</v>
      </c>
      <c r="AI17" s="92" t="e">
        <f>IF(AJ17&lt;&gt;"",AI16*(1+#REF!),"")</f>
        <v>#REF!</v>
      </c>
      <c r="AJ17" s="98" t="e">
        <f>IF(AL17&lt;&gt;"",#REF!+AL17-1,"")</f>
        <v>#REF!</v>
      </c>
      <c r="AK17" s="107" t="e">
        <f>IF(AL17&lt;&gt;"",#REF!+AL17-1,"")</f>
        <v>#REF!</v>
      </c>
      <c r="AL17" s="110" t="e">
        <f>IF(AL16&lt;&gt;"",IF(AL16+1&lt;=#REF!,AL16+1,""),"")</f>
        <v>#REF!</v>
      </c>
    </row>
    <row r="18" spans="1:38" ht="17.25" x14ac:dyDescent="0.25">
      <c r="A18" s="84" t="e">
        <f>IF(AJ18&lt;&gt;"",D18+D18*(IF(AL18&gt;4,0.1,LOOKUP(#REF!,Rates!$D$2:$D$4,Rates!$C$2:$C$4))+0.85*(#REF!-(IF(AL18&gt;4,0.1,LOOKUP(#REF!,Rates!$D$2:$D$4,Rates!$C$2:$C$4)))))*LOOKUP(#REF!,Rates!$I$2:$I$7,Rates!$G$2:$G$7)+A17*(1+IF(AL18&gt;4,0.1,LOOKUP(#REF!,Rates!$D$2:$D$4,Rates!$C$2:$C$4))+0.85*(#REF!-IF(AL18&gt;4,0.1,LOOKUP(#REF!,Rates!$D$2:$D$4,Rates!$C$2:$C$4)))),"")</f>
        <v>#REF!</v>
      </c>
      <c r="B18" s="84" t="e">
        <f>IF(AJ18&lt;&gt;"",IF(AL18&gt;=8,C18,C18*LOOKUP(AL18,Rates!$AH$2:$AH$8,Rates!$AG$2:$AG$8)),"")</f>
        <v>#REF!</v>
      </c>
      <c r="C18" s="84" t="e">
        <f>IF(AJ18&lt;&gt;"",D18*(1+IF(AL18&gt;4,0.1,LOOKUP(#REF!,Rates!$D$2:$D$5,Rates!$B$2:$B$5))*LOOKUP(#REF!,Rates!$I$2:$I$7,Rates!$G$2:$G$7))+C17*(1+IF(AL18&gt;4,0.1,LOOKUP(#REF!,Rates!$D$2:$D$5,Rates!$B$2:$B$5))),"")</f>
        <v>#REF!</v>
      </c>
      <c r="D18" s="84" t="e">
        <f>IF(AJ18&lt;&gt;"",AI18-(H18+G18+F18+E18+P18+Q18)+IF(#REF!&gt;0,IF(AND(AL18&lt;=#REF!,AL18&gt;=#REF!),#REF!,0),0),"")</f>
        <v>#REF!</v>
      </c>
      <c r="E18" s="84" t="e">
        <f>IF(AJ18&lt;&gt;"",(LOOKUP(#REF!,Rates!$AE$2:$AE$4,Rates!$AD$2:$AD$4))*(H18+P18+Q18),"")</f>
        <v>#REF!</v>
      </c>
      <c r="F18" s="84" t="e">
        <f>IF(AJ18&lt;&gt;"",(LOOKUP(#REF!,Rates!$AE$2:$AE$4,Rates!$AB$2:$AB$4))*(H18+P18+Q18),"")</f>
        <v>#REF!</v>
      </c>
      <c r="G18" s="84" t="e">
        <f>IF(AJ18&lt;&gt;"",(LOOKUP(#REF!,Rates!$AE$2:$AE$4,Rates!$AC$2:$AC$4))*(H18+P18+Q18),"")</f>
        <v>#REF!</v>
      </c>
      <c r="H18" s="84" t="e">
        <f t="shared" si="0"/>
        <v>#REF!</v>
      </c>
      <c r="I18" s="84" t="e">
        <f>IF(AJ18&lt;&gt;"",LOOKUP(#REF!,Rates!$I$2:$I$7,Rates!$H$2:$H$7)*(J18+P18+Q18+AB18),"")</f>
        <v>#REF!</v>
      </c>
      <c r="J18" s="96" t="e">
        <f t="shared" si="4"/>
        <v>#REF!</v>
      </c>
      <c r="K18" s="96" t="e">
        <f t="shared" si="7"/>
        <v>#REF!</v>
      </c>
      <c r="L18" s="96" t="e">
        <f t="shared" si="8"/>
        <v>#REF!</v>
      </c>
      <c r="M18" s="96" t="e">
        <f>IF(AND(AI18&lt;&gt;"",AL18&lt;=10),(1-#REF!)*MIN(30/1000*(AF18-AF17),0.75*(AI18-AI17)),0)</f>
        <v>#REF!</v>
      </c>
      <c r="N18" s="96">
        <v>0</v>
      </c>
      <c r="O18" s="96" t="e">
        <f>IF(AJ18&lt;&gt;"",0.07*AI18*(1-#REF!),0)</f>
        <v>#REF!</v>
      </c>
      <c r="P18" s="87" t="e">
        <f t="shared" si="2"/>
        <v>#REF!</v>
      </c>
      <c r="Q18" s="87" t="e">
        <f t="shared" si="3"/>
        <v>#REF!</v>
      </c>
      <c r="R18" s="87" t="e">
        <f>IF(AJ18&lt;&gt;"",(AB18+AA18+V18+T18)*#REF!,0)</f>
        <v>#REF!</v>
      </c>
      <c r="S18" s="87" t="e">
        <f>IF(AJ18&lt;&gt;"",T18*(LOOKUP(#REF!,Rates!$O$2:$O$9,Rates!$L$2:$L$9)/100),0)</f>
        <v>#REF!</v>
      </c>
      <c r="T18" s="87" t="e">
        <f>IF(AJ18&lt;&gt;"",IF(#REF!="بله",V18*Rates!$Z$7,0),0)</f>
        <v>#REF!</v>
      </c>
      <c r="U18" s="87" t="e">
        <f>IF(AJ18&lt;&gt;"",IF(#REF!="بله",V18*(LOOKUP(#REF!,Rates!$O$2:$O$9,Rates!$L$2:$L$9)/100),V18*(LOOKUP(#REF!,Rates!$O$2:$O$9,Rates!$L$2:$L$9)/100)),0)</f>
        <v>#REF!</v>
      </c>
      <c r="V18" s="88" t="e">
        <f>IF(AND(AJ18&lt;&gt;"",AJ18&lt;=Rates!$Z$8,#REF!="بله"),AH18*(LOOKUP(AJ18,Rates!$U$2:$U$108,Rates!#REF!)),IF(AND(AK18&lt;&gt;"",AK18&lt;=Rates!$Z$8,#REF!="خیر"),AH18*(LOOKUP(AK18,Rates!$U$2:$U$108,Rates!#REF!)),0)*(1-#REF!))</f>
        <v>#REF!</v>
      </c>
      <c r="W18" s="88" t="e">
        <f>IF(AJ18&lt;&gt;"",X18*LOOKUP(#REF!,Rates!$O$2:$O$9,Rates!$M$2:$M$9)/100,0)</f>
        <v>#REF!</v>
      </c>
      <c r="X18" s="88" t="e">
        <f>IF(AJ18&lt;=Rates!$Z$4,0.0008*AF18*#REF!,0)</f>
        <v>#REF!</v>
      </c>
      <c r="Y18" s="88" t="e">
        <f>IF(AJ18&lt;&gt;"",Z18*(LOOKUP(#REF!,Rates!$O$2:$O$9,Rates!$N$2:$N$9/100)),0)</f>
        <v>#REF!</v>
      </c>
      <c r="Z18" s="87" t="e">
        <f>IF(AND(AJ18&lt;=(Rates!$Z$3),AD18&lt;&gt;""),(1-#REF!)*0.0008*AF18*#REF!,0)</f>
        <v>#REF!</v>
      </c>
      <c r="AA18" s="87" t="e">
        <f>IF(AJ18&lt;=60,(LOOKUP(AJ18,Rates!$U$2:$U$108,Rates!#REF!))*AC18/1000000*(1-#REF!),0)</f>
        <v>#REF!</v>
      </c>
      <c r="AB18" s="84" t="e">
        <f>IF(AJ18&lt;&gt;"",(AF18*LOOKUP(AJ18,Rates!$U$2:$U$108,Rates!$T$2:$T$108))/SQRT(1+IF(AL18&lt;=10,Rates!$Z$5,Rates!$Z$6)),"")</f>
        <v>#REF!</v>
      </c>
      <c r="AC18" s="89" t="e">
        <f>IF(AND(AJ18&lt;&gt;"",AJ18&lt;=Rates!$Z$2),MIN(0.5*AF18,300000000,AC17*(1+#REF!)),"")</f>
        <v>#REF!</v>
      </c>
      <c r="AD18" s="89" t="e">
        <f>IF(AND(AJ18&lt;&gt;"",AJ18&lt;=60),AF18*#REF!,"")</f>
        <v>#REF!</v>
      </c>
      <c r="AE18" s="109" t="e">
        <f>IF(AND(AJ18&lt;&gt;"",AJ18&lt;=70),AF18*(1+#REF!),"")</f>
        <v>#REF!</v>
      </c>
      <c r="AF18" s="109" t="e">
        <f>IF(AJ18&lt;&gt;"",AF17*(1+#REF!),"")</f>
        <v>#REF!</v>
      </c>
      <c r="AG18" s="92" t="e">
        <f t="shared" si="6"/>
        <v>#REF!</v>
      </c>
      <c r="AH18" s="83" t="e">
        <f>IF(AJ18&lt;&gt;"",AI18*Rates!$Z$9,"")</f>
        <v>#REF!</v>
      </c>
      <c r="AI18" s="92" t="e">
        <f>IF(AJ18&lt;&gt;"",AI17*(1+#REF!),"")</f>
        <v>#REF!</v>
      </c>
      <c r="AJ18" s="98" t="e">
        <f>IF(AL18&lt;&gt;"",#REF!+AL18-1,"")</f>
        <v>#REF!</v>
      </c>
      <c r="AK18" s="107" t="e">
        <f>IF(AL18&lt;&gt;"",#REF!+AL18-1,"")</f>
        <v>#REF!</v>
      </c>
      <c r="AL18" s="110" t="e">
        <f>IF(AL17&lt;&gt;"",IF(AL17+1&lt;=#REF!,AL17+1,""),"")</f>
        <v>#REF!</v>
      </c>
    </row>
    <row r="19" spans="1:38" ht="17.25" x14ac:dyDescent="0.25">
      <c r="A19" s="84" t="e">
        <f>IF(AJ19&lt;&gt;"",D19+D19*(IF(AL19&gt;4,0.1,LOOKUP(#REF!,Rates!$D$2:$D$4,Rates!$C$2:$C$4))+0.85*(#REF!-(IF(AL19&gt;4,0.1,LOOKUP(#REF!,Rates!$D$2:$D$4,Rates!$C$2:$C$4)))))*LOOKUP(#REF!,Rates!$I$2:$I$7,Rates!$G$2:$G$7)+A18*(1+IF(AL19&gt;4,0.1,LOOKUP(#REF!,Rates!$D$2:$D$4,Rates!$C$2:$C$4))+0.85*(#REF!-IF(AL19&gt;4,0.1,LOOKUP(#REF!,Rates!$D$2:$D$4,Rates!$C$2:$C$4)))),"")</f>
        <v>#REF!</v>
      </c>
      <c r="B19" s="84" t="e">
        <f>IF(AJ19&lt;&gt;"",IF(AL19&gt;=8,C19,C19*LOOKUP(AL19,Rates!$AH$2:$AH$8,Rates!$AG$2:$AG$8)),"")</f>
        <v>#REF!</v>
      </c>
      <c r="C19" s="84" t="e">
        <f>IF(AJ19&lt;&gt;"",D19*(1+IF(AL19&gt;4,0.1,LOOKUP(#REF!,Rates!$D$2:$D$5,Rates!$B$2:$B$5))*LOOKUP(#REF!,Rates!$I$2:$I$7,Rates!$G$2:$G$7))+C18*(1+IF(AL19&gt;4,0.1,LOOKUP(#REF!,Rates!$D$2:$D$5,Rates!$B$2:$B$5))),"")</f>
        <v>#REF!</v>
      </c>
      <c r="D19" s="84" t="e">
        <f>IF(AJ19&lt;&gt;"",AI19-(H19+G19+F19+E19+P19+Q19)+IF(#REF!&gt;0,IF(AND(AL19&lt;=#REF!,AL19&gt;=#REF!),#REF!,0),0),"")</f>
        <v>#REF!</v>
      </c>
      <c r="E19" s="84" t="e">
        <f>IF(AJ19&lt;&gt;"",(LOOKUP(#REF!,Rates!$AE$2:$AE$4,Rates!$AD$2:$AD$4))*(H19+P19+Q19),"")</f>
        <v>#REF!</v>
      </c>
      <c r="F19" s="84" t="e">
        <f>IF(AJ19&lt;&gt;"",(LOOKUP(#REF!,Rates!$AE$2:$AE$4,Rates!$AB$2:$AB$4))*(H19+P19+Q19),"")</f>
        <v>#REF!</v>
      </c>
      <c r="G19" s="84" t="e">
        <f>IF(AJ19&lt;&gt;"",(LOOKUP(#REF!,Rates!$AE$2:$AE$4,Rates!$AC$2:$AC$4))*(H19+P19+Q19),"")</f>
        <v>#REF!</v>
      </c>
      <c r="H19" s="84" t="e">
        <f t="shared" si="0"/>
        <v>#REF!</v>
      </c>
      <c r="I19" s="84" t="e">
        <f>IF(AJ19&lt;&gt;"",LOOKUP(#REF!,Rates!$I$2:$I$7,Rates!$H$2:$H$7)*(J19+P19+Q19+AB19),"")</f>
        <v>#REF!</v>
      </c>
      <c r="J19" s="96" t="e">
        <f t="shared" si="4"/>
        <v>#REF!</v>
      </c>
      <c r="K19" s="96" t="e">
        <f t="shared" si="7"/>
        <v>#REF!</v>
      </c>
      <c r="L19" s="96" t="e">
        <f t="shared" si="8"/>
        <v>#REF!</v>
      </c>
      <c r="M19" s="96" t="e">
        <f>IF(AND(AI19&lt;&gt;"",AL19&lt;=10),(1-#REF!)*MIN(30/1000*(AF19-AF18),0.75*(AI19-AI18)),0)</f>
        <v>#REF!</v>
      </c>
      <c r="N19" s="96">
        <v>0</v>
      </c>
      <c r="O19" s="96" t="e">
        <f>IF(AJ19&lt;&gt;"",0.07*AI19*(1-#REF!),0)</f>
        <v>#REF!</v>
      </c>
      <c r="P19" s="87" t="e">
        <f t="shared" si="2"/>
        <v>#REF!</v>
      </c>
      <c r="Q19" s="87" t="e">
        <f t="shared" si="3"/>
        <v>#REF!</v>
      </c>
      <c r="R19" s="87" t="e">
        <f>IF(AJ19&lt;&gt;"",(AB19+AA19+V19+T19)*#REF!,0)</f>
        <v>#REF!</v>
      </c>
      <c r="S19" s="87" t="e">
        <f>IF(AJ19&lt;&gt;"",T19*(LOOKUP(#REF!,Rates!$O$2:$O$9,Rates!$L$2:$L$9)/100),0)</f>
        <v>#REF!</v>
      </c>
      <c r="T19" s="87" t="e">
        <f>IF(AJ19&lt;&gt;"",IF(#REF!="بله",V19*Rates!$Z$7,0),0)</f>
        <v>#REF!</v>
      </c>
      <c r="U19" s="87" t="e">
        <f>IF(AJ19&lt;&gt;"",IF(#REF!="بله",V19*(LOOKUP(#REF!,Rates!$O$2:$O$9,Rates!$L$2:$L$9)/100),V19*(LOOKUP(#REF!,Rates!$O$2:$O$9,Rates!$L$2:$L$9)/100)),0)</f>
        <v>#REF!</v>
      </c>
      <c r="V19" s="88" t="e">
        <f>IF(AND(AJ19&lt;&gt;"",AJ19&lt;=Rates!$Z$8,#REF!="بله"),AH19*(LOOKUP(AJ19,Rates!$U$2:$U$108,Rates!#REF!)),IF(AND(AK19&lt;&gt;"",AK19&lt;=Rates!$Z$8,#REF!="خیر"),AH19*(LOOKUP(AK19,Rates!$U$2:$U$108,Rates!#REF!)),0)*(1-#REF!))</f>
        <v>#REF!</v>
      </c>
      <c r="W19" s="88" t="e">
        <f>IF(AJ19&lt;&gt;"",X19*LOOKUP(#REF!,Rates!$O$2:$O$9,Rates!$M$2:$M$9)/100,0)</f>
        <v>#REF!</v>
      </c>
      <c r="X19" s="88" t="e">
        <f>IF(AJ19&lt;=Rates!$Z$4,0.0008*AF19*#REF!,0)</f>
        <v>#REF!</v>
      </c>
      <c r="Y19" s="88" t="e">
        <f>IF(AJ19&lt;&gt;"",Z19*(LOOKUP(#REF!,Rates!$O$2:$O$9,Rates!$N$2:$N$9/100)),0)</f>
        <v>#REF!</v>
      </c>
      <c r="Z19" s="87" t="e">
        <f>IF(AND(AJ19&lt;=(Rates!$Z$3),AD19&lt;&gt;""),(1-#REF!)*0.0008*AF19*#REF!,0)</f>
        <v>#REF!</v>
      </c>
      <c r="AA19" s="87" t="e">
        <f>IF(AJ19&lt;=60,(LOOKUP(AJ19,Rates!$U$2:$U$108,Rates!#REF!))*AC19/1000000*(1-#REF!),0)</f>
        <v>#REF!</v>
      </c>
      <c r="AB19" s="84" t="e">
        <f>IF(AJ19&lt;&gt;"",(AF19*LOOKUP(AJ19,Rates!$U$2:$U$108,Rates!$T$2:$T$108))/SQRT(1+IF(AL19&lt;=10,Rates!$Z$5,Rates!$Z$6)),"")</f>
        <v>#REF!</v>
      </c>
      <c r="AC19" s="89" t="e">
        <f>IF(AND(AJ19&lt;&gt;"",AJ19&lt;=Rates!$Z$2),MIN(0.5*AF19,300000000,AC18*(1+#REF!)),"")</f>
        <v>#REF!</v>
      </c>
      <c r="AD19" s="89" t="e">
        <f>IF(AND(AJ19&lt;&gt;"",AJ19&lt;=60),AF19*#REF!,"")</f>
        <v>#REF!</v>
      </c>
      <c r="AE19" s="109" t="e">
        <f>IF(AND(AJ19&lt;&gt;"",AJ19&lt;=70),AF19*(1+#REF!),"")</f>
        <v>#REF!</v>
      </c>
      <c r="AF19" s="109" t="e">
        <f>IF(AJ19&lt;&gt;"",AF18*(1+#REF!),"")</f>
        <v>#REF!</v>
      </c>
      <c r="AG19" s="92" t="e">
        <f t="shared" si="6"/>
        <v>#REF!</v>
      </c>
      <c r="AH19" s="83" t="e">
        <f>IF(AJ19&lt;&gt;"",AI19*Rates!$Z$9,"")</f>
        <v>#REF!</v>
      </c>
      <c r="AI19" s="92" t="e">
        <f>IF(AJ19&lt;&gt;"",AI18*(1+#REF!),"")</f>
        <v>#REF!</v>
      </c>
      <c r="AJ19" s="98" t="e">
        <f>IF(AL19&lt;&gt;"",#REF!+AL19-1,"")</f>
        <v>#REF!</v>
      </c>
      <c r="AK19" s="107" t="e">
        <f>IF(AL19&lt;&gt;"",#REF!+AL19-1,"")</f>
        <v>#REF!</v>
      </c>
      <c r="AL19" s="110" t="e">
        <f>IF(AL18&lt;&gt;"",IF(AL18+1&lt;=#REF!,AL18+1,""),"")</f>
        <v>#REF!</v>
      </c>
    </row>
    <row r="20" spans="1:38" ht="17.25" x14ac:dyDescent="0.25">
      <c r="A20" s="84" t="e">
        <f>IF(AJ20&lt;&gt;"",D20+D20*(IF(AL20&gt;4,0.1,LOOKUP(#REF!,Rates!$D$2:$D$4,Rates!$C$2:$C$4))+0.85*(#REF!-(IF(AL20&gt;4,0.1,LOOKUP(#REF!,Rates!$D$2:$D$4,Rates!$C$2:$C$4)))))*LOOKUP(#REF!,Rates!$I$2:$I$7,Rates!$G$2:$G$7)+A19*(1+IF(AL20&gt;4,0.1,LOOKUP(#REF!,Rates!$D$2:$D$4,Rates!$C$2:$C$4))+0.85*(#REF!-IF(AL20&gt;4,0.1,LOOKUP(#REF!,Rates!$D$2:$D$4,Rates!$C$2:$C$4)))),"")</f>
        <v>#REF!</v>
      </c>
      <c r="B20" s="84" t="e">
        <f>IF(AJ20&lt;&gt;"",IF(AL20&gt;=8,C20,C20*LOOKUP(AL20,Rates!$AH$2:$AH$8,Rates!$AG$2:$AG$8)),"")</f>
        <v>#REF!</v>
      </c>
      <c r="C20" s="84" t="e">
        <f>IF(AJ20&lt;&gt;"",D20*(1+IF(AL20&gt;4,0.1,LOOKUP(#REF!,Rates!$D$2:$D$5,Rates!$B$2:$B$5))*LOOKUP(#REF!,Rates!$I$2:$I$7,Rates!$G$2:$G$7))+C19*(1+IF(AL20&gt;4,0.1,LOOKUP(#REF!,Rates!$D$2:$D$5,Rates!$B$2:$B$5))),"")</f>
        <v>#REF!</v>
      </c>
      <c r="D20" s="84" t="e">
        <f>IF(AJ20&lt;&gt;"",AI20-(H20+G20+F20+E20+P20+Q20)+IF(#REF!&gt;0,IF(AND(AL20&lt;=#REF!,AL20&gt;=#REF!),#REF!,0),0),"")</f>
        <v>#REF!</v>
      </c>
      <c r="E20" s="84" t="e">
        <f>IF(AJ20&lt;&gt;"",(LOOKUP(#REF!,Rates!$AE$2:$AE$4,Rates!$AD$2:$AD$4))*(H20+P20+Q20),"")</f>
        <v>#REF!</v>
      </c>
      <c r="F20" s="84" t="e">
        <f>IF(AJ20&lt;&gt;"",(LOOKUP(#REF!,Rates!$AE$2:$AE$4,Rates!$AB$2:$AB$4))*(H20+P20+Q20),"")</f>
        <v>#REF!</v>
      </c>
      <c r="G20" s="84" t="e">
        <f>IF(AJ20&lt;&gt;"",(LOOKUP(#REF!,Rates!$AE$2:$AE$4,Rates!$AC$2:$AC$4))*(H20+P20+Q20),"")</f>
        <v>#REF!</v>
      </c>
      <c r="H20" s="84" t="e">
        <f t="shared" si="0"/>
        <v>#REF!</v>
      </c>
      <c r="I20" s="84" t="e">
        <f>IF(AJ20&lt;&gt;"",LOOKUP(#REF!,Rates!$I$2:$I$7,Rates!$H$2:$H$7)*(J20+P20+Q20+AB20),"")</f>
        <v>#REF!</v>
      </c>
      <c r="J20" s="96" t="e">
        <f t="shared" si="4"/>
        <v>#REF!</v>
      </c>
      <c r="K20" s="96" t="e">
        <f t="shared" si="7"/>
        <v>#REF!</v>
      </c>
      <c r="L20" s="96" t="e">
        <f t="shared" si="8"/>
        <v>#REF!</v>
      </c>
      <c r="M20" s="96" t="e">
        <f>IF(AND(AI20&lt;&gt;"",AL20&lt;=10),(1-#REF!)*MIN(30/1000*(AF20-AF19),0.75*(AI20-AI19)),0)</f>
        <v>#REF!</v>
      </c>
      <c r="N20" s="96">
        <v>0</v>
      </c>
      <c r="O20" s="96" t="e">
        <f>IF(AJ20&lt;&gt;"",0.07*AI20*(1-#REF!),0)</f>
        <v>#REF!</v>
      </c>
      <c r="P20" s="87" t="e">
        <f t="shared" si="2"/>
        <v>#REF!</v>
      </c>
      <c r="Q20" s="87" t="e">
        <f t="shared" si="3"/>
        <v>#REF!</v>
      </c>
      <c r="R20" s="87" t="e">
        <f>IF(AJ20&lt;&gt;"",(AB20+AA20+V20+T20)*#REF!,0)</f>
        <v>#REF!</v>
      </c>
      <c r="S20" s="87" t="e">
        <f>IF(AJ20&lt;&gt;"",T20*(LOOKUP(#REF!,Rates!$O$2:$O$9,Rates!$L$2:$L$9)/100),0)</f>
        <v>#REF!</v>
      </c>
      <c r="T20" s="87" t="e">
        <f>IF(AJ20&lt;&gt;"",IF(#REF!="بله",V20*Rates!$Z$7,0),0)</f>
        <v>#REF!</v>
      </c>
      <c r="U20" s="87" t="e">
        <f>IF(AJ20&lt;&gt;"",IF(#REF!="بله",V20*(LOOKUP(#REF!,Rates!$O$2:$O$9,Rates!$L$2:$L$9)/100),V20*(LOOKUP(#REF!,Rates!$O$2:$O$9,Rates!$L$2:$L$9)/100)),0)</f>
        <v>#REF!</v>
      </c>
      <c r="V20" s="88" t="e">
        <f>IF(AND(AJ20&lt;&gt;"",AJ20&lt;=Rates!$Z$8,#REF!="بله"),AH20*(LOOKUP(AJ20,Rates!$U$2:$U$108,Rates!#REF!)),IF(AND(AK20&lt;&gt;"",AK20&lt;=Rates!$Z$8,#REF!="خیر"),AH20*(LOOKUP(AK20,Rates!$U$2:$U$108,Rates!#REF!)),0)*(1-#REF!))</f>
        <v>#REF!</v>
      </c>
      <c r="W20" s="88" t="e">
        <f>IF(AJ20&lt;&gt;"",X20*LOOKUP(#REF!,Rates!$O$2:$O$9,Rates!$M$2:$M$9)/100,0)</f>
        <v>#REF!</v>
      </c>
      <c r="X20" s="88" t="e">
        <f>IF(AJ20&lt;=Rates!$Z$4,0.0008*AF20*#REF!,0)</f>
        <v>#REF!</v>
      </c>
      <c r="Y20" s="88" t="e">
        <f>IF(AJ20&lt;&gt;"",Z20*(LOOKUP(#REF!,Rates!$O$2:$O$9,Rates!$N$2:$N$9/100)),0)</f>
        <v>#REF!</v>
      </c>
      <c r="Z20" s="87" t="e">
        <f>IF(AND(AJ20&lt;=(Rates!$Z$3),AD20&lt;&gt;""),(1-#REF!)*0.0008*AF20*#REF!,0)</f>
        <v>#REF!</v>
      </c>
      <c r="AA20" s="87" t="e">
        <f>IF(AJ20&lt;=60,(LOOKUP(AJ20,Rates!$U$2:$U$108,Rates!#REF!))*AC20/1000000*(1-#REF!),0)</f>
        <v>#REF!</v>
      </c>
      <c r="AB20" s="84" t="e">
        <f>IF(AJ20&lt;&gt;"",(AF20*LOOKUP(AJ20,Rates!$U$2:$U$108,Rates!$T$2:$T$108))/SQRT(1+IF(AL20&lt;=10,Rates!$Z$5,Rates!$Z$6)),"")</f>
        <v>#REF!</v>
      </c>
      <c r="AC20" s="89" t="e">
        <f>IF(AND(AJ20&lt;&gt;"",AJ20&lt;=Rates!$Z$2),MIN(0.5*AF20,300000000,AC19*(1+#REF!)),"")</f>
        <v>#REF!</v>
      </c>
      <c r="AD20" s="89" t="e">
        <f>IF(AND(AJ20&lt;&gt;"",AJ20&lt;=60),AF20*#REF!,"")</f>
        <v>#REF!</v>
      </c>
      <c r="AE20" s="109" t="e">
        <f>IF(AND(AJ20&lt;&gt;"",AJ20&lt;=70),AF20*(1+#REF!),"")</f>
        <v>#REF!</v>
      </c>
      <c r="AF20" s="109" t="e">
        <f>IF(AJ20&lt;&gt;"",AF19*(1+#REF!),"")</f>
        <v>#REF!</v>
      </c>
      <c r="AG20" s="92" t="e">
        <f t="shared" si="6"/>
        <v>#REF!</v>
      </c>
      <c r="AH20" s="83" t="e">
        <f>IF(AJ20&lt;&gt;"",AI20*Rates!$Z$9,"")</f>
        <v>#REF!</v>
      </c>
      <c r="AI20" s="92" t="e">
        <f>IF(AJ20&lt;&gt;"",AI19*(1+#REF!),"")</f>
        <v>#REF!</v>
      </c>
      <c r="AJ20" s="98" t="e">
        <f>IF(AL20&lt;&gt;"",#REF!+AL20-1,"")</f>
        <v>#REF!</v>
      </c>
      <c r="AK20" s="107" t="e">
        <f>IF(AL20&lt;&gt;"",#REF!+AL20-1,"")</f>
        <v>#REF!</v>
      </c>
      <c r="AL20" s="110" t="e">
        <f>IF(AL19&lt;&gt;"",IF(AL19+1&lt;=#REF!,AL19+1,""),"")</f>
        <v>#REF!</v>
      </c>
    </row>
    <row r="21" spans="1:38" ht="17.25" x14ac:dyDescent="0.25">
      <c r="A21" s="84" t="e">
        <f>IF(AJ21&lt;&gt;"",D21+D21*(IF(AL21&gt;4,0.1,LOOKUP(#REF!,Rates!$D$2:$D$4,Rates!$C$2:$C$4))+0.85*(#REF!-(IF(AL21&gt;4,0.1,LOOKUP(#REF!,Rates!$D$2:$D$4,Rates!$C$2:$C$4)))))*LOOKUP(#REF!,Rates!$I$2:$I$7,Rates!$G$2:$G$7)+A20*(1+IF(AL21&gt;4,0.1,LOOKUP(#REF!,Rates!$D$2:$D$4,Rates!$C$2:$C$4))+0.85*(#REF!-IF(AL21&gt;4,0.1,LOOKUP(#REF!,Rates!$D$2:$D$4,Rates!$C$2:$C$4)))),"")</f>
        <v>#REF!</v>
      </c>
      <c r="B21" s="84" t="e">
        <f>IF(AJ21&lt;&gt;"",IF(AL21&gt;=8,C21,C21*LOOKUP(AL21,Rates!$AH$2:$AH$8,Rates!$AG$2:$AG$8)),"")</f>
        <v>#REF!</v>
      </c>
      <c r="C21" s="84" t="e">
        <f>IF(AJ21&lt;&gt;"",D21*(1+IF(AL21&gt;4,0.1,LOOKUP(#REF!,Rates!$D$2:$D$5,Rates!$B$2:$B$5))*LOOKUP(#REF!,Rates!$I$2:$I$7,Rates!$G$2:$G$7))+C20*(1+IF(AL21&gt;4,0.1,LOOKUP(#REF!,Rates!$D$2:$D$5,Rates!$B$2:$B$5))),"")</f>
        <v>#REF!</v>
      </c>
      <c r="D21" s="84" t="e">
        <f>IF(AJ21&lt;&gt;"",AI21-(H21+G21+F21+E21+P21+Q21)+IF(#REF!&gt;0,IF(AND(AL21&lt;=#REF!,AL21&gt;=#REF!),#REF!,0),0),"")</f>
        <v>#REF!</v>
      </c>
      <c r="E21" s="84" t="e">
        <f>IF(AJ21&lt;&gt;"",(LOOKUP(#REF!,Rates!$AE$2:$AE$4,Rates!$AD$2:$AD$4))*(H21+P21+Q21),"")</f>
        <v>#REF!</v>
      </c>
      <c r="F21" s="84" t="e">
        <f>IF(AJ21&lt;&gt;"",(LOOKUP(#REF!,Rates!$AE$2:$AE$4,Rates!$AB$2:$AB$4))*(H21+P21+Q21),"")</f>
        <v>#REF!</v>
      </c>
      <c r="G21" s="84" t="e">
        <f>IF(AJ21&lt;&gt;"",(LOOKUP(#REF!,Rates!$AE$2:$AE$4,Rates!$AC$2:$AC$4))*(H21+P21+Q21),"")</f>
        <v>#REF!</v>
      </c>
      <c r="H21" s="84" t="e">
        <f t="shared" si="0"/>
        <v>#REF!</v>
      </c>
      <c r="I21" s="84" t="e">
        <f>IF(AJ21&lt;&gt;"",LOOKUP(#REF!,Rates!$I$2:$I$7,Rates!$H$2:$H$7)*(J21+P21+Q21+AB21),"")</f>
        <v>#REF!</v>
      </c>
      <c r="J21" s="96" t="e">
        <f t="shared" si="4"/>
        <v>#REF!</v>
      </c>
      <c r="K21" s="96" t="e">
        <f t="shared" si="7"/>
        <v>#REF!</v>
      </c>
      <c r="L21" s="96" t="e">
        <f t="shared" si="8"/>
        <v>#REF!</v>
      </c>
      <c r="M21" s="96" t="e">
        <f>IF(AND(AI21&lt;&gt;"",AL21&lt;=10),(1-#REF!)*MIN(30/1000*(AF21-AF20),0.75*(AI21-AI20)),0)</f>
        <v>#REF!</v>
      </c>
      <c r="N21" s="96">
        <v>0</v>
      </c>
      <c r="O21" s="96" t="e">
        <f>IF(AJ21&lt;&gt;"",0.07*AI21*(1-#REF!),0)</f>
        <v>#REF!</v>
      </c>
      <c r="P21" s="87" t="e">
        <f t="shared" si="2"/>
        <v>#REF!</v>
      </c>
      <c r="Q21" s="87" t="e">
        <f t="shared" si="3"/>
        <v>#REF!</v>
      </c>
      <c r="R21" s="87" t="e">
        <f>IF(AJ21&lt;&gt;"",(AB21+AA21+V21+T21)*#REF!,0)</f>
        <v>#REF!</v>
      </c>
      <c r="S21" s="87" t="e">
        <f>IF(AJ21&lt;&gt;"",T21*(LOOKUP(#REF!,Rates!$O$2:$O$9,Rates!$L$2:$L$9)/100),0)</f>
        <v>#REF!</v>
      </c>
      <c r="T21" s="87" t="e">
        <f>IF(AJ21&lt;&gt;"",IF(#REF!="بله",V21*Rates!$Z$7,0),0)</f>
        <v>#REF!</v>
      </c>
      <c r="U21" s="87" t="e">
        <f>IF(AJ21&lt;&gt;"",IF(#REF!="بله",V21*(LOOKUP(#REF!,Rates!$O$2:$O$9,Rates!$L$2:$L$9)/100),V21*(LOOKUP(#REF!,Rates!$O$2:$O$9,Rates!$L$2:$L$9)/100)),0)</f>
        <v>#REF!</v>
      </c>
      <c r="V21" s="88" t="e">
        <f>IF(AND(AJ21&lt;&gt;"",AJ21&lt;=Rates!$Z$8,#REF!="بله"),AH21*(LOOKUP(AJ21,Rates!$U$2:$U$108,Rates!#REF!)),IF(AND(AK21&lt;&gt;"",AK21&lt;=Rates!$Z$8,#REF!="خیر"),AH21*(LOOKUP(AK21,Rates!$U$2:$U$108,Rates!#REF!)),0)*(1-#REF!))</f>
        <v>#REF!</v>
      </c>
      <c r="W21" s="88" t="e">
        <f>IF(AJ21&lt;&gt;"",X21*LOOKUP(#REF!,Rates!$O$2:$O$9,Rates!$M$2:$M$9)/100,0)</f>
        <v>#REF!</v>
      </c>
      <c r="X21" s="88" t="e">
        <f>IF(AJ21&lt;=Rates!$Z$4,0.0008*AF21*#REF!,0)</f>
        <v>#REF!</v>
      </c>
      <c r="Y21" s="88" t="e">
        <f>IF(AJ21&lt;&gt;"",Z21*(LOOKUP(#REF!,Rates!$O$2:$O$9,Rates!$N$2:$N$9/100)),0)</f>
        <v>#REF!</v>
      </c>
      <c r="Z21" s="87" t="e">
        <f>IF(AND(AJ21&lt;=(Rates!$Z$3),AD21&lt;&gt;""),(1-#REF!)*0.0008*AF21*#REF!,0)</f>
        <v>#REF!</v>
      </c>
      <c r="AA21" s="87" t="e">
        <f>IF(AJ21&lt;=60,(LOOKUP(AJ21,Rates!$U$2:$U$108,Rates!#REF!))*AC21/1000000*(1-#REF!),0)</f>
        <v>#REF!</v>
      </c>
      <c r="AB21" s="84" t="e">
        <f>IF(AJ21&lt;&gt;"",(AF21*LOOKUP(AJ21,Rates!$U$2:$U$108,Rates!$T$2:$T$108))/SQRT(1+IF(AL21&lt;=10,Rates!$Z$5,Rates!$Z$6)),"")</f>
        <v>#REF!</v>
      </c>
      <c r="AC21" s="89" t="e">
        <f>IF(AND(AJ21&lt;&gt;"",AJ21&lt;=Rates!$Z$2),MIN(0.5*AF21,300000000,AC20*(1+#REF!)),"")</f>
        <v>#REF!</v>
      </c>
      <c r="AD21" s="89" t="e">
        <f>IF(AND(AJ21&lt;&gt;"",AJ21&lt;=60),AF21*#REF!,"")</f>
        <v>#REF!</v>
      </c>
      <c r="AE21" s="109" t="e">
        <f>IF(AND(AJ21&lt;&gt;"",AJ21&lt;=70),AF21*(1+#REF!),"")</f>
        <v>#REF!</v>
      </c>
      <c r="AF21" s="109" t="e">
        <f>IF(AJ21&lt;&gt;"",AF20*(1+#REF!),"")</f>
        <v>#REF!</v>
      </c>
      <c r="AG21" s="92" t="e">
        <f t="shared" si="6"/>
        <v>#REF!</v>
      </c>
      <c r="AH21" s="83" t="e">
        <f>IF(AJ21&lt;&gt;"",AI21*Rates!$Z$9,"")</f>
        <v>#REF!</v>
      </c>
      <c r="AI21" s="92" t="e">
        <f>IF(AJ21&lt;&gt;"",AI20*(1+#REF!),"")</f>
        <v>#REF!</v>
      </c>
      <c r="AJ21" s="98" t="e">
        <f>IF(AL21&lt;&gt;"",#REF!+AL21-1,"")</f>
        <v>#REF!</v>
      </c>
      <c r="AK21" s="107" t="e">
        <f>IF(AL21&lt;&gt;"",#REF!+AL21-1,"")</f>
        <v>#REF!</v>
      </c>
      <c r="AL21" s="110" t="e">
        <f>IF(AL20&lt;&gt;"",IF(AL20+1&lt;=#REF!,AL20+1,""),"")</f>
        <v>#REF!</v>
      </c>
    </row>
    <row r="22" spans="1:38" ht="17.25" x14ac:dyDescent="0.25">
      <c r="A22" s="84" t="e">
        <f>IF(AJ22&lt;&gt;"",D22+D22*(IF(AL22&gt;4,0.1,LOOKUP(#REF!,Rates!$D$2:$D$4,Rates!$C$2:$C$4))+0.85*(#REF!-(IF(AL22&gt;4,0.1,LOOKUP(#REF!,Rates!$D$2:$D$4,Rates!$C$2:$C$4)))))*LOOKUP(#REF!,Rates!$I$2:$I$7,Rates!$G$2:$G$7)+A21*(1+IF(AL22&gt;4,0.1,LOOKUP(#REF!,Rates!$D$2:$D$4,Rates!$C$2:$C$4))+0.85*(#REF!-IF(AL22&gt;4,0.1,LOOKUP(#REF!,Rates!$D$2:$D$4,Rates!$C$2:$C$4)))),"")</f>
        <v>#REF!</v>
      </c>
      <c r="B22" s="84" t="e">
        <f>IF(AJ22&lt;&gt;"",IF(AL22&gt;=8,C22,C22*LOOKUP(AL22,Rates!$AH$2:$AH$8,Rates!$AG$2:$AG$8)),"")</f>
        <v>#REF!</v>
      </c>
      <c r="C22" s="84" t="e">
        <f>IF(AJ22&lt;&gt;"",D22*(1+IF(AL22&gt;4,0.1,LOOKUP(#REF!,Rates!$D$2:$D$5,Rates!$B$2:$B$5))*LOOKUP(#REF!,Rates!$I$2:$I$7,Rates!$G$2:$G$7))+C21*(1+IF(AL22&gt;4,0.1,LOOKUP(#REF!,Rates!$D$2:$D$5,Rates!$B$2:$B$5))),"")</f>
        <v>#REF!</v>
      </c>
      <c r="D22" s="84" t="e">
        <f>IF(AJ22&lt;&gt;"",AI22-(H22+G22+F22+E22+P22+Q22)+IF(#REF!&gt;0,IF(AND(AL22&lt;=#REF!,AL22&gt;=#REF!),#REF!,0),0),"")</f>
        <v>#REF!</v>
      </c>
      <c r="E22" s="84" t="e">
        <f>IF(AJ22&lt;&gt;"",(LOOKUP(#REF!,Rates!$AE$2:$AE$4,Rates!$AD$2:$AD$4))*(H22+P22+Q22),"")</f>
        <v>#REF!</v>
      </c>
      <c r="F22" s="84" t="e">
        <f>IF(AJ22&lt;&gt;"",(LOOKUP(#REF!,Rates!$AE$2:$AE$4,Rates!$AB$2:$AB$4))*(H22+P22+Q22),"")</f>
        <v>#REF!</v>
      </c>
      <c r="G22" s="84" t="e">
        <f>IF(AJ22&lt;&gt;"",(LOOKUP(#REF!,Rates!$AE$2:$AE$4,Rates!$AC$2:$AC$4))*(H22+P22+Q22),"")</f>
        <v>#REF!</v>
      </c>
      <c r="H22" s="84" t="e">
        <f t="shared" si="0"/>
        <v>#REF!</v>
      </c>
      <c r="I22" s="84" t="e">
        <f>IF(AJ22&lt;&gt;"",LOOKUP(#REF!,Rates!$I$2:$I$7,Rates!$H$2:$H$7)*(J22+P22+Q22+AB22),"")</f>
        <v>#REF!</v>
      </c>
      <c r="J22" s="96" t="e">
        <f t="shared" si="4"/>
        <v>#REF!</v>
      </c>
      <c r="K22" s="96" t="e">
        <f t="shared" si="7"/>
        <v>#REF!</v>
      </c>
      <c r="L22" s="96" t="e">
        <f t="shared" si="8"/>
        <v>#REF!</v>
      </c>
      <c r="M22" s="96" t="e">
        <f>IF(AND(AI22&lt;&gt;"",AL22&lt;=10),(1-#REF!)*MIN(30/1000*(AF22-AF21),0.75*(AI22-AI21)),0)</f>
        <v>#REF!</v>
      </c>
      <c r="N22" s="96">
        <v>0</v>
      </c>
      <c r="O22" s="96" t="e">
        <f>IF(AJ22&lt;&gt;"",0.07*AI22*(1-#REF!),0)</f>
        <v>#REF!</v>
      </c>
      <c r="P22" s="87" t="e">
        <f t="shared" si="2"/>
        <v>#REF!</v>
      </c>
      <c r="Q22" s="87" t="e">
        <f t="shared" si="3"/>
        <v>#REF!</v>
      </c>
      <c r="R22" s="87" t="e">
        <f>IF(AJ22&lt;&gt;"",(AB22+AA22+V22+T22)*#REF!,0)</f>
        <v>#REF!</v>
      </c>
      <c r="S22" s="87" t="e">
        <f>IF(AJ22&lt;&gt;"",T22*(LOOKUP(#REF!,Rates!$O$2:$O$9,Rates!$L$2:$L$9)/100),0)</f>
        <v>#REF!</v>
      </c>
      <c r="T22" s="87" t="e">
        <f>IF(AJ22&lt;&gt;"",IF(#REF!="بله",V22*Rates!$Z$7,0),0)</f>
        <v>#REF!</v>
      </c>
      <c r="U22" s="87" t="e">
        <f>IF(AJ22&lt;&gt;"",IF(#REF!="بله",V22*(LOOKUP(#REF!,Rates!$O$2:$O$9,Rates!$L$2:$L$9)/100),V22*(LOOKUP(#REF!,Rates!$O$2:$O$9,Rates!$L$2:$L$9)/100)),0)</f>
        <v>#REF!</v>
      </c>
      <c r="V22" s="88" t="e">
        <f>IF(AND(AJ22&lt;&gt;"",AJ22&lt;=Rates!$Z$8,#REF!="بله"),AH22*(LOOKUP(AJ22,Rates!$U$2:$U$108,Rates!#REF!)),IF(AND(AK22&lt;&gt;"",AK22&lt;=Rates!$Z$8,#REF!="خیر"),AH22*(LOOKUP(AK22,Rates!$U$2:$U$108,Rates!#REF!)),0)*(1-#REF!))</f>
        <v>#REF!</v>
      </c>
      <c r="W22" s="88" t="e">
        <f>IF(AJ22&lt;&gt;"",X22*LOOKUP(#REF!,Rates!$O$2:$O$9,Rates!$M$2:$M$9)/100,0)</f>
        <v>#REF!</v>
      </c>
      <c r="X22" s="88" t="e">
        <f>IF(AJ22&lt;=Rates!$Z$4,0.0008*AF22*#REF!,0)</f>
        <v>#REF!</v>
      </c>
      <c r="Y22" s="88" t="e">
        <f>IF(AJ22&lt;&gt;"",Z22*(LOOKUP(#REF!,Rates!$O$2:$O$9,Rates!$N$2:$N$9/100)),0)</f>
        <v>#REF!</v>
      </c>
      <c r="Z22" s="87" t="e">
        <f>IF(AND(AJ22&lt;=(Rates!$Z$3),AD22&lt;&gt;""),(1-#REF!)*0.0008*AF22*#REF!,0)</f>
        <v>#REF!</v>
      </c>
      <c r="AA22" s="87" t="e">
        <f>IF(AJ22&lt;=60,(LOOKUP(AJ22,Rates!$U$2:$U$108,Rates!#REF!))*AC22/1000000*(1-#REF!),0)</f>
        <v>#REF!</v>
      </c>
      <c r="AB22" s="84" t="e">
        <f>IF(AJ22&lt;&gt;"",(AF22*LOOKUP(AJ22,Rates!$U$2:$U$108,Rates!$T$2:$T$108))/SQRT(1+IF(AL22&lt;=10,Rates!$Z$5,Rates!$Z$6)),"")</f>
        <v>#REF!</v>
      </c>
      <c r="AC22" s="89" t="e">
        <f>IF(AND(AJ22&lt;&gt;"",AJ22&lt;=Rates!$Z$2),MIN(0.5*AF22,300000000,AC21*(1+#REF!)),"")</f>
        <v>#REF!</v>
      </c>
      <c r="AD22" s="89" t="e">
        <f>IF(AND(AJ22&lt;&gt;"",AJ22&lt;=60),AF22*#REF!,"")</f>
        <v>#REF!</v>
      </c>
      <c r="AE22" s="109" t="e">
        <f>IF(AND(AJ22&lt;&gt;"",AJ22&lt;=70),AF22*(1+#REF!),"")</f>
        <v>#REF!</v>
      </c>
      <c r="AF22" s="109" t="e">
        <f>IF(AJ22&lt;&gt;"",AF21*(1+#REF!),"")</f>
        <v>#REF!</v>
      </c>
      <c r="AG22" s="92" t="e">
        <f t="shared" si="6"/>
        <v>#REF!</v>
      </c>
      <c r="AH22" s="83" t="e">
        <f>IF(AJ22&lt;&gt;"",AI22*Rates!$Z$9,"")</f>
        <v>#REF!</v>
      </c>
      <c r="AI22" s="92" t="e">
        <f>IF(AJ22&lt;&gt;"",AI21*(1+#REF!),"")</f>
        <v>#REF!</v>
      </c>
      <c r="AJ22" s="98" t="e">
        <f>IF(AL22&lt;&gt;"",#REF!+AL22-1,"")</f>
        <v>#REF!</v>
      </c>
      <c r="AK22" s="107" t="e">
        <f>IF(AL22&lt;&gt;"",#REF!+AL22-1,"")</f>
        <v>#REF!</v>
      </c>
      <c r="AL22" s="110" t="e">
        <f>IF(AL21&lt;&gt;"",IF(AL21+1&lt;=#REF!,AL21+1,""),"")</f>
        <v>#REF!</v>
      </c>
    </row>
    <row r="23" spans="1:38" ht="17.25" x14ac:dyDescent="0.25">
      <c r="A23" s="84" t="e">
        <f>IF(AJ23&lt;&gt;"",D23+D23*(IF(AL23&gt;4,0.1,LOOKUP(#REF!,Rates!$D$2:$D$4,Rates!$C$2:$C$4))+0.85*(#REF!-(IF(AL23&gt;4,0.1,LOOKUP(#REF!,Rates!$D$2:$D$4,Rates!$C$2:$C$4)))))*LOOKUP(#REF!,Rates!$I$2:$I$7,Rates!$G$2:$G$7)+A22*(1+IF(AL23&gt;4,0.1,LOOKUP(#REF!,Rates!$D$2:$D$4,Rates!$C$2:$C$4))+0.85*(#REF!-IF(AL23&gt;4,0.1,LOOKUP(#REF!,Rates!$D$2:$D$4,Rates!$C$2:$C$4)))),"")</f>
        <v>#REF!</v>
      </c>
      <c r="B23" s="84" t="e">
        <f>IF(AJ23&lt;&gt;"",IF(AL23&gt;=8,C23,C23*LOOKUP(AL23,Rates!$AH$2:$AH$8,Rates!$AG$2:$AG$8)),"")</f>
        <v>#REF!</v>
      </c>
      <c r="C23" s="84" t="e">
        <f>IF(AJ23&lt;&gt;"",D23*(1+IF(AL23&gt;4,0.1,LOOKUP(#REF!,Rates!$D$2:$D$5,Rates!$B$2:$B$5))*LOOKUP(#REF!,Rates!$I$2:$I$7,Rates!$G$2:$G$7))+C22*(1+IF(AL23&gt;4,0.1,LOOKUP(#REF!,Rates!$D$2:$D$5,Rates!$B$2:$B$5))),"")</f>
        <v>#REF!</v>
      </c>
      <c r="D23" s="84" t="e">
        <f>IF(AJ23&lt;&gt;"",AI23-(H23+G23+F23+E23+P23+Q23)+IF(#REF!&gt;0,IF(AND(AL23&lt;=#REF!,AL23&gt;=#REF!),#REF!,0),0),"")</f>
        <v>#REF!</v>
      </c>
      <c r="E23" s="84" t="e">
        <f>IF(AJ23&lt;&gt;"",(LOOKUP(#REF!,Rates!$AE$2:$AE$4,Rates!$AD$2:$AD$4))*(H23+P23+Q23),"")</f>
        <v>#REF!</v>
      </c>
      <c r="F23" s="84" t="e">
        <f>IF(AJ23&lt;&gt;"",(LOOKUP(#REF!,Rates!$AE$2:$AE$4,Rates!$AB$2:$AB$4))*(H23+P23+Q23),"")</f>
        <v>#REF!</v>
      </c>
      <c r="G23" s="84" t="e">
        <f>IF(AJ23&lt;&gt;"",(LOOKUP(#REF!,Rates!$AE$2:$AE$4,Rates!$AC$2:$AC$4))*(H23+P23+Q23),"")</f>
        <v>#REF!</v>
      </c>
      <c r="H23" s="84" t="e">
        <f t="shared" si="0"/>
        <v>#REF!</v>
      </c>
      <c r="I23" s="84" t="e">
        <f>IF(AJ23&lt;&gt;"",LOOKUP(#REF!,Rates!$I$2:$I$7,Rates!$H$2:$H$7)*(J23+P23+Q23+AB23),"")</f>
        <v>#REF!</v>
      </c>
      <c r="J23" s="96" t="e">
        <f t="shared" si="4"/>
        <v>#REF!</v>
      </c>
      <c r="K23" s="96" t="e">
        <f t="shared" si="7"/>
        <v>#REF!</v>
      </c>
      <c r="L23" s="96" t="e">
        <f t="shared" si="8"/>
        <v>#REF!</v>
      </c>
      <c r="M23" s="96" t="e">
        <f>IF(AND(AI23&lt;&gt;"",AL23&lt;=10),(1-#REF!)*MIN(30/1000*(AF23-AF22),0.75*(AI23-AI22)),0)</f>
        <v>#REF!</v>
      </c>
      <c r="N23" s="96">
        <v>0</v>
      </c>
      <c r="O23" s="96" t="e">
        <f>IF(AJ23&lt;&gt;"",0.07*AI23*(1-#REF!),0)</f>
        <v>#REF!</v>
      </c>
      <c r="P23" s="87" t="e">
        <f t="shared" si="2"/>
        <v>#REF!</v>
      </c>
      <c r="Q23" s="87" t="e">
        <f t="shared" si="3"/>
        <v>#REF!</v>
      </c>
      <c r="R23" s="87" t="e">
        <f>IF(AJ23&lt;&gt;"",(AB23+AA23+V23+T23)*#REF!,0)</f>
        <v>#REF!</v>
      </c>
      <c r="S23" s="87" t="e">
        <f>IF(AJ23&lt;&gt;"",T23*(LOOKUP(#REF!,Rates!$O$2:$O$9,Rates!$L$2:$L$9)/100),0)</f>
        <v>#REF!</v>
      </c>
      <c r="T23" s="87" t="e">
        <f>IF(AJ23&lt;&gt;"",IF(#REF!="بله",V23*Rates!$Z$7,0),0)</f>
        <v>#REF!</v>
      </c>
      <c r="U23" s="87" t="e">
        <f>IF(AJ23&lt;&gt;"",IF(#REF!="بله",V23*(LOOKUP(#REF!,Rates!$O$2:$O$9,Rates!$L$2:$L$9)/100),V23*(LOOKUP(#REF!,Rates!$O$2:$O$9,Rates!$L$2:$L$9)/100)),0)</f>
        <v>#REF!</v>
      </c>
      <c r="V23" s="88" t="e">
        <f>IF(AND(AJ23&lt;&gt;"",AJ23&lt;=Rates!$Z$8,#REF!="بله"),AH23*(LOOKUP(AJ23,Rates!$U$2:$U$108,Rates!#REF!)),IF(AND(AK23&lt;&gt;"",AK23&lt;=Rates!$Z$8,#REF!="خیر"),AH23*(LOOKUP(AK23,Rates!$U$2:$U$108,Rates!#REF!)),0)*(1-#REF!))</f>
        <v>#REF!</v>
      </c>
      <c r="W23" s="88" t="e">
        <f>IF(AJ23&lt;&gt;"",X23*LOOKUP(#REF!,Rates!$O$2:$O$9,Rates!$M$2:$M$9)/100,0)</f>
        <v>#REF!</v>
      </c>
      <c r="X23" s="88" t="e">
        <f>IF(AJ23&lt;=Rates!$Z$4,0.0008*AF23*#REF!,0)</f>
        <v>#REF!</v>
      </c>
      <c r="Y23" s="88" t="e">
        <f>IF(AJ23&lt;&gt;"",Z23*(LOOKUP(#REF!,Rates!$O$2:$O$9,Rates!$N$2:$N$9/100)),0)</f>
        <v>#REF!</v>
      </c>
      <c r="Z23" s="87" t="e">
        <f>IF(AND(AJ23&lt;=(Rates!$Z$3),AD23&lt;&gt;""),(1-#REF!)*0.0008*AF23*#REF!,0)</f>
        <v>#REF!</v>
      </c>
      <c r="AA23" s="87" t="e">
        <f>IF(AJ23&lt;=60,(LOOKUP(AJ23,Rates!$U$2:$U$108,Rates!#REF!))*AC23/1000000*(1-#REF!),0)</f>
        <v>#REF!</v>
      </c>
      <c r="AB23" s="84" t="e">
        <f>IF(AJ23&lt;&gt;"",(AF23*LOOKUP(AJ23,Rates!$U$2:$U$108,Rates!$T$2:$T$108))/SQRT(1+IF(AL23&lt;=10,Rates!$Z$5,Rates!$Z$6)),"")</f>
        <v>#REF!</v>
      </c>
      <c r="AC23" s="89" t="e">
        <f>IF(AND(AJ23&lt;&gt;"",AJ23&lt;=Rates!$Z$2),MIN(0.5*AF23,300000000,AC22*(1+#REF!)),"")</f>
        <v>#REF!</v>
      </c>
      <c r="AD23" s="89" t="e">
        <f>IF(AND(AJ23&lt;&gt;"",AJ23&lt;=60),AF23*#REF!,"")</f>
        <v>#REF!</v>
      </c>
      <c r="AE23" s="109" t="e">
        <f>IF(AND(AJ23&lt;&gt;"",AJ23&lt;=70),AF23*(1+#REF!),"")</f>
        <v>#REF!</v>
      </c>
      <c r="AF23" s="109" t="e">
        <f>IF(AJ23&lt;&gt;"",AF22*(1+#REF!),"")</f>
        <v>#REF!</v>
      </c>
      <c r="AG23" s="92" t="e">
        <f t="shared" si="6"/>
        <v>#REF!</v>
      </c>
      <c r="AH23" s="83" t="e">
        <f>IF(AJ23&lt;&gt;"",AI23*Rates!$Z$9,"")</f>
        <v>#REF!</v>
      </c>
      <c r="AI23" s="92" t="e">
        <f>IF(AJ23&lt;&gt;"",AI22*(1+#REF!),"")</f>
        <v>#REF!</v>
      </c>
      <c r="AJ23" s="98" t="e">
        <f>IF(AL23&lt;&gt;"",#REF!+AL23-1,"")</f>
        <v>#REF!</v>
      </c>
      <c r="AK23" s="107" t="e">
        <f>IF(AL23&lt;&gt;"",#REF!+AL23-1,"")</f>
        <v>#REF!</v>
      </c>
      <c r="AL23" s="110" t="e">
        <f>IF(AL22&lt;&gt;"",IF(AL22+1&lt;=#REF!,AL22+1,""),"")</f>
        <v>#REF!</v>
      </c>
    </row>
    <row r="24" spans="1:38" ht="17.25" x14ac:dyDescent="0.25">
      <c r="A24" s="84" t="e">
        <f>IF(AJ24&lt;&gt;"",D24+D24*(IF(AL24&gt;4,0.1,LOOKUP(#REF!,Rates!$D$2:$D$4,Rates!$C$2:$C$4))+0.85*(#REF!-(IF(AL24&gt;4,0.1,LOOKUP(#REF!,Rates!$D$2:$D$4,Rates!$C$2:$C$4)))))*LOOKUP(#REF!,Rates!$I$2:$I$7,Rates!$G$2:$G$7)+A23*(1+IF(AL24&gt;4,0.1,LOOKUP(#REF!,Rates!$D$2:$D$4,Rates!$C$2:$C$4))+0.85*(#REF!-IF(AL24&gt;4,0.1,LOOKUP(#REF!,Rates!$D$2:$D$4,Rates!$C$2:$C$4)))),"")</f>
        <v>#REF!</v>
      </c>
      <c r="B24" s="84" t="e">
        <f>IF(AJ24&lt;&gt;"",IF(AL24&gt;=8,C24,C24*LOOKUP(AL24,Rates!$AH$2:$AH$8,Rates!$AG$2:$AG$8)),"")</f>
        <v>#REF!</v>
      </c>
      <c r="C24" s="84" t="e">
        <f>IF(AJ24&lt;&gt;"",D24*(1+IF(AL24&gt;4,0.1,LOOKUP(#REF!,Rates!$D$2:$D$5,Rates!$B$2:$B$5))*LOOKUP(#REF!,Rates!$I$2:$I$7,Rates!$G$2:$G$7))+C23*(1+IF(AL24&gt;4,0.1,LOOKUP(#REF!,Rates!$D$2:$D$5,Rates!$B$2:$B$5))),"")</f>
        <v>#REF!</v>
      </c>
      <c r="D24" s="84" t="e">
        <f>IF(AJ24&lt;&gt;"",AI24-(H24+G24+F24+E24+P24+Q24)+IF(#REF!&gt;0,IF(AND(AL24&lt;=#REF!,AL24&gt;=#REF!),#REF!,0),0),"")</f>
        <v>#REF!</v>
      </c>
      <c r="E24" s="84" t="e">
        <f>IF(AJ24&lt;&gt;"",(LOOKUP(#REF!,Rates!$AE$2:$AE$4,Rates!$AD$2:$AD$4))*(H24+P24+Q24),"")</f>
        <v>#REF!</v>
      </c>
      <c r="F24" s="84" t="e">
        <f>IF(AJ24&lt;&gt;"",(LOOKUP(#REF!,Rates!$AE$2:$AE$4,Rates!$AB$2:$AB$4))*(H24+P24+Q24),"")</f>
        <v>#REF!</v>
      </c>
      <c r="G24" s="84" t="e">
        <f>IF(AJ24&lt;&gt;"",(LOOKUP(#REF!,Rates!$AE$2:$AE$4,Rates!$AC$2:$AC$4))*(H24+P24+Q24),"")</f>
        <v>#REF!</v>
      </c>
      <c r="H24" s="84" t="e">
        <f t="shared" si="0"/>
        <v>#REF!</v>
      </c>
      <c r="I24" s="84" t="e">
        <f>IF(AJ24&lt;&gt;"",LOOKUP(#REF!,Rates!$I$2:$I$7,Rates!$H$2:$H$7)*(J24+P24+Q24+AB24),"")</f>
        <v>#REF!</v>
      </c>
      <c r="J24" s="96" t="e">
        <f t="shared" si="4"/>
        <v>#REF!</v>
      </c>
      <c r="K24" s="96" t="e">
        <f t="shared" si="7"/>
        <v>#REF!</v>
      </c>
      <c r="L24" s="96" t="e">
        <f t="shared" si="8"/>
        <v>#REF!</v>
      </c>
      <c r="M24" s="96" t="e">
        <f>IF(AND(AI24&lt;&gt;"",AL24&lt;=10),(1-#REF!)*MIN(30/1000*(AF24-AF23),0.75*(AI24-AI23)),0)</f>
        <v>#REF!</v>
      </c>
      <c r="N24" s="96">
        <v>0</v>
      </c>
      <c r="O24" s="96" t="e">
        <f>IF(AJ24&lt;&gt;"",0.07*AI24*(1-#REF!),0)</f>
        <v>#REF!</v>
      </c>
      <c r="P24" s="87" t="e">
        <f t="shared" si="2"/>
        <v>#REF!</v>
      </c>
      <c r="Q24" s="87" t="e">
        <f t="shared" si="3"/>
        <v>#REF!</v>
      </c>
      <c r="R24" s="87" t="e">
        <f>IF(AJ24&lt;&gt;"",(AB24+AA24+V24+T24)*#REF!,0)</f>
        <v>#REF!</v>
      </c>
      <c r="S24" s="87" t="e">
        <f>IF(AJ24&lt;&gt;"",T24*(LOOKUP(#REF!,Rates!$O$2:$O$9,Rates!$L$2:$L$9)/100),0)</f>
        <v>#REF!</v>
      </c>
      <c r="T24" s="87" t="e">
        <f>IF(AJ24&lt;&gt;"",IF(#REF!="بله",V24*Rates!$Z$7,0),0)</f>
        <v>#REF!</v>
      </c>
      <c r="U24" s="87" t="e">
        <f>IF(AJ24&lt;&gt;"",IF(#REF!="بله",V24*(LOOKUP(#REF!,Rates!$O$2:$O$9,Rates!$L$2:$L$9)/100),V24*(LOOKUP(#REF!,Rates!$O$2:$O$9,Rates!$L$2:$L$9)/100)),0)</f>
        <v>#REF!</v>
      </c>
      <c r="V24" s="88" t="e">
        <f>IF(AND(AJ24&lt;&gt;"",AJ24&lt;=Rates!$Z$8,#REF!="بله"),AH24*(LOOKUP(AJ24,Rates!$U$2:$U$108,Rates!#REF!)),IF(AND(AK24&lt;&gt;"",AK24&lt;=Rates!$Z$8,#REF!="خیر"),AH24*(LOOKUP(AK24,Rates!$U$2:$U$108,Rates!#REF!)),0)*(1-#REF!))</f>
        <v>#REF!</v>
      </c>
      <c r="W24" s="88" t="e">
        <f>IF(AJ24&lt;&gt;"",X24*LOOKUP(#REF!,Rates!$O$2:$O$9,Rates!$M$2:$M$9)/100,0)</f>
        <v>#REF!</v>
      </c>
      <c r="X24" s="88" t="e">
        <f>IF(AJ24&lt;=Rates!$Z$4,0.0008*AF24*#REF!,0)</f>
        <v>#REF!</v>
      </c>
      <c r="Y24" s="88" t="e">
        <f>IF(AJ24&lt;&gt;"",Z24*(LOOKUP(#REF!,Rates!$O$2:$O$9,Rates!$N$2:$N$9/100)),0)</f>
        <v>#REF!</v>
      </c>
      <c r="Z24" s="87" t="e">
        <f>IF(AND(AJ24&lt;=(Rates!$Z$3),AD24&lt;&gt;""),(1-#REF!)*0.0008*AF24*#REF!,0)</f>
        <v>#REF!</v>
      </c>
      <c r="AA24" s="87" t="e">
        <f>IF(AJ24&lt;=60,(LOOKUP(AJ24,Rates!$U$2:$U$108,Rates!#REF!))*AC24/1000000*(1-#REF!),0)</f>
        <v>#REF!</v>
      </c>
      <c r="AB24" s="84" t="e">
        <f>IF(AJ24&lt;&gt;"",(AF24*LOOKUP(AJ24,Rates!$U$2:$U$108,Rates!$T$2:$T$108))/SQRT(1+IF(AL24&lt;=10,Rates!$Z$5,Rates!$Z$6)),"")</f>
        <v>#REF!</v>
      </c>
      <c r="AC24" s="89" t="e">
        <f>IF(AND(AJ24&lt;&gt;"",AJ24&lt;=Rates!$Z$2),MIN(0.5*AF24,300000000,AC23*(1+#REF!)),"")</f>
        <v>#REF!</v>
      </c>
      <c r="AD24" s="89" t="e">
        <f>IF(AND(AJ24&lt;&gt;"",AJ24&lt;=60),AF24*#REF!,"")</f>
        <v>#REF!</v>
      </c>
      <c r="AE24" s="109" t="e">
        <f>IF(AND(AJ24&lt;&gt;"",AJ24&lt;=70),AF24*(1+#REF!),"")</f>
        <v>#REF!</v>
      </c>
      <c r="AF24" s="109" t="e">
        <f>IF(AJ24&lt;&gt;"",AF23*(1+#REF!),"")</f>
        <v>#REF!</v>
      </c>
      <c r="AG24" s="92" t="e">
        <f t="shared" si="6"/>
        <v>#REF!</v>
      </c>
      <c r="AH24" s="83" t="e">
        <f>IF(AJ24&lt;&gt;"",AI24*Rates!$Z$9,"")</f>
        <v>#REF!</v>
      </c>
      <c r="AI24" s="92" t="e">
        <f>IF(AJ24&lt;&gt;"",AI23*(1+#REF!),"")</f>
        <v>#REF!</v>
      </c>
      <c r="AJ24" s="98" t="e">
        <f>IF(AL24&lt;&gt;"",#REF!+AL24-1,"")</f>
        <v>#REF!</v>
      </c>
      <c r="AK24" s="107" t="e">
        <f>IF(AL24&lt;&gt;"",#REF!+AL24-1,"")</f>
        <v>#REF!</v>
      </c>
      <c r="AL24" s="110" t="e">
        <f>IF(AL23&lt;&gt;"",IF(AL23+1&lt;=#REF!,AL23+1,""),"")</f>
        <v>#REF!</v>
      </c>
    </row>
    <row r="25" spans="1:38" ht="17.25" x14ac:dyDescent="0.25">
      <c r="A25" s="84" t="e">
        <f>IF(AJ25&lt;&gt;"",D25+D25*(IF(AL25&gt;4,0.1,LOOKUP(#REF!,Rates!$D$2:$D$4,Rates!$C$2:$C$4))+0.85*(#REF!-(IF(AL25&gt;4,0.1,LOOKUP(#REF!,Rates!$D$2:$D$4,Rates!$C$2:$C$4)))))*LOOKUP(#REF!,Rates!$I$2:$I$7,Rates!$G$2:$G$7)+A24*(1+IF(AL25&gt;4,0.1,LOOKUP(#REF!,Rates!$D$2:$D$4,Rates!$C$2:$C$4))+0.85*(#REF!-IF(AL25&gt;4,0.1,LOOKUP(#REF!,Rates!$D$2:$D$4,Rates!$C$2:$C$4)))),"")</f>
        <v>#REF!</v>
      </c>
      <c r="B25" s="84" t="e">
        <f>IF(AJ25&lt;&gt;"",IF(AL25&gt;=8,C25,C25*LOOKUP(AL25,Rates!$AH$2:$AH$8,Rates!$AG$2:$AG$8)),"")</f>
        <v>#REF!</v>
      </c>
      <c r="C25" s="84" t="e">
        <f>IF(AJ25&lt;&gt;"",D25*(1+IF(AL25&gt;4,0.1,LOOKUP(#REF!,Rates!$D$2:$D$5,Rates!$B$2:$B$5))*LOOKUP(#REF!,Rates!$I$2:$I$7,Rates!$G$2:$G$7))+C24*(1+IF(AL25&gt;4,0.1,LOOKUP(#REF!,Rates!$D$2:$D$5,Rates!$B$2:$B$5))),"")</f>
        <v>#REF!</v>
      </c>
      <c r="D25" s="84" t="e">
        <f>IF(AJ25&lt;&gt;"",AI25-(H25+G25+F25+E25+P25+Q25)+IF(#REF!&gt;0,IF(AND(AL25&lt;=#REF!,AL25&gt;=#REF!),#REF!,0),0),"")</f>
        <v>#REF!</v>
      </c>
      <c r="E25" s="84" t="e">
        <f>IF(AJ25&lt;&gt;"",(LOOKUP(#REF!,Rates!$AE$2:$AE$4,Rates!$AD$2:$AD$4))*(H25+P25+Q25),"")</f>
        <v>#REF!</v>
      </c>
      <c r="F25" s="84" t="e">
        <f>IF(AJ25&lt;&gt;"",(LOOKUP(#REF!,Rates!$AE$2:$AE$4,Rates!$AB$2:$AB$4))*(H25+P25+Q25),"")</f>
        <v>#REF!</v>
      </c>
      <c r="G25" s="84" t="e">
        <f>IF(AJ25&lt;&gt;"",(LOOKUP(#REF!,Rates!$AE$2:$AE$4,Rates!$AC$2:$AC$4))*(H25+P25+Q25),"")</f>
        <v>#REF!</v>
      </c>
      <c r="H25" s="84" t="e">
        <f t="shared" si="0"/>
        <v>#REF!</v>
      </c>
      <c r="I25" s="84" t="e">
        <f>IF(AJ25&lt;&gt;"",LOOKUP(#REF!,Rates!$I$2:$I$7,Rates!$H$2:$H$7)*(J25+P25+Q25+AB25),"")</f>
        <v>#REF!</v>
      </c>
      <c r="J25" s="96" t="e">
        <f t="shared" si="4"/>
        <v>#REF!</v>
      </c>
      <c r="K25" s="96" t="e">
        <f t="shared" si="7"/>
        <v>#REF!</v>
      </c>
      <c r="L25" s="96" t="e">
        <f t="shared" si="8"/>
        <v>#REF!</v>
      </c>
      <c r="M25" s="96" t="e">
        <f>IF(AND(AI25&lt;&gt;"",AL25&lt;=10),(1-#REF!)*MIN(30/1000*(AF25-AF24),0.75*(AI25-AI24)),0)</f>
        <v>#REF!</v>
      </c>
      <c r="N25" s="96">
        <v>0</v>
      </c>
      <c r="O25" s="96" t="e">
        <f>IF(AJ25&lt;&gt;"",0.07*AI25*(1-#REF!),0)</f>
        <v>#REF!</v>
      </c>
      <c r="P25" s="87" t="e">
        <f t="shared" si="2"/>
        <v>#REF!</v>
      </c>
      <c r="Q25" s="87" t="e">
        <f t="shared" si="3"/>
        <v>#REF!</v>
      </c>
      <c r="R25" s="87" t="e">
        <f>IF(AJ25&lt;&gt;"",(AB25+AA25+V25+T25)*#REF!,0)</f>
        <v>#REF!</v>
      </c>
      <c r="S25" s="87" t="e">
        <f>IF(AJ25&lt;&gt;"",T25*(LOOKUP(#REF!,Rates!$O$2:$O$9,Rates!$L$2:$L$9)/100),0)</f>
        <v>#REF!</v>
      </c>
      <c r="T25" s="87" t="e">
        <f>IF(AJ25&lt;&gt;"",IF(#REF!="بله",V25*Rates!$Z$7,0),0)</f>
        <v>#REF!</v>
      </c>
      <c r="U25" s="87" t="e">
        <f>IF(AJ25&lt;&gt;"",IF(#REF!="بله",V25*(LOOKUP(#REF!,Rates!$O$2:$O$9,Rates!$L$2:$L$9)/100),V25*(LOOKUP(#REF!,Rates!$O$2:$O$9,Rates!$L$2:$L$9)/100)),0)</f>
        <v>#REF!</v>
      </c>
      <c r="V25" s="88" t="e">
        <f>IF(AND(AJ25&lt;&gt;"",AJ25&lt;=Rates!$Z$8,#REF!="بله"),AH25*(LOOKUP(AJ25,Rates!$U$2:$U$108,Rates!#REF!)),IF(AND(AK25&lt;&gt;"",AK25&lt;=Rates!$Z$8,#REF!="خیر"),AH25*(LOOKUP(AK25,Rates!$U$2:$U$108,Rates!#REF!)),0)*(1-#REF!))</f>
        <v>#REF!</v>
      </c>
      <c r="W25" s="88" t="e">
        <f>IF(AJ25&lt;&gt;"",X25*LOOKUP(#REF!,Rates!$O$2:$O$9,Rates!$M$2:$M$9)/100,0)</f>
        <v>#REF!</v>
      </c>
      <c r="X25" s="88" t="e">
        <f>IF(AJ25&lt;=Rates!$Z$4,0.0008*AF25*#REF!,0)</f>
        <v>#REF!</v>
      </c>
      <c r="Y25" s="88" t="e">
        <f>IF(AJ25&lt;&gt;"",Z25*(LOOKUP(#REF!,Rates!$O$2:$O$9,Rates!$N$2:$N$9/100)),0)</f>
        <v>#REF!</v>
      </c>
      <c r="Z25" s="87" t="e">
        <f>IF(AND(AJ25&lt;=(Rates!$Z$3),AD25&lt;&gt;""),(1-#REF!)*0.0008*AF25*#REF!,0)</f>
        <v>#REF!</v>
      </c>
      <c r="AA25" s="87" t="e">
        <f>IF(AJ25&lt;=60,(LOOKUP(AJ25,Rates!$U$2:$U$108,Rates!#REF!))*AC25/1000000*(1-#REF!),0)</f>
        <v>#REF!</v>
      </c>
      <c r="AB25" s="84" t="e">
        <f>IF(AJ25&lt;&gt;"",(AF25*LOOKUP(AJ25,Rates!$U$2:$U$108,Rates!$T$2:$T$108))/SQRT(1+IF(AL25&lt;=10,Rates!$Z$5,Rates!$Z$6)),"")</f>
        <v>#REF!</v>
      </c>
      <c r="AC25" s="89" t="e">
        <f>IF(AND(AJ25&lt;&gt;"",AJ25&lt;=Rates!$Z$2),MIN(0.5*AF25,300000000,AC24*(1+#REF!)),"")</f>
        <v>#REF!</v>
      </c>
      <c r="AD25" s="89" t="e">
        <f>IF(AND(AJ25&lt;&gt;"",AJ25&lt;=60),AF25*#REF!,"")</f>
        <v>#REF!</v>
      </c>
      <c r="AE25" s="109" t="e">
        <f>IF(AND(AJ25&lt;&gt;"",AJ25&lt;=70),AF25*(1+#REF!),"")</f>
        <v>#REF!</v>
      </c>
      <c r="AF25" s="109" t="e">
        <f>IF(AJ25&lt;&gt;"",AF24*(1+#REF!),"")</f>
        <v>#REF!</v>
      </c>
      <c r="AG25" s="92" t="e">
        <f t="shared" si="6"/>
        <v>#REF!</v>
      </c>
      <c r="AH25" s="83" t="e">
        <f>IF(AJ25&lt;&gt;"",AI25*Rates!$Z$9,"")</f>
        <v>#REF!</v>
      </c>
      <c r="AI25" s="92" t="e">
        <f>IF(AJ25&lt;&gt;"",AI24*(1+#REF!),"")</f>
        <v>#REF!</v>
      </c>
      <c r="AJ25" s="98" t="e">
        <f>IF(AL25&lt;&gt;"",#REF!+AL25-1,"")</f>
        <v>#REF!</v>
      </c>
      <c r="AK25" s="107" t="e">
        <f>IF(AL25&lt;&gt;"",#REF!+AL25-1,"")</f>
        <v>#REF!</v>
      </c>
      <c r="AL25" s="110" t="e">
        <f>IF(AL24&lt;&gt;"",IF(AL24+1&lt;=#REF!,AL24+1,""),"")</f>
        <v>#REF!</v>
      </c>
    </row>
    <row r="26" spans="1:38" ht="17.25" x14ac:dyDescent="0.25">
      <c r="A26" s="84" t="e">
        <f>IF(AJ26&lt;&gt;"",D26+D26*(IF(AL26&gt;4,0.1,LOOKUP(#REF!,Rates!$D$2:$D$4,Rates!$C$2:$C$4))+0.85*(#REF!-(IF(AL26&gt;4,0.1,LOOKUP(#REF!,Rates!$D$2:$D$4,Rates!$C$2:$C$4)))))*LOOKUP(#REF!,Rates!$I$2:$I$7,Rates!$G$2:$G$7)+A25*(1+IF(AL26&gt;4,0.1,LOOKUP(#REF!,Rates!$D$2:$D$4,Rates!$C$2:$C$4))+0.85*(#REF!-IF(AL26&gt;4,0.1,LOOKUP(#REF!,Rates!$D$2:$D$4,Rates!$C$2:$C$4)))),"")</f>
        <v>#REF!</v>
      </c>
      <c r="B26" s="84" t="e">
        <f>IF(AJ26&lt;&gt;"",IF(AL26&gt;=8,C26,C26*LOOKUP(AL26,Rates!$AH$2:$AH$8,Rates!$AG$2:$AG$8)),"")</f>
        <v>#REF!</v>
      </c>
      <c r="C26" s="84" t="e">
        <f>IF(AJ26&lt;&gt;"",D26*(1+IF(AL26&gt;4,0.1,LOOKUP(#REF!,Rates!$D$2:$D$5,Rates!$B$2:$B$5))*LOOKUP(#REF!,Rates!$I$2:$I$7,Rates!$G$2:$G$7))+C25*(1+IF(AL26&gt;4,0.1,LOOKUP(#REF!,Rates!$D$2:$D$5,Rates!$B$2:$B$5))),"")</f>
        <v>#REF!</v>
      </c>
      <c r="D26" s="84" t="e">
        <f>IF(AJ26&lt;&gt;"",AI26-(H26+G26+F26+E26+P26+Q26)+IF(#REF!&gt;0,IF(AND(AL26&lt;=#REF!,AL26&gt;=#REF!),#REF!,0),0),"")</f>
        <v>#REF!</v>
      </c>
      <c r="E26" s="84" t="e">
        <f>IF(AJ26&lt;&gt;"",(LOOKUP(#REF!,Rates!$AE$2:$AE$4,Rates!$AD$2:$AD$4))*(H26+P26+Q26),"")</f>
        <v>#REF!</v>
      </c>
      <c r="F26" s="84" t="e">
        <f>IF(AJ26&lt;&gt;"",(LOOKUP(#REF!,Rates!$AE$2:$AE$4,Rates!$AB$2:$AB$4))*(H26+P26+Q26),"")</f>
        <v>#REF!</v>
      </c>
      <c r="G26" s="84" t="e">
        <f>IF(AJ26&lt;&gt;"",(LOOKUP(#REF!,Rates!$AE$2:$AE$4,Rates!$AC$2:$AC$4))*(H26+P26+Q26),"")</f>
        <v>#REF!</v>
      </c>
      <c r="H26" s="84" t="e">
        <f t="shared" si="0"/>
        <v>#REF!</v>
      </c>
      <c r="I26" s="84" t="e">
        <f>IF(AJ26&lt;&gt;"",LOOKUP(#REF!,Rates!$I$2:$I$7,Rates!$H$2:$H$7)*(J26+P26+Q26+AB26),"")</f>
        <v>#REF!</v>
      </c>
      <c r="J26" s="96" t="e">
        <f t="shared" si="4"/>
        <v>#REF!</v>
      </c>
      <c r="K26" s="96" t="e">
        <f t="shared" si="7"/>
        <v>#REF!</v>
      </c>
      <c r="L26" s="96" t="e">
        <f t="shared" si="8"/>
        <v>#REF!</v>
      </c>
      <c r="M26" s="96" t="e">
        <f>IF(AND(AI26&lt;&gt;"",AL26&lt;=10),(1-#REF!)*MIN(30/1000*(AF26-AF25),0.75*(AI26-AI25)),0)</f>
        <v>#REF!</v>
      </c>
      <c r="N26" s="96">
        <v>0</v>
      </c>
      <c r="O26" s="96" t="e">
        <f>IF(AJ26&lt;&gt;"",0.07*AI26*(1-#REF!),0)</f>
        <v>#REF!</v>
      </c>
      <c r="P26" s="87" t="e">
        <f t="shared" si="2"/>
        <v>#REF!</v>
      </c>
      <c r="Q26" s="87" t="e">
        <f t="shared" si="3"/>
        <v>#REF!</v>
      </c>
      <c r="R26" s="87" t="e">
        <f>IF(AJ26&lt;&gt;"",(AB26+AA26+V26+T26)*#REF!,0)</f>
        <v>#REF!</v>
      </c>
      <c r="S26" s="87" t="e">
        <f>IF(AJ26&lt;&gt;"",T26*(LOOKUP(#REF!,Rates!$O$2:$O$9,Rates!$L$2:$L$9)/100),0)</f>
        <v>#REF!</v>
      </c>
      <c r="T26" s="87" t="e">
        <f>IF(AJ26&lt;&gt;"",IF(#REF!="بله",V26*Rates!$Z$7,0),0)</f>
        <v>#REF!</v>
      </c>
      <c r="U26" s="87" t="e">
        <f>IF(AJ26&lt;&gt;"",IF(#REF!="بله",V26*(LOOKUP(#REF!,Rates!$O$2:$O$9,Rates!$L$2:$L$9)/100),V26*(LOOKUP(#REF!,Rates!$O$2:$O$9,Rates!$L$2:$L$9)/100)),0)</f>
        <v>#REF!</v>
      </c>
      <c r="V26" s="88" t="e">
        <f>IF(AND(AJ26&lt;&gt;"",AJ26&lt;=Rates!$Z$8,#REF!="بله"),AH26*(LOOKUP(AJ26,Rates!$U$2:$U$108,Rates!#REF!)),IF(AND(AK26&lt;&gt;"",AK26&lt;=Rates!$Z$8,#REF!="خیر"),AH26*(LOOKUP(AK26,Rates!$U$2:$U$108,Rates!#REF!)),0)*(1-#REF!))</f>
        <v>#REF!</v>
      </c>
      <c r="W26" s="88" t="e">
        <f>IF(AJ26&lt;&gt;"",X26*LOOKUP(#REF!,Rates!$O$2:$O$9,Rates!$M$2:$M$9)/100,0)</f>
        <v>#REF!</v>
      </c>
      <c r="X26" s="88" t="e">
        <f>IF(AJ26&lt;=Rates!$Z$4,0.0008*AF26*#REF!,0)</f>
        <v>#REF!</v>
      </c>
      <c r="Y26" s="88" t="e">
        <f>IF(AJ26&lt;&gt;"",Z26*(LOOKUP(#REF!,Rates!$O$2:$O$9,Rates!$N$2:$N$9/100)),0)</f>
        <v>#REF!</v>
      </c>
      <c r="Z26" s="87" t="e">
        <f>IF(AND(AJ26&lt;=(Rates!$Z$3),AD26&lt;&gt;""),(1-#REF!)*0.0008*AF26*#REF!,0)</f>
        <v>#REF!</v>
      </c>
      <c r="AA26" s="87" t="e">
        <f>IF(AJ26&lt;=60,(LOOKUP(AJ26,Rates!$U$2:$U$108,Rates!#REF!))*AC26/1000000*(1-#REF!),0)</f>
        <v>#REF!</v>
      </c>
      <c r="AB26" s="84" t="e">
        <f>IF(AJ26&lt;&gt;"",(AF26*LOOKUP(AJ26,Rates!$U$2:$U$108,Rates!$T$2:$T$108))/SQRT(1+IF(AL26&lt;=10,Rates!$Z$5,Rates!$Z$6)),"")</f>
        <v>#REF!</v>
      </c>
      <c r="AC26" s="89" t="e">
        <f>IF(AND(AJ26&lt;&gt;"",AJ26&lt;=Rates!$Z$2),MIN(0.5*AF26,300000000,AC25*(1+#REF!)),"")</f>
        <v>#REF!</v>
      </c>
      <c r="AD26" s="89" t="e">
        <f>IF(AND(AJ26&lt;&gt;"",AJ26&lt;=60),AF26*#REF!,"")</f>
        <v>#REF!</v>
      </c>
      <c r="AE26" s="109" t="e">
        <f>IF(AND(AJ26&lt;&gt;"",AJ26&lt;=70),AF26*(1+#REF!),"")</f>
        <v>#REF!</v>
      </c>
      <c r="AF26" s="109" t="e">
        <f>IF(AJ26&lt;&gt;"",AF25*(1+#REF!),"")</f>
        <v>#REF!</v>
      </c>
      <c r="AG26" s="92" t="e">
        <f>IF(AJ26&lt;&gt;"",AI26+AG25,"")</f>
        <v>#REF!</v>
      </c>
      <c r="AH26" s="83" t="e">
        <f>IF(AJ26&lt;&gt;"",AI26*Rates!$Z$9,"")</f>
        <v>#REF!</v>
      </c>
      <c r="AI26" s="92" t="e">
        <f>IF(AJ26&lt;&gt;"",AI25*(1+#REF!),"")</f>
        <v>#REF!</v>
      </c>
      <c r="AJ26" s="98" t="e">
        <f>IF(AL26&lt;&gt;"",#REF!+AL26-1,"")</f>
        <v>#REF!</v>
      </c>
      <c r="AK26" s="107" t="e">
        <f>IF(AL26&lt;&gt;"",#REF!+AL26-1,"")</f>
        <v>#REF!</v>
      </c>
      <c r="AL26" s="110" t="e">
        <f>IF(AL25&lt;&gt;"",IF(AL25+1&lt;=#REF!,AL25+1,""),"")</f>
        <v>#REF!</v>
      </c>
    </row>
    <row r="27" spans="1:38" ht="17.25" x14ac:dyDescent="0.25">
      <c r="A27" s="84" t="e">
        <f>IF(AJ27&lt;&gt;"",D27+D27*(IF(AL27&gt;4,0.1,LOOKUP(#REF!,Rates!$D$2:$D$4,Rates!$C$2:$C$4))+0.85*(#REF!-(IF(AL27&gt;4,0.1,LOOKUP(#REF!,Rates!$D$2:$D$4,Rates!$C$2:$C$4)))))*LOOKUP(#REF!,Rates!$I$2:$I$7,Rates!$G$2:$G$7)+A26*(1+IF(AL27&gt;4,0.1,LOOKUP(#REF!,Rates!$D$2:$D$4,Rates!$C$2:$C$4))+0.85*(#REF!-IF(AL27&gt;4,0.1,LOOKUP(#REF!,Rates!$D$2:$D$4,Rates!$C$2:$C$4)))),"")</f>
        <v>#REF!</v>
      </c>
      <c r="B27" s="84" t="e">
        <f>IF(AJ27&lt;&gt;"",IF(AL27&gt;=8,C27,C27*LOOKUP(AL27,Rates!$AH$2:$AH$8,Rates!$AG$2:$AG$8)),"")</f>
        <v>#REF!</v>
      </c>
      <c r="C27" s="84" t="e">
        <f>IF(AJ27&lt;&gt;"",D27*(1+IF(AL27&gt;4,0.1,LOOKUP(#REF!,Rates!$D$2:$D$5,Rates!$B$2:$B$5))*LOOKUP(#REF!,Rates!$I$2:$I$7,Rates!$G$2:$G$7))+C26*(1+IF(AL27&gt;4,0.1,LOOKUP(#REF!,Rates!$D$2:$D$5,Rates!$B$2:$B$5))),"")</f>
        <v>#REF!</v>
      </c>
      <c r="D27" s="84" t="e">
        <f>IF(AJ27&lt;&gt;"",AI27-(H27+G27+F27+E27+P27+Q27)+IF(#REF!&gt;0,IF(AND(AL27&lt;=#REF!,AL27&gt;=#REF!),#REF!,0),0),"")</f>
        <v>#REF!</v>
      </c>
      <c r="E27" s="84" t="e">
        <f>IF(AJ27&lt;&gt;"",(LOOKUP(#REF!,Rates!$AE$2:$AE$4,Rates!$AD$2:$AD$4))*(H27+P27+Q27),"")</f>
        <v>#REF!</v>
      </c>
      <c r="F27" s="84" t="e">
        <f>IF(AJ27&lt;&gt;"",(LOOKUP(#REF!,Rates!$AE$2:$AE$4,Rates!$AB$2:$AB$4))*(H27+P27+Q27),"")</f>
        <v>#REF!</v>
      </c>
      <c r="G27" s="84" t="e">
        <f>IF(AJ27&lt;&gt;"",(LOOKUP(#REF!,Rates!$AE$2:$AE$4,Rates!$AC$2:$AC$4))*(H27+P27+Q27),"")</f>
        <v>#REF!</v>
      </c>
      <c r="H27" s="84" t="e">
        <f t="shared" si="0"/>
        <v>#REF!</v>
      </c>
      <c r="I27" s="84" t="e">
        <f>IF(AJ27&lt;&gt;"",LOOKUP(#REF!,Rates!$I$2:$I$7,Rates!$H$2:$H$7)*(J27+P27+Q27+AB27),"")</f>
        <v>#REF!</v>
      </c>
      <c r="J27" s="96" t="e">
        <f t="shared" si="4"/>
        <v>#REF!</v>
      </c>
      <c r="K27" s="96" t="e">
        <f t="shared" si="7"/>
        <v>#REF!</v>
      </c>
      <c r="L27" s="96" t="e">
        <f t="shared" si="8"/>
        <v>#REF!</v>
      </c>
      <c r="M27" s="96" t="e">
        <f>IF(AND(AI27&lt;&gt;"",AL27&lt;=10),(1-#REF!)*MIN(30/1000*(AF27-AF26),0.75*(AI27-AI26)),0)</f>
        <v>#REF!</v>
      </c>
      <c r="N27" s="96">
        <v>0</v>
      </c>
      <c r="O27" s="96" t="e">
        <f>IF(AJ27&lt;&gt;"",0.07*AI27*(1-#REF!),0)</f>
        <v>#REF!</v>
      </c>
      <c r="P27" s="87" t="e">
        <f t="shared" si="2"/>
        <v>#REF!</v>
      </c>
      <c r="Q27" s="87" t="e">
        <f t="shared" si="3"/>
        <v>#REF!</v>
      </c>
      <c r="R27" s="87" t="e">
        <f>IF(AJ27&lt;&gt;"",(AB27+AA27+V27+T27)*#REF!,0)</f>
        <v>#REF!</v>
      </c>
      <c r="S27" s="87" t="e">
        <f>IF(AJ27&lt;&gt;"",T27*(LOOKUP(#REF!,Rates!$O$2:$O$9,Rates!$L$2:$L$9)/100),0)</f>
        <v>#REF!</v>
      </c>
      <c r="T27" s="87" t="e">
        <f>IF(AJ27&lt;&gt;"",IF(#REF!="بله",V27*Rates!$Z$7,0),0)</f>
        <v>#REF!</v>
      </c>
      <c r="U27" s="87" t="e">
        <f>IF(AJ27&lt;&gt;"",IF(#REF!="بله",V27*(LOOKUP(#REF!,Rates!$O$2:$O$9,Rates!$L$2:$L$9)/100),V27*(LOOKUP(#REF!,Rates!$O$2:$O$9,Rates!$L$2:$L$9)/100)),0)</f>
        <v>#REF!</v>
      </c>
      <c r="V27" s="88" t="e">
        <f>IF(AND(AJ27&lt;&gt;"",AJ27&lt;=Rates!$Z$8,#REF!="بله"),AH27*(LOOKUP(AJ27,Rates!$U$2:$U$108,Rates!#REF!)),IF(AND(AK27&lt;&gt;"",AK27&lt;=Rates!$Z$8,#REF!="خیر"),AH27*(LOOKUP(AK27,Rates!$U$2:$U$108,Rates!#REF!)),0)*(1-#REF!))</f>
        <v>#REF!</v>
      </c>
      <c r="W27" s="88" t="e">
        <f>IF(AJ27&lt;&gt;"",X27*LOOKUP(#REF!,Rates!$O$2:$O$9,Rates!$M$2:$M$9)/100,0)</f>
        <v>#REF!</v>
      </c>
      <c r="X27" s="88" t="e">
        <f>IF(AJ27&lt;=Rates!$Z$4,0.0008*AF27*#REF!,0)</f>
        <v>#REF!</v>
      </c>
      <c r="Y27" s="88" t="e">
        <f>IF(AJ27&lt;&gt;"",Z27*(LOOKUP(#REF!,Rates!$O$2:$O$9,Rates!$N$2:$N$9/100)),0)</f>
        <v>#REF!</v>
      </c>
      <c r="Z27" s="87" t="e">
        <f>IF(AND(AJ27&lt;=(Rates!$Z$3),AD27&lt;&gt;""),(1-#REF!)*0.0008*AF27*#REF!,0)</f>
        <v>#REF!</v>
      </c>
      <c r="AA27" s="87" t="e">
        <f>IF(AJ27&lt;=60,(LOOKUP(AJ27,Rates!$U$2:$U$108,Rates!#REF!))*AC27/1000000*(1-#REF!),0)</f>
        <v>#REF!</v>
      </c>
      <c r="AB27" s="84" t="e">
        <f>IF(AJ27&lt;&gt;"",(AF27*LOOKUP(AJ27,Rates!$U$2:$U$108,Rates!$T$2:$T$108))/SQRT(1+IF(AL27&lt;=10,Rates!$Z$5,Rates!$Z$6)),"")</f>
        <v>#REF!</v>
      </c>
      <c r="AC27" s="89" t="e">
        <f>IF(AND(AJ27&lt;&gt;"",AJ27&lt;=Rates!$Z$2),MIN(0.5*AF27,300000000,AC26*(1+#REF!)),"")</f>
        <v>#REF!</v>
      </c>
      <c r="AD27" s="89" t="e">
        <f>IF(AND(AJ27&lt;&gt;"",AJ27&lt;=60),AF27*#REF!,"")</f>
        <v>#REF!</v>
      </c>
      <c r="AE27" s="109" t="e">
        <f>IF(AND(AJ27&lt;&gt;"",AJ27&lt;=70),AF27*(1+#REF!),"")</f>
        <v>#REF!</v>
      </c>
      <c r="AF27" s="109" t="e">
        <f>IF(AJ27&lt;&gt;"",AF26*(1+#REF!),"")</f>
        <v>#REF!</v>
      </c>
      <c r="AG27" s="92" t="e">
        <f t="shared" si="6"/>
        <v>#REF!</v>
      </c>
      <c r="AH27" s="83" t="e">
        <f>IF(AJ27&lt;&gt;"",AI27*Rates!$Z$9,"")</f>
        <v>#REF!</v>
      </c>
      <c r="AI27" s="92" t="e">
        <f>IF(AJ27&lt;&gt;"",AI26*(1+#REF!),"")</f>
        <v>#REF!</v>
      </c>
      <c r="AJ27" s="98" t="e">
        <f>IF(AL27&lt;&gt;"",#REF!+AL27-1,"")</f>
        <v>#REF!</v>
      </c>
      <c r="AK27" s="107" t="e">
        <f>IF(AL27&lt;&gt;"",#REF!+AL27-1,"")</f>
        <v>#REF!</v>
      </c>
      <c r="AL27" s="110" t="e">
        <f>IF(AL26&lt;&gt;"",IF(AL26+1&lt;=#REF!,AL26+1,""),"")</f>
        <v>#REF!</v>
      </c>
    </row>
    <row r="28" spans="1:38" ht="17.25" x14ac:dyDescent="0.25">
      <c r="A28" s="84" t="e">
        <f>IF(AJ28&lt;&gt;"",D28+D28*(IF(AL28&gt;4,0.1,LOOKUP(#REF!,Rates!$D$2:$D$4,Rates!$C$2:$C$4))+0.85*(#REF!-(IF(AL28&gt;4,0.1,LOOKUP(#REF!,Rates!$D$2:$D$4,Rates!$C$2:$C$4)))))*LOOKUP(#REF!,Rates!$I$2:$I$7,Rates!$G$2:$G$7)+A27*(1+IF(AL28&gt;4,0.1,LOOKUP(#REF!,Rates!$D$2:$D$4,Rates!$C$2:$C$4))+0.85*(#REF!-IF(AL28&gt;4,0.1,LOOKUP(#REF!,Rates!$D$2:$D$4,Rates!$C$2:$C$4)))),"")</f>
        <v>#REF!</v>
      </c>
      <c r="B28" s="84" t="e">
        <f>IF(AJ28&lt;&gt;"",IF(AL28&gt;=8,C28,C28*LOOKUP(AL28,Rates!$AH$2:$AH$8,Rates!$AG$2:$AG$8)),"")</f>
        <v>#REF!</v>
      </c>
      <c r="C28" s="84" t="e">
        <f>IF(AJ28&lt;&gt;"",D28*(1+IF(AL28&gt;4,0.1,LOOKUP(#REF!,Rates!$D$2:$D$5,Rates!$B$2:$B$5))*LOOKUP(#REF!,Rates!$I$2:$I$7,Rates!$G$2:$G$7))+C27*(1+IF(AL28&gt;4,0.1,LOOKUP(#REF!,Rates!$D$2:$D$5,Rates!$B$2:$B$5))),"")</f>
        <v>#REF!</v>
      </c>
      <c r="D28" s="84" t="e">
        <f>IF(AJ28&lt;&gt;"",AI28-(H28+G28+F28+E28+P28+Q28)+IF(#REF!&gt;0,IF(AND(AL28&lt;=#REF!,AL28&gt;=#REF!),#REF!,0),0),"")</f>
        <v>#REF!</v>
      </c>
      <c r="E28" s="84" t="e">
        <f>IF(AJ28&lt;&gt;"",(LOOKUP(#REF!,Rates!$AE$2:$AE$4,Rates!$AD$2:$AD$4))*(H28+P28+Q28),"")</f>
        <v>#REF!</v>
      </c>
      <c r="F28" s="84" t="e">
        <f>IF(AJ28&lt;&gt;"",(LOOKUP(#REF!,Rates!$AE$2:$AE$4,Rates!$AB$2:$AB$4))*(H28+P28+Q28),"")</f>
        <v>#REF!</v>
      </c>
      <c r="G28" s="84" t="e">
        <f>IF(AJ28&lt;&gt;"",(LOOKUP(#REF!,Rates!$AE$2:$AE$4,Rates!$AC$2:$AC$4))*(H28+P28+Q28),"")</f>
        <v>#REF!</v>
      </c>
      <c r="H28" s="84" t="e">
        <f t="shared" si="0"/>
        <v>#REF!</v>
      </c>
      <c r="I28" s="84" t="e">
        <f>IF(AJ28&lt;&gt;"",LOOKUP(#REF!,Rates!$I$2:$I$7,Rates!$H$2:$H$7)*(J28+P28+Q28+AB28),"")</f>
        <v>#REF!</v>
      </c>
      <c r="J28" s="96" t="e">
        <f t="shared" si="4"/>
        <v>#REF!</v>
      </c>
      <c r="K28" s="96" t="e">
        <f t="shared" si="7"/>
        <v>#REF!</v>
      </c>
      <c r="L28" s="96" t="e">
        <f t="shared" si="8"/>
        <v>#REF!</v>
      </c>
      <c r="M28" s="96" t="e">
        <f>IF(AND(AI28&lt;&gt;"",AL28&lt;=10),(1-#REF!)*MIN(30/1000*(AF28-AF27),0.75*(AI28-AI27)),0)</f>
        <v>#REF!</v>
      </c>
      <c r="N28" s="96">
        <v>0</v>
      </c>
      <c r="O28" s="96" t="e">
        <f>IF(AJ28&lt;&gt;"",0.07*AI28*(1-#REF!),0)</f>
        <v>#REF!</v>
      </c>
      <c r="P28" s="87" t="e">
        <f t="shared" si="2"/>
        <v>#REF!</v>
      </c>
      <c r="Q28" s="87" t="e">
        <f t="shared" si="3"/>
        <v>#REF!</v>
      </c>
      <c r="R28" s="87" t="e">
        <f>IF(AJ28&lt;&gt;"",(AB28+AA28+V28+T28)*#REF!,0)</f>
        <v>#REF!</v>
      </c>
      <c r="S28" s="87" t="e">
        <f>IF(AJ28&lt;&gt;"",T28*(LOOKUP(#REF!,Rates!$O$2:$O$9,Rates!$L$2:$L$9)/100),0)</f>
        <v>#REF!</v>
      </c>
      <c r="T28" s="87" t="e">
        <f>IF(AJ28&lt;&gt;"",IF(#REF!="بله",V28*Rates!$Z$7,0),0)</f>
        <v>#REF!</v>
      </c>
      <c r="U28" s="87" t="e">
        <f>IF(AJ28&lt;&gt;"",IF(#REF!="بله",V28*(LOOKUP(#REF!,Rates!$O$2:$O$9,Rates!$L$2:$L$9)/100),V28*(LOOKUP(#REF!,Rates!$O$2:$O$9,Rates!$L$2:$L$9)/100)),0)</f>
        <v>#REF!</v>
      </c>
      <c r="V28" s="88" t="e">
        <f>IF(AND(AJ28&lt;&gt;"",AJ28&lt;=Rates!$Z$8,#REF!="بله"),AH28*(LOOKUP(AJ28,Rates!$U$2:$U$108,Rates!#REF!)),IF(AND(AK28&lt;&gt;"",AK28&lt;=Rates!$Z$8,#REF!="خیر"),AH28*(LOOKUP(AK28,Rates!$U$2:$U$108,Rates!#REF!)),0)*(1-#REF!))</f>
        <v>#REF!</v>
      </c>
      <c r="W28" s="88" t="e">
        <f>IF(AJ28&lt;&gt;"",X28*LOOKUP(#REF!,Rates!$O$2:$O$9,Rates!$M$2:$M$9)/100,0)</f>
        <v>#REF!</v>
      </c>
      <c r="X28" s="88" t="e">
        <f>IF(AJ28&lt;=Rates!$Z$4,0.0008*AF28*#REF!,0)</f>
        <v>#REF!</v>
      </c>
      <c r="Y28" s="88" t="e">
        <f>IF(AJ28&lt;&gt;"",Z28*(LOOKUP(#REF!,Rates!$O$2:$O$9,Rates!$N$2:$N$9/100)),0)</f>
        <v>#REF!</v>
      </c>
      <c r="Z28" s="87" t="e">
        <f>IF(AND(AJ28&lt;=(Rates!$Z$3),AD28&lt;&gt;""),(1-#REF!)*0.0008*AF28*#REF!,0)</f>
        <v>#REF!</v>
      </c>
      <c r="AA28" s="87" t="e">
        <f>IF(AJ28&lt;=60,(LOOKUP(AJ28,Rates!$U$2:$U$108,Rates!#REF!))*AC28/1000000*(1-#REF!),0)</f>
        <v>#REF!</v>
      </c>
      <c r="AB28" s="84" t="e">
        <f>IF(AJ28&lt;&gt;"",(AF28*LOOKUP(AJ28,Rates!$U$2:$U$108,Rates!$T$2:$T$108))/SQRT(1+IF(AL28&lt;=10,Rates!$Z$5,Rates!$Z$6)),"")</f>
        <v>#REF!</v>
      </c>
      <c r="AC28" s="89" t="e">
        <f>IF(AND(AJ28&lt;&gt;"",AJ28&lt;=Rates!$Z$2),MIN(0.5*AF28,300000000,AC27*(1+#REF!)),"")</f>
        <v>#REF!</v>
      </c>
      <c r="AD28" s="89" t="e">
        <f>IF(AND(AJ28&lt;&gt;"",AJ28&lt;=60),AF28*#REF!,"")</f>
        <v>#REF!</v>
      </c>
      <c r="AE28" s="109" t="e">
        <f>IF(AND(AJ28&lt;&gt;"",AJ28&lt;=70),AF28*(1+#REF!),"")</f>
        <v>#REF!</v>
      </c>
      <c r="AF28" s="109" t="e">
        <f>IF(AJ28&lt;&gt;"",AF27*(1+#REF!),"")</f>
        <v>#REF!</v>
      </c>
      <c r="AG28" s="92" t="e">
        <f t="shared" si="6"/>
        <v>#REF!</v>
      </c>
      <c r="AH28" s="83" t="e">
        <f>IF(AJ28&lt;&gt;"",AI28*Rates!$Z$9,"")</f>
        <v>#REF!</v>
      </c>
      <c r="AI28" s="92" t="e">
        <f>IF(AJ28&lt;&gt;"",AI27*(1+#REF!),"")</f>
        <v>#REF!</v>
      </c>
      <c r="AJ28" s="98" t="e">
        <f>IF(AL28&lt;&gt;"",#REF!+AL28-1,"")</f>
        <v>#REF!</v>
      </c>
      <c r="AK28" s="107" t="e">
        <f>IF(AL28&lt;&gt;"",#REF!+AL28-1,"")</f>
        <v>#REF!</v>
      </c>
      <c r="AL28" s="110" t="e">
        <f>IF(AL27&lt;&gt;"",IF(AL27+1&lt;=#REF!,AL27+1,""),"")</f>
        <v>#REF!</v>
      </c>
    </row>
    <row r="29" spans="1:38" ht="17.25" x14ac:dyDescent="0.25">
      <c r="A29" s="84" t="e">
        <f>IF(AJ29&lt;&gt;"",D29+D29*(IF(AL29&gt;4,0.1,LOOKUP(#REF!,Rates!$D$2:$D$4,Rates!$C$2:$C$4))+0.85*(#REF!-(IF(AL29&gt;4,0.1,LOOKUP(#REF!,Rates!$D$2:$D$4,Rates!$C$2:$C$4)))))*LOOKUP(#REF!,Rates!$I$2:$I$7,Rates!$G$2:$G$7)+A28*(1+IF(AL29&gt;4,0.1,LOOKUP(#REF!,Rates!$D$2:$D$4,Rates!$C$2:$C$4))+0.85*(#REF!-IF(AL29&gt;4,0.1,LOOKUP(#REF!,Rates!$D$2:$D$4,Rates!$C$2:$C$4)))),"")</f>
        <v>#REF!</v>
      </c>
      <c r="B29" s="84" t="e">
        <f>IF(AJ29&lt;&gt;"",IF(AL29&gt;=8,C29,C29*LOOKUP(AL29,Rates!$AH$2:$AH$8,Rates!$AG$2:$AG$8)),"")</f>
        <v>#REF!</v>
      </c>
      <c r="C29" s="84" t="e">
        <f>IF(AJ29&lt;&gt;"",D29*(1+IF(AL29&gt;4,0.1,LOOKUP(#REF!,Rates!$D$2:$D$5,Rates!$B$2:$B$5))*LOOKUP(#REF!,Rates!$I$2:$I$7,Rates!$G$2:$G$7))+C28*(1+IF(AL29&gt;4,0.1,LOOKUP(#REF!,Rates!$D$2:$D$5,Rates!$B$2:$B$5))),"")</f>
        <v>#REF!</v>
      </c>
      <c r="D29" s="84" t="e">
        <f>IF(AJ29&lt;&gt;"",AI29-(H29+G29+F29+E29+P29+Q29)+IF(#REF!&gt;0,IF(AND(AL29&lt;=#REF!,AL29&gt;=#REF!),#REF!,0),0),"")</f>
        <v>#REF!</v>
      </c>
      <c r="E29" s="84" t="e">
        <f>IF(AJ29&lt;&gt;"",(LOOKUP(#REF!,Rates!$AE$2:$AE$4,Rates!$AD$2:$AD$4))*(H29+P29+Q29),"")</f>
        <v>#REF!</v>
      </c>
      <c r="F29" s="84" t="e">
        <f>IF(AJ29&lt;&gt;"",(LOOKUP(#REF!,Rates!$AE$2:$AE$4,Rates!$AB$2:$AB$4))*(H29+P29+Q29),"")</f>
        <v>#REF!</v>
      </c>
      <c r="G29" s="84" t="e">
        <f>IF(AJ29&lt;&gt;"",(LOOKUP(#REF!,Rates!$AE$2:$AE$4,Rates!$AC$2:$AC$4))*(H29+P29+Q29),"")</f>
        <v>#REF!</v>
      </c>
      <c r="H29" s="84" t="e">
        <f t="shared" si="0"/>
        <v>#REF!</v>
      </c>
      <c r="I29" s="84" t="e">
        <f>IF(AJ29&lt;&gt;"",LOOKUP(#REF!,Rates!$I$2:$I$7,Rates!$H$2:$H$7)*(J29+P29+Q29+AB29),"")</f>
        <v>#REF!</v>
      </c>
      <c r="J29" s="96" t="e">
        <f t="shared" si="4"/>
        <v>#REF!</v>
      </c>
      <c r="K29" s="96" t="e">
        <f t="shared" si="7"/>
        <v>#REF!</v>
      </c>
      <c r="L29" s="96" t="e">
        <f t="shared" si="8"/>
        <v>#REF!</v>
      </c>
      <c r="M29" s="96" t="e">
        <f>IF(AND(AI29&lt;&gt;"",AL29&lt;=10),(1-#REF!)*MIN(30/1000*(AF29-AF28),0.75*(AI29-AI28)),0)</f>
        <v>#REF!</v>
      </c>
      <c r="N29" s="96">
        <v>0</v>
      </c>
      <c r="O29" s="96" t="e">
        <f>IF(AJ29&lt;&gt;"",0.07*AI29*(1-#REF!),0)</f>
        <v>#REF!</v>
      </c>
      <c r="P29" s="87" t="e">
        <f t="shared" si="2"/>
        <v>#REF!</v>
      </c>
      <c r="Q29" s="87" t="e">
        <f t="shared" si="3"/>
        <v>#REF!</v>
      </c>
      <c r="R29" s="87" t="e">
        <f>IF(AJ29&lt;&gt;"",(AB29+AA29+V29+T29)*#REF!,0)</f>
        <v>#REF!</v>
      </c>
      <c r="S29" s="87" t="e">
        <f>IF(AJ29&lt;&gt;"",T29*(LOOKUP(#REF!,Rates!$O$2:$O$9,Rates!$L$2:$L$9)/100),0)</f>
        <v>#REF!</v>
      </c>
      <c r="T29" s="87" t="e">
        <f>IF(AJ29&lt;&gt;"",IF(#REF!="بله",V29*Rates!$Z$7,0),0)</f>
        <v>#REF!</v>
      </c>
      <c r="U29" s="87" t="e">
        <f>IF(AJ29&lt;&gt;"",IF(#REF!="بله",V29*(LOOKUP(#REF!,Rates!$O$2:$O$9,Rates!$L$2:$L$9)/100),V29*(LOOKUP(#REF!,Rates!$O$2:$O$9,Rates!$L$2:$L$9)/100)),0)</f>
        <v>#REF!</v>
      </c>
      <c r="V29" s="88" t="e">
        <f>IF(AND(AJ29&lt;&gt;"",AJ29&lt;=Rates!$Z$8,#REF!="بله"),AH29*(LOOKUP(AJ29,Rates!$U$2:$U$108,Rates!#REF!)),IF(AND(AK29&lt;&gt;"",AK29&lt;=Rates!$Z$8,#REF!="خیر"),AH29*(LOOKUP(AK29,Rates!$U$2:$U$108,Rates!#REF!)),0)*(1-#REF!))</f>
        <v>#REF!</v>
      </c>
      <c r="W29" s="88" t="e">
        <f>IF(AJ29&lt;&gt;"",X29*LOOKUP(#REF!,Rates!$O$2:$O$9,Rates!$M$2:$M$9)/100,0)</f>
        <v>#REF!</v>
      </c>
      <c r="X29" s="88" t="e">
        <f>IF(AJ29&lt;=Rates!$Z$4,0.0008*AF29*#REF!,0)</f>
        <v>#REF!</v>
      </c>
      <c r="Y29" s="88" t="e">
        <f>IF(AJ29&lt;&gt;"",Z29*(LOOKUP(#REF!,Rates!$O$2:$O$9,Rates!$N$2:$N$9/100)),0)</f>
        <v>#REF!</v>
      </c>
      <c r="Z29" s="87" t="e">
        <f>IF(AND(AJ29&lt;=(Rates!$Z$3),AD29&lt;&gt;""),(1-#REF!)*0.0008*AF29*#REF!,0)</f>
        <v>#REF!</v>
      </c>
      <c r="AA29" s="87" t="e">
        <f>IF(AJ29&lt;=60,(LOOKUP(AJ29,Rates!$U$2:$U$108,Rates!#REF!))*AC29/1000000*(1-#REF!),0)</f>
        <v>#REF!</v>
      </c>
      <c r="AB29" s="84" t="e">
        <f>IF(AJ29&lt;&gt;"",(AF29*LOOKUP(AJ29,Rates!$U$2:$U$108,Rates!$T$2:$T$108))/SQRT(1+IF(AL29&lt;=10,Rates!$Z$5,Rates!$Z$6)),"")</f>
        <v>#REF!</v>
      </c>
      <c r="AC29" s="89" t="e">
        <f>IF(AND(AJ29&lt;&gt;"",AJ29&lt;=Rates!$Z$2),MIN(0.5*AF29,300000000,AC28*(1+#REF!)),"")</f>
        <v>#REF!</v>
      </c>
      <c r="AD29" s="89" t="e">
        <f>IF(AND(AJ29&lt;&gt;"",AJ29&lt;=60),AF29*#REF!,"")</f>
        <v>#REF!</v>
      </c>
      <c r="AE29" s="109" t="e">
        <f>IF(AND(AJ29&lt;&gt;"",AJ29&lt;=70),AF29*(1+#REF!),"")</f>
        <v>#REF!</v>
      </c>
      <c r="AF29" s="109" t="e">
        <f>IF(AJ29&lt;&gt;"",AF28*(1+#REF!),"")</f>
        <v>#REF!</v>
      </c>
      <c r="AG29" s="92" t="e">
        <f t="shared" si="6"/>
        <v>#REF!</v>
      </c>
      <c r="AH29" s="83" t="e">
        <f>IF(AJ29&lt;&gt;"",AI29*Rates!$Z$9,"")</f>
        <v>#REF!</v>
      </c>
      <c r="AI29" s="92" t="e">
        <f>IF(AJ29&lt;&gt;"",AI28*(1+#REF!),"")</f>
        <v>#REF!</v>
      </c>
      <c r="AJ29" s="98" t="e">
        <f>IF(AL29&lt;&gt;"",#REF!+AL29-1,"")</f>
        <v>#REF!</v>
      </c>
      <c r="AK29" s="107" t="e">
        <f>IF(AL29&lt;&gt;"",#REF!+AL29-1,"")</f>
        <v>#REF!</v>
      </c>
      <c r="AL29" s="110" t="e">
        <f>IF(AL28&lt;&gt;"",IF(AL28+1&lt;=#REF!,AL28+1,""),"")</f>
        <v>#REF!</v>
      </c>
    </row>
    <row r="30" spans="1:38" ht="17.25" x14ac:dyDescent="0.25">
      <c r="A30" s="84" t="e">
        <f>IF(AJ30&lt;&gt;"",D30+D30*(IF(AL30&gt;4,0.1,LOOKUP(#REF!,Rates!$D$2:$D$4,Rates!$C$2:$C$4))+0.85*(#REF!-(IF(AL30&gt;4,0.1,LOOKUP(#REF!,Rates!$D$2:$D$4,Rates!$C$2:$C$4)))))*LOOKUP(#REF!,Rates!$I$2:$I$7,Rates!$G$2:$G$7)+A29*(1+IF(AL30&gt;4,0.1,LOOKUP(#REF!,Rates!$D$2:$D$4,Rates!$C$2:$C$4))+0.85*(#REF!-IF(AL30&gt;4,0.1,LOOKUP(#REF!,Rates!$D$2:$D$4,Rates!$C$2:$C$4)))),"")</f>
        <v>#REF!</v>
      </c>
      <c r="B30" s="84" t="e">
        <f>IF(AJ30&lt;&gt;"",IF(AL30&gt;=8,C30,C30*LOOKUP(AL30,Rates!$AH$2:$AH$8,Rates!$AG$2:$AG$8)),"")</f>
        <v>#REF!</v>
      </c>
      <c r="C30" s="84" t="e">
        <f>IF(AJ30&lt;&gt;"",D30*(1+IF(AL30&gt;4,0.1,LOOKUP(#REF!,Rates!$D$2:$D$5,Rates!$B$2:$B$5))*LOOKUP(#REF!,Rates!$I$2:$I$7,Rates!$G$2:$G$7))+C29*(1+IF(AL30&gt;4,0.1,LOOKUP(#REF!,Rates!$D$2:$D$5,Rates!$B$2:$B$5))),"")</f>
        <v>#REF!</v>
      </c>
      <c r="D30" s="84" t="e">
        <f>IF(AJ30&lt;&gt;"",AI30-(H30+G30+F30+E30+P30+Q30)+IF(#REF!&gt;0,IF(AND(AL30&lt;=#REF!,AL30&gt;=#REF!),#REF!,0),0),"")</f>
        <v>#REF!</v>
      </c>
      <c r="E30" s="84" t="e">
        <f>IF(AJ30&lt;&gt;"",(LOOKUP(#REF!,Rates!$AE$2:$AE$4,Rates!$AD$2:$AD$4))*(H30+P30+Q30),"")</f>
        <v>#REF!</v>
      </c>
      <c r="F30" s="84" t="e">
        <f>IF(AJ30&lt;&gt;"",(LOOKUP(#REF!,Rates!$AE$2:$AE$4,Rates!$AB$2:$AB$4))*(H30+P30+Q30),"")</f>
        <v>#REF!</v>
      </c>
      <c r="G30" s="84" t="e">
        <f>IF(AJ30&lt;&gt;"",(LOOKUP(#REF!,Rates!$AE$2:$AE$4,Rates!$AC$2:$AC$4))*(H30+P30+Q30),"")</f>
        <v>#REF!</v>
      </c>
      <c r="H30" s="84" t="e">
        <f t="shared" si="0"/>
        <v>#REF!</v>
      </c>
      <c r="I30" s="84" t="e">
        <f>IF(AJ30&lt;&gt;"",LOOKUP(#REF!,Rates!$I$2:$I$7,Rates!$H$2:$H$7)*(J30+P30+Q30+AB30),"")</f>
        <v>#REF!</v>
      </c>
      <c r="J30" s="96" t="e">
        <f t="shared" si="4"/>
        <v>#REF!</v>
      </c>
      <c r="K30" s="96" t="e">
        <f t="shared" si="7"/>
        <v>#REF!</v>
      </c>
      <c r="L30" s="96" t="e">
        <f t="shared" si="8"/>
        <v>#REF!</v>
      </c>
      <c r="M30" s="96" t="e">
        <f>IF(AND(AI30&lt;&gt;"",AL30&lt;=10),(1-#REF!)*MIN(30/1000*(AF30-AF29),0.75*(AI30-AI29)),0)</f>
        <v>#REF!</v>
      </c>
      <c r="N30" s="96">
        <v>0</v>
      </c>
      <c r="O30" s="96" t="e">
        <f>IF(AJ30&lt;&gt;"",0.07*AI30*(1-#REF!),0)</f>
        <v>#REF!</v>
      </c>
      <c r="P30" s="87" t="e">
        <f t="shared" si="2"/>
        <v>#REF!</v>
      </c>
      <c r="Q30" s="87" t="e">
        <f t="shared" si="3"/>
        <v>#REF!</v>
      </c>
      <c r="R30" s="87" t="e">
        <f>IF(AJ30&lt;&gt;"",(AB30+AA30+V30+T30)*#REF!,0)</f>
        <v>#REF!</v>
      </c>
      <c r="S30" s="87" t="e">
        <f>IF(AJ30&lt;&gt;"",T30*(LOOKUP(#REF!,Rates!$O$2:$O$9,Rates!$L$2:$L$9)/100),0)</f>
        <v>#REF!</v>
      </c>
      <c r="T30" s="87" t="e">
        <f>IF(AJ30&lt;&gt;"",IF(#REF!="بله",V30*Rates!$Z$7,0),0)</f>
        <v>#REF!</v>
      </c>
      <c r="U30" s="87" t="e">
        <f>IF(AJ30&lt;&gt;"",IF(#REF!="بله",V30*(LOOKUP(#REF!,Rates!$O$2:$O$9,Rates!$L$2:$L$9)/100),V30*(LOOKUP(#REF!,Rates!$O$2:$O$9,Rates!$L$2:$L$9)/100)),0)</f>
        <v>#REF!</v>
      </c>
      <c r="V30" s="88" t="e">
        <f>IF(AND(AJ30&lt;&gt;"",AJ30&lt;=Rates!$Z$8,#REF!="بله"),AH30*(LOOKUP(AJ30,Rates!$U$2:$U$108,Rates!#REF!)),IF(AND(AK30&lt;&gt;"",AK30&lt;=Rates!$Z$8,#REF!="خیر"),AH30*(LOOKUP(AK30,Rates!$U$2:$U$108,Rates!#REF!)),0)*(1-#REF!))</f>
        <v>#REF!</v>
      </c>
      <c r="W30" s="88" t="e">
        <f>IF(AJ30&lt;&gt;"",X30*LOOKUP(#REF!,Rates!$O$2:$O$9,Rates!$M$2:$M$9)/100,0)</f>
        <v>#REF!</v>
      </c>
      <c r="X30" s="88" t="e">
        <f>IF(AJ30&lt;=Rates!$Z$4,0.0008*AF30*#REF!,0)</f>
        <v>#REF!</v>
      </c>
      <c r="Y30" s="88" t="e">
        <f>IF(AJ30&lt;&gt;"",Z30*(LOOKUP(#REF!,Rates!$O$2:$O$9,Rates!$N$2:$N$9/100)),0)</f>
        <v>#REF!</v>
      </c>
      <c r="Z30" s="87" t="e">
        <f>IF(AND(AJ30&lt;=(Rates!$Z$3),AD30&lt;&gt;""),(1-#REF!)*0.0008*AF30*#REF!,0)</f>
        <v>#REF!</v>
      </c>
      <c r="AA30" s="87" t="e">
        <f>IF(AJ30&lt;=60,(LOOKUP(AJ30,Rates!$U$2:$U$108,Rates!#REF!))*AC30/1000000*(1-#REF!),0)</f>
        <v>#REF!</v>
      </c>
      <c r="AB30" s="84" t="e">
        <f>IF(AJ30&lt;&gt;"",(AF30*LOOKUP(AJ30,Rates!$U$2:$U$108,Rates!$T$2:$T$108))/SQRT(1+IF(AL30&lt;=10,Rates!$Z$5,Rates!$Z$6)),"")</f>
        <v>#REF!</v>
      </c>
      <c r="AC30" s="89" t="e">
        <f>IF(AND(AJ30&lt;&gt;"",AJ30&lt;=Rates!$Z$2),MIN(0.5*AF30,300000000,AC29*(1+#REF!)),"")</f>
        <v>#REF!</v>
      </c>
      <c r="AD30" s="89" t="e">
        <f>IF(AND(AJ30&lt;&gt;"",AJ30&lt;=60),AF30*#REF!,"")</f>
        <v>#REF!</v>
      </c>
      <c r="AE30" s="109" t="e">
        <f>IF(AND(AJ30&lt;&gt;"",AJ30&lt;=70),AF30*(1+#REF!),"")</f>
        <v>#REF!</v>
      </c>
      <c r="AF30" s="109" t="e">
        <f>IF(AJ30&lt;&gt;"",AF29*(1+#REF!),"")</f>
        <v>#REF!</v>
      </c>
      <c r="AG30" s="92" t="e">
        <f t="shared" si="6"/>
        <v>#REF!</v>
      </c>
      <c r="AH30" s="83" t="e">
        <f>IF(AJ30&lt;&gt;"",AI30*Rates!$Z$9,"")</f>
        <v>#REF!</v>
      </c>
      <c r="AI30" s="92" t="e">
        <f>IF(AJ30&lt;&gt;"",AI29*(1+#REF!),"")</f>
        <v>#REF!</v>
      </c>
      <c r="AJ30" s="98" t="e">
        <f>IF(AL30&lt;&gt;"",#REF!+AL30-1,"")</f>
        <v>#REF!</v>
      </c>
      <c r="AK30" s="107" t="e">
        <f>IF(AL30&lt;&gt;"",#REF!+AL30-1,"")</f>
        <v>#REF!</v>
      </c>
      <c r="AL30" s="110" t="e">
        <f>IF(AL29&lt;&gt;"",IF(AL29+1&lt;=#REF!,AL29+1,""),"")</f>
        <v>#REF!</v>
      </c>
    </row>
    <row r="31" spans="1:38" ht="17.25" x14ac:dyDescent="0.25">
      <c r="A31" s="84" t="e">
        <f>IF(AJ31&lt;&gt;"",D31+D31*(IF(AL31&gt;4,0.1,LOOKUP(#REF!,Rates!$D$2:$D$4,Rates!$C$2:$C$4))+0.85*(#REF!-(IF(AL31&gt;4,0.1,LOOKUP(#REF!,Rates!$D$2:$D$4,Rates!$C$2:$C$4)))))*LOOKUP(#REF!,Rates!$I$2:$I$7,Rates!$G$2:$G$7)+A30*(1+IF(AL31&gt;4,0.1,LOOKUP(#REF!,Rates!$D$2:$D$4,Rates!$C$2:$C$4))+0.85*(#REF!-IF(AL31&gt;4,0.1,LOOKUP(#REF!,Rates!$D$2:$D$4,Rates!$C$2:$C$4)))),"")</f>
        <v>#REF!</v>
      </c>
      <c r="B31" s="84" t="e">
        <f>IF(AJ31&lt;&gt;"",IF(AL31&gt;=8,C31,C31*LOOKUP(AL31,Rates!$AH$2:$AH$8,Rates!$AG$2:$AG$8)),"")</f>
        <v>#REF!</v>
      </c>
      <c r="C31" s="84" t="e">
        <f>IF(AJ31&lt;&gt;"",D31*(1+IF(AL31&gt;4,0.1,LOOKUP(#REF!,Rates!$D$2:$D$5,Rates!$B$2:$B$5))*LOOKUP(#REF!,Rates!$I$2:$I$7,Rates!$G$2:$G$7))+C30*(1+IF(AL31&gt;4,0.1,LOOKUP(#REF!,Rates!$D$2:$D$5,Rates!$B$2:$B$5))),"")</f>
        <v>#REF!</v>
      </c>
      <c r="D31" s="84" t="e">
        <f>IF(AJ31&lt;&gt;"",AI31-(H31+G31+F31+E31+P31+Q31)+IF(#REF!&gt;0,IF(AND(AL31&lt;=#REF!,AL31&gt;=#REF!),#REF!,0),0),"")</f>
        <v>#REF!</v>
      </c>
      <c r="E31" s="84" t="e">
        <f>IF(AJ31&lt;&gt;"",(LOOKUP(#REF!,Rates!$AE$2:$AE$4,Rates!$AD$2:$AD$4))*(H31+P31+Q31),"")</f>
        <v>#REF!</v>
      </c>
      <c r="F31" s="84" t="e">
        <f>IF(AJ31&lt;&gt;"",(LOOKUP(#REF!,Rates!$AE$2:$AE$4,Rates!$AB$2:$AB$4))*(H31+P31+Q31),"")</f>
        <v>#REF!</v>
      </c>
      <c r="G31" s="84" t="e">
        <f>IF(AJ31&lt;&gt;"",(LOOKUP(#REF!,Rates!$AE$2:$AE$4,Rates!$AC$2:$AC$4))*(H31+P31+Q31),"")</f>
        <v>#REF!</v>
      </c>
      <c r="H31" s="84" t="e">
        <f t="shared" si="0"/>
        <v>#REF!</v>
      </c>
      <c r="I31" s="84" t="e">
        <f>IF(AJ31&lt;&gt;"",LOOKUP(#REF!,Rates!$I$2:$I$7,Rates!$H$2:$H$7)*(J31+P31+Q31+AB31),"")</f>
        <v>#REF!</v>
      </c>
      <c r="J31" s="96" t="e">
        <f t="shared" si="4"/>
        <v>#REF!</v>
      </c>
      <c r="K31" s="96" t="e">
        <f t="shared" si="7"/>
        <v>#REF!</v>
      </c>
      <c r="L31" s="96" t="e">
        <f t="shared" si="8"/>
        <v>#REF!</v>
      </c>
      <c r="M31" s="96" t="e">
        <f>IF(AND(AI31&lt;&gt;"",AL31&lt;=10),(1-#REF!)*MIN(30/1000*(AF31-AF30),0.75*(AI31-AI30)),0)</f>
        <v>#REF!</v>
      </c>
      <c r="N31" s="96">
        <v>0</v>
      </c>
      <c r="O31" s="96" t="e">
        <f>IF(AJ31&lt;&gt;"",0.07*AI31*(1-#REF!),0)</f>
        <v>#REF!</v>
      </c>
      <c r="P31" s="87" t="e">
        <f t="shared" si="2"/>
        <v>#REF!</v>
      </c>
      <c r="Q31" s="87" t="e">
        <f t="shared" si="3"/>
        <v>#REF!</v>
      </c>
      <c r="R31" s="87" t="e">
        <f>IF(AJ31&lt;&gt;"",(AB31+AA31+V31+T31)*#REF!,0)</f>
        <v>#REF!</v>
      </c>
      <c r="S31" s="87" t="e">
        <f>IF(AJ31&lt;&gt;"",T31*(LOOKUP(#REF!,Rates!$O$2:$O$9,Rates!$L$2:$L$9)/100),0)</f>
        <v>#REF!</v>
      </c>
      <c r="T31" s="87" t="e">
        <f>IF(AJ31&lt;&gt;"",IF(#REF!="بله",V31*Rates!$Z$7,0),0)</f>
        <v>#REF!</v>
      </c>
      <c r="U31" s="87" t="e">
        <f>IF(AJ31&lt;&gt;"",IF(#REF!="بله",V31*(LOOKUP(#REF!,Rates!$O$2:$O$9,Rates!$L$2:$L$9)/100),V31*(LOOKUP(#REF!,Rates!$O$2:$O$9,Rates!$L$2:$L$9)/100)),0)</f>
        <v>#REF!</v>
      </c>
      <c r="V31" s="88" t="e">
        <f>IF(AND(AJ31&lt;&gt;"",AJ31&lt;=Rates!$Z$8,#REF!="بله"),AH31*(LOOKUP(AJ31,Rates!$U$2:$U$108,Rates!#REF!)),IF(AND(AK31&lt;&gt;"",AK31&lt;=Rates!$Z$8,#REF!="خیر"),AH31*(LOOKUP(AK31,Rates!$U$2:$U$108,Rates!#REF!)),0)*(1-#REF!))</f>
        <v>#REF!</v>
      </c>
      <c r="W31" s="88" t="e">
        <f>IF(AJ31&lt;&gt;"",X31*LOOKUP(#REF!,Rates!$O$2:$O$9,Rates!$M$2:$M$9)/100,0)</f>
        <v>#REF!</v>
      </c>
      <c r="X31" s="88" t="e">
        <f>IF(AJ31&lt;=Rates!$Z$4,0.0008*AF31*#REF!,0)</f>
        <v>#REF!</v>
      </c>
      <c r="Y31" s="88" t="e">
        <f>IF(AJ31&lt;&gt;"",Z31*(LOOKUP(#REF!,Rates!$O$2:$O$9,Rates!$N$2:$N$9/100)),0)</f>
        <v>#REF!</v>
      </c>
      <c r="Z31" s="87" t="e">
        <f>IF(AND(AJ31&lt;=(Rates!$Z$3),AD31&lt;&gt;""),(1-#REF!)*0.0008*AF31*#REF!,0)</f>
        <v>#REF!</v>
      </c>
      <c r="AA31" s="87" t="e">
        <f>IF(AJ31&lt;=60,(LOOKUP(AJ31,Rates!$U$2:$U$108,Rates!#REF!))*AC31/1000000*(1-#REF!),0)</f>
        <v>#REF!</v>
      </c>
      <c r="AB31" s="84" t="e">
        <f>IF(AJ31&lt;&gt;"",(AF31*LOOKUP(AJ31,Rates!$U$2:$U$108,Rates!$T$2:$T$108))/SQRT(1+IF(AL31&lt;=10,Rates!$Z$5,Rates!$Z$6)),"")</f>
        <v>#REF!</v>
      </c>
      <c r="AC31" s="89" t="e">
        <f>IF(AND(AJ31&lt;&gt;"",AJ31&lt;=Rates!$Z$2),MIN(0.5*AF31,300000000,AC30*(1+#REF!)),"")</f>
        <v>#REF!</v>
      </c>
      <c r="AD31" s="89" t="e">
        <f>IF(AND(AJ31&lt;&gt;"",AJ31&lt;=60),AF31*#REF!,"")</f>
        <v>#REF!</v>
      </c>
      <c r="AE31" s="109" t="e">
        <f>IF(AND(AJ31&lt;&gt;"",AJ31&lt;=70),AF31*(1+#REF!),"")</f>
        <v>#REF!</v>
      </c>
      <c r="AF31" s="109" t="e">
        <f>IF(AJ31&lt;&gt;"",AF30*(1+#REF!),"")</f>
        <v>#REF!</v>
      </c>
      <c r="AG31" s="92" t="e">
        <f t="shared" si="6"/>
        <v>#REF!</v>
      </c>
      <c r="AH31" s="83" t="e">
        <f>IF(AJ31&lt;&gt;"",AI31*Rates!$Z$9,"")</f>
        <v>#REF!</v>
      </c>
      <c r="AI31" s="92" t="e">
        <f>IF(AJ31&lt;&gt;"",AI30*(1+#REF!),"")</f>
        <v>#REF!</v>
      </c>
      <c r="AJ31" s="98" t="e">
        <f>IF(AL31&lt;&gt;"",#REF!+AL31-1,"")</f>
        <v>#REF!</v>
      </c>
      <c r="AK31" s="107" t="e">
        <f>IF(AL31&lt;&gt;"",#REF!+AL31-1,"")</f>
        <v>#REF!</v>
      </c>
      <c r="AL31" s="110" t="e">
        <f>IF(AL30&lt;&gt;"",IF(AL30+1&lt;=#REF!,AL30+1,""),"")</f>
        <v>#REF!</v>
      </c>
    </row>
    <row r="32" spans="1:38" ht="17.25" x14ac:dyDescent="0.25">
      <c r="A32" s="84" t="e">
        <f>IF(AJ32&lt;&gt;"",D32+D32*(IF(AL32&gt;4,0.1,LOOKUP(#REF!,Rates!$D$2:$D$4,Rates!$C$2:$C$4))+0.85*(#REF!-(IF(AL32&gt;4,0.1,LOOKUP(#REF!,Rates!$D$2:$D$4,Rates!$C$2:$C$4)))))*LOOKUP(#REF!,Rates!$I$2:$I$7,Rates!$G$2:$G$7)+A31*(1+IF(AL32&gt;4,0.1,LOOKUP(#REF!,Rates!$D$2:$D$4,Rates!$C$2:$C$4))+0.85*(#REF!-IF(AL32&gt;4,0.1,LOOKUP(#REF!,Rates!$D$2:$D$4,Rates!$C$2:$C$4)))),"")</f>
        <v>#REF!</v>
      </c>
      <c r="B32" s="84" t="e">
        <f>IF(AJ32&lt;&gt;"",IF(AL32&gt;=8,C32,C32*LOOKUP(AL32,Rates!$AH$2:$AH$8,Rates!$AG$2:$AG$8)),"")</f>
        <v>#REF!</v>
      </c>
      <c r="C32" s="84" t="e">
        <f>IF(AJ32&lt;&gt;"",D32*(1+IF(AL32&gt;4,0.1,LOOKUP(#REF!,Rates!$D$2:$D$5,Rates!$B$2:$B$5))*LOOKUP(#REF!,Rates!$I$2:$I$7,Rates!$G$2:$G$7))+C31*(1+IF(AL32&gt;4,0.1,LOOKUP(#REF!,Rates!$D$2:$D$5,Rates!$B$2:$B$5))),"")</f>
        <v>#REF!</v>
      </c>
      <c r="D32" s="84" t="e">
        <f>IF(AJ32&lt;&gt;"",AI32-(H32+G32+F32+E32+P32+Q32)+IF(#REF!&gt;0,IF(AND(AL32&lt;=#REF!,AL32&gt;=#REF!),#REF!,0),0),"")</f>
        <v>#REF!</v>
      </c>
      <c r="E32" s="84" t="e">
        <f>IF(AJ32&lt;&gt;"",(LOOKUP(#REF!,Rates!$AE$2:$AE$4,Rates!$AD$2:$AD$4))*(H32+P32+Q32),"")</f>
        <v>#REF!</v>
      </c>
      <c r="F32" s="84" t="e">
        <f>IF(AJ32&lt;&gt;"",(LOOKUP(#REF!,Rates!$AE$2:$AE$4,Rates!$AB$2:$AB$4))*(H32+P32+Q32),"")</f>
        <v>#REF!</v>
      </c>
      <c r="G32" s="84" t="e">
        <f>IF(AJ32&lt;&gt;"",(LOOKUP(#REF!,Rates!$AE$2:$AE$4,Rates!$AC$2:$AC$4))*(H32+P32+Q32),"")</f>
        <v>#REF!</v>
      </c>
      <c r="H32" s="84" t="e">
        <f t="shared" si="0"/>
        <v>#REF!</v>
      </c>
      <c r="I32" s="84" t="e">
        <f>IF(AJ32&lt;&gt;"",LOOKUP(#REF!,Rates!$I$2:$I$7,Rates!$H$2:$H$7)*(J32+P32+Q32+AB32),"")</f>
        <v>#REF!</v>
      </c>
      <c r="J32" s="96" t="e">
        <f t="shared" si="4"/>
        <v>#REF!</v>
      </c>
      <c r="K32" s="96" t="e">
        <f t="shared" si="7"/>
        <v>#REF!</v>
      </c>
      <c r="L32" s="96" t="e">
        <f t="shared" si="8"/>
        <v>#REF!</v>
      </c>
      <c r="M32" s="96" t="e">
        <f>IF(AND(AI32&lt;&gt;"",AL32&lt;=10),(1-#REF!)*MIN(30/1000*(AF32-AF31),0.75*(AI32-AI31)),0)</f>
        <v>#REF!</v>
      </c>
      <c r="N32" s="96">
        <v>0</v>
      </c>
      <c r="O32" s="96" t="e">
        <f>IF(AJ32&lt;&gt;"",0.07*AI32*(1-#REF!),0)</f>
        <v>#REF!</v>
      </c>
      <c r="P32" s="87" t="e">
        <f t="shared" si="2"/>
        <v>#REF!</v>
      </c>
      <c r="Q32" s="87" t="e">
        <f t="shared" si="3"/>
        <v>#REF!</v>
      </c>
      <c r="R32" s="87" t="e">
        <f>IF(AJ32&lt;&gt;"",(AB32+AA32+V32+T32)*#REF!,0)</f>
        <v>#REF!</v>
      </c>
      <c r="S32" s="87" t="e">
        <f>IF(AJ32&lt;&gt;"",T32*(LOOKUP(#REF!,Rates!$O$2:$O$9,Rates!$L$2:$L$9)/100),0)</f>
        <v>#REF!</v>
      </c>
      <c r="T32" s="87" t="e">
        <f>IF(AJ32&lt;&gt;"",IF(#REF!="بله",V32*Rates!$Z$7,0),0)</f>
        <v>#REF!</v>
      </c>
      <c r="U32" s="87" t="e">
        <f>IF(AJ32&lt;&gt;"",IF(#REF!="بله",V32*(LOOKUP(#REF!,Rates!$O$2:$O$9,Rates!$L$2:$L$9)/100),V32*(LOOKUP(#REF!,Rates!$O$2:$O$9,Rates!$L$2:$L$9)/100)),0)</f>
        <v>#REF!</v>
      </c>
      <c r="V32" s="88" t="e">
        <f>IF(AND(AJ32&lt;&gt;"",AJ32&lt;=Rates!$Z$8,#REF!="بله"),AH32*(LOOKUP(AJ32,Rates!$U$2:$U$108,Rates!#REF!)),IF(AND(AK32&lt;&gt;"",AK32&lt;=Rates!$Z$8,#REF!="خیر"),AH32*(LOOKUP(AK32,Rates!$U$2:$U$108,Rates!#REF!)),0)*(1-#REF!))</f>
        <v>#REF!</v>
      </c>
      <c r="W32" s="88" t="e">
        <f>IF(AJ32&lt;&gt;"",X32*LOOKUP(#REF!,Rates!$O$2:$O$9,Rates!$M$2:$M$9)/100,0)</f>
        <v>#REF!</v>
      </c>
      <c r="X32" s="88" t="e">
        <f>IF(AJ32&lt;=Rates!$Z$4,0.0008*AF32*#REF!,0)</f>
        <v>#REF!</v>
      </c>
      <c r="Y32" s="88" t="e">
        <f>IF(AJ32&lt;&gt;"",Z32*(LOOKUP(#REF!,Rates!$O$2:$O$9,Rates!$N$2:$N$9/100)),0)</f>
        <v>#REF!</v>
      </c>
      <c r="Z32" s="87" t="e">
        <f>IF(AND(AJ32&lt;=(Rates!$Z$3),AD32&lt;&gt;""),(1-#REF!)*0.0008*AF32*#REF!,0)</f>
        <v>#REF!</v>
      </c>
      <c r="AA32" s="87" t="e">
        <f>IF(AJ32&lt;=60,(LOOKUP(AJ32,Rates!$U$2:$U$108,Rates!#REF!))*AC32/1000000*(1-#REF!),0)</f>
        <v>#REF!</v>
      </c>
      <c r="AB32" s="84" t="e">
        <f>IF(AJ32&lt;&gt;"",(AF32*LOOKUP(AJ32,Rates!$U$2:$U$108,Rates!$T$2:$T$108))/SQRT(1+IF(AL32&lt;=10,Rates!$Z$5,Rates!$Z$6)),"")</f>
        <v>#REF!</v>
      </c>
      <c r="AC32" s="89" t="e">
        <f>IF(AND(AJ32&lt;&gt;"",AJ32&lt;=Rates!$Z$2),MIN(0.5*AF32,300000000,AC31*(1+#REF!)),"")</f>
        <v>#REF!</v>
      </c>
      <c r="AD32" s="89" t="e">
        <f>IF(AND(AJ32&lt;&gt;"",AJ32&lt;=60),AF32*#REF!,"")</f>
        <v>#REF!</v>
      </c>
      <c r="AE32" s="109" t="e">
        <f>IF(AND(AJ32&lt;&gt;"",AJ32&lt;=70),AF32*(1+#REF!),"")</f>
        <v>#REF!</v>
      </c>
      <c r="AF32" s="109" t="e">
        <f>IF(AJ32&lt;&gt;"",AF31*(1+#REF!),"")</f>
        <v>#REF!</v>
      </c>
      <c r="AG32" s="92" t="e">
        <f t="shared" si="6"/>
        <v>#REF!</v>
      </c>
      <c r="AH32" s="83" t="e">
        <f>IF(AJ32&lt;&gt;"",AI32*Rates!$Z$9,"")</f>
        <v>#REF!</v>
      </c>
      <c r="AI32" s="92" t="e">
        <f>IF(AJ32&lt;&gt;"",AI31*(1+#REF!),"")</f>
        <v>#REF!</v>
      </c>
      <c r="AJ32" s="98" t="e">
        <f>IF(AL32&lt;&gt;"",#REF!+AL32-1,"")</f>
        <v>#REF!</v>
      </c>
      <c r="AK32" s="107" t="e">
        <f>IF(AL32&lt;&gt;"",#REF!+AL32-1,"")</f>
        <v>#REF!</v>
      </c>
      <c r="AL32" s="110" t="e">
        <f>IF(AL31&lt;&gt;"",IF(AL31+1&lt;=#REF!,AL31+1,""),"")</f>
        <v>#REF!</v>
      </c>
    </row>
    <row r="33" spans="1:38" ht="17.25" x14ac:dyDescent="0.25">
      <c r="A33" s="84" t="e">
        <f>IF(AJ33&lt;&gt;"",D33+D33*(IF(AL33&gt;4,0.1,LOOKUP(#REF!,Rates!$D$2:$D$4,Rates!$C$2:$C$4))+0.85*(#REF!-(IF(AL33&gt;4,0.1,LOOKUP(#REF!,Rates!$D$2:$D$4,Rates!$C$2:$C$4)))))*LOOKUP(#REF!,Rates!$I$2:$I$7,Rates!$G$2:$G$7)+A32*(1+IF(AL33&gt;4,0.1,LOOKUP(#REF!,Rates!$D$2:$D$4,Rates!$C$2:$C$4))+0.85*(#REF!-IF(AL33&gt;4,0.1,LOOKUP(#REF!,Rates!$D$2:$D$4,Rates!$C$2:$C$4)))),"")</f>
        <v>#REF!</v>
      </c>
      <c r="B33" s="84" t="e">
        <f>IF(AJ33&lt;&gt;"",IF(AL33&gt;=8,C33,C33*LOOKUP(AL33,Rates!$AH$2:$AH$8,Rates!$AG$2:$AG$8)),"")</f>
        <v>#REF!</v>
      </c>
      <c r="C33" s="84" t="e">
        <f>IF(AJ33&lt;&gt;"",D33*(1+IF(AL33&gt;4,0.1,LOOKUP(#REF!,Rates!$D$2:$D$5,Rates!$B$2:$B$5))*LOOKUP(#REF!,Rates!$I$2:$I$7,Rates!$G$2:$G$7))+C32*(1+IF(AL33&gt;4,0.1,LOOKUP(#REF!,Rates!$D$2:$D$5,Rates!$B$2:$B$5))),"")</f>
        <v>#REF!</v>
      </c>
      <c r="D33" s="84" t="e">
        <f>IF(AJ33&lt;&gt;"",AI33-(H33+G33+F33+E33+P33+Q33)+IF(#REF!&gt;0,IF(AND(AL33&lt;=#REF!,AL33&gt;=#REF!),#REF!,0),0),"")</f>
        <v>#REF!</v>
      </c>
      <c r="E33" s="84" t="e">
        <f>IF(AJ33&lt;&gt;"",(LOOKUP(#REF!,Rates!$AE$2:$AE$4,Rates!$AD$2:$AD$4))*(H33+P33+Q33),"")</f>
        <v>#REF!</v>
      </c>
      <c r="F33" s="84" t="e">
        <f>IF(AJ33&lt;&gt;"",(LOOKUP(#REF!,Rates!$AE$2:$AE$4,Rates!$AB$2:$AB$4))*(H33+P33+Q33),"")</f>
        <v>#REF!</v>
      </c>
      <c r="G33" s="84" t="e">
        <f>IF(AJ33&lt;&gt;"",(LOOKUP(#REF!,Rates!$AE$2:$AE$4,Rates!$AC$2:$AC$4))*(H33+P33+Q33),"")</f>
        <v>#REF!</v>
      </c>
      <c r="H33" s="84" t="e">
        <f t="shared" si="0"/>
        <v>#REF!</v>
      </c>
      <c r="I33" s="84" t="e">
        <f>IF(AJ33&lt;&gt;"",LOOKUP(#REF!,Rates!$I$2:$I$7,Rates!$H$2:$H$7)*(J33+P33+Q33+AB33),"")</f>
        <v>#REF!</v>
      </c>
      <c r="J33" s="96" t="e">
        <f t="shared" si="4"/>
        <v>#REF!</v>
      </c>
      <c r="K33" s="96" t="e">
        <f t="shared" si="7"/>
        <v>#REF!</v>
      </c>
      <c r="L33" s="96" t="e">
        <f t="shared" si="8"/>
        <v>#REF!</v>
      </c>
      <c r="M33" s="96" t="e">
        <f>IF(AND(AI33&lt;&gt;"",AL33&lt;=10),(1-#REF!)*MIN(30/1000*(AF33-AF32),0.75*(AI33-AI32)),0)</f>
        <v>#REF!</v>
      </c>
      <c r="N33" s="96">
        <v>0</v>
      </c>
      <c r="O33" s="96" t="e">
        <f>IF(AJ33&lt;&gt;"",0.07*AI33*(1-#REF!),0)</f>
        <v>#REF!</v>
      </c>
      <c r="P33" s="87" t="e">
        <f t="shared" si="2"/>
        <v>#REF!</v>
      </c>
      <c r="Q33" s="87" t="e">
        <f t="shared" si="3"/>
        <v>#REF!</v>
      </c>
      <c r="R33" s="87" t="e">
        <f>IF(AJ33&lt;&gt;"",(AB33+AA33+V33+T33)*#REF!,0)</f>
        <v>#REF!</v>
      </c>
      <c r="S33" s="87" t="e">
        <f>IF(AJ33&lt;&gt;"",T33*(LOOKUP(#REF!,Rates!$O$2:$O$9,Rates!$L$2:$L$9)/100),0)</f>
        <v>#REF!</v>
      </c>
      <c r="T33" s="87" t="e">
        <f>IF(AJ33&lt;&gt;"",IF(#REF!="بله",V33*Rates!$Z$7,0),0)</f>
        <v>#REF!</v>
      </c>
      <c r="U33" s="87" t="e">
        <f>IF(AJ33&lt;&gt;"",IF(#REF!="بله",V33*(LOOKUP(#REF!,Rates!$O$2:$O$9,Rates!$L$2:$L$9)/100),V33*(LOOKUP(#REF!,Rates!$O$2:$O$9,Rates!$L$2:$L$9)/100)),0)</f>
        <v>#REF!</v>
      </c>
      <c r="V33" s="88" t="e">
        <f>IF(AND(AJ33&lt;&gt;"",AJ33&lt;=Rates!$Z$8,#REF!="بله"),AH33*(LOOKUP(AJ33,Rates!$U$2:$U$108,Rates!#REF!)),IF(AND(AK33&lt;&gt;"",AK33&lt;=Rates!$Z$8,#REF!="خیر"),AH33*(LOOKUP(AK33,Rates!$U$2:$U$108,Rates!#REF!)),0)*(1-#REF!))</f>
        <v>#REF!</v>
      </c>
      <c r="W33" s="88" t="e">
        <f>IF(AJ33&lt;&gt;"",X33*LOOKUP(#REF!,Rates!$O$2:$O$9,Rates!$M$2:$M$9)/100,0)</f>
        <v>#REF!</v>
      </c>
      <c r="X33" s="88" t="e">
        <f>IF(AJ33&lt;=Rates!$Z$4,0.0008*AF33*#REF!,0)</f>
        <v>#REF!</v>
      </c>
      <c r="Y33" s="88" t="e">
        <f>IF(AJ33&lt;&gt;"",Z33*(LOOKUP(#REF!,Rates!$O$2:$O$9,Rates!$N$2:$N$9/100)),0)</f>
        <v>#REF!</v>
      </c>
      <c r="Z33" s="87" t="e">
        <f>IF(AND(AJ33&lt;=(Rates!$Z$3),AD33&lt;&gt;""),(1-#REF!)*0.0008*AF33*#REF!,0)</f>
        <v>#REF!</v>
      </c>
      <c r="AA33" s="87" t="e">
        <f>IF(AJ33&lt;=60,(LOOKUP(AJ33,Rates!$U$2:$U$108,Rates!#REF!))*AC33/1000000*(1-#REF!),0)</f>
        <v>#REF!</v>
      </c>
      <c r="AB33" s="84" t="e">
        <f>IF(AJ33&lt;&gt;"",(AF33*LOOKUP(AJ33,Rates!$U$2:$U$108,Rates!$T$2:$T$108))/SQRT(1+IF(AL33&lt;=10,Rates!$Z$5,Rates!$Z$6)),"")</f>
        <v>#REF!</v>
      </c>
      <c r="AC33" s="89" t="e">
        <f>IF(AND(AJ33&lt;&gt;"",AJ33&lt;=Rates!$Z$2),MIN(0.5*AF33,300000000,AC32*(1+#REF!)),"")</f>
        <v>#REF!</v>
      </c>
      <c r="AD33" s="89" t="e">
        <f>IF(AND(AJ33&lt;&gt;"",AJ33&lt;=60),AF33*#REF!,"")</f>
        <v>#REF!</v>
      </c>
      <c r="AE33" s="109" t="e">
        <f>IF(AND(AJ33&lt;&gt;"",AJ33&lt;=70),AF33*(1+#REF!),"")</f>
        <v>#REF!</v>
      </c>
      <c r="AF33" s="109" t="e">
        <f>IF(AJ33&lt;&gt;"",AF32*(1+#REF!),"")</f>
        <v>#REF!</v>
      </c>
      <c r="AG33" s="92" t="e">
        <f t="shared" si="6"/>
        <v>#REF!</v>
      </c>
      <c r="AH33" s="83" t="e">
        <f>IF(AJ33&lt;&gt;"",AI33*Rates!$Z$9,"")</f>
        <v>#REF!</v>
      </c>
      <c r="AI33" s="92" t="e">
        <f>IF(AJ33&lt;&gt;"",AI32*(1+#REF!),"")</f>
        <v>#REF!</v>
      </c>
      <c r="AJ33" s="98" t="e">
        <f>IF(AL33&lt;&gt;"",#REF!+AL33-1,"")</f>
        <v>#REF!</v>
      </c>
      <c r="AK33" s="107" t="e">
        <f>IF(AL33&lt;&gt;"",#REF!+AL33-1,"")</f>
        <v>#REF!</v>
      </c>
      <c r="AL33" s="110" t="e">
        <f>IF(AL32&lt;&gt;"",IF(AL32+1&lt;=#REF!,AL32+1,""),"")</f>
        <v>#REF!</v>
      </c>
    </row>
    <row r="34" spans="1:38" ht="17.25" x14ac:dyDescent="0.25">
      <c r="A34" s="84" t="e">
        <f>IF(AJ34&lt;&gt;"",D34+D34*(IF(AL34&gt;4,0.1,LOOKUP(#REF!,Rates!$D$2:$D$4,Rates!$C$2:$C$4))+0.85*(#REF!-(IF(AL34&gt;4,0.1,LOOKUP(#REF!,Rates!$D$2:$D$4,Rates!$C$2:$C$4)))))*LOOKUP(#REF!,Rates!$I$2:$I$7,Rates!$G$2:$G$7)+A33*(1+IF(AL34&gt;4,0.1,LOOKUP(#REF!,Rates!$D$2:$D$4,Rates!$C$2:$C$4))+0.85*(#REF!-IF(AL34&gt;4,0.1,LOOKUP(#REF!,Rates!$D$2:$D$4,Rates!$C$2:$C$4)))),"")</f>
        <v>#REF!</v>
      </c>
      <c r="B34" s="84" t="e">
        <f>IF(AJ34&lt;&gt;"",IF(AL34&gt;=8,C34,C34*LOOKUP(AL34,Rates!$AH$2:$AH$8,Rates!$AG$2:$AG$8)),"")</f>
        <v>#REF!</v>
      </c>
      <c r="C34" s="84" t="e">
        <f>IF(AJ34&lt;&gt;"",D34*(1+IF(AL34&gt;4,0.1,LOOKUP(#REF!,Rates!$D$2:$D$5,Rates!$B$2:$B$5))*LOOKUP(#REF!,Rates!$I$2:$I$7,Rates!$G$2:$G$7))+C33*(1+IF(AL34&gt;4,0.1,LOOKUP(#REF!,Rates!$D$2:$D$5,Rates!$B$2:$B$5))),"")</f>
        <v>#REF!</v>
      </c>
      <c r="D34" s="84" t="e">
        <f>IF(AJ34&lt;&gt;"",AI34-(H34+G34+F34+E34+P34+Q34)+IF(#REF!&gt;0,IF(AND(AL34&lt;=#REF!,AL34&gt;=#REF!),#REF!,0),0),"")</f>
        <v>#REF!</v>
      </c>
      <c r="E34" s="84" t="e">
        <f>IF(AJ34&lt;&gt;"",(LOOKUP(#REF!,Rates!$AE$2:$AE$4,Rates!$AD$2:$AD$4))*(H34+P34+Q34),"")</f>
        <v>#REF!</v>
      </c>
      <c r="F34" s="84" t="e">
        <f>IF(AJ34&lt;&gt;"",(LOOKUP(#REF!,Rates!$AE$2:$AE$4,Rates!$AB$2:$AB$4))*(H34+P34+Q34),"")</f>
        <v>#REF!</v>
      </c>
      <c r="G34" s="84" t="e">
        <f>IF(AJ34&lt;&gt;"",(LOOKUP(#REF!,Rates!$AE$2:$AE$4,Rates!$AC$2:$AC$4))*(H34+P34+Q34),"")</f>
        <v>#REF!</v>
      </c>
      <c r="H34" s="84" t="e">
        <f t="shared" si="0"/>
        <v>#REF!</v>
      </c>
      <c r="I34" s="84" t="e">
        <f>IF(AJ34&lt;&gt;"",LOOKUP(#REF!,Rates!$I$2:$I$7,Rates!$H$2:$H$7)*(J34+P34+Q34+AB34),"")</f>
        <v>#REF!</v>
      </c>
      <c r="J34" s="96" t="e">
        <f t="shared" si="4"/>
        <v>#REF!</v>
      </c>
      <c r="K34" s="96" t="e">
        <f t="shared" si="7"/>
        <v>#REF!</v>
      </c>
      <c r="L34" s="96" t="e">
        <f t="shared" si="8"/>
        <v>#REF!</v>
      </c>
      <c r="M34" s="96" t="e">
        <f>IF(AND(AI34&lt;&gt;"",AL34&lt;=10),(1-#REF!)*MIN(30/1000*(AF34-AF33),0.75*(AI34-AI33)),0)</f>
        <v>#REF!</v>
      </c>
      <c r="N34" s="96">
        <v>0</v>
      </c>
      <c r="O34" s="96" t="e">
        <f>IF(AJ34&lt;&gt;"",0.07*AI34*(1-#REF!),0)</f>
        <v>#REF!</v>
      </c>
      <c r="P34" s="87" t="e">
        <f t="shared" si="2"/>
        <v>#REF!</v>
      </c>
      <c r="Q34" s="87" t="e">
        <f t="shared" si="3"/>
        <v>#REF!</v>
      </c>
      <c r="R34" s="87" t="e">
        <f>IF(AJ34&lt;&gt;"",(AB34+AA34+V34+T34)*#REF!,0)</f>
        <v>#REF!</v>
      </c>
      <c r="S34" s="87" t="e">
        <f>IF(AJ34&lt;&gt;"",T34*(LOOKUP(#REF!,Rates!$O$2:$O$9,Rates!$L$2:$L$9)/100),0)</f>
        <v>#REF!</v>
      </c>
      <c r="T34" s="87" t="e">
        <f>IF(AJ34&lt;&gt;"",IF(#REF!="بله",V34*Rates!$Z$7,0),0)</f>
        <v>#REF!</v>
      </c>
      <c r="U34" s="87" t="e">
        <f>IF(AJ34&lt;&gt;"",IF(#REF!="بله",V34*(LOOKUP(#REF!,Rates!$O$2:$O$9,Rates!$L$2:$L$9)/100),V34*(LOOKUP(#REF!,Rates!$O$2:$O$9,Rates!$L$2:$L$9)/100)),0)</f>
        <v>#REF!</v>
      </c>
      <c r="V34" s="88" t="e">
        <f>IF(AND(AJ34&lt;&gt;"",AJ34&lt;=Rates!$Z$8,#REF!="بله"),AH34*(LOOKUP(AJ34,Rates!$U$2:$U$108,Rates!#REF!)),IF(AND(AK34&lt;&gt;"",AK34&lt;=Rates!$Z$8,#REF!="خیر"),AH34*(LOOKUP(AK34,Rates!$U$2:$U$108,Rates!#REF!)),0)*(1-#REF!))</f>
        <v>#REF!</v>
      </c>
      <c r="W34" s="88" t="e">
        <f>IF(AJ34&lt;&gt;"",X34*LOOKUP(#REF!,Rates!$O$2:$O$9,Rates!$M$2:$M$9)/100,0)</f>
        <v>#REF!</v>
      </c>
      <c r="X34" s="88" t="e">
        <f>IF(AJ34&lt;=Rates!$Z$4,0.0008*AF34*#REF!,0)</f>
        <v>#REF!</v>
      </c>
      <c r="Y34" s="88" t="e">
        <f>IF(AJ34&lt;&gt;"",Z34*(LOOKUP(#REF!,Rates!$O$2:$O$9,Rates!$N$2:$N$9/100)),0)</f>
        <v>#REF!</v>
      </c>
      <c r="Z34" s="87" t="e">
        <f>IF(AND(AJ34&lt;=(Rates!$Z$3),AD34&lt;&gt;""),(1-#REF!)*0.0008*AF34*#REF!,0)</f>
        <v>#REF!</v>
      </c>
      <c r="AA34" s="87" t="e">
        <f>IF(AJ34&lt;=60,(LOOKUP(AJ34,Rates!$U$2:$U$108,Rates!#REF!))*AC34/1000000*(1-#REF!),0)</f>
        <v>#REF!</v>
      </c>
      <c r="AB34" s="84" t="e">
        <f>IF(AJ34&lt;&gt;"",(AF34*LOOKUP(AJ34,Rates!$U$2:$U$108,Rates!$T$2:$T$108))/SQRT(1+IF(AL34&lt;=10,Rates!$Z$5,Rates!$Z$6)),"")</f>
        <v>#REF!</v>
      </c>
      <c r="AC34" s="89" t="e">
        <f>IF(AND(AJ34&lt;&gt;"",AJ34&lt;=Rates!$Z$2),MIN(0.5*AF34,300000000,AC33*(1+#REF!)),"")</f>
        <v>#REF!</v>
      </c>
      <c r="AD34" s="89" t="e">
        <f>IF(AND(AJ34&lt;&gt;"",AJ34&lt;=60),AF34*#REF!,"")</f>
        <v>#REF!</v>
      </c>
      <c r="AE34" s="109" t="e">
        <f>IF(AND(AJ34&lt;&gt;"",AJ34&lt;=70),AF34*(1+#REF!),"")</f>
        <v>#REF!</v>
      </c>
      <c r="AF34" s="109" t="e">
        <f>IF(AJ34&lt;&gt;"",AF33*(1+#REF!),"")</f>
        <v>#REF!</v>
      </c>
      <c r="AG34" s="92" t="e">
        <f t="shared" si="6"/>
        <v>#REF!</v>
      </c>
      <c r="AH34" s="83" t="e">
        <f>IF(AJ34&lt;&gt;"",AI34*Rates!$Z$9,"")</f>
        <v>#REF!</v>
      </c>
      <c r="AI34" s="92" t="e">
        <f>IF(AJ34&lt;&gt;"",AI33*(1+#REF!),"")</f>
        <v>#REF!</v>
      </c>
      <c r="AJ34" s="98" t="e">
        <f>IF(AL34&lt;&gt;"",#REF!+AL34-1,"")</f>
        <v>#REF!</v>
      </c>
      <c r="AK34" s="107" t="e">
        <f>IF(AL34&lt;&gt;"",#REF!+AL34-1,"")</f>
        <v>#REF!</v>
      </c>
      <c r="AL34" s="110" t="e">
        <f>IF(AL33&lt;&gt;"",IF(AL33+1&lt;=#REF!,AL33+1,""),"")</f>
        <v>#REF!</v>
      </c>
    </row>
    <row r="35" spans="1:38" ht="17.25" x14ac:dyDescent="0.25">
      <c r="A35" s="84" t="e">
        <f>IF(AJ35&lt;&gt;"",D35+D35*(IF(AL35&gt;4,0.1,LOOKUP(#REF!,Rates!$D$2:$D$4,Rates!$C$2:$C$4))+0.85*(#REF!-(IF(AL35&gt;4,0.1,LOOKUP(#REF!,Rates!$D$2:$D$4,Rates!$C$2:$C$4)))))*LOOKUP(#REF!,Rates!$I$2:$I$7,Rates!$G$2:$G$7)+A34*(1+IF(AL35&gt;4,0.1,LOOKUP(#REF!,Rates!$D$2:$D$4,Rates!$C$2:$C$4))+0.85*(#REF!-IF(AL35&gt;4,0.1,LOOKUP(#REF!,Rates!$D$2:$D$4,Rates!$C$2:$C$4)))),"")</f>
        <v>#REF!</v>
      </c>
      <c r="B35" s="84" t="e">
        <f>IF(AJ35&lt;&gt;"",IF(AL35&gt;=8,C35,C35*LOOKUP(AL35,Rates!$AH$2:$AH$8,Rates!$AG$2:$AG$8)),"")</f>
        <v>#REF!</v>
      </c>
      <c r="C35" s="84" t="e">
        <f>IF(AJ35&lt;&gt;"",D35*(1+IF(AL35&gt;4,0.1,LOOKUP(#REF!,Rates!$D$2:$D$5,Rates!$B$2:$B$5))*LOOKUP(#REF!,Rates!$I$2:$I$7,Rates!$G$2:$G$7))+C34*(1+IF(AL35&gt;4,0.1,LOOKUP(#REF!,Rates!$D$2:$D$5,Rates!$B$2:$B$5))),"")</f>
        <v>#REF!</v>
      </c>
      <c r="D35" s="84" t="e">
        <f>IF(AJ35&lt;&gt;"",AI35-(H35+G35+F35+E35+P35+Q35)+IF(#REF!&gt;0,IF(AND(AL35&lt;=#REF!,AL35&gt;=#REF!),#REF!,0),0),"")</f>
        <v>#REF!</v>
      </c>
      <c r="E35" s="84" t="e">
        <f>IF(AJ35&lt;&gt;"",(LOOKUP(#REF!,Rates!$AE$2:$AE$4,Rates!$AD$2:$AD$4))*(H35+P35+Q35),"")</f>
        <v>#REF!</v>
      </c>
      <c r="F35" s="84" t="e">
        <f>IF(AJ35&lt;&gt;"",(LOOKUP(#REF!,Rates!$AE$2:$AE$4,Rates!$AB$2:$AB$4))*(H35+P35+Q35),"")</f>
        <v>#REF!</v>
      </c>
      <c r="G35" s="84" t="e">
        <f>IF(AJ35&lt;&gt;"",(LOOKUP(#REF!,Rates!$AE$2:$AE$4,Rates!$AC$2:$AC$4))*(H35+P35+Q35),"")</f>
        <v>#REF!</v>
      </c>
      <c r="H35" s="84" t="e">
        <f t="shared" si="0"/>
        <v>#REF!</v>
      </c>
      <c r="I35" s="84" t="e">
        <f>IF(AJ35&lt;&gt;"",LOOKUP(#REF!,Rates!$I$2:$I$7,Rates!$H$2:$H$7)*(J35+P35+Q35+AB35),"")</f>
        <v>#REF!</v>
      </c>
      <c r="J35" s="96" t="e">
        <f t="shared" si="4"/>
        <v>#REF!</v>
      </c>
      <c r="K35" s="96" t="e">
        <f t="shared" si="7"/>
        <v>#REF!</v>
      </c>
      <c r="L35" s="96" t="e">
        <f t="shared" si="8"/>
        <v>#REF!</v>
      </c>
      <c r="M35" s="96" t="e">
        <f>IF(AND(AI35&lt;&gt;"",AL35&lt;=10),(1-#REF!)*MIN(30/1000*(AF35-AF34),0.75*(AI35-AI34)),0)</f>
        <v>#REF!</v>
      </c>
      <c r="N35" s="96">
        <v>0</v>
      </c>
      <c r="O35" s="96" t="e">
        <f>IF(AJ35&lt;&gt;"",0.07*AI35*(1-#REF!),0)</f>
        <v>#REF!</v>
      </c>
      <c r="P35" s="87" t="e">
        <f t="shared" si="2"/>
        <v>#REF!</v>
      </c>
      <c r="Q35" s="87" t="e">
        <f t="shared" si="3"/>
        <v>#REF!</v>
      </c>
      <c r="R35" s="87" t="e">
        <f>IF(AJ35&lt;&gt;"",(AB35+AA35+V35+T35)*#REF!,0)</f>
        <v>#REF!</v>
      </c>
      <c r="S35" s="87" t="e">
        <f>IF(AJ35&lt;&gt;"",T35*(LOOKUP(#REF!,Rates!$O$2:$O$9,Rates!$L$2:$L$9)/100),0)</f>
        <v>#REF!</v>
      </c>
      <c r="T35" s="87" t="e">
        <f>IF(AJ35&lt;&gt;"",IF(#REF!="بله",V35*Rates!$Z$7,0),0)</f>
        <v>#REF!</v>
      </c>
      <c r="U35" s="87" t="e">
        <f>IF(AJ35&lt;&gt;"",IF(#REF!="بله",V35*(LOOKUP(#REF!,Rates!$O$2:$O$9,Rates!$L$2:$L$9)/100),V35*(LOOKUP(#REF!,Rates!$O$2:$O$9,Rates!$L$2:$L$9)/100)),0)</f>
        <v>#REF!</v>
      </c>
      <c r="V35" s="88" t="e">
        <f>IF(AND(AJ35&lt;&gt;"",AJ35&lt;=Rates!$Z$8,#REF!="بله"),AH35*(LOOKUP(AJ35,Rates!$U$2:$U$108,Rates!#REF!)),IF(AND(AK35&lt;&gt;"",AK35&lt;=Rates!$Z$8,#REF!="خیر"),AH35*(LOOKUP(AK35,Rates!$U$2:$U$108,Rates!#REF!)),0)*(1-#REF!))</f>
        <v>#REF!</v>
      </c>
      <c r="W35" s="88" t="e">
        <f>IF(AJ35&lt;&gt;"",X35*LOOKUP(#REF!,Rates!$O$2:$O$9,Rates!$M$2:$M$9)/100,0)</f>
        <v>#REF!</v>
      </c>
      <c r="X35" s="88" t="e">
        <f>IF(AJ35&lt;=Rates!$Z$4,0.0008*AF35*#REF!,0)</f>
        <v>#REF!</v>
      </c>
      <c r="Y35" s="88" t="e">
        <f>IF(AJ35&lt;&gt;"",Z35*(LOOKUP(#REF!,Rates!$O$2:$O$9,Rates!$N$2:$N$9/100)),0)</f>
        <v>#REF!</v>
      </c>
      <c r="Z35" s="87" t="e">
        <f>IF(AND(AJ35&lt;=(Rates!$Z$3),AD35&lt;&gt;""),(1-#REF!)*0.0008*AF35*#REF!,0)</f>
        <v>#REF!</v>
      </c>
      <c r="AA35" s="87" t="e">
        <f>IF(AJ35&lt;=60,(LOOKUP(AJ35,Rates!$U$2:$U$108,Rates!#REF!))*AC35/1000000*(1-#REF!),0)</f>
        <v>#REF!</v>
      </c>
      <c r="AB35" s="84" t="e">
        <f>IF(AJ35&lt;&gt;"",(AF35*LOOKUP(AJ35,Rates!$U$2:$U$108,Rates!$T$2:$T$108))/SQRT(1+IF(AL35&lt;=10,Rates!$Z$5,Rates!$Z$6)),"")</f>
        <v>#REF!</v>
      </c>
      <c r="AC35" s="89" t="e">
        <f>IF(AND(AJ35&lt;&gt;"",AJ35&lt;=Rates!$Z$2),MIN(0.5*AF35,300000000,AC34*(1+#REF!)),"")</f>
        <v>#REF!</v>
      </c>
      <c r="AD35" s="89" t="e">
        <f>IF(AND(AJ35&lt;&gt;"",AJ35&lt;=60),AF35*#REF!,"")</f>
        <v>#REF!</v>
      </c>
      <c r="AE35" s="109" t="e">
        <f>IF(AND(AJ35&lt;&gt;"",AJ35&lt;=70),AF35*(1+#REF!),"")</f>
        <v>#REF!</v>
      </c>
      <c r="AF35" s="109" t="e">
        <f>IF(AJ35&lt;&gt;"",AF34*(1+#REF!),"")</f>
        <v>#REF!</v>
      </c>
      <c r="AG35" s="92" t="e">
        <f t="shared" si="6"/>
        <v>#REF!</v>
      </c>
      <c r="AH35" s="83" t="e">
        <f>IF(AJ35&lt;&gt;"",AI35*Rates!$Z$9,"")</f>
        <v>#REF!</v>
      </c>
      <c r="AI35" s="92" t="e">
        <f>IF(AJ35&lt;&gt;"",AI34*(1+#REF!),"")</f>
        <v>#REF!</v>
      </c>
      <c r="AJ35" s="98" t="e">
        <f>IF(AL35&lt;&gt;"",#REF!+AL35-1,"")</f>
        <v>#REF!</v>
      </c>
      <c r="AK35" s="107" t="e">
        <f>IF(AL35&lt;&gt;"",#REF!+AL35-1,"")</f>
        <v>#REF!</v>
      </c>
      <c r="AL35" s="110" t="e">
        <f>IF(AL34&lt;&gt;"",IF(AL34+1&lt;=#REF!,AL34+1,""),"")</f>
        <v>#REF!</v>
      </c>
    </row>
    <row r="36" spans="1:38" ht="17.25" x14ac:dyDescent="0.25">
      <c r="A36" s="84" t="e">
        <f>IF(AJ36&lt;&gt;"",D36+D36*(IF(AL36&gt;4,0.1,LOOKUP(#REF!,Rates!$D$2:$D$4,Rates!$C$2:$C$4))+0.85*(#REF!-(IF(AL36&gt;4,0.1,LOOKUP(#REF!,Rates!$D$2:$D$4,Rates!$C$2:$C$4)))))*LOOKUP(#REF!,Rates!$I$2:$I$7,Rates!$G$2:$G$7)+A35*(1+IF(AL36&gt;4,0.1,LOOKUP(#REF!,Rates!$D$2:$D$4,Rates!$C$2:$C$4))+0.85*(#REF!-IF(AL36&gt;4,0.1,LOOKUP(#REF!,Rates!$D$2:$D$4,Rates!$C$2:$C$4)))),"")</f>
        <v>#REF!</v>
      </c>
      <c r="B36" s="84" t="e">
        <f>IF(AJ36&lt;&gt;"",IF(AL36&gt;=8,C36,C36*LOOKUP(AL36,Rates!$AH$2:$AH$8,Rates!$AG$2:$AG$8)),"")</f>
        <v>#REF!</v>
      </c>
      <c r="C36" s="84" t="e">
        <f>IF(AJ36&lt;&gt;"",D36*(1+IF(AL36&gt;4,0.1,LOOKUP(#REF!,Rates!$D$2:$D$5,Rates!$B$2:$B$5))*LOOKUP(#REF!,Rates!$I$2:$I$7,Rates!$G$2:$G$7))+C35*(1+IF(AL36&gt;4,0.1,LOOKUP(#REF!,Rates!$D$2:$D$5,Rates!$B$2:$B$5))),"")</f>
        <v>#REF!</v>
      </c>
      <c r="D36" s="84" t="e">
        <f>IF(AJ36&lt;&gt;"",AI36-(H36+G36+F36+E36+P36+Q36)+IF(#REF!&gt;0,IF(AND(AL36&lt;=#REF!,AL36&gt;=#REF!),#REF!,0),0),"")</f>
        <v>#REF!</v>
      </c>
      <c r="E36" s="84" t="e">
        <f>IF(AJ36&lt;&gt;"",(LOOKUP(#REF!,Rates!$AE$2:$AE$4,Rates!$AD$2:$AD$4))*(H36+P36+Q36),"")</f>
        <v>#REF!</v>
      </c>
      <c r="F36" s="84" t="e">
        <f>IF(AJ36&lt;&gt;"",(LOOKUP(#REF!,Rates!$AE$2:$AE$4,Rates!$AB$2:$AB$4))*(H36+P36+Q36),"")</f>
        <v>#REF!</v>
      </c>
      <c r="G36" s="84" t="e">
        <f>IF(AJ36&lt;&gt;"",(LOOKUP(#REF!,Rates!$AE$2:$AE$4,Rates!$AC$2:$AC$4))*(H36+P36+Q36),"")</f>
        <v>#REF!</v>
      </c>
      <c r="H36" s="84" t="e">
        <f t="shared" si="0"/>
        <v>#REF!</v>
      </c>
      <c r="I36" s="84" t="e">
        <f>IF(AJ36&lt;&gt;"",LOOKUP(#REF!,Rates!$I$2:$I$7,Rates!$H$2:$H$7)*(J36+P36+Q36+AB36),"")</f>
        <v>#REF!</v>
      </c>
      <c r="J36" s="96" t="e">
        <f t="shared" si="4"/>
        <v>#REF!</v>
      </c>
      <c r="K36" s="96" t="e">
        <f t="shared" si="7"/>
        <v>#REF!</v>
      </c>
      <c r="L36" s="96" t="e">
        <f t="shared" si="8"/>
        <v>#REF!</v>
      </c>
      <c r="M36" s="96" t="e">
        <f>IF(AND(AI36&lt;&gt;"",AL36&lt;=10),(1-#REF!)*MIN(30/1000*(AF36-AF35),0.75*(AI36-AI35)),0)</f>
        <v>#REF!</v>
      </c>
      <c r="N36" s="96">
        <v>0</v>
      </c>
      <c r="O36" s="96" t="e">
        <f>IF(AJ36&lt;&gt;"",0.07*AI36*(1-#REF!),0)</f>
        <v>#REF!</v>
      </c>
      <c r="P36" s="87" t="e">
        <f t="shared" si="2"/>
        <v>#REF!</v>
      </c>
      <c r="Q36" s="87" t="e">
        <f t="shared" si="3"/>
        <v>#REF!</v>
      </c>
      <c r="R36" s="87" t="e">
        <f>IF(AJ36&lt;&gt;"",(AB36+AA36+V36+T36)*#REF!,0)</f>
        <v>#REF!</v>
      </c>
      <c r="S36" s="87" t="e">
        <f>IF(AJ36&lt;&gt;"",T36*(LOOKUP(#REF!,Rates!$O$2:$O$9,Rates!$L$2:$L$9)/100),0)</f>
        <v>#REF!</v>
      </c>
      <c r="T36" s="87" t="e">
        <f>IF(AJ36&lt;&gt;"",IF(#REF!="بله",V36*Rates!$Z$7,0),0)</f>
        <v>#REF!</v>
      </c>
      <c r="U36" s="87" t="e">
        <f>IF(AJ36&lt;&gt;"",IF(#REF!="بله",V36*(LOOKUP(#REF!,Rates!$O$2:$O$9,Rates!$L$2:$L$9)/100),V36*(LOOKUP(#REF!,Rates!$O$2:$O$9,Rates!$L$2:$L$9)/100)),0)</f>
        <v>#REF!</v>
      </c>
      <c r="V36" s="88" t="e">
        <f>IF(AND(AJ36&lt;&gt;"",AJ36&lt;=Rates!$Z$8,#REF!="بله"),AH36*(LOOKUP(AJ36,Rates!$U$2:$U$108,Rates!#REF!)),IF(AND(AK36&lt;&gt;"",AK36&lt;=Rates!$Z$8,#REF!="خیر"),AH36*(LOOKUP(AK36,Rates!$U$2:$U$108,Rates!#REF!)),0)*(1-#REF!))</f>
        <v>#REF!</v>
      </c>
      <c r="W36" s="88" t="e">
        <f>IF(AJ36&lt;&gt;"",X36*LOOKUP(#REF!,Rates!$O$2:$O$9,Rates!$M$2:$M$9)/100,0)</f>
        <v>#REF!</v>
      </c>
      <c r="X36" s="88" t="e">
        <f>IF(AJ36&lt;=Rates!$Z$4,0.0008*AF36*#REF!,0)</f>
        <v>#REF!</v>
      </c>
      <c r="Y36" s="88" t="e">
        <f>IF(AJ36&lt;&gt;"",Z36*(LOOKUP(#REF!,Rates!$O$2:$O$9,Rates!$N$2:$N$9/100)),0)</f>
        <v>#REF!</v>
      </c>
      <c r="Z36" s="87" t="e">
        <f>IF(AND(AJ36&lt;=(Rates!$Z$3),AD36&lt;&gt;""),(1-#REF!)*0.0008*AF36*#REF!,0)</f>
        <v>#REF!</v>
      </c>
      <c r="AA36" s="87" t="e">
        <f>IF(AJ36&lt;=60,(LOOKUP(AJ36,Rates!$U$2:$U$108,Rates!#REF!))*AC36/1000000*(1-#REF!),0)</f>
        <v>#REF!</v>
      </c>
      <c r="AB36" s="84" t="e">
        <f>IF(AJ36&lt;&gt;"",(AF36*LOOKUP(AJ36,Rates!$U$2:$U$108,Rates!$T$2:$T$108))/SQRT(1+IF(AL36&lt;=10,Rates!$Z$5,Rates!$Z$6)),"")</f>
        <v>#REF!</v>
      </c>
      <c r="AC36" s="89" t="e">
        <f>IF(AND(AJ36&lt;&gt;"",AJ36&lt;=Rates!$Z$2),MIN(0.5*AF36,300000000,AC35*(1+#REF!)),"")</f>
        <v>#REF!</v>
      </c>
      <c r="AD36" s="89" t="e">
        <f>IF(AND(AJ36&lt;&gt;"",AJ36&lt;=60),AF36*#REF!,"")</f>
        <v>#REF!</v>
      </c>
      <c r="AE36" s="109" t="e">
        <f>IF(AND(AJ36&lt;&gt;"",AJ36&lt;=70),AF36*(1+#REF!),"")</f>
        <v>#REF!</v>
      </c>
      <c r="AF36" s="109" t="e">
        <f>IF(AJ36&lt;&gt;"",AF35*(1+#REF!),"")</f>
        <v>#REF!</v>
      </c>
      <c r="AG36" s="92" t="e">
        <f t="shared" si="6"/>
        <v>#REF!</v>
      </c>
      <c r="AH36" s="83" t="e">
        <f>IF(AJ36&lt;&gt;"",AI36*Rates!$Z$9,"")</f>
        <v>#REF!</v>
      </c>
      <c r="AI36" s="92" t="e">
        <f>IF(AJ36&lt;&gt;"",AI35*(1+#REF!),"")</f>
        <v>#REF!</v>
      </c>
      <c r="AJ36" s="98" t="e">
        <f>IF(AL36&lt;&gt;"",#REF!+AL36-1,"")</f>
        <v>#REF!</v>
      </c>
      <c r="AK36" s="107" t="e">
        <f>IF(AL36&lt;&gt;"",#REF!+AL36-1,"")</f>
        <v>#REF!</v>
      </c>
      <c r="AL36" s="110" t="e">
        <f>IF(AL35&lt;&gt;"",IF(AL35+1&lt;=#REF!,AL35+1,""),"")</f>
        <v>#REF!</v>
      </c>
    </row>
    <row r="37" spans="1:38" ht="17.25" x14ac:dyDescent="0.25">
      <c r="A37" s="84" t="e">
        <f>IF(AJ37&lt;&gt;"",D37+D37*(IF(AL37&gt;4,0.1,LOOKUP(#REF!,Rates!$D$2:$D$4,Rates!$C$2:$C$4))+0.85*(#REF!-(IF(AL37&gt;4,0.1,LOOKUP(#REF!,Rates!$D$2:$D$4,Rates!$C$2:$C$4)))))*LOOKUP(#REF!,Rates!$I$2:$I$7,Rates!$G$2:$G$7)+A36*(1+IF(AL37&gt;4,0.1,LOOKUP(#REF!,Rates!$D$2:$D$4,Rates!$C$2:$C$4))+0.85*(#REF!-IF(AL37&gt;4,0.1,LOOKUP(#REF!,Rates!$D$2:$D$4,Rates!$C$2:$C$4)))),"")</f>
        <v>#REF!</v>
      </c>
      <c r="B37" s="84" t="e">
        <f>IF(AJ37&lt;&gt;"",IF(AL37&gt;=8,C37,C37*LOOKUP(AL37,Rates!$AH$2:$AH$8,Rates!$AG$2:$AG$8)),"")</f>
        <v>#REF!</v>
      </c>
      <c r="C37" s="84" t="e">
        <f>IF(AJ37&lt;&gt;"",D37*(1+IF(AL37&gt;4,0.1,LOOKUP(#REF!,Rates!$D$2:$D$5,Rates!$B$2:$B$5))*LOOKUP(#REF!,Rates!$I$2:$I$7,Rates!$G$2:$G$7))+C36*(1+IF(AL37&gt;4,0.1,LOOKUP(#REF!,Rates!$D$2:$D$5,Rates!$B$2:$B$5))),"")</f>
        <v>#REF!</v>
      </c>
      <c r="D37" s="84" t="e">
        <f>IF(AJ37&lt;&gt;"",AI37-(H37+G37+F37+E37+P37+Q37)+IF(#REF!&gt;0,IF(AND(AL37&lt;=#REF!,AL37&gt;=#REF!),#REF!,0),0),"")</f>
        <v>#REF!</v>
      </c>
      <c r="E37" s="84" t="e">
        <f>IF(AJ37&lt;&gt;"",(LOOKUP(#REF!,Rates!$AE$2:$AE$4,Rates!$AD$2:$AD$4))*(H37+P37+Q37),"")</f>
        <v>#REF!</v>
      </c>
      <c r="F37" s="84" t="e">
        <f>IF(AJ37&lt;&gt;"",(LOOKUP(#REF!,Rates!$AE$2:$AE$4,Rates!$AB$2:$AB$4))*(H37+P37+Q37),"")</f>
        <v>#REF!</v>
      </c>
      <c r="G37" s="84" t="e">
        <f>IF(AJ37&lt;&gt;"",(LOOKUP(#REF!,Rates!$AE$2:$AE$4,Rates!$AC$2:$AC$4))*(H37+P37+Q37),"")</f>
        <v>#REF!</v>
      </c>
      <c r="H37" s="84" t="e">
        <f t="shared" si="0"/>
        <v>#REF!</v>
      </c>
      <c r="I37" s="84" t="e">
        <f>IF(AJ37&lt;&gt;"",LOOKUP(#REF!,Rates!$I$2:$I$7,Rates!$H$2:$H$7)*(J37+P37+Q37+AB37),"")</f>
        <v>#REF!</v>
      </c>
      <c r="J37" s="96" t="e">
        <f t="shared" si="4"/>
        <v>#REF!</v>
      </c>
      <c r="K37" s="96" t="e">
        <f t="shared" si="7"/>
        <v>#REF!</v>
      </c>
      <c r="L37" s="96" t="e">
        <f t="shared" si="8"/>
        <v>#REF!</v>
      </c>
      <c r="M37" s="96" t="e">
        <f>IF(AND(AI37&lt;&gt;"",AL37&lt;=10),(1-#REF!)*MIN(30/1000*(AF37-AF36),0.75*(AI37-AI36)),0)</f>
        <v>#REF!</v>
      </c>
      <c r="N37" s="96">
        <v>0</v>
      </c>
      <c r="O37" s="96" t="e">
        <f>IF(AJ37&lt;&gt;"",0.07*AI37*(1-#REF!),0)</f>
        <v>#REF!</v>
      </c>
      <c r="P37" s="87" t="e">
        <f t="shared" si="2"/>
        <v>#REF!</v>
      </c>
      <c r="Q37" s="87" t="e">
        <f t="shared" si="3"/>
        <v>#REF!</v>
      </c>
      <c r="R37" s="87" t="e">
        <f>IF(AJ37&lt;&gt;"",(AB37+AA37+V37+T37)*#REF!,0)</f>
        <v>#REF!</v>
      </c>
      <c r="S37" s="87" t="e">
        <f>IF(AJ37&lt;&gt;"",T37*(LOOKUP(#REF!,Rates!$O$2:$O$9,Rates!$L$2:$L$9)/100),0)</f>
        <v>#REF!</v>
      </c>
      <c r="T37" s="87" t="e">
        <f>IF(AJ37&lt;&gt;"",IF(#REF!="بله",V37*Rates!$Z$7,0),0)</f>
        <v>#REF!</v>
      </c>
      <c r="U37" s="87" t="e">
        <f>IF(AJ37&lt;&gt;"",IF(#REF!="بله",V37*(LOOKUP(#REF!,Rates!$O$2:$O$9,Rates!$L$2:$L$9)/100),V37*(LOOKUP(#REF!,Rates!$O$2:$O$9,Rates!$L$2:$L$9)/100)),0)</f>
        <v>#REF!</v>
      </c>
      <c r="V37" s="88" t="e">
        <f>IF(AND(AJ37&lt;&gt;"",AJ37&lt;=Rates!$Z$8,#REF!="بله"),AH37*(LOOKUP(AJ37,Rates!$U$2:$U$108,Rates!#REF!)),IF(AND(AK37&lt;&gt;"",AK37&lt;=Rates!$Z$8,#REF!="خیر"),AH37*(LOOKUP(AK37,Rates!$U$2:$U$108,Rates!#REF!)),0)*(1-#REF!))</f>
        <v>#REF!</v>
      </c>
      <c r="W37" s="88" t="e">
        <f>IF(AJ37&lt;&gt;"",X37*LOOKUP(#REF!,Rates!$O$2:$O$9,Rates!$M$2:$M$9)/100,0)</f>
        <v>#REF!</v>
      </c>
      <c r="X37" s="88" t="e">
        <f>IF(AJ37&lt;=Rates!$Z$4,0.0008*AF37*#REF!,0)</f>
        <v>#REF!</v>
      </c>
      <c r="Y37" s="88" t="e">
        <f>IF(AJ37&lt;&gt;"",Z37*(LOOKUP(#REF!,Rates!$O$2:$O$9,Rates!$N$2:$N$9/100)),0)</f>
        <v>#REF!</v>
      </c>
      <c r="Z37" s="87" t="e">
        <f>IF(AND(AJ37&lt;=(Rates!$Z$3),AD37&lt;&gt;""),(1-#REF!)*0.0008*AF37*#REF!,0)</f>
        <v>#REF!</v>
      </c>
      <c r="AA37" s="87" t="e">
        <f>IF(AJ37&lt;=60,(LOOKUP(AJ37,Rates!$U$2:$U$108,Rates!#REF!))*AC37/1000000*(1-#REF!),0)</f>
        <v>#REF!</v>
      </c>
      <c r="AB37" s="84" t="e">
        <f>IF(AJ37&lt;&gt;"",(AF37*LOOKUP(AJ37,Rates!$U$2:$U$108,Rates!$T$2:$T$108))/SQRT(1+IF(AL37&lt;=10,Rates!$Z$5,Rates!$Z$6)),"")</f>
        <v>#REF!</v>
      </c>
      <c r="AC37" s="89" t="e">
        <f>IF(AND(AJ37&lt;&gt;"",AJ37&lt;=Rates!$Z$2),MIN(0.5*AF37,300000000,AC36*(1+#REF!)),"")</f>
        <v>#REF!</v>
      </c>
      <c r="AD37" s="89" t="e">
        <f>IF(AND(AJ37&lt;&gt;"",AJ37&lt;=60),AF37*#REF!,"")</f>
        <v>#REF!</v>
      </c>
      <c r="AE37" s="109" t="e">
        <f>IF(AND(AJ37&lt;&gt;"",AJ37&lt;=70),AF37*(1+#REF!),"")</f>
        <v>#REF!</v>
      </c>
      <c r="AF37" s="109" t="e">
        <f>IF(AJ37&lt;&gt;"",AF36*(1+#REF!),"")</f>
        <v>#REF!</v>
      </c>
      <c r="AG37" s="92" t="e">
        <f t="shared" si="6"/>
        <v>#REF!</v>
      </c>
      <c r="AH37" s="83" t="e">
        <f>IF(AJ37&lt;&gt;"",AI37*Rates!$Z$9,"")</f>
        <v>#REF!</v>
      </c>
      <c r="AI37" s="92" t="e">
        <f>IF(AJ37&lt;&gt;"",AI36*(1+#REF!),"")</f>
        <v>#REF!</v>
      </c>
      <c r="AJ37" s="98" t="e">
        <f>IF(AL37&lt;&gt;"",#REF!+AL37-1,"")</f>
        <v>#REF!</v>
      </c>
      <c r="AK37" s="107" t="e">
        <f>IF(AL37&lt;&gt;"",#REF!+AL37-1,"")</f>
        <v>#REF!</v>
      </c>
      <c r="AL37" s="110" t="e">
        <f>IF(AL36&lt;&gt;"",IF(AL36+1&lt;=#REF!,AL36+1,""),"")</f>
        <v>#REF!</v>
      </c>
    </row>
    <row r="38" spans="1:38" ht="17.25" x14ac:dyDescent="0.25">
      <c r="A38" s="84" t="e">
        <f>IF(AJ38&lt;&gt;"",D38+D38*(IF(AL38&gt;4,0.1,LOOKUP(#REF!,Rates!$D$2:$D$4,Rates!$C$2:$C$4))+0.85*(#REF!-(IF(AL38&gt;4,0.1,LOOKUP(#REF!,Rates!$D$2:$D$4,Rates!$C$2:$C$4)))))*LOOKUP(#REF!,Rates!$I$2:$I$7,Rates!$G$2:$G$7)+A37*(1+IF(AL38&gt;4,0.1,LOOKUP(#REF!,Rates!$D$2:$D$4,Rates!$C$2:$C$4))+0.85*(#REF!-IF(AL38&gt;4,0.1,LOOKUP(#REF!,Rates!$D$2:$D$4,Rates!$C$2:$C$4)))),"")</f>
        <v>#REF!</v>
      </c>
      <c r="B38" s="84" t="e">
        <f>IF(AJ38&lt;&gt;"",IF(AL38&gt;=8,C38,C38*LOOKUP(AL38,Rates!$AH$2:$AH$8,Rates!$AG$2:$AG$8)),"")</f>
        <v>#REF!</v>
      </c>
      <c r="C38" s="84" t="e">
        <f>IF(AJ38&lt;&gt;"",D38*(1+IF(AL38&gt;4,0.1,LOOKUP(#REF!,Rates!$D$2:$D$5,Rates!$B$2:$B$5))*LOOKUP(#REF!,Rates!$I$2:$I$7,Rates!$G$2:$G$7))+C37*(1+IF(AL38&gt;4,0.1,LOOKUP(#REF!,Rates!$D$2:$D$5,Rates!$B$2:$B$5))),"")</f>
        <v>#REF!</v>
      </c>
      <c r="D38" s="84" t="e">
        <f>IF(AJ38&lt;&gt;"",AI38-(H38+G38+F38+E38+P38+Q38)+IF(#REF!&gt;0,IF(AND(AL38&lt;=#REF!,AL38&gt;=#REF!),#REF!,0),0),"")</f>
        <v>#REF!</v>
      </c>
      <c r="E38" s="84" t="e">
        <f>IF(AJ38&lt;&gt;"",(LOOKUP(#REF!,Rates!$AE$2:$AE$4,Rates!$AD$2:$AD$4))*(H38+P38+Q38),"")</f>
        <v>#REF!</v>
      </c>
      <c r="F38" s="84" t="e">
        <f>IF(AJ38&lt;&gt;"",(LOOKUP(#REF!,Rates!$AE$2:$AE$4,Rates!$AB$2:$AB$4))*(H38+P38+Q38),"")</f>
        <v>#REF!</v>
      </c>
      <c r="G38" s="84" t="e">
        <f>IF(AJ38&lt;&gt;"",(LOOKUP(#REF!,Rates!$AE$2:$AE$4,Rates!$AC$2:$AC$4))*(H38+P38+Q38),"")</f>
        <v>#REF!</v>
      </c>
      <c r="H38" s="84" t="e">
        <f t="shared" si="0"/>
        <v>#REF!</v>
      </c>
      <c r="I38" s="84" t="e">
        <f>IF(AJ38&lt;&gt;"",LOOKUP(#REF!,Rates!$I$2:$I$7,Rates!$H$2:$H$7)*(J38+P38+Q38+AB38),"")</f>
        <v>#REF!</v>
      </c>
      <c r="J38" s="96" t="e">
        <f t="shared" si="4"/>
        <v>#REF!</v>
      </c>
      <c r="K38" s="96" t="e">
        <f t="shared" si="7"/>
        <v>#REF!</v>
      </c>
      <c r="L38" s="96" t="e">
        <f t="shared" si="8"/>
        <v>#REF!</v>
      </c>
      <c r="M38" s="96" t="e">
        <f>IF(AND(AI38&lt;&gt;"",AL38&lt;=10),(1-#REF!)*MIN(30/1000*(AF38-AF37),0.75*(AI38-AI37)),0)</f>
        <v>#REF!</v>
      </c>
      <c r="N38" s="96">
        <v>0</v>
      </c>
      <c r="O38" s="96" t="e">
        <f>IF(AJ38&lt;&gt;"",0.07*AI38*(1-#REF!),0)</f>
        <v>#REF!</v>
      </c>
      <c r="P38" s="87" t="e">
        <f t="shared" si="2"/>
        <v>#REF!</v>
      </c>
      <c r="Q38" s="87" t="e">
        <f t="shared" si="3"/>
        <v>#REF!</v>
      </c>
      <c r="R38" s="87" t="e">
        <f>IF(AJ38&lt;&gt;"",(AB38+AA38+V38+T38)*#REF!,0)</f>
        <v>#REF!</v>
      </c>
      <c r="S38" s="87" t="e">
        <f>IF(AJ38&lt;&gt;"",T38*(LOOKUP(#REF!,Rates!$O$2:$O$9,Rates!$L$2:$L$9)/100),0)</f>
        <v>#REF!</v>
      </c>
      <c r="T38" s="87" t="e">
        <f>IF(AJ38&lt;&gt;"",IF(#REF!="بله",V38*Rates!$Z$7,0),0)</f>
        <v>#REF!</v>
      </c>
      <c r="U38" s="87" t="e">
        <f>IF(AJ38&lt;&gt;"",IF(#REF!="بله",V38*(LOOKUP(#REF!,Rates!$O$2:$O$9,Rates!$L$2:$L$9)/100),V38*(LOOKUP(#REF!,Rates!$O$2:$O$9,Rates!$L$2:$L$9)/100)),0)</f>
        <v>#REF!</v>
      </c>
      <c r="V38" s="88" t="e">
        <f>IF(AND(AJ38&lt;&gt;"",AJ38&lt;=Rates!$Z$8,#REF!="بله"),AH38*(LOOKUP(AJ38,Rates!$U$2:$U$108,Rates!#REF!)),IF(AND(AK38&lt;&gt;"",AK38&lt;=Rates!$Z$8,#REF!="خیر"),AH38*(LOOKUP(AK38,Rates!$U$2:$U$108,Rates!#REF!)),0)*(1-#REF!))</f>
        <v>#REF!</v>
      </c>
      <c r="W38" s="88" t="e">
        <f>IF(AJ38&lt;&gt;"",X38*LOOKUP(#REF!,Rates!$O$2:$O$9,Rates!$M$2:$M$9)/100,0)</f>
        <v>#REF!</v>
      </c>
      <c r="X38" s="88" t="e">
        <f>IF(AJ38&lt;=Rates!$Z$4,0.0008*AF38*#REF!,0)</f>
        <v>#REF!</v>
      </c>
      <c r="Y38" s="88" t="e">
        <f>IF(AJ38&lt;&gt;"",Z38*(LOOKUP(#REF!,Rates!$O$2:$O$9,Rates!$N$2:$N$9/100)),0)</f>
        <v>#REF!</v>
      </c>
      <c r="Z38" s="87" t="e">
        <f>IF(AND(AJ38&lt;=(Rates!$Z$3),AD38&lt;&gt;""),(1-#REF!)*0.0008*AF38*#REF!,0)</f>
        <v>#REF!</v>
      </c>
      <c r="AA38" s="87" t="e">
        <f>IF(AJ38&lt;=60,(LOOKUP(AJ38,Rates!$U$2:$U$108,Rates!#REF!))*AC38/1000000*(1-#REF!),0)</f>
        <v>#REF!</v>
      </c>
      <c r="AB38" s="84" t="e">
        <f>IF(AJ38&lt;&gt;"",(AF38*LOOKUP(AJ38,Rates!$U$2:$U$108,Rates!$T$2:$T$108))/SQRT(1+IF(AL38&lt;=10,Rates!$Z$5,Rates!$Z$6)),"")</f>
        <v>#REF!</v>
      </c>
      <c r="AC38" s="89" t="e">
        <f>IF(AND(AJ38&lt;&gt;"",AJ38&lt;=Rates!$Z$2),MIN(0.5*AF38,300000000,AC37*(1+#REF!)),"")</f>
        <v>#REF!</v>
      </c>
      <c r="AD38" s="89" t="e">
        <f>IF(AND(AJ38&lt;&gt;"",AJ38&lt;=60),AF38*#REF!,"")</f>
        <v>#REF!</v>
      </c>
      <c r="AE38" s="109" t="e">
        <f>IF(AND(AJ38&lt;&gt;"",AJ38&lt;=70),AF38*(1+#REF!),"")</f>
        <v>#REF!</v>
      </c>
      <c r="AF38" s="109" t="e">
        <f>IF(AJ38&lt;&gt;"",AF37*(1+#REF!),"")</f>
        <v>#REF!</v>
      </c>
      <c r="AG38" s="92" t="e">
        <f t="shared" si="6"/>
        <v>#REF!</v>
      </c>
      <c r="AH38" s="83" t="e">
        <f>IF(AJ38&lt;&gt;"",AI38*Rates!$Z$9,"")</f>
        <v>#REF!</v>
      </c>
      <c r="AI38" s="92" t="e">
        <f>IF(AJ38&lt;&gt;"",AI37*(1+#REF!),"")</f>
        <v>#REF!</v>
      </c>
      <c r="AJ38" s="98" t="e">
        <f>IF(AL38&lt;&gt;"",#REF!+AL38-1,"")</f>
        <v>#REF!</v>
      </c>
      <c r="AK38" s="107" t="e">
        <f>IF(AL38&lt;&gt;"",#REF!+AL38-1,"")</f>
        <v>#REF!</v>
      </c>
      <c r="AL38" s="110" t="e">
        <f>IF(AL37&lt;&gt;"",IF(AL37+1&lt;=#REF!,AL37+1,""),"")</f>
        <v>#REF!</v>
      </c>
    </row>
    <row r="39" spans="1:38" ht="17.25" x14ac:dyDescent="0.25">
      <c r="A39" s="84" t="e">
        <f>IF(AJ39&lt;&gt;"",D39+D39*(IF(AL39&gt;4,0.1,LOOKUP(#REF!,Rates!$D$2:$D$4,Rates!$C$2:$C$4))+0.85*(#REF!-(IF(AL39&gt;4,0.1,LOOKUP(#REF!,Rates!$D$2:$D$4,Rates!$C$2:$C$4)))))*LOOKUP(#REF!,Rates!$I$2:$I$7,Rates!$G$2:$G$7)+A38*(1+IF(AL39&gt;4,0.1,LOOKUP(#REF!,Rates!$D$2:$D$4,Rates!$C$2:$C$4))+0.85*(#REF!-IF(AL39&gt;4,0.1,LOOKUP(#REF!,Rates!$D$2:$D$4,Rates!$C$2:$C$4)))),"")</f>
        <v>#REF!</v>
      </c>
      <c r="B39" s="84" t="e">
        <f>IF(AJ39&lt;&gt;"",IF(AL39&gt;=8,C39,C39*LOOKUP(AL39,Rates!$AH$2:$AH$8,Rates!$AG$2:$AG$8)),"")</f>
        <v>#REF!</v>
      </c>
      <c r="C39" s="84" t="e">
        <f>IF(AJ39&lt;&gt;"",D39*(1+IF(AL39&gt;4,0.1,LOOKUP(#REF!,Rates!$D$2:$D$5,Rates!$B$2:$B$5))*LOOKUP(#REF!,Rates!$I$2:$I$7,Rates!$G$2:$G$7))+C38*(1+IF(AL39&gt;4,0.1,LOOKUP(#REF!,Rates!$D$2:$D$5,Rates!$B$2:$B$5))),"")</f>
        <v>#REF!</v>
      </c>
      <c r="D39" s="84" t="e">
        <f>IF(AJ39&lt;&gt;"",AI39-(H39+G39+F39+E39+P39+Q39)+IF(#REF!&gt;0,IF(AND(AL39&lt;=#REF!,AL39&gt;=#REF!),#REF!,0),0),"")</f>
        <v>#REF!</v>
      </c>
      <c r="E39" s="84" t="e">
        <f>IF(AJ39&lt;&gt;"",(LOOKUP(#REF!,Rates!$AE$2:$AE$4,Rates!$AD$2:$AD$4))*(H39+P39+Q39),"")</f>
        <v>#REF!</v>
      </c>
      <c r="F39" s="84" t="e">
        <f>IF(AJ39&lt;&gt;"",(LOOKUP(#REF!,Rates!$AE$2:$AE$4,Rates!$AB$2:$AB$4))*(H39+P39+Q39),"")</f>
        <v>#REF!</v>
      </c>
      <c r="G39" s="84" t="e">
        <f>IF(AJ39&lt;&gt;"",(LOOKUP(#REF!,Rates!$AE$2:$AE$4,Rates!$AC$2:$AC$4))*(H39+P39+Q39),"")</f>
        <v>#REF!</v>
      </c>
      <c r="H39" s="84" t="e">
        <f t="shared" si="0"/>
        <v>#REF!</v>
      </c>
      <c r="I39" s="84" t="e">
        <f>IF(AJ39&lt;&gt;"",LOOKUP(#REF!,Rates!$I$2:$I$7,Rates!$H$2:$H$7)*(J39+P39+Q39+AB39),"")</f>
        <v>#REF!</v>
      </c>
      <c r="J39" s="96" t="e">
        <f>IF(L39="",0,L39)+IF(N39="",0,N39)+IF(O39="",0,O39)</f>
        <v>#REF!</v>
      </c>
      <c r="K39" s="96" t="e">
        <f t="shared" si="7"/>
        <v>#REF!</v>
      </c>
      <c r="L39" s="96" t="e">
        <f t="shared" si="8"/>
        <v>#REF!</v>
      </c>
      <c r="M39" s="96" t="e">
        <f>IF(AND(AI39&lt;&gt;"",AL39&lt;=10),(1-#REF!)*MIN(30/1000*(AF39-AF38),0.75*(AI39-AI38)),0)</f>
        <v>#REF!</v>
      </c>
      <c r="N39" s="96">
        <v>0</v>
      </c>
      <c r="O39" s="96" t="e">
        <f>IF(AJ39&lt;&gt;"",0.07*AI39*(1-#REF!),0)</f>
        <v>#REF!</v>
      </c>
      <c r="P39" s="87" t="e">
        <f t="shared" si="2"/>
        <v>#REF!</v>
      </c>
      <c r="Q39" s="87" t="e">
        <f t="shared" si="3"/>
        <v>#REF!</v>
      </c>
      <c r="R39" s="87" t="e">
        <f>IF(AJ39&lt;&gt;"",(AB39+AA39+V39+T39)*#REF!,0)</f>
        <v>#REF!</v>
      </c>
      <c r="S39" s="87" t="e">
        <f>IF(AJ39&lt;&gt;"",T39*(LOOKUP(#REF!,Rates!$O$2:$O$9,Rates!$L$2:$L$9)/100),0)</f>
        <v>#REF!</v>
      </c>
      <c r="T39" s="87" t="e">
        <f>IF(AJ39&lt;&gt;"",IF(#REF!="بله",V39*Rates!$Z$7,0),0)</f>
        <v>#REF!</v>
      </c>
      <c r="U39" s="87" t="e">
        <f>IF(AJ39&lt;&gt;"",IF(#REF!="بله",V39*(LOOKUP(#REF!,Rates!$O$2:$O$9,Rates!$L$2:$L$9)/100),V39*(LOOKUP(#REF!,Rates!$O$2:$O$9,Rates!$L$2:$L$9)/100)),0)</f>
        <v>#REF!</v>
      </c>
      <c r="V39" s="88" t="e">
        <f>IF(AND(AJ39&lt;&gt;"",AJ39&lt;=Rates!$Z$8,#REF!="بله"),AH39*(LOOKUP(AJ39,Rates!$U$2:$U$108,Rates!#REF!)),IF(AND(AK39&lt;&gt;"",AK39&lt;=Rates!$Z$8,#REF!="خیر"),AH39*(LOOKUP(AK39,Rates!$U$2:$U$108,Rates!#REF!)),0)*(1-#REF!))</f>
        <v>#REF!</v>
      </c>
      <c r="W39" s="88" t="e">
        <f>IF(AJ39&lt;&gt;"",X39*LOOKUP(#REF!,Rates!$O$2:$O$9,Rates!$M$2:$M$9)/100,0)</f>
        <v>#REF!</v>
      </c>
      <c r="X39" s="88" t="e">
        <f>IF(AJ39&lt;=Rates!$Z$4,0.0008*AF39*#REF!,0)</f>
        <v>#REF!</v>
      </c>
      <c r="Y39" s="88" t="e">
        <f>IF(AJ39&lt;&gt;"",Z39*(LOOKUP(#REF!,Rates!$O$2:$O$9,Rates!$N$2:$N$9/100)),0)</f>
        <v>#REF!</v>
      </c>
      <c r="Z39" s="87" t="e">
        <f>IF(AND(AJ39&lt;=(Rates!$Z$3),AD39&lt;&gt;""),(1-#REF!)*0.0008*AF39*#REF!,0)</f>
        <v>#REF!</v>
      </c>
      <c r="AA39" s="87" t="e">
        <f>IF(AJ39&lt;=60,(LOOKUP(AJ39,Rates!$U$2:$U$108,Rates!#REF!))*AC39/1000000*(1-#REF!),0)</f>
        <v>#REF!</v>
      </c>
      <c r="AB39" s="84" t="e">
        <f>IF(AJ39&lt;&gt;"",(AF39*LOOKUP(AJ39,Rates!$U$2:$U$108,Rates!$T$2:$T$108))/SQRT(1+IF(AL39&lt;=10,Rates!$Z$5,Rates!$Z$6)),"")</f>
        <v>#REF!</v>
      </c>
      <c r="AC39" s="89" t="e">
        <f>IF(AND(AJ39&lt;&gt;"",AJ39&lt;=Rates!$Z$2),MIN(0.5*AF39,300000000,AC38*(1+#REF!)),"")</f>
        <v>#REF!</v>
      </c>
      <c r="AD39" s="89" t="e">
        <f>IF(AND(AJ39&lt;&gt;"",AJ39&lt;=60),AF39*#REF!,"")</f>
        <v>#REF!</v>
      </c>
      <c r="AE39" s="109" t="e">
        <f>IF(AND(AJ39&lt;&gt;"",AJ39&lt;=70),AF39*(1+#REF!),"")</f>
        <v>#REF!</v>
      </c>
      <c r="AF39" s="109" t="e">
        <f>IF(AJ39&lt;&gt;"",AF38*(1+#REF!),"")</f>
        <v>#REF!</v>
      </c>
      <c r="AG39" s="92" t="e">
        <f t="shared" si="6"/>
        <v>#REF!</v>
      </c>
      <c r="AH39" s="83" t="e">
        <f>IF(AJ39&lt;&gt;"",AI39*Rates!$Z$9,"")</f>
        <v>#REF!</v>
      </c>
      <c r="AI39" s="92" t="e">
        <f>IF(AJ39&lt;&gt;"",AI38*(1+#REF!),"")</f>
        <v>#REF!</v>
      </c>
      <c r="AJ39" s="98" t="e">
        <f>IF(AL39&lt;&gt;"",#REF!+AL39-1,"")</f>
        <v>#REF!</v>
      </c>
      <c r="AK39" s="107" t="e">
        <f>IF(AL39&lt;&gt;"",#REF!+AL39-1,"")</f>
        <v>#REF!</v>
      </c>
      <c r="AL39" s="110" t="e">
        <f>IF(AL38&lt;&gt;"",IF(AL38+1&lt;=#REF!,AL38+1,""),"")</f>
        <v>#REF!</v>
      </c>
    </row>
    <row r="40" spans="1:38" ht="17.25" x14ac:dyDescent="0.25">
      <c r="A40" s="84" t="e">
        <f>IF(AJ40&lt;&gt;"",D40+D40*(IF(AL40&gt;4,0.1,LOOKUP(#REF!,Rates!$D$2:$D$4,Rates!$C$2:$C$4))+0.85*(#REF!-(IF(AL40&gt;4,0.1,LOOKUP(#REF!,Rates!$D$2:$D$4,Rates!$C$2:$C$4)))))*LOOKUP(#REF!,Rates!$I$2:$I$7,Rates!$G$2:$G$7)+A39*(1+IF(AL40&gt;4,0.1,LOOKUP(#REF!,Rates!$D$2:$D$4,Rates!$C$2:$C$4))+0.85*(#REF!-IF(AL40&gt;4,0.1,LOOKUP(#REF!,Rates!$D$2:$D$4,Rates!$C$2:$C$4)))),"")</f>
        <v>#REF!</v>
      </c>
      <c r="B40" s="84" t="e">
        <f>IF(AJ40&lt;&gt;"",IF(AL40&gt;=8,C40,C40*LOOKUP(AL40,Rates!$AH$2:$AH$8,Rates!$AG$2:$AG$8)),"")</f>
        <v>#REF!</v>
      </c>
      <c r="C40" s="84" t="e">
        <f>IF(AJ40&lt;&gt;"",D40*(1+IF(AL40&gt;4,0.1,LOOKUP(#REF!,Rates!$D$2:$D$5,Rates!$B$2:$B$5))*LOOKUP(#REF!,Rates!$I$2:$I$7,Rates!$G$2:$G$7))+C39*(1+IF(AL40&gt;4,0.1,LOOKUP(#REF!,Rates!$D$2:$D$5,Rates!$B$2:$B$5))),"")</f>
        <v>#REF!</v>
      </c>
      <c r="D40" s="84" t="e">
        <f>IF(AJ40&lt;&gt;"",AI40-(H40+G40+F40+E40+P40+Q40)+IF(#REF!&gt;0,IF(AND(AL40&lt;=#REF!,AL40&gt;=#REF!),#REF!,0),0),"")</f>
        <v>#REF!</v>
      </c>
      <c r="E40" s="84" t="e">
        <f>IF(AJ40&lt;&gt;"",(LOOKUP(#REF!,Rates!$AE$2:$AE$4,Rates!$AD$2:$AD$4))*(H40+P40+Q40),"")</f>
        <v>#REF!</v>
      </c>
      <c r="F40" s="84" t="e">
        <f>IF(AJ40&lt;&gt;"",(LOOKUP(#REF!,Rates!$AE$2:$AE$4,Rates!$AB$2:$AB$4))*(H40+P40+Q40),"")</f>
        <v>#REF!</v>
      </c>
      <c r="G40" s="84" t="e">
        <f>IF(AJ40&lt;&gt;"",(LOOKUP(#REF!,Rates!$AE$2:$AE$4,Rates!$AC$2:$AC$4))*(H40+P40+Q40),"")</f>
        <v>#REF!</v>
      </c>
      <c r="H40" s="84" t="e">
        <f t="shared" si="0"/>
        <v>#REF!</v>
      </c>
      <c r="I40" s="84" t="e">
        <f>IF(AJ40&lt;&gt;"",LOOKUP(#REF!,Rates!$I$2:$I$7,Rates!$H$2:$H$7)*(J40+P40+Q40+AB40),"")</f>
        <v>#REF!</v>
      </c>
      <c r="J40" s="96" t="e">
        <f t="shared" ref="J40:J71" si="9">IF(L40="",0,L40)+IF(N40="",0,N40)+IF(O40="",0,O40)</f>
        <v>#REF!</v>
      </c>
      <c r="K40" s="96" t="e">
        <f t="shared" si="7"/>
        <v>#REF!</v>
      </c>
      <c r="L40" s="96" t="e">
        <f t="shared" si="8"/>
        <v>#REF!</v>
      </c>
      <c r="M40" s="96" t="e">
        <f>IF(#REF!&lt;&gt;"",(1-#REF!)*IF(MIN(30/1000*$AF$2,0.75*#REF!)=30/1000*AF39,30/1000*(AF40-AF39),0.75*(#REF!-#REF!)),"")</f>
        <v>#REF!</v>
      </c>
      <c r="N40" s="96">
        <v>0</v>
      </c>
      <c r="O40" s="96" t="e">
        <f>IF(AJ40&lt;&gt;"",0.07*AI40*(1-#REF!),0)</f>
        <v>#REF!</v>
      </c>
      <c r="P40" s="87" t="e">
        <f t="shared" si="2"/>
        <v>#REF!</v>
      </c>
      <c r="Q40" s="87" t="e">
        <f t="shared" si="3"/>
        <v>#REF!</v>
      </c>
      <c r="R40" s="87" t="e">
        <f>IF(AJ40&lt;&gt;"",(AB40+AA40+V40+T40)*#REF!,0)</f>
        <v>#REF!</v>
      </c>
      <c r="S40" s="87" t="e">
        <f>IF(AJ40&lt;&gt;"",T40*(LOOKUP(#REF!,Rates!$O$2:$O$9,Rates!$L$2:$L$9)/100),0)</f>
        <v>#REF!</v>
      </c>
      <c r="T40" s="87" t="e">
        <f>IF(AJ40&lt;&gt;"",IF(#REF!="بله",V40*Rates!$Z$7,0),0)</f>
        <v>#REF!</v>
      </c>
      <c r="U40" s="87" t="e">
        <f>IF(AJ40&lt;&gt;"",IF(#REF!="بله",V40*(LOOKUP(#REF!,Rates!$O$2:$O$9,Rates!$L$2:$L$9)/100),V40*(LOOKUP(#REF!,Rates!$O$2:$O$9,Rates!$L$2:$L$9)/100)),0)</f>
        <v>#REF!</v>
      </c>
      <c r="V40" s="88" t="e">
        <f>IF(AND(AJ40&lt;&gt;"",AJ40&lt;=Rates!$Z$8,#REF!="بله"),AH40*(LOOKUP(AJ40,Rates!$U$2:$U$108,Rates!#REF!)),IF(AND(AK40&lt;&gt;"",AK40&lt;=Rates!$Z$8,#REF!="خیر"),AH40*(LOOKUP(AK40,Rates!$U$2:$U$108,Rates!#REF!)),0)*(1-#REF!))</f>
        <v>#REF!</v>
      </c>
      <c r="W40" s="88" t="e">
        <f>IF(AJ40&lt;&gt;"",X40*LOOKUP(#REF!,Rates!$O$2:$O$9,Rates!$M$2:$M$9)/100,0)</f>
        <v>#REF!</v>
      </c>
      <c r="X40" s="88" t="e">
        <f>IF(AJ40&lt;=Rates!$Z$4,0.0008*AF40*#REF!,0)</f>
        <v>#REF!</v>
      </c>
      <c r="Y40" s="88" t="e">
        <f>IF(AJ40&lt;&gt;"",Z40*(LOOKUP(#REF!,Rates!$O$2:$O$9,Rates!$N$2:$N$9/100)),0)</f>
        <v>#REF!</v>
      </c>
      <c r="Z40" s="87" t="e">
        <f>IF(AND(AJ40&lt;=(Rates!$Z$3),AD40&lt;&gt;""),(1-#REF!)*0.0008*AF40*#REF!,0)</f>
        <v>#REF!</v>
      </c>
      <c r="AA40" s="87" t="e">
        <f>IF(AJ40&lt;=60,(LOOKUP(AJ40,Rates!$U$2:$U$108,Rates!#REF!))*AC40/1000000*(1-#REF!),0)</f>
        <v>#REF!</v>
      </c>
      <c r="AB40" s="84" t="e">
        <f>IF(AJ40&lt;&gt;"",(AF40*LOOKUP(AJ40,Rates!$U$2:$U$108,Rates!$T$2:$T$108))/SQRT(1+IF(AL40&lt;=10,Rates!$Z$5,Rates!$Z$6)),"")</f>
        <v>#REF!</v>
      </c>
      <c r="AC40" s="89" t="e">
        <f>IF(AND(AJ40&lt;&gt;"",AJ40&lt;=Rates!$Z$2),MIN(0.5*AF40,300000000,AC39*(1+#REF!)),"")</f>
        <v>#REF!</v>
      </c>
      <c r="AD40" s="89" t="e">
        <f>IF(AND(AJ40&lt;&gt;"",AJ40&lt;=60),AF40*#REF!,"")</f>
        <v>#REF!</v>
      </c>
      <c r="AE40" s="109" t="e">
        <f>IF(AND(AJ40&lt;&gt;"",AJ40&lt;=70),AF40*(1+#REF!),"")</f>
        <v>#REF!</v>
      </c>
      <c r="AF40" s="109" t="e">
        <f>IF(AJ40&lt;&gt;"",AF39*(1+#REF!),"")</f>
        <v>#REF!</v>
      </c>
      <c r="AG40" s="92" t="e">
        <f t="shared" si="6"/>
        <v>#REF!</v>
      </c>
      <c r="AH40" s="83" t="e">
        <f>IF(AJ40&lt;&gt;"",AI40*Rates!$Z$9,"")</f>
        <v>#REF!</v>
      </c>
      <c r="AI40" s="92" t="e">
        <f>IF(AJ40&lt;&gt;"",AI39*(1+#REF!),"")</f>
        <v>#REF!</v>
      </c>
      <c r="AJ40" s="98" t="e">
        <f>IF(AL40&lt;&gt;"",#REF!+AL40-1,"")</f>
        <v>#REF!</v>
      </c>
      <c r="AK40" s="107" t="e">
        <f>IF(AL40&lt;&gt;"",#REF!+AL40-1,"")</f>
        <v>#REF!</v>
      </c>
      <c r="AL40" s="110" t="e">
        <f>IF(AL39&lt;&gt;"",IF(AL39+1&lt;=#REF!,AL39+1,""),"")</f>
        <v>#REF!</v>
      </c>
    </row>
    <row r="41" spans="1:38" ht="17.25" x14ac:dyDescent="0.25">
      <c r="A41" s="84" t="e">
        <f>IF(AJ41&lt;&gt;"",D41+D41*(IF(AL41&gt;4,0.1,LOOKUP(#REF!,Rates!$D$2:$D$4,Rates!$C$2:$C$4))+0.85*(#REF!-(IF(AL41&gt;4,0.1,LOOKUP(#REF!,Rates!$D$2:$D$4,Rates!$C$2:$C$4)))))*LOOKUP(#REF!,Rates!$I$2:$I$7,Rates!$G$2:$G$7)+A40*(1+IF(AL41&gt;4,0.1,LOOKUP(#REF!,Rates!$D$2:$D$4,Rates!$C$2:$C$4))+0.85*(#REF!-IF(AL41&gt;4,0.1,LOOKUP(#REF!,Rates!$D$2:$D$4,Rates!$C$2:$C$4)))),"")</f>
        <v>#REF!</v>
      </c>
      <c r="B41" s="84" t="e">
        <f>IF(AJ41&lt;&gt;"",IF(AL41&gt;=8,C41,C41*LOOKUP(AL41,Rates!$AH$2:$AH$8,Rates!$AG$2:$AG$8)),"")</f>
        <v>#REF!</v>
      </c>
      <c r="C41" s="84" t="e">
        <f>IF(AJ41&lt;&gt;"",D41*(1+IF(AL41&gt;4,0.1,LOOKUP(#REF!,Rates!$D$2:$D$5,Rates!$B$2:$B$5))*LOOKUP(#REF!,Rates!$I$2:$I$7,Rates!$G$2:$G$7))+C40*(1+IF(AL41&gt;4,0.1,LOOKUP(#REF!,Rates!$D$2:$D$5,Rates!$B$2:$B$5))),"")</f>
        <v>#REF!</v>
      </c>
      <c r="D41" s="84" t="e">
        <f>IF(AJ41&lt;&gt;"",AI41-(H41+G41+F41+E41+P41+Q41)+IF(#REF!&gt;0,IF(AND(AL41&lt;=#REF!,AL41&gt;=#REF!),#REF!,0),0),"")</f>
        <v>#REF!</v>
      </c>
      <c r="E41" s="84" t="e">
        <f>IF(AJ41&lt;&gt;"",(LOOKUP(#REF!,Rates!$AE$2:$AE$4,Rates!$AD$2:$AD$4))*(H41+P41+Q41),"")</f>
        <v>#REF!</v>
      </c>
      <c r="F41" s="84" t="e">
        <f>IF(AJ41&lt;&gt;"",(LOOKUP(#REF!,Rates!$AE$2:$AE$4,Rates!$AB$2:$AB$4))*(H41+P41+Q41),"")</f>
        <v>#REF!</v>
      </c>
      <c r="G41" s="84" t="e">
        <f>IF(AJ41&lt;&gt;"",(LOOKUP(#REF!,Rates!$AE$2:$AE$4,Rates!$AC$2:$AC$4))*(H41+P41+Q41),"")</f>
        <v>#REF!</v>
      </c>
      <c r="H41" s="84" t="e">
        <f t="shared" si="0"/>
        <v>#REF!</v>
      </c>
      <c r="I41" s="84" t="e">
        <f>IF(AJ41&lt;&gt;"",LOOKUP(#REF!,Rates!$I$2:$I$7,Rates!$H$2:$H$7)*(J41+P41+Q41+AB41),"")</f>
        <v>#REF!</v>
      </c>
      <c r="J41" s="96" t="e">
        <f t="shared" si="9"/>
        <v>#REF!</v>
      </c>
      <c r="K41" s="96" t="e">
        <f t="shared" si="7"/>
        <v>#REF!</v>
      </c>
      <c r="L41" s="96" t="e">
        <f t="shared" si="8"/>
        <v>#REF!</v>
      </c>
      <c r="M41" s="96" t="e">
        <f>IF(#REF!&lt;&gt;"",(1-#REF!)*IF(MIN(30/1000*$AF$2,0.75*#REF!)=30/1000*AF40,30/1000*(AF41-AF40),0.75*(#REF!-#REF!)),"")</f>
        <v>#REF!</v>
      </c>
      <c r="N41" s="96">
        <v>0</v>
      </c>
      <c r="O41" s="96" t="e">
        <f>IF(AJ41&lt;&gt;"",0.07*AI41*(1-#REF!),0)</f>
        <v>#REF!</v>
      </c>
      <c r="P41" s="87" t="e">
        <f t="shared" si="2"/>
        <v>#REF!</v>
      </c>
      <c r="Q41" s="87" t="e">
        <f t="shared" si="3"/>
        <v>#REF!</v>
      </c>
      <c r="R41" s="87" t="e">
        <f>IF(AJ41&lt;&gt;"",(AB41+AA41+V41+T41)*#REF!,0)</f>
        <v>#REF!</v>
      </c>
      <c r="S41" s="87" t="e">
        <f>IF(AJ41&lt;&gt;"",T41*(LOOKUP(#REF!,Rates!$O$2:$O$9,Rates!$L$2:$L$9)/100),0)</f>
        <v>#REF!</v>
      </c>
      <c r="T41" s="87" t="e">
        <f>IF(AJ41&lt;&gt;"",IF(#REF!="بله",V41*Rates!$Z$7,0),0)</f>
        <v>#REF!</v>
      </c>
      <c r="U41" s="87" t="e">
        <f>IF(AJ41&lt;&gt;"",IF(#REF!="بله",V41*(LOOKUP(#REF!,Rates!$O$2:$O$9,Rates!$L$2:$L$9)/100),V41*(LOOKUP(#REF!,Rates!$O$2:$O$9,Rates!$L$2:$L$9)/100)),0)</f>
        <v>#REF!</v>
      </c>
      <c r="V41" s="88" t="e">
        <f>IF(AND(AJ41&lt;&gt;"",AJ41&lt;=Rates!$Z$8,#REF!="بله"),AH41*(LOOKUP(AJ41,Rates!$U$2:$U$108,Rates!#REF!)),IF(AND(AK41&lt;&gt;"",AK41&lt;=Rates!$Z$8,#REF!="خیر"),AH41*(LOOKUP(AK41,Rates!$U$2:$U$108,Rates!#REF!)),0)*(1-#REF!))</f>
        <v>#REF!</v>
      </c>
      <c r="W41" s="88" t="e">
        <f>IF(AJ41&lt;&gt;"",X41*LOOKUP(#REF!,Rates!$O$2:$O$9,Rates!$M$2:$M$9)/100,0)</f>
        <v>#REF!</v>
      </c>
      <c r="X41" s="88" t="e">
        <f>IF(AJ41&lt;=Rates!$Z$4,0.0008*AF41*#REF!,0)</f>
        <v>#REF!</v>
      </c>
      <c r="Y41" s="88" t="e">
        <f>IF(AJ41&lt;&gt;"",Z41*(LOOKUP(#REF!,Rates!$O$2:$O$9,Rates!$N$2:$N$9/100)),0)</f>
        <v>#REF!</v>
      </c>
      <c r="Z41" s="87" t="e">
        <f>IF(AND(AJ41&lt;=(Rates!$Z$3),AD41&lt;&gt;""),(1-#REF!)*0.0008*AF41*#REF!,0)</f>
        <v>#REF!</v>
      </c>
      <c r="AA41" s="87" t="e">
        <f>IF(AJ41&lt;=60,(LOOKUP(AJ41,Rates!$U$2:$U$108,Rates!#REF!))*AC41/1000000*(1-#REF!),0)</f>
        <v>#REF!</v>
      </c>
      <c r="AB41" s="84" t="e">
        <f>IF(AJ41&lt;&gt;"",(AF41*LOOKUP(AJ41,Rates!$U$2:$U$108,Rates!$T$2:$T$108))/SQRT(1+IF(AL41&lt;=10,Rates!$Z$5,Rates!$Z$6)),"")</f>
        <v>#REF!</v>
      </c>
      <c r="AC41" s="89" t="e">
        <f>IF(AND(AJ41&lt;&gt;"",AJ41&lt;=Rates!$Z$2),MIN(0.5*AF41,300000000,AC40*(1+#REF!)),"")</f>
        <v>#REF!</v>
      </c>
      <c r="AD41" s="89" t="e">
        <f>IF(AND(AJ41&lt;&gt;"",AJ41&lt;=60),AF41*#REF!,"")</f>
        <v>#REF!</v>
      </c>
      <c r="AE41" s="109" t="e">
        <f>IF(AND(AJ41&lt;&gt;"",AJ41&lt;=70),AF41*(1+#REF!),"")</f>
        <v>#REF!</v>
      </c>
      <c r="AF41" s="109" t="e">
        <f>IF(AJ41&lt;&gt;"",AF40*(1+#REF!),"")</f>
        <v>#REF!</v>
      </c>
      <c r="AG41" s="92" t="e">
        <f t="shared" si="6"/>
        <v>#REF!</v>
      </c>
      <c r="AH41" s="83" t="e">
        <f>IF(AJ41&lt;&gt;"",AI41*Rates!$Z$9,"")</f>
        <v>#REF!</v>
      </c>
      <c r="AI41" s="92" t="e">
        <f>IF(AJ41&lt;&gt;"",AI40*(1+#REF!),"")</f>
        <v>#REF!</v>
      </c>
      <c r="AJ41" s="98" t="e">
        <f>IF(AL41&lt;&gt;"",#REF!+AL41-1,"")</f>
        <v>#REF!</v>
      </c>
      <c r="AK41" s="107" t="e">
        <f>IF(AL41&lt;&gt;"",#REF!+AL41-1,"")</f>
        <v>#REF!</v>
      </c>
      <c r="AL41" s="110" t="e">
        <f>IF(AL40&lt;&gt;"",IF(AL40+1&lt;=#REF!,AL40+1,""),"")</f>
        <v>#REF!</v>
      </c>
    </row>
    <row r="42" spans="1:38" ht="17.25" x14ac:dyDescent="0.25">
      <c r="A42" s="84" t="e">
        <f>IF(AJ42&lt;&gt;"",D42+D42*(IF(AL42&gt;4,0.1,LOOKUP(#REF!,Rates!$D$2:$D$4,Rates!$C$2:$C$4))+0.85*(#REF!-(IF(AL42&gt;4,0.1,LOOKUP(#REF!,Rates!$D$2:$D$4,Rates!$C$2:$C$4)))))*LOOKUP(#REF!,Rates!$I$2:$I$7,Rates!$G$2:$G$7)+A41*(1+IF(AL42&gt;4,0.1,LOOKUP(#REF!,Rates!$D$2:$D$4,Rates!$C$2:$C$4))+0.85*(#REF!-IF(AL42&gt;4,0.1,LOOKUP(#REF!,Rates!$D$2:$D$4,Rates!$C$2:$C$4)))),"")</f>
        <v>#REF!</v>
      </c>
      <c r="B42" s="84" t="e">
        <f>IF(AJ42&lt;&gt;"",IF(AL42&gt;=8,C42,C42*LOOKUP(AL42,Rates!$AH$2:$AH$8,Rates!$AG$2:$AG$8)),"")</f>
        <v>#REF!</v>
      </c>
      <c r="C42" s="84" t="e">
        <f>IF(AJ42&lt;&gt;"",D42*(1+IF(AL42&gt;4,0.1,LOOKUP(#REF!,Rates!$D$2:$D$5,Rates!$B$2:$B$5))*LOOKUP(#REF!,Rates!$I$2:$I$7,Rates!$G$2:$G$7))+C41*(1+IF(AL42&gt;4,0.1,LOOKUP(#REF!,Rates!$D$2:$D$5,Rates!$B$2:$B$5))),"")</f>
        <v>#REF!</v>
      </c>
      <c r="D42" s="84" t="e">
        <f>IF(AJ42&lt;&gt;"",AI42-(H42+G42+F42+E42+P42+Q42)+IF(#REF!&gt;0,IF(AND(AL42&lt;=#REF!,AL42&gt;=#REF!),#REF!,0),0),"")</f>
        <v>#REF!</v>
      </c>
      <c r="E42" s="84" t="e">
        <f>IF(AJ42&lt;&gt;"",(LOOKUP(#REF!,Rates!$AE$2:$AE$4,Rates!$AD$2:$AD$4))*(H42+P42+Q42),"")</f>
        <v>#REF!</v>
      </c>
      <c r="F42" s="84" t="e">
        <f>IF(AJ42&lt;&gt;"",(LOOKUP(#REF!,Rates!$AE$2:$AE$4,Rates!$AB$2:$AB$4))*(H42+P42+Q42),"")</f>
        <v>#REF!</v>
      </c>
      <c r="G42" s="84" t="e">
        <f>IF(AJ42&lt;&gt;"",(LOOKUP(#REF!,Rates!$AE$2:$AE$4,Rates!$AC$2:$AC$4))*(H42+P42+Q42),"")</f>
        <v>#REF!</v>
      </c>
      <c r="H42" s="84" t="e">
        <f t="shared" si="0"/>
        <v>#REF!</v>
      </c>
      <c r="I42" s="84" t="e">
        <f>IF(AJ42&lt;&gt;"",LOOKUP(#REF!,Rates!$I$2:$I$7,Rates!$H$2:$H$7)*(J42+P42+Q42+AB42),"")</f>
        <v>#REF!</v>
      </c>
      <c r="J42" s="96" t="e">
        <f t="shared" si="9"/>
        <v>#REF!</v>
      </c>
      <c r="K42" s="96" t="e">
        <f t="shared" si="7"/>
        <v>#REF!</v>
      </c>
      <c r="L42" s="96" t="e">
        <f t="shared" si="8"/>
        <v>#REF!</v>
      </c>
      <c r="M42" s="96" t="e">
        <f>IF(#REF!&lt;&gt;"",(1-#REF!)*IF(MIN(30/1000*$AF$2,0.75*#REF!)=30/1000*AF41,30/1000*(AF42-AF41),0.75*(#REF!-#REF!)),"")</f>
        <v>#REF!</v>
      </c>
      <c r="N42" s="96">
        <v>0</v>
      </c>
      <c r="O42" s="96" t="e">
        <f>IF(AJ42&lt;&gt;"",0.07*AI42*(1-#REF!),0)</f>
        <v>#REF!</v>
      </c>
      <c r="P42" s="87" t="e">
        <f t="shared" si="2"/>
        <v>#REF!</v>
      </c>
      <c r="Q42" s="87" t="e">
        <f t="shared" si="3"/>
        <v>#REF!</v>
      </c>
      <c r="R42" s="87" t="e">
        <f>IF(AJ42&lt;&gt;"",(AB42+AA42+V42+T42)*#REF!,0)</f>
        <v>#REF!</v>
      </c>
      <c r="S42" s="87" t="e">
        <f>IF(AJ42&lt;&gt;"",T42*(LOOKUP(#REF!,Rates!$O$2:$O$9,Rates!$L$2:$L$9)/100),0)</f>
        <v>#REF!</v>
      </c>
      <c r="T42" s="87" t="e">
        <f>IF(AJ42&lt;&gt;"",IF(#REF!="بله",V42*Rates!$Z$7,0),0)</f>
        <v>#REF!</v>
      </c>
      <c r="U42" s="87" t="e">
        <f>IF(AJ42&lt;&gt;"",IF(#REF!="بله",V42*(LOOKUP(#REF!,Rates!$O$2:$O$9,Rates!$L$2:$L$9)/100),V42*(LOOKUP(#REF!,Rates!$O$2:$O$9,Rates!$L$2:$L$9)/100)),0)</f>
        <v>#REF!</v>
      </c>
      <c r="V42" s="88" t="e">
        <f>IF(AND(AJ42&lt;&gt;"",AJ42&lt;=Rates!$Z$8,#REF!="بله"),AH42*(LOOKUP(AJ42,Rates!$U$2:$U$108,Rates!#REF!)),IF(AND(AK42&lt;&gt;"",AK42&lt;=Rates!$Z$8,#REF!="خیر"),AH42*(LOOKUP(AK42,Rates!$U$2:$U$108,Rates!#REF!)),0)*(1-#REF!))</f>
        <v>#REF!</v>
      </c>
      <c r="W42" s="88" t="e">
        <f>IF(AJ42&lt;&gt;"",X42*LOOKUP(#REF!,Rates!$O$2:$O$9,Rates!$M$2:$M$9)/100,0)</f>
        <v>#REF!</v>
      </c>
      <c r="X42" s="88" t="e">
        <f>IF(AJ42&lt;=Rates!$Z$4,0.0008*AF42*#REF!,0)</f>
        <v>#REF!</v>
      </c>
      <c r="Y42" s="88" t="e">
        <f>IF(AJ42&lt;&gt;"",Z42*(LOOKUP(#REF!,Rates!$O$2:$O$9,Rates!$N$2:$N$9/100)),0)</f>
        <v>#REF!</v>
      </c>
      <c r="Z42" s="87" t="e">
        <f>IF(AND(AJ42&lt;=(Rates!$Z$3),AD42&lt;&gt;""),(1-#REF!)*0.0008*AF42*#REF!,0)</f>
        <v>#REF!</v>
      </c>
      <c r="AA42" s="87" t="e">
        <f>IF(AJ42&lt;=60,(LOOKUP(AJ42,Rates!$U$2:$U$108,Rates!#REF!))*AC42/1000000*(1-#REF!),0)</f>
        <v>#REF!</v>
      </c>
      <c r="AB42" s="84" t="e">
        <f>IF(AJ42&lt;&gt;"",(AF42*LOOKUP(AJ42,Rates!$U$2:$U$108,Rates!$T$2:$T$108))/SQRT(1+IF(AL42&lt;=10,Rates!$Z$5,Rates!$Z$6)),"")</f>
        <v>#REF!</v>
      </c>
      <c r="AC42" s="89" t="e">
        <f>IF(AND(AJ42&lt;&gt;"",AJ42&lt;=Rates!$Z$2),MIN(0.5*AF42,300000000,AC41*(1+#REF!)),"")</f>
        <v>#REF!</v>
      </c>
      <c r="AD42" s="89" t="e">
        <f>IF(AND(AJ42&lt;&gt;"",AJ42&lt;=60),AF42*#REF!,"")</f>
        <v>#REF!</v>
      </c>
      <c r="AE42" s="109" t="e">
        <f>IF(AND(AJ42&lt;&gt;"",AJ42&lt;=70),AF42*(1+#REF!),"")</f>
        <v>#REF!</v>
      </c>
      <c r="AF42" s="109" t="e">
        <f>IF(AJ42&lt;&gt;"",AF41*(1+#REF!),"")</f>
        <v>#REF!</v>
      </c>
      <c r="AG42" s="92" t="e">
        <f t="shared" si="6"/>
        <v>#REF!</v>
      </c>
      <c r="AH42" s="83" t="e">
        <f>IF(AJ42&lt;&gt;"",AI42*Rates!$Z$9,"")</f>
        <v>#REF!</v>
      </c>
      <c r="AI42" s="92" t="e">
        <f>IF(AJ42&lt;&gt;"",AI41*(1+#REF!),"")</f>
        <v>#REF!</v>
      </c>
      <c r="AJ42" s="98" t="e">
        <f>IF(AL42&lt;&gt;"",#REF!+AL42-1,"")</f>
        <v>#REF!</v>
      </c>
      <c r="AK42" s="107" t="e">
        <f>IF(AL42&lt;&gt;"",#REF!+AL42-1,"")</f>
        <v>#REF!</v>
      </c>
      <c r="AL42" s="110" t="e">
        <f>IF(AL41&lt;&gt;"",IF(AL41+1&lt;=#REF!,AL41+1,""),"")</f>
        <v>#REF!</v>
      </c>
    </row>
    <row r="43" spans="1:38" ht="17.25" x14ac:dyDescent="0.25">
      <c r="A43" s="84" t="e">
        <f>IF(AJ43&lt;&gt;"",D43+D43*(IF(AL43&gt;4,0.1,LOOKUP(#REF!,Rates!$D$2:$D$4,Rates!$C$2:$C$4))+0.85*(#REF!-(IF(AL43&gt;4,0.1,LOOKUP(#REF!,Rates!$D$2:$D$4,Rates!$C$2:$C$4)))))*LOOKUP(#REF!,Rates!$I$2:$I$7,Rates!$G$2:$G$7)+A42*(1+IF(AL43&gt;4,0.1,LOOKUP(#REF!,Rates!$D$2:$D$4,Rates!$C$2:$C$4))+0.85*(#REF!-IF(AL43&gt;4,0.1,LOOKUP(#REF!,Rates!$D$2:$D$4,Rates!$C$2:$C$4)))),"")</f>
        <v>#REF!</v>
      </c>
      <c r="B43" s="84" t="e">
        <f>IF(AJ43&lt;&gt;"",IF(AL43&gt;=8,C43,C43*LOOKUP(AL43,Rates!$AH$2:$AH$8,Rates!$AG$2:$AG$8)),"")</f>
        <v>#REF!</v>
      </c>
      <c r="C43" s="84" t="e">
        <f>IF(AJ43&lt;&gt;"",D43*(1+IF(AL43&gt;4,0.1,LOOKUP(#REF!,Rates!$D$2:$D$5,Rates!$B$2:$B$5))*LOOKUP(#REF!,Rates!$I$2:$I$7,Rates!$G$2:$G$7))+C42*(1+IF(AL43&gt;4,0.1,LOOKUP(#REF!,Rates!$D$2:$D$5,Rates!$B$2:$B$5))),"")</f>
        <v>#REF!</v>
      </c>
      <c r="D43" s="84" t="e">
        <f>IF(AJ43&lt;&gt;"",AI43-(H43+G43+F43+E43+P43+Q43)+IF(#REF!&gt;0,IF(AND(AL43&lt;=#REF!,AL43&gt;=#REF!),#REF!,0),0),"")</f>
        <v>#REF!</v>
      </c>
      <c r="E43" s="84" t="e">
        <f>IF(AJ43&lt;&gt;"",(LOOKUP(#REF!,Rates!$AE$2:$AE$4,Rates!$AD$2:$AD$4))*(H43+P43+Q43),"")</f>
        <v>#REF!</v>
      </c>
      <c r="F43" s="84" t="e">
        <f>IF(AJ43&lt;&gt;"",(LOOKUP(#REF!,Rates!$AE$2:$AE$4,Rates!$AB$2:$AB$4))*(H43+P43+Q43),"")</f>
        <v>#REF!</v>
      </c>
      <c r="G43" s="84" t="e">
        <f>IF(AJ43&lt;&gt;"",(LOOKUP(#REF!,Rates!$AE$2:$AE$4,Rates!$AC$2:$AC$4))*(H43+P43+Q43),"")</f>
        <v>#REF!</v>
      </c>
      <c r="H43" s="84" t="e">
        <f t="shared" si="0"/>
        <v>#REF!</v>
      </c>
      <c r="I43" s="84" t="e">
        <f>IF(AJ43&lt;&gt;"",LOOKUP(#REF!,Rates!$I$2:$I$7,Rates!$H$2:$H$7)*(J43+P43+Q43+AB43),"")</f>
        <v>#REF!</v>
      </c>
      <c r="J43" s="96" t="e">
        <f t="shared" si="9"/>
        <v>#REF!</v>
      </c>
      <c r="K43" s="96" t="e">
        <f t="shared" si="7"/>
        <v>#REF!</v>
      </c>
      <c r="L43" s="96" t="e">
        <f t="shared" si="8"/>
        <v>#REF!</v>
      </c>
      <c r="M43" s="96" t="e">
        <f>IF(#REF!&lt;&gt;"",(1-#REF!)*IF(MIN(30/1000*$AF$2,0.75*#REF!)=30/1000*AF42,30/1000*(AF43-AF42),0.75*(#REF!-#REF!)),"")</f>
        <v>#REF!</v>
      </c>
      <c r="N43" s="96">
        <v>0</v>
      </c>
      <c r="O43" s="96" t="e">
        <f>IF(AJ43&lt;&gt;"",0.07*AI43*(1-#REF!),0)</f>
        <v>#REF!</v>
      </c>
      <c r="P43" s="87" t="e">
        <f t="shared" si="2"/>
        <v>#REF!</v>
      </c>
      <c r="Q43" s="87" t="e">
        <f t="shared" si="3"/>
        <v>#REF!</v>
      </c>
      <c r="R43" s="87" t="e">
        <f>IF(AJ43&lt;&gt;"",(AB43+AA43+V43+T43)*#REF!,0)</f>
        <v>#REF!</v>
      </c>
      <c r="S43" s="87" t="e">
        <f>IF(AJ43&lt;&gt;"",T43*(LOOKUP(#REF!,Rates!$O$2:$O$9,Rates!$L$2:$L$9)/100),0)</f>
        <v>#REF!</v>
      </c>
      <c r="T43" s="87" t="e">
        <f>IF(AJ43&lt;&gt;"",IF(#REF!="بله",V43*Rates!$Z$7,0),0)</f>
        <v>#REF!</v>
      </c>
      <c r="U43" s="87" t="e">
        <f>IF(AJ43&lt;&gt;"",IF(#REF!="بله",V43*(LOOKUP(#REF!,Rates!$O$2:$O$9,Rates!$L$2:$L$9)/100),V43*(LOOKUP(#REF!,Rates!$O$2:$O$9,Rates!$L$2:$L$9)/100)),0)</f>
        <v>#REF!</v>
      </c>
      <c r="V43" s="88" t="e">
        <f>IF(AND(AJ43&lt;&gt;"",AJ43&lt;=Rates!$Z$8,#REF!="بله"),AH43*(LOOKUP(AJ43,Rates!$U$2:$U$108,Rates!#REF!)),IF(AND(AK43&lt;&gt;"",AK43&lt;=Rates!$Z$8,#REF!="خیر"),AH43*(LOOKUP(AK43,Rates!$U$2:$U$108,Rates!#REF!)),0)*(1-#REF!))</f>
        <v>#REF!</v>
      </c>
      <c r="W43" s="88" t="e">
        <f>IF(AJ43&lt;&gt;"",X43*LOOKUP(#REF!,Rates!$O$2:$O$9,Rates!$M$2:$M$9)/100,0)</f>
        <v>#REF!</v>
      </c>
      <c r="X43" s="88" t="e">
        <f>IF(AJ43&lt;=Rates!$Z$4,0.0008*AF43*#REF!,0)</f>
        <v>#REF!</v>
      </c>
      <c r="Y43" s="88" t="e">
        <f>IF(AJ43&lt;&gt;"",Z43*(LOOKUP(#REF!,Rates!$O$2:$O$9,Rates!$N$2:$N$9/100)),0)</f>
        <v>#REF!</v>
      </c>
      <c r="Z43" s="87" t="e">
        <f>IF(AND(AJ43&lt;=(Rates!$Z$3),AD43&lt;&gt;""),(1-#REF!)*0.0008*AF43*#REF!,0)</f>
        <v>#REF!</v>
      </c>
      <c r="AA43" s="87" t="e">
        <f>IF(AJ43&lt;=60,(LOOKUP(AJ43,Rates!$U$2:$U$108,Rates!#REF!))*AC43/1000000*(1-#REF!),0)</f>
        <v>#REF!</v>
      </c>
      <c r="AB43" s="84" t="e">
        <f>IF(AJ43&lt;&gt;"",(AF43*LOOKUP(AJ43,Rates!$U$2:$U$108,Rates!$T$2:$T$108))/SQRT(1+IF(AL43&lt;=10,Rates!$Z$5,Rates!$Z$6)),"")</f>
        <v>#REF!</v>
      </c>
      <c r="AC43" s="89" t="e">
        <f>IF(AND(AJ43&lt;&gt;"",AJ43&lt;=Rates!$Z$2),MIN(0.5*AF43,300000000,AC42*(1+#REF!)),"")</f>
        <v>#REF!</v>
      </c>
      <c r="AD43" s="89" t="e">
        <f>IF(AND(AJ43&lt;&gt;"",AJ43&lt;=60),AF43*#REF!,"")</f>
        <v>#REF!</v>
      </c>
      <c r="AE43" s="109" t="e">
        <f>IF(AND(AJ43&lt;&gt;"",AJ43&lt;=70),AF43*(1+#REF!),"")</f>
        <v>#REF!</v>
      </c>
      <c r="AF43" s="109" t="e">
        <f>IF(AJ43&lt;&gt;"",AF42*(1+#REF!),"")</f>
        <v>#REF!</v>
      </c>
      <c r="AG43" s="92" t="e">
        <f t="shared" si="6"/>
        <v>#REF!</v>
      </c>
      <c r="AH43" s="83" t="e">
        <f>IF(AJ43&lt;&gt;"",AI43*Rates!$Z$9,"")</f>
        <v>#REF!</v>
      </c>
      <c r="AI43" s="92" t="e">
        <f>IF(AJ43&lt;&gt;"",AI42*(1+#REF!),"")</f>
        <v>#REF!</v>
      </c>
      <c r="AJ43" s="98" t="e">
        <f>IF(AL43&lt;&gt;"",#REF!+AL43-1,"")</f>
        <v>#REF!</v>
      </c>
      <c r="AK43" s="107" t="e">
        <f>IF(AL43&lt;&gt;"",#REF!+AL43-1,"")</f>
        <v>#REF!</v>
      </c>
      <c r="AL43" s="110" t="e">
        <f>IF(AL42&lt;&gt;"",IF(AL42+1&lt;=#REF!,AL42+1,""),"")</f>
        <v>#REF!</v>
      </c>
    </row>
    <row r="44" spans="1:38" ht="17.25" x14ac:dyDescent="0.25">
      <c r="A44" s="84" t="e">
        <f>IF(AJ44&lt;&gt;"",D44+D44*(IF(AL44&gt;4,0.1,LOOKUP(#REF!,Rates!$D$2:$D$4,Rates!$C$2:$C$4))+0.85*(#REF!-(IF(AL44&gt;4,0.1,LOOKUP(#REF!,Rates!$D$2:$D$4,Rates!$C$2:$C$4)))))*LOOKUP(#REF!,Rates!$I$2:$I$7,Rates!$G$2:$G$7)+A43*(1+IF(AL44&gt;4,0.1,LOOKUP(#REF!,Rates!$D$2:$D$4,Rates!$C$2:$C$4))+0.85*(#REF!-IF(AL44&gt;4,0.1,LOOKUP(#REF!,Rates!$D$2:$D$4,Rates!$C$2:$C$4)))),"")</f>
        <v>#REF!</v>
      </c>
      <c r="B44" s="84" t="e">
        <f>IF(AJ44&lt;&gt;"",IF(AL44&gt;=8,C44,C44*LOOKUP(AL44,Rates!$AH$2:$AH$8,Rates!$AG$2:$AG$8)),"")</f>
        <v>#REF!</v>
      </c>
      <c r="C44" s="84" t="e">
        <f>IF(AJ44&lt;&gt;"",D44*(1+IF(AL44&gt;4,0.1,LOOKUP(#REF!,Rates!$D$2:$D$5,Rates!$B$2:$B$5))*LOOKUP(#REF!,Rates!$I$2:$I$7,Rates!$G$2:$G$7))+C43*(1+IF(AL44&gt;4,0.1,LOOKUP(#REF!,Rates!$D$2:$D$5,Rates!$B$2:$B$5))),"")</f>
        <v>#REF!</v>
      </c>
      <c r="D44" s="84" t="e">
        <f>IF(AJ44&lt;&gt;"",AI44-(H44+G44+F44+E44+P44+Q44)+IF(#REF!&gt;0,IF(AND(AL44&lt;=#REF!,AL44&gt;=#REF!),#REF!,0),0),"")</f>
        <v>#REF!</v>
      </c>
      <c r="E44" s="84" t="e">
        <f>IF(AJ44&lt;&gt;"",(LOOKUP(#REF!,Rates!$AE$2:$AE$4,Rates!$AD$2:$AD$4))*(H44+P44+Q44),"")</f>
        <v>#REF!</v>
      </c>
      <c r="F44" s="84" t="e">
        <f>IF(AJ44&lt;&gt;"",(LOOKUP(#REF!,Rates!$AE$2:$AE$4,Rates!$AB$2:$AB$4))*(H44+P44+Q44),"")</f>
        <v>#REF!</v>
      </c>
      <c r="G44" s="84" t="e">
        <f>IF(AJ44&lt;&gt;"",(LOOKUP(#REF!,Rates!$AE$2:$AE$4,Rates!$AC$2:$AC$4))*(H44+P44+Q44),"")</f>
        <v>#REF!</v>
      </c>
      <c r="H44" s="84" t="e">
        <f t="shared" si="0"/>
        <v>#REF!</v>
      </c>
      <c r="I44" s="84" t="e">
        <f>IF(AJ44&lt;&gt;"",LOOKUP(#REF!,Rates!$I$2:$I$7,Rates!$H$2:$H$7)*(J44+P44+Q44+AB44),"")</f>
        <v>#REF!</v>
      </c>
      <c r="J44" s="96" t="e">
        <f t="shared" si="9"/>
        <v>#REF!</v>
      </c>
      <c r="K44" s="96" t="e">
        <f t="shared" si="7"/>
        <v>#REF!</v>
      </c>
      <c r="L44" s="96" t="e">
        <f t="shared" si="8"/>
        <v>#REF!</v>
      </c>
      <c r="M44" s="96" t="e">
        <f>IF(#REF!&lt;&gt;"",(1-#REF!)*IF(MIN(30/1000*$AF$2,0.75*#REF!)=30/1000*AF43,30/1000*(AF44-AF43),0.75*(#REF!-#REF!)),"")</f>
        <v>#REF!</v>
      </c>
      <c r="N44" s="96">
        <v>0</v>
      </c>
      <c r="O44" s="96" t="e">
        <f>IF(AJ44&lt;&gt;"",0.07*AI44*(1-#REF!),0)</f>
        <v>#REF!</v>
      </c>
      <c r="P44" s="87" t="e">
        <f t="shared" si="2"/>
        <v>#REF!</v>
      </c>
      <c r="Q44" s="87" t="e">
        <f t="shared" si="3"/>
        <v>#REF!</v>
      </c>
      <c r="R44" s="87" t="e">
        <f>IF(AJ44&lt;&gt;"",(AB44+AA44+V44+T44)*#REF!,0)</f>
        <v>#REF!</v>
      </c>
      <c r="S44" s="87" t="e">
        <f>IF(AJ44&lt;&gt;"",T44*(LOOKUP(#REF!,Rates!$O$2:$O$9,Rates!$L$2:$L$9)/100),0)</f>
        <v>#REF!</v>
      </c>
      <c r="T44" s="87" t="e">
        <f>IF(AJ44&lt;&gt;"",IF(#REF!="بله",V44*Rates!$Z$7,0),0)</f>
        <v>#REF!</v>
      </c>
      <c r="U44" s="87" t="e">
        <f>IF(AJ44&lt;&gt;"",IF(#REF!="بله",V44*(LOOKUP(#REF!,Rates!$O$2:$O$9,Rates!$L$2:$L$9)/100),V44*(LOOKUP(#REF!,Rates!$O$2:$O$9,Rates!$L$2:$L$9)/100)),0)</f>
        <v>#REF!</v>
      </c>
      <c r="V44" s="88" t="e">
        <f>IF(AND(AJ44&lt;&gt;"",AJ44&lt;=Rates!$Z$8,#REF!="بله"),AH44*(LOOKUP(AJ44,Rates!$U$2:$U$108,Rates!#REF!)),IF(AND(AK44&lt;&gt;"",AK44&lt;=Rates!$Z$8,#REF!="خیر"),AH44*(LOOKUP(AK44,Rates!$U$2:$U$108,Rates!#REF!)),0)*(1-#REF!))</f>
        <v>#REF!</v>
      </c>
      <c r="W44" s="88" t="e">
        <f>IF(AJ44&lt;&gt;"",X44*LOOKUP(#REF!,Rates!$O$2:$O$9,Rates!$M$2:$M$9)/100,0)</f>
        <v>#REF!</v>
      </c>
      <c r="X44" s="88" t="e">
        <f>IF(AJ44&lt;=Rates!$Z$4,0.0008*AF44*#REF!,0)</f>
        <v>#REF!</v>
      </c>
      <c r="Y44" s="88" t="e">
        <f>IF(AJ44&lt;&gt;"",Z44*(LOOKUP(#REF!,Rates!$O$2:$O$9,Rates!$N$2:$N$9/100)),0)</f>
        <v>#REF!</v>
      </c>
      <c r="Z44" s="87" t="e">
        <f>IF(AND(AJ44&lt;=(Rates!$Z$3),AD44&lt;&gt;""),(1-#REF!)*0.0008*AF44*#REF!,0)</f>
        <v>#REF!</v>
      </c>
      <c r="AA44" s="87" t="e">
        <f>IF(AJ44&lt;=60,(LOOKUP(AJ44,Rates!$U$2:$U$108,Rates!#REF!))*AC44/1000000*(1-#REF!),0)</f>
        <v>#REF!</v>
      </c>
      <c r="AB44" s="84" t="e">
        <f>IF(AJ44&lt;&gt;"",(AF44*LOOKUP(AJ44,Rates!$U$2:$U$108,Rates!$T$2:$T$108))/SQRT(1+IF(AL44&lt;=10,Rates!$Z$5,Rates!$Z$6)),"")</f>
        <v>#REF!</v>
      </c>
      <c r="AC44" s="89" t="e">
        <f>IF(AND(AJ44&lt;&gt;"",AJ44&lt;=Rates!$Z$2),MIN(0.5*AF44,300000000,AC43*(1+#REF!)),"")</f>
        <v>#REF!</v>
      </c>
      <c r="AD44" s="89" t="e">
        <f>IF(AND(AJ44&lt;&gt;"",AJ44&lt;=60),AF44*#REF!,"")</f>
        <v>#REF!</v>
      </c>
      <c r="AE44" s="109" t="e">
        <f>IF(AND(AJ44&lt;&gt;"",AJ44&lt;=70),AF44*(1+#REF!),"")</f>
        <v>#REF!</v>
      </c>
      <c r="AF44" s="109" t="e">
        <f>IF(AJ44&lt;&gt;"",AF43*(1+#REF!),"")</f>
        <v>#REF!</v>
      </c>
      <c r="AG44" s="92" t="e">
        <f t="shared" si="6"/>
        <v>#REF!</v>
      </c>
      <c r="AH44" s="83" t="e">
        <f>IF(AJ44&lt;&gt;"",AI44*Rates!$Z$9,"")</f>
        <v>#REF!</v>
      </c>
      <c r="AI44" s="92" t="e">
        <f>IF(AJ44&lt;&gt;"",AI43*(1+#REF!),"")</f>
        <v>#REF!</v>
      </c>
      <c r="AJ44" s="98" t="e">
        <f>IF(AL44&lt;&gt;"",#REF!+AL44-1,"")</f>
        <v>#REF!</v>
      </c>
      <c r="AK44" s="107" t="e">
        <f>IF(AL44&lt;&gt;"",#REF!+AL44-1,"")</f>
        <v>#REF!</v>
      </c>
      <c r="AL44" s="110" t="e">
        <f>IF(AL43&lt;&gt;"",IF(AL43+1&lt;=#REF!,AL43+1,""),"")</f>
        <v>#REF!</v>
      </c>
    </row>
    <row r="45" spans="1:38" ht="17.25" x14ac:dyDescent="0.25">
      <c r="A45" s="84" t="e">
        <f>IF(AJ45&lt;&gt;"",D45+D45*(IF(AL45&gt;4,0.1,LOOKUP(#REF!,Rates!$D$2:$D$4,Rates!$C$2:$C$4))+0.85*(#REF!-(IF(AL45&gt;4,0.1,LOOKUP(#REF!,Rates!$D$2:$D$4,Rates!$C$2:$C$4)))))*LOOKUP(#REF!,Rates!$I$2:$I$7,Rates!$G$2:$G$7)+A44*(1+IF(AL45&gt;4,0.1,LOOKUP(#REF!,Rates!$D$2:$D$4,Rates!$C$2:$C$4))+0.85*(#REF!-IF(AL45&gt;4,0.1,LOOKUP(#REF!,Rates!$D$2:$D$4,Rates!$C$2:$C$4)))),"")</f>
        <v>#REF!</v>
      </c>
      <c r="B45" s="84" t="e">
        <f>IF(AJ45&lt;&gt;"",IF(AL45&gt;=8,C45,C45*LOOKUP(AL45,Rates!$AH$2:$AH$8,Rates!$AG$2:$AG$8)),"")</f>
        <v>#REF!</v>
      </c>
      <c r="C45" s="84" t="e">
        <f>IF(AJ45&lt;&gt;"",D45*(1+IF(AL45&gt;4,0.1,LOOKUP(#REF!,Rates!$D$2:$D$5,Rates!$B$2:$B$5))*LOOKUP(#REF!,Rates!$I$2:$I$7,Rates!$G$2:$G$7))+C44*(1+IF(AL45&gt;4,0.1,LOOKUP(#REF!,Rates!$D$2:$D$5,Rates!$B$2:$B$5))),"")</f>
        <v>#REF!</v>
      </c>
      <c r="D45" s="84" t="e">
        <f>IF(AJ45&lt;&gt;"",AI45-(H45+G45+F45+E45+P45+Q45)+IF(#REF!&gt;0,IF(AND(AL45&lt;=#REF!,AL45&gt;=#REF!),#REF!,0),0),"")</f>
        <v>#REF!</v>
      </c>
      <c r="E45" s="84" t="e">
        <f>IF(AJ45&lt;&gt;"",(LOOKUP(#REF!,Rates!$AE$2:$AE$4,Rates!$AD$2:$AD$4))*(H45+P45+Q45),"")</f>
        <v>#REF!</v>
      </c>
      <c r="F45" s="84" t="e">
        <f>IF(AJ45&lt;&gt;"",(LOOKUP(#REF!,Rates!$AE$2:$AE$4,Rates!$AB$2:$AB$4))*(H45+P45+Q45),"")</f>
        <v>#REF!</v>
      </c>
      <c r="G45" s="84" t="e">
        <f>IF(AJ45&lt;&gt;"",(LOOKUP(#REF!,Rates!$AE$2:$AE$4,Rates!$AC$2:$AC$4))*(H45+P45+Q45),"")</f>
        <v>#REF!</v>
      </c>
      <c r="H45" s="84" t="e">
        <f t="shared" si="0"/>
        <v>#REF!</v>
      </c>
      <c r="I45" s="84" t="e">
        <f>IF(AJ45&lt;&gt;"",LOOKUP(#REF!,Rates!$I$2:$I$7,Rates!$H$2:$H$7)*(J45+P45+Q45+AB45),"")</f>
        <v>#REF!</v>
      </c>
      <c r="J45" s="96" t="e">
        <f t="shared" si="9"/>
        <v>#REF!</v>
      </c>
      <c r="K45" s="96" t="e">
        <f t="shared" si="7"/>
        <v>#REF!</v>
      </c>
      <c r="L45" s="96" t="e">
        <f t="shared" si="8"/>
        <v>#REF!</v>
      </c>
      <c r="M45" s="96" t="e">
        <f>IF(#REF!&lt;&gt;"",(1-#REF!)*IF(MIN(30/1000*$AF$2,0.75*#REF!)=30/1000*AF44,30/1000*(AF45-AF44),0.75*(#REF!-#REF!)),"")</f>
        <v>#REF!</v>
      </c>
      <c r="N45" s="96">
        <v>0</v>
      </c>
      <c r="O45" s="96" t="e">
        <f>IF(AJ45&lt;&gt;"",0.07*AI45*(1-#REF!),0)</f>
        <v>#REF!</v>
      </c>
      <c r="P45" s="87" t="e">
        <f t="shared" si="2"/>
        <v>#REF!</v>
      </c>
      <c r="Q45" s="87" t="e">
        <f t="shared" si="3"/>
        <v>#REF!</v>
      </c>
      <c r="R45" s="87" t="e">
        <f>IF(AJ45&lt;&gt;"",(AB45+AA45+V45+T45)*#REF!,0)</f>
        <v>#REF!</v>
      </c>
      <c r="S45" s="87" t="e">
        <f>IF(AJ45&lt;&gt;"",T45*(LOOKUP(#REF!,Rates!$O$2:$O$9,Rates!$L$2:$L$9)/100),0)</f>
        <v>#REF!</v>
      </c>
      <c r="T45" s="87" t="e">
        <f>IF(AJ45&lt;&gt;"",IF(#REF!="بله",V45*Rates!$Z$7,0),0)</f>
        <v>#REF!</v>
      </c>
      <c r="U45" s="87" t="e">
        <f>IF(AJ45&lt;&gt;"",IF(#REF!="بله",V45*(LOOKUP(#REF!,Rates!$O$2:$O$9,Rates!$L$2:$L$9)/100),V45*(LOOKUP(#REF!,Rates!$O$2:$O$9,Rates!$L$2:$L$9)/100)),0)</f>
        <v>#REF!</v>
      </c>
      <c r="V45" s="88" t="e">
        <f>IF(AND(AJ45&lt;&gt;"",AJ45&lt;=Rates!$Z$8,#REF!="بله"),AH45*(LOOKUP(AJ45,Rates!$U$2:$U$108,Rates!#REF!)),IF(AND(AK45&lt;&gt;"",AK45&lt;=Rates!$Z$8,#REF!="خیر"),AH45*(LOOKUP(AK45,Rates!$U$2:$U$108,Rates!#REF!)),0)*(1-#REF!))</f>
        <v>#REF!</v>
      </c>
      <c r="W45" s="88" t="e">
        <f>IF(AJ45&lt;&gt;"",X45*LOOKUP(#REF!,Rates!$O$2:$O$9,Rates!$M$2:$M$9)/100,0)</f>
        <v>#REF!</v>
      </c>
      <c r="X45" s="88" t="e">
        <f>IF(AJ45&lt;=Rates!$Z$4,0.0008*AF45*#REF!,0)</f>
        <v>#REF!</v>
      </c>
      <c r="Y45" s="88" t="e">
        <f>IF(AJ45&lt;&gt;"",Z45*(LOOKUP(#REF!,Rates!$O$2:$O$9,Rates!$N$2:$N$9/100)),0)</f>
        <v>#REF!</v>
      </c>
      <c r="Z45" s="87" t="e">
        <f>IF(AND(AJ45&lt;=(Rates!$Z$3),AD45&lt;&gt;""),(1-#REF!)*0.0008*AF45*#REF!,0)</f>
        <v>#REF!</v>
      </c>
      <c r="AA45" s="87" t="e">
        <f>IF(AJ45&lt;=60,(LOOKUP(AJ45,Rates!$U$2:$U$108,Rates!#REF!))*AC45/1000000*(1-#REF!),0)</f>
        <v>#REF!</v>
      </c>
      <c r="AB45" s="84" t="e">
        <f>IF(AJ45&lt;&gt;"",(AF45*LOOKUP(AJ45,Rates!$U$2:$U$108,Rates!$T$2:$T$108))/SQRT(1+IF(AL45&lt;=10,Rates!$Z$5,Rates!$Z$6)),"")</f>
        <v>#REF!</v>
      </c>
      <c r="AC45" s="89" t="e">
        <f>IF(AND(AJ45&lt;&gt;"",AJ45&lt;=Rates!$Z$2),MIN(0.5*AF45,300000000,AC44*(1+#REF!)),"")</f>
        <v>#REF!</v>
      </c>
      <c r="AD45" s="89" t="e">
        <f>IF(AND(AJ45&lt;&gt;"",AJ45&lt;=60),AF45*#REF!,"")</f>
        <v>#REF!</v>
      </c>
      <c r="AE45" s="109" t="e">
        <f>IF(AND(AJ45&lt;&gt;"",AJ45&lt;=70),AF45*(1+#REF!),"")</f>
        <v>#REF!</v>
      </c>
      <c r="AF45" s="109" t="e">
        <f>IF(AJ45&lt;&gt;"",AF44*(1+#REF!),"")</f>
        <v>#REF!</v>
      </c>
      <c r="AG45" s="92" t="e">
        <f t="shared" si="6"/>
        <v>#REF!</v>
      </c>
      <c r="AH45" s="83" t="e">
        <f>IF(AJ45&lt;&gt;"",AI45*Rates!$Z$9,"")</f>
        <v>#REF!</v>
      </c>
      <c r="AI45" s="92" t="e">
        <f>IF(AJ45&lt;&gt;"",AI44*(1+#REF!),"")</f>
        <v>#REF!</v>
      </c>
      <c r="AJ45" s="98" t="e">
        <f>IF(AL45&lt;&gt;"",#REF!+AL45-1,"")</f>
        <v>#REF!</v>
      </c>
      <c r="AK45" s="107" t="e">
        <f>IF(AL45&lt;&gt;"",#REF!+AL45-1,"")</f>
        <v>#REF!</v>
      </c>
      <c r="AL45" s="110" t="e">
        <f>IF(AL44&lt;&gt;"",IF(AL44+1&lt;=#REF!,AL44+1,""),"")</f>
        <v>#REF!</v>
      </c>
    </row>
    <row r="46" spans="1:38" ht="17.25" x14ac:dyDescent="0.25">
      <c r="A46" s="84" t="e">
        <f>IF(AJ46&lt;&gt;"",D46+D46*(IF(AL46&gt;4,0.1,LOOKUP(#REF!,Rates!$D$2:$D$4,Rates!$C$2:$C$4))+0.85*(#REF!-(IF(AL46&gt;4,0.1,LOOKUP(#REF!,Rates!$D$2:$D$4,Rates!$C$2:$C$4)))))*LOOKUP(#REF!,Rates!$I$2:$I$7,Rates!$G$2:$G$7)+A45*(1+IF(AL46&gt;4,0.1,LOOKUP(#REF!,Rates!$D$2:$D$4,Rates!$C$2:$C$4))+0.85*(#REF!-IF(AL46&gt;4,0.1,LOOKUP(#REF!,Rates!$D$2:$D$4,Rates!$C$2:$C$4)))),"")</f>
        <v>#REF!</v>
      </c>
      <c r="B46" s="84" t="e">
        <f>IF(AJ46&lt;&gt;"",IF(AL46&gt;=8,C46,C46*LOOKUP(AL46,Rates!$AH$2:$AH$8,Rates!$AG$2:$AG$8)),"")</f>
        <v>#REF!</v>
      </c>
      <c r="C46" s="84" t="e">
        <f>IF(AJ46&lt;&gt;"",D46*(1+IF(AL46&gt;4,0.1,LOOKUP(#REF!,Rates!$D$2:$D$5,Rates!$B$2:$B$5))*LOOKUP(#REF!,Rates!$I$2:$I$7,Rates!$G$2:$G$7))+C45*(1+IF(AL46&gt;4,0.1,LOOKUP(#REF!,Rates!$D$2:$D$5,Rates!$B$2:$B$5))),"")</f>
        <v>#REF!</v>
      </c>
      <c r="D46" s="84" t="e">
        <f>IF(AJ46&lt;&gt;"",AI46-(H46+G46+F46+E46+P46+Q46)+IF(#REF!&gt;0,IF(AND(AL46&lt;=#REF!,AL46&gt;=#REF!),#REF!,0),0),"")</f>
        <v>#REF!</v>
      </c>
      <c r="E46" s="84" t="e">
        <f>IF(AJ46&lt;&gt;"",(LOOKUP(#REF!,Rates!$AE$2:$AE$4,Rates!$AD$2:$AD$4))*(H46+P46+Q46),"")</f>
        <v>#REF!</v>
      </c>
      <c r="F46" s="84" t="e">
        <f>IF(AJ46&lt;&gt;"",(LOOKUP(#REF!,Rates!$AE$2:$AE$4,Rates!$AB$2:$AB$4))*(H46+P46+Q46),"")</f>
        <v>#REF!</v>
      </c>
      <c r="G46" s="84" t="e">
        <f>IF(AJ46&lt;&gt;"",(LOOKUP(#REF!,Rates!$AE$2:$AE$4,Rates!$AC$2:$AC$4))*(H46+P46+Q46),"")</f>
        <v>#REF!</v>
      </c>
      <c r="H46" s="84" t="e">
        <f t="shared" si="0"/>
        <v>#REF!</v>
      </c>
      <c r="I46" s="84" t="e">
        <f>IF(AJ46&lt;&gt;"",LOOKUP(#REF!,Rates!$I$2:$I$7,Rates!$H$2:$H$7)*(J46+P46+Q46+AB46),"")</f>
        <v>#REF!</v>
      </c>
      <c r="J46" s="96" t="e">
        <f t="shared" si="9"/>
        <v>#REF!</v>
      </c>
      <c r="K46" s="96" t="e">
        <f t="shared" si="7"/>
        <v>#REF!</v>
      </c>
      <c r="L46" s="96" t="e">
        <f t="shared" si="8"/>
        <v>#REF!</v>
      </c>
      <c r="M46" s="96" t="e">
        <f>IF(#REF!&lt;&gt;"",(1-#REF!)*IF(MIN(30/1000*$AF$2,0.75*#REF!)=30/1000*AF45,30/1000*(AF46-AF45),0.75*(#REF!-#REF!)),"")</f>
        <v>#REF!</v>
      </c>
      <c r="N46" s="96">
        <v>0</v>
      </c>
      <c r="O46" s="96" t="e">
        <f>IF(AJ46&lt;&gt;"",0.07*AI46*(1-#REF!),0)</f>
        <v>#REF!</v>
      </c>
      <c r="P46" s="87" t="e">
        <f t="shared" si="2"/>
        <v>#REF!</v>
      </c>
      <c r="Q46" s="87" t="e">
        <f t="shared" si="3"/>
        <v>#REF!</v>
      </c>
      <c r="R46" s="87" t="e">
        <f>IF(AJ46&lt;&gt;"",(AB46+AA46+V46+T46)*#REF!,0)</f>
        <v>#REF!</v>
      </c>
      <c r="S46" s="87" t="e">
        <f>IF(AJ46&lt;&gt;"",T46*(LOOKUP(#REF!,Rates!$O$2:$O$9,Rates!$L$2:$L$9)/100),0)</f>
        <v>#REF!</v>
      </c>
      <c r="T46" s="87" t="e">
        <f>IF(AJ46&lt;&gt;"",IF(#REF!="بله",V46*Rates!$Z$7,0),0)</f>
        <v>#REF!</v>
      </c>
      <c r="U46" s="87" t="e">
        <f>IF(AJ46&lt;&gt;"",IF(#REF!="بله",V46*(LOOKUP(#REF!,Rates!$O$2:$O$9,Rates!$L$2:$L$9)/100),V46*(LOOKUP(#REF!,Rates!$O$2:$O$9,Rates!$L$2:$L$9)/100)),0)</f>
        <v>#REF!</v>
      </c>
      <c r="V46" s="88" t="e">
        <f>IF(AND(AJ46&lt;&gt;"",AJ46&lt;=Rates!$Z$8,#REF!="بله"),AH46*(LOOKUP(AJ46,Rates!$U$2:$U$108,Rates!#REF!)),IF(AND(AK46&lt;&gt;"",AK46&lt;=Rates!$Z$8,#REF!="خیر"),AH46*(LOOKUP(AK46,Rates!$U$2:$U$108,Rates!#REF!)),0)*(1-#REF!))</f>
        <v>#REF!</v>
      </c>
      <c r="W46" s="88" t="e">
        <f>IF(AJ46&lt;&gt;"",X46*LOOKUP(#REF!,Rates!$O$2:$O$9,Rates!$M$2:$M$9)/100,0)</f>
        <v>#REF!</v>
      </c>
      <c r="X46" s="88" t="e">
        <f>IF(AJ46&lt;=Rates!$Z$4,0.0008*AF46*#REF!,0)</f>
        <v>#REF!</v>
      </c>
      <c r="Y46" s="88" t="e">
        <f>IF(AJ46&lt;&gt;"",Z46*(LOOKUP(#REF!,Rates!$O$2:$O$9,Rates!$N$2:$N$9/100)),0)</f>
        <v>#REF!</v>
      </c>
      <c r="Z46" s="87" t="e">
        <f>IF(AND(AJ46&lt;=(Rates!$Z$3),AD46&lt;&gt;""),(1-#REF!)*0.0008*AF46*#REF!,0)</f>
        <v>#REF!</v>
      </c>
      <c r="AA46" s="87" t="e">
        <f>IF(AJ46&lt;=60,(LOOKUP(AJ46,Rates!$U$2:$U$108,Rates!#REF!))*AC46/1000000*(1-#REF!),0)</f>
        <v>#REF!</v>
      </c>
      <c r="AB46" s="84" t="e">
        <f>IF(AJ46&lt;&gt;"",(AF46*LOOKUP(AJ46,Rates!$U$2:$U$108,Rates!$T$2:$T$108))/SQRT(1+IF(AL46&lt;=10,Rates!$Z$5,Rates!$Z$6)),"")</f>
        <v>#REF!</v>
      </c>
      <c r="AC46" s="89" t="e">
        <f>IF(AND(AJ46&lt;&gt;"",AJ46&lt;=Rates!$Z$2),MIN(0.5*AF46,300000000,AC45*(1+#REF!)),"")</f>
        <v>#REF!</v>
      </c>
      <c r="AD46" s="89" t="e">
        <f>IF(AND(AJ46&lt;&gt;"",AJ46&lt;=60),AF46*#REF!,"")</f>
        <v>#REF!</v>
      </c>
      <c r="AE46" s="109" t="e">
        <f>IF(AND(AJ46&lt;&gt;"",AJ46&lt;=70),AF46*(1+#REF!),"")</f>
        <v>#REF!</v>
      </c>
      <c r="AF46" s="109" t="e">
        <f>IF(AJ46&lt;&gt;"",AF45*(1+#REF!),"")</f>
        <v>#REF!</v>
      </c>
      <c r="AG46" s="92" t="e">
        <f t="shared" si="6"/>
        <v>#REF!</v>
      </c>
      <c r="AH46" s="83" t="e">
        <f>IF(AJ46&lt;&gt;"",AI46*Rates!$Z$9,"")</f>
        <v>#REF!</v>
      </c>
      <c r="AI46" s="92" t="e">
        <f>IF(AJ46&lt;&gt;"",AI45*(1+#REF!),"")</f>
        <v>#REF!</v>
      </c>
      <c r="AJ46" s="98" t="e">
        <f>IF(AL46&lt;&gt;"",#REF!+AL46-1,"")</f>
        <v>#REF!</v>
      </c>
      <c r="AK46" s="107" t="e">
        <f>IF(AL46&lt;&gt;"",#REF!+AL46-1,"")</f>
        <v>#REF!</v>
      </c>
      <c r="AL46" s="110" t="e">
        <f>IF(AL45&lt;&gt;"",IF(AL45+1&lt;=#REF!,AL45+1,""),"")</f>
        <v>#REF!</v>
      </c>
    </row>
    <row r="47" spans="1:38" ht="17.25" x14ac:dyDescent="0.25">
      <c r="A47" s="84" t="e">
        <f>IF(AJ47&lt;&gt;"",D47+D47*(IF(AL47&gt;4,0.1,LOOKUP(#REF!,Rates!$D$2:$D$4,Rates!$C$2:$C$4))+0.85*(#REF!-(IF(AL47&gt;4,0.1,LOOKUP(#REF!,Rates!$D$2:$D$4,Rates!$C$2:$C$4)))))*LOOKUP(#REF!,Rates!$I$2:$I$7,Rates!$G$2:$G$7)+A46*(1+IF(AL47&gt;4,0.1,LOOKUP(#REF!,Rates!$D$2:$D$4,Rates!$C$2:$C$4))+0.85*(#REF!-IF(AL47&gt;4,0.1,LOOKUP(#REF!,Rates!$D$2:$D$4,Rates!$C$2:$C$4)))),"")</f>
        <v>#REF!</v>
      </c>
      <c r="B47" s="84" t="e">
        <f>IF(AJ47&lt;&gt;"",IF(AL47&gt;=8,C47,C47*LOOKUP(AL47,Rates!$AH$2:$AH$8,Rates!$AG$2:$AG$8)),"")</f>
        <v>#REF!</v>
      </c>
      <c r="C47" s="84" t="e">
        <f>IF(AJ47&lt;&gt;"",D47*(1+IF(AL47&gt;4,0.1,LOOKUP(#REF!,Rates!$D$2:$D$5,Rates!$B$2:$B$5))*LOOKUP(#REF!,Rates!$I$2:$I$7,Rates!$G$2:$G$7))+C46*(1+IF(AL47&gt;4,0.1,LOOKUP(#REF!,Rates!$D$2:$D$5,Rates!$B$2:$B$5))),"")</f>
        <v>#REF!</v>
      </c>
      <c r="D47" s="84" t="e">
        <f>IF(AJ47&lt;&gt;"",AI47-(H47+G47+F47+E47+P47+Q47)+IF(#REF!&gt;0,IF(AND(AL47&lt;=#REF!,AL47&gt;=#REF!),#REF!,0),0),"")</f>
        <v>#REF!</v>
      </c>
      <c r="E47" s="84" t="e">
        <f>IF(AJ47&lt;&gt;"",(LOOKUP(#REF!,Rates!$AE$2:$AE$4,Rates!$AD$2:$AD$4))*(H47+P47+Q47),"")</f>
        <v>#REF!</v>
      </c>
      <c r="F47" s="84" t="e">
        <f>IF(AJ47&lt;&gt;"",(LOOKUP(#REF!,Rates!$AE$2:$AE$4,Rates!$AB$2:$AB$4))*(H47+P47+Q47),"")</f>
        <v>#REF!</v>
      </c>
      <c r="G47" s="84" t="e">
        <f>IF(AJ47&lt;&gt;"",(LOOKUP(#REF!,Rates!$AE$2:$AE$4,Rates!$AC$2:$AC$4))*(H47+P47+Q47),"")</f>
        <v>#REF!</v>
      </c>
      <c r="H47" s="84" t="e">
        <f t="shared" si="0"/>
        <v>#REF!</v>
      </c>
      <c r="I47" s="84" t="e">
        <f>IF(AJ47&lt;&gt;"",LOOKUP(#REF!,Rates!$I$2:$I$7,Rates!$H$2:$H$7)*(J47+P47+Q47+AB47),"")</f>
        <v>#REF!</v>
      </c>
      <c r="J47" s="96" t="e">
        <f t="shared" si="9"/>
        <v>#REF!</v>
      </c>
      <c r="K47" s="96" t="e">
        <f t="shared" si="7"/>
        <v>#REF!</v>
      </c>
      <c r="L47" s="96" t="e">
        <f t="shared" si="8"/>
        <v>#REF!</v>
      </c>
      <c r="M47" s="96" t="e">
        <f>IF(#REF!&lt;&gt;"",(1-#REF!)*IF(MIN(30/1000*$AF$2,0.75*#REF!)=30/1000*AF46,30/1000*(AF47-AF46),0.75*(#REF!-#REF!)),"")</f>
        <v>#REF!</v>
      </c>
      <c r="N47" s="96">
        <v>0</v>
      </c>
      <c r="O47" s="96" t="e">
        <f>IF(AJ47&lt;&gt;"",0.07*AI47*(1-#REF!),0)</f>
        <v>#REF!</v>
      </c>
      <c r="P47" s="87" t="e">
        <f t="shared" si="2"/>
        <v>#REF!</v>
      </c>
      <c r="Q47" s="87" t="e">
        <f t="shared" si="3"/>
        <v>#REF!</v>
      </c>
      <c r="R47" s="87" t="e">
        <f>IF(AJ47&lt;&gt;"",(AB47+AA47+V47+T47)*#REF!,0)</f>
        <v>#REF!</v>
      </c>
      <c r="S47" s="87" t="e">
        <f>IF(AJ47&lt;&gt;"",T47*(LOOKUP(#REF!,Rates!$O$2:$O$9,Rates!$L$2:$L$9)/100),0)</f>
        <v>#REF!</v>
      </c>
      <c r="T47" s="87" t="e">
        <f>IF(AJ47&lt;&gt;"",IF(#REF!="بله",V47*Rates!$Z$7,0),0)</f>
        <v>#REF!</v>
      </c>
      <c r="U47" s="87" t="e">
        <f>IF(AJ47&lt;&gt;"",IF(#REF!="بله",V47*(LOOKUP(#REF!,Rates!$O$2:$O$9,Rates!$L$2:$L$9)/100),V47*(LOOKUP(#REF!,Rates!$O$2:$O$9,Rates!$L$2:$L$9)/100)),0)</f>
        <v>#REF!</v>
      </c>
      <c r="V47" s="88" t="e">
        <f>IF(AND(AJ47&lt;&gt;"",AJ47&lt;=Rates!$Z$8,#REF!="بله"),AH47*(LOOKUP(AJ47,Rates!$U$2:$U$108,Rates!#REF!)),IF(AND(AK47&lt;&gt;"",AK47&lt;=Rates!$Z$8,#REF!="خیر"),AH47*(LOOKUP(AK47,Rates!$U$2:$U$108,Rates!#REF!)),0)*(1-#REF!))</f>
        <v>#REF!</v>
      </c>
      <c r="W47" s="88" t="e">
        <f>IF(AJ47&lt;&gt;"",X47*LOOKUP(#REF!,Rates!$O$2:$O$9,Rates!$M$2:$M$9)/100,0)</f>
        <v>#REF!</v>
      </c>
      <c r="X47" s="88" t="e">
        <f>IF(AJ47&lt;=Rates!$Z$4,0.0008*AF47*#REF!,0)</f>
        <v>#REF!</v>
      </c>
      <c r="Y47" s="88" t="e">
        <f>IF(AJ47&lt;&gt;"",Z47*(LOOKUP(#REF!,Rates!$O$2:$O$9,Rates!$N$2:$N$9/100)),0)</f>
        <v>#REF!</v>
      </c>
      <c r="Z47" s="87" t="e">
        <f>IF(AND(AJ47&lt;=(Rates!$Z$3),AD47&lt;&gt;""),(1-#REF!)*0.0008*AF47*#REF!,0)</f>
        <v>#REF!</v>
      </c>
      <c r="AA47" s="87" t="e">
        <f>IF(AJ47&lt;=60,(LOOKUP(AJ47,Rates!$U$2:$U$108,Rates!#REF!))*AC47/1000000*(1-#REF!),0)</f>
        <v>#REF!</v>
      </c>
      <c r="AB47" s="84" t="e">
        <f>IF(AJ47&lt;&gt;"",(AF47*LOOKUP(AJ47,Rates!$U$2:$U$108,Rates!$T$2:$T$108))/SQRT(1+IF(AL47&lt;=10,Rates!$Z$5,Rates!$Z$6)),"")</f>
        <v>#REF!</v>
      </c>
      <c r="AC47" s="89" t="e">
        <f>IF(AND(AJ47&lt;&gt;"",AJ47&lt;=Rates!$Z$2),MIN(0.5*AF47,300000000,AC46*(1+#REF!)),"")</f>
        <v>#REF!</v>
      </c>
      <c r="AD47" s="89" t="e">
        <f>IF(AND(AJ47&lt;&gt;"",AJ47&lt;=60),AF47*#REF!,"")</f>
        <v>#REF!</v>
      </c>
      <c r="AE47" s="109" t="e">
        <f>IF(AND(AJ47&lt;&gt;"",AJ47&lt;=70),AF47*(1+#REF!),"")</f>
        <v>#REF!</v>
      </c>
      <c r="AF47" s="109" t="e">
        <f>IF(AJ47&lt;&gt;"",AF46*(1+#REF!),"")</f>
        <v>#REF!</v>
      </c>
      <c r="AG47" s="92" t="e">
        <f t="shared" si="6"/>
        <v>#REF!</v>
      </c>
      <c r="AH47" s="83" t="e">
        <f>IF(AJ47&lt;&gt;"",AI47*Rates!$Z$9,"")</f>
        <v>#REF!</v>
      </c>
      <c r="AI47" s="92" t="e">
        <f>IF(AJ47&lt;&gt;"",AI46*(1+#REF!),"")</f>
        <v>#REF!</v>
      </c>
      <c r="AJ47" s="98" t="e">
        <f>IF(AL47&lt;&gt;"",#REF!+AL47-1,"")</f>
        <v>#REF!</v>
      </c>
      <c r="AK47" s="107" t="e">
        <f>IF(AL47&lt;&gt;"",#REF!+AL47-1,"")</f>
        <v>#REF!</v>
      </c>
      <c r="AL47" s="110" t="e">
        <f>IF(AL46&lt;&gt;"",IF(AL46+1&lt;=#REF!,AL46+1,""),"")</f>
        <v>#REF!</v>
      </c>
    </row>
    <row r="48" spans="1:38" ht="17.25" x14ac:dyDescent="0.25">
      <c r="A48" s="84" t="e">
        <f>IF(AJ48&lt;&gt;"",D48+D48*(IF(AL48&gt;4,0.1,LOOKUP(#REF!,Rates!$D$2:$D$4,Rates!$C$2:$C$4))+0.85*(#REF!-(IF(AL48&gt;4,0.1,LOOKUP(#REF!,Rates!$D$2:$D$4,Rates!$C$2:$C$4)))))*LOOKUP(#REF!,Rates!$I$2:$I$7,Rates!$G$2:$G$7)+A47*(1+IF(AL48&gt;4,0.1,LOOKUP(#REF!,Rates!$D$2:$D$4,Rates!$C$2:$C$4))+0.85*(#REF!-IF(AL48&gt;4,0.1,LOOKUP(#REF!,Rates!$D$2:$D$4,Rates!$C$2:$C$4)))),"")</f>
        <v>#REF!</v>
      </c>
      <c r="B48" s="84" t="e">
        <f>IF(AJ48&lt;&gt;"",IF(AL48&gt;=8,C48,C48*LOOKUP(AL48,Rates!$AH$2:$AH$8,Rates!$AG$2:$AG$8)),"")</f>
        <v>#REF!</v>
      </c>
      <c r="C48" s="84" t="e">
        <f>IF(AJ48&lt;&gt;"",D48*(1+IF(AL48&gt;4,0.1,LOOKUP(#REF!,Rates!$D$2:$D$5,Rates!$B$2:$B$5))*LOOKUP(#REF!,Rates!$I$2:$I$7,Rates!$G$2:$G$7))+C47*(1+IF(AL48&gt;4,0.1,LOOKUP(#REF!,Rates!$D$2:$D$5,Rates!$B$2:$B$5))),"")</f>
        <v>#REF!</v>
      </c>
      <c r="D48" s="84" t="e">
        <f>IF(AJ48&lt;&gt;"",AI48-(H48+G48+F48+E48+P48+Q48)+IF(#REF!&gt;0,IF(AND(AL48&lt;=#REF!,AL48&gt;=#REF!),#REF!,0),0),"")</f>
        <v>#REF!</v>
      </c>
      <c r="E48" s="84" t="e">
        <f>IF(AJ48&lt;&gt;"",(LOOKUP(#REF!,Rates!$AE$2:$AE$4,Rates!$AD$2:$AD$4))*(H48+P48+Q48),"")</f>
        <v>#REF!</v>
      </c>
      <c r="F48" s="84" t="e">
        <f>IF(AJ48&lt;&gt;"",(LOOKUP(#REF!,Rates!$AE$2:$AE$4,Rates!$AB$2:$AB$4))*(H48+P48+Q48),"")</f>
        <v>#REF!</v>
      </c>
      <c r="G48" s="84" t="e">
        <f>IF(AJ48&lt;&gt;"",(LOOKUP(#REF!,Rates!$AE$2:$AE$4,Rates!$AC$2:$AC$4))*(H48+P48+Q48),"")</f>
        <v>#REF!</v>
      </c>
      <c r="H48" s="84" t="e">
        <f t="shared" si="0"/>
        <v>#REF!</v>
      </c>
      <c r="I48" s="84" t="e">
        <f>IF(AJ48&lt;&gt;"",LOOKUP(#REF!,Rates!$I$2:$I$7,Rates!$H$2:$H$7)*(J48+P48+Q48+AB48),"")</f>
        <v>#REF!</v>
      </c>
      <c r="J48" s="96" t="e">
        <f t="shared" si="9"/>
        <v>#REF!</v>
      </c>
      <c r="K48" s="96" t="e">
        <f t="shared" si="7"/>
        <v>#REF!</v>
      </c>
      <c r="L48" s="96" t="e">
        <f t="shared" si="8"/>
        <v>#REF!</v>
      </c>
      <c r="M48" s="96" t="e">
        <f>IF(#REF!&lt;&gt;"",(1-#REF!)*IF(MIN(30/1000*$AF$2,0.75*#REF!)=30/1000*AF47,30/1000*(AF48-AF47),0.75*(#REF!-#REF!)),"")</f>
        <v>#REF!</v>
      </c>
      <c r="N48" s="96">
        <v>0</v>
      </c>
      <c r="O48" s="96" t="e">
        <f>IF(AJ48&lt;&gt;"",0.07*AI48*(1-#REF!),0)</f>
        <v>#REF!</v>
      </c>
      <c r="P48" s="87" t="e">
        <f t="shared" si="2"/>
        <v>#REF!</v>
      </c>
      <c r="Q48" s="87" t="e">
        <f t="shared" si="3"/>
        <v>#REF!</v>
      </c>
      <c r="R48" s="87" t="e">
        <f>IF(AJ48&lt;&gt;"",(AB48+AA48+V48+T48)*#REF!,0)</f>
        <v>#REF!</v>
      </c>
      <c r="S48" s="87" t="e">
        <f>IF(AJ48&lt;&gt;"",T48*(LOOKUP(#REF!,Rates!$O$2:$O$9,Rates!$L$2:$L$9)/100),0)</f>
        <v>#REF!</v>
      </c>
      <c r="T48" s="87" t="e">
        <f>IF(AJ48&lt;&gt;"",IF(#REF!="بله",V48*Rates!$Z$7,0),0)</f>
        <v>#REF!</v>
      </c>
      <c r="U48" s="87" t="e">
        <f>IF(AJ48&lt;&gt;"",IF(#REF!="بله",V48*(LOOKUP(#REF!,Rates!$O$2:$O$9,Rates!$L$2:$L$9)/100),V48*(LOOKUP(#REF!,Rates!$O$2:$O$9,Rates!$L$2:$L$9)/100)),0)</f>
        <v>#REF!</v>
      </c>
      <c r="V48" s="88" t="e">
        <f>IF(AND(AJ48&lt;&gt;"",AJ48&lt;=Rates!$Z$8,#REF!="بله"),AH48*(LOOKUP(AJ48,Rates!$U$2:$U$108,Rates!#REF!)),IF(AND(AK48&lt;&gt;"",AK48&lt;=Rates!$Z$8,#REF!="خیر"),AH48*(LOOKUP(AK48,Rates!$U$2:$U$108,Rates!#REF!)),0)*(1-#REF!))</f>
        <v>#REF!</v>
      </c>
      <c r="W48" s="88" t="e">
        <f>IF(AJ48&lt;&gt;"",X48*LOOKUP(#REF!,Rates!$O$2:$O$9,Rates!$M$2:$M$9)/100,0)</f>
        <v>#REF!</v>
      </c>
      <c r="X48" s="88" t="e">
        <f>IF(AJ48&lt;=Rates!$Z$4,0.0008*AF48*#REF!,0)</f>
        <v>#REF!</v>
      </c>
      <c r="Y48" s="88" t="e">
        <f>IF(AJ48&lt;&gt;"",Z48*(LOOKUP(#REF!,Rates!$O$2:$O$9,Rates!$N$2:$N$9/100)),0)</f>
        <v>#REF!</v>
      </c>
      <c r="Z48" s="87" t="e">
        <f>IF(AND(AJ48&lt;=(Rates!$Z$3),AD48&lt;&gt;""),(1-#REF!)*0.0008*AF48*#REF!,0)</f>
        <v>#REF!</v>
      </c>
      <c r="AA48" s="87" t="e">
        <f>IF(AJ48&lt;=60,(LOOKUP(AJ48,Rates!$U$2:$U$108,Rates!#REF!))*AC48/1000000*(1-#REF!),0)</f>
        <v>#REF!</v>
      </c>
      <c r="AB48" s="84" t="e">
        <f>IF(AJ48&lt;&gt;"",(AF48*LOOKUP(AJ48,Rates!$U$2:$U$108,Rates!$T$2:$T$108))/SQRT(1+IF(AL48&lt;=10,Rates!$Z$5,Rates!$Z$6)),"")</f>
        <v>#REF!</v>
      </c>
      <c r="AC48" s="89" t="e">
        <f>IF(AND(AJ48&lt;&gt;"",AJ48&lt;=Rates!$Z$2),MIN(0.5*AF48,300000000,AC47*(1+#REF!)),"")</f>
        <v>#REF!</v>
      </c>
      <c r="AD48" s="89" t="e">
        <f>IF(AND(AJ48&lt;&gt;"",AJ48&lt;=60),AF48*#REF!,"")</f>
        <v>#REF!</v>
      </c>
      <c r="AE48" s="109" t="e">
        <f>IF(AND(AJ48&lt;&gt;"",AJ48&lt;=70),AF48*(1+#REF!),"")</f>
        <v>#REF!</v>
      </c>
      <c r="AF48" s="109" t="e">
        <f>IF(AJ48&lt;&gt;"",AF47*(1+#REF!),"")</f>
        <v>#REF!</v>
      </c>
      <c r="AG48" s="92" t="e">
        <f t="shared" si="6"/>
        <v>#REF!</v>
      </c>
      <c r="AH48" s="83" t="e">
        <f>IF(AJ48&lt;&gt;"",AI48*Rates!$Z$9,"")</f>
        <v>#REF!</v>
      </c>
      <c r="AI48" s="92" t="e">
        <f>IF(AJ48&lt;&gt;"",AI47*(1+#REF!),"")</f>
        <v>#REF!</v>
      </c>
      <c r="AJ48" s="98" t="e">
        <f>IF(AL48&lt;&gt;"",#REF!+AL48-1,"")</f>
        <v>#REF!</v>
      </c>
      <c r="AK48" s="107" t="e">
        <f>IF(AL48&lt;&gt;"",#REF!+AL48-1,"")</f>
        <v>#REF!</v>
      </c>
      <c r="AL48" s="110" t="e">
        <f>IF(AL47&lt;&gt;"",IF(AL47+1&lt;=#REF!,AL47+1,""),"")</f>
        <v>#REF!</v>
      </c>
    </row>
    <row r="49" spans="1:38" ht="17.25" x14ac:dyDescent="0.25">
      <c r="A49" s="84" t="e">
        <f>IF(AJ49&lt;&gt;"",D49+D49*(IF(AL49&gt;4,0.1,LOOKUP(#REF!,Rates!$D$2:$D$4,Rates!$C$2:$C$4))+0.85*(#REF!-(IF(AL49&gt;4,0.1,LOOKUP(#REF!,Rates!$D$2:$D$4,Rates!$C$2:$C$4)))))*LOOKUP(#REF!,Rates!$I$2:$I$7,Rates!$G$2:$G$7)+A48*(1+IF(AL49&gt;4,0.1,LOOKUP(#REF!,Rates!$D$2:$D$4,Rates!$C$2:$C$4))+0.85*(#REF!-IF(AL49&gt;4,0.1,LOOKUP(#REF!,Rates!$D$2:$D$4,Rates!$C$2:$C$4)))),"")</f>
        <v>#REF!</v>
      </c>
      <c r="B49" s="84" t="e">
        <f>IF(AJ49&lt;&gt;"",IF(AL49&gt;=8,C49,C49*LOOKUP(AL49,Rates!$AH$2:$AH$8,Rates!$AG$2:$AG$8)),"")</f>
        <v>#REF!</v>
      </c>
      <c r="C49" s="84" t="e">
        <f>IF(AJ49&lt;&gt;"",D49*(1+IF(AL49&gt;4,0.1,LOOKUP(#REF!,Rates!$D$2:$D$5,Rates!$B$2:$B$5))*LOOKUP(#REF!,Rates!$I$2:$I$7,Rates!$G$2:$G$7))+C48*(1+IF(AL49&gt;4,0.1,LOOKUP(#REF!,Rates!$D$2:$D$5,Rates!$B$2:$B$5))),"")</f>
        <v>#REF!</v>
      </c>
      <c r="D49" s="84" t="e">
        <f>IF(AJ49&lt;&gt;"",AI49-(H49+G49+F49+E49+P49+Q49)+IF(#REF!&gt;0,IF(AND(AL49&lt;=#REF!,AL49&gt;=#REF!),#REF!,0),0),"")</f>
        <v>#REF!</v>
      </c>
      <c r="E49" s="84" t="e">
        <f>IF(AJ49&lt;&gt;"",(LOOKUP(#REF!,Rates!$AE$2:$AE$4,Rates!$AD$2:$AD$4))*(H49+P49+Q49),"")</f>
        <v>#REF!</v>
      </c>
      <c r="F49" s="84" t="e">
        <f>IF(AJ49&lt;&gt;"",(LOOKUP(#REF!,Rates!$AE$2:$AE$4,Rates!$AB$2:$AB$4))*(H49+P49+Q49),"")</f>
        <v>#REF!</v>
      </c>
      <c r="G49" s="84" t="e">
        <f>IF(AJ49&lt;&gt;"",(LOOKUP(#REF!,Rates!$AE$2:$AE$4,Rates!$AC$2:$AC$4))*(H49+P49+Q49),"")</f>
        <v>#REF!</v>
      </c>
      <c r="H49" s="84" t="e">
        <f t="shared" si="0"/>
        <v>#REF!</v>
      </c>
      <c r="I49" s="84" t="e">
        <f>IF(AJ49&lt;&gt;"",LOOKUP(#REF!,Rates!$I$2:$I$7,Rates!$H$2:$H$7)*(J49+P49+Q49+AB49),"")</f>
        <v>#REF!</v>
      </c>
      <c r="J49" s="96" t="e">
        <f t="shared" si="9"/>
        <v>#REF!</v>
      </c>
      <c r="K49" s="96" t="e">
        <f t="shared" si="7"/>
        <v>#REF!</v>
      </c>
      <c r="L49" s="96" t="e">
        <f t="shared" si="8"/>
        <v>#REF!</v>
      </c>
      <c r="M49" s="96" t="e">
        <f>IF(#REF!&lt;&gt;"",(1-#REF!)*IF(MIN(30/1000*$AF$2,0.75*#REF!)=30/1000*AF48,30/1000*(AF49-AF48),0.75*(#REF!-#REF!)),"")</f>
        <v>#REF!</v>
      </c>
      <c r="N49" s="96">
        <v>0</v>
      </c>
      <c r="O49" s="96" t="e">
        <f>IF(AJ49&lt;&gt;"",0.07*AI49*(1-#REF!),0)</f>
        <v>#REF!</v>
      </c>
      <c r="P49" s="87" t="e">
        <f t="shared" si="2"/>
        <v>#REF!</v>
      </c>
      <c r="Q49" s="87" t="e">
        <f t="shared" si="3"/>
        <v>#REF!</v>
      </c>
      <c r="R49" s="87" t="e">
        <f>IF(AJ49&lt;&gt;"",(AB49+AA49+V49+T49)*#REF!,0)</f>
        <v>#REF!</v>
      </c>
      <c r="S49" s="87" t="e">
        <f>IF(AJ49&lt;&gt;"",T49*(LOOKUP(#REF!,Rates!$O$2:$O$9,Rates!$L$2:$L$9)/100),0)</f>
        <v>#REF!</v>
      </c>
      <c r="T49" s="87" t="e">
        <f>IF(AJ49&lt;&gt;"",IF(#REF!="بله",V49*Rates!$Z$7,0),0)</f>
        <v>#REF!</v>
      </c>
      <c r="U49" s="87" t="e">
        <f>IF(AJ49&lt;&gt;"",IF(#REF!="بله",V49*(LOOKUP(#REF!,Rates!$O$2:$O$9,Rates!$L$2:$L$9)/100),V49*(LOOKUP(#REF!,Rates!$O$2:$O$9,Rates!$L$2:$L$9)/100)),0)</f>
        <v>#REF!</v>
      </c>
      <c r="V49" s="88" t="e">
        <f>IF(AND(AJ49&lt;&gt;"",AJ49&lt;=Rates!$Z$8,#REF!="بله"),AH49*(LOOKUP(AJ49,Rates!$U$2:$U$108,Rates!#REF!)),IF(AND(AK49&lt;&gt;"",AK49&lt;=Rates!$Z$8,#REF!="خیر"),AH49*(LOOKUP(AK49,Rates!$U$2:$U$108,Rates!#REF!)),0)*(1-#REF!))</f>
        <v>#REF!</v>
      </c>
      <c r="W49" s="88" t="e">
        <f>IF(AJ49&lt;&gt;"",X49*LOOKUP(#REF!,Rates!$O$2:$O$9,Rates!$M$2:$M$9)/100,0)</f>
        <v>#REF!</v>
      </c>
      <c r="X49" s="88" t="e">
        <f>IF(AJ49&lt;=Rates!$Z$4,0.0008*AF49*#REF!,0)</f>
        <v>#REF!</v>
      </c>
      <c r="Y49" s="88" t="e">
        <f>IF(AJ49&lt;&gt;"",Z49*(LOOKUP(#REF!,Rates!$O$2:$O$9,Rates!$N$2:$N$9/100)),0)</f>
        <v>#REF!</v>
      </c>
      <c r="Z49" s="87" t="e">
        <f>IF(AND(AJ49&lt;=(Rates!$Z$3),AD49&lt;&gt;""),(1-#REF!)*0.0008*AF49*#REF!,0)</f>
        <v>#REF!</v>
      </c>
      <c r="AA49" s="87" t="e">
        <f>IF(AJ49&lt;=60,(LOOKUP(AJ49,Rates!$U$2:$U$108,Rates!#REF!))*AC49/1000000*(1-#REF!),0)</f>
        <v>#REF!</v>
      </c>
      <c r="AB49" s="84" t="e">
        <f>IF(AJ49&lt;&gt;"",(AF49*LOOKUP(AJ49,Rates!$U$2:$U$108,Rates!$T$2:$T$108))/SQRT(1+IF(AL49&lt;=10,Rates!$Z$5,Rates!$Z$6)),"")</f>
        <v>#REF!</v>
      </c>
      <c r="AC49" s="89" t="e">
        <f>IF(AND(AJ49&lt;&gt;"",AJ49&lt;=Rates!$Z$2),MIN(0.5*AF49,300000000,AC48*(1+#REF!)),"")</f>
        <v>#REF!</v>
      </c>
      <c r="AD49" s="89" t="e">
        <f>IF(AND(AJ49&lt;&gt;"",AJ49&lt;=60),AF49*#REF!,"")</f>
        <v>#REF!</v>
      </c>
      <c r="AE49" s="109" t="e">
        <f>IF(AND(AJ49&lt;&gt;"",AJ49&lt;=70),AF49*(1+#REF!),"")</f>
        <v>#REF!</v>
      </c>
      <c r="AF49" s="109" t="e">
        <f>IF(AJ49&lt;&gt;"",AF48*(1+#REF!),"")</f>
        <v>#REF!</v>
      </c>
      <c r="AG49" s="92" t="e">
        <f t="shared" si="6"/>
        <v>#REF!</v>
      </c>
      <c r="AH49" s="83" t="e">
        <f>IF(AJ49&lt;&gt;"",AI49*Rates!$Z$9,"")</f>
        <v>#REF!</v>
      </c>
      <c r="AI49" s="92" t="e">
        <f>IF(AJ49&lt;&gt;"",AI48*(1+#REF!),"")</f>
        <v>#REF!</v>
      </c>
      <c r="AJ49" s="98" t="e">
        <f>IF(AL49&lt;&gt;"",#REF!+AL49-1,"")</f>
        <v>#REF!</v>
      </c>
      <c r="AK49" s="107" t="e">
        <f>IF(AL49&lt;&gt;"",#REF!+AL49-1,"")</f>
        <v>#REF!</v>
      </c>
      <c r="AL49" s="110" t="e">
        <f>IF(AL48&lt;&gt;"",IF(AL48+1&lt;=#REF!,AL48+1,""),"")</f>
        <v>#REF!</v>
      </c>
    </row>
    <row r="50" spans="1:38" ht="17.25" x14ac:dyDescent="0.25">
      <c r="A50" s="84" t="e">
        <f>IF(AJ50&lt;&gt;"",D50+D50*(IF(AL50&gt;4,0.1,LOOKUP(#REF!,Rates!$D$2:$D$4,Rates!$C$2:$C$4))+0.85*(#REF!-(IF(AL50&gt;4,0.1,LOOKUP(#REF!,Rates!$D$2:$D$4,Rates!$C$2:$C$4)))))*LOOKUP(#REF!,Rates!$I$2:$I$7,Rates!$G$2:$G$7)+A49*(1+IF(AL50&gt;4,0.1,LOOKUP(#REF!,Rates!$D$2:$D$4,Rates!$C$2:$C$4))+0.85*(#REF!-IF(AL50&gt;4,0.1,LOOKUP(#REF!,Rates!$D$2:$D$4,Rates!$C$2:$C$4)))),"")</f>
        <v>#REF!</v>
      </c>
      <c r="B50" s="84" t="e">
        <f>IF(AJ50&lt;&gt;"",IF(AL50&gt;=8,C50,C50*LOOKUP(AL50,Rates!$AH$2:$AH$8,Rates!$AG$2:$AG$8)),"")</f>
        <v>#REF!</v>
      </c>
      <c r="C50" s="84" t="e">
        <f>IF(AJ50&lt;&gt;"",D50*(1+IF(AL50&gt;4,0.1,LOOKUP(#REF!,Rates!$D$2:$D$5,Rates!$B$2:$B$5))*LOOKUP(#REF!,Rates!$I$2:$I$7,Rates!$G$2:$G$7))+C49*(1+IF(AL50&gt;4,0.1,LOOKUP(#REF!,Rates!$D$2:$D$5,Rates!$B$2:$B$5))),"")</f>
        <v>#REF!</v>
      </c>
      <c r="D50" s="84" t="e">
        <f>IF(AJ50&lt;&gt;"",AI50-(H50+G50+F50+E50+P50+Q50)+IF(#REF!&gt;0,IF(AND(AL50&lt;=#REF!,AL50&gt;=#REF!),#REF!,0),0),"")</f>
        <v>#REF!</v>
      </c>
      <c r="E50" s="84" t="e">
        <f>IF(AJ50&lt;&gt;"",(LOOKUP(#REF!,Rates!$AE$2:$AE$4,Rates!$AD$2:$AD$4))*(H50+P50+Q50),"")</f>
        <v>#REF!</v>
      </c>
      <c r="F50" s="84" t="e">
        <f>IF(AJ50&lt;&gt;"",(LOOKUP(#REF!,Rates!$AE$2:$AE$4,Rates!$AB$2:$AB$4))*(H50+P50+Q50),"")</f>
        <v>#REF!</v>
      </c>
      <c r="G50" s="84" t="e">
        <f>IF(AJ50&lt;&gt;"",(LOOKUP(#REF!,Rates!$AE$2:$AE$4,Rates!$AC$2:$AC$4))*(H50+P50+Q50),"")</f>
        <v>#REF!</v>
      </c>
      <c r="H50" s="84" t="e">
        <f t="shared" si="0"/>
        <v>#REF!</v>
      </c>
      <c r="I50" s="84" t="e">
        <f>IF(AJ50&lt;&gt;"",LOOKUP(#REF!,Rates!$I$2:$I$7,Rates!$H$2:$H$7)*(J50+P50+Q50+AB50),"")</f>
        <v>#REF!</v>
      </c>
      <c r="J50" s="96" t="e">
        <f t="shared" si="9"/>
        <v>#REF!</v>
      </c>
      <c r="K50" s="96" t="e">
        <f t="shared" si="7"/>
        <v>#REF!</v>
      </c>
      <c r="L50" s="96" t="e">
        <f t="shared" si="8"/>
        <v>#REF!</v>
      </c>
      <c r="M50" s="96" t="e">
        <f>IF(#REF!&lt;&gt;"",(1-#REF!)*IF(MIN(30/1000*$AF$2,0.75*#REF!)=30/1000*AF49,30/1000*(AF50-AF49),0.75*(#REF!-#REF!)),"")</f>
        <v>#REF!</v>
      </c>
      <c r="N50" s="96">
        <v>0</v>
      </c>
      <c r="O50" s="96" t="e">
        <f>IF(AJ50&lt;&gt;"",0.07*AI50*(1-#REF!),0)</f>
        <v>#REF!</v>
      </c>
      <c r="P50" s="87" t="e">
        <f t="shared" si="2"/>
        <v>#REF!</v>
      </c>
      <c r="Q50" s="87" t="e">
        <f t="shared" si="3"/>
        <v>#REF!</v>
      </c>
      <c r="R50" s="87" t="e">
        <f>IF(AJ50&lt;&gt;"",(AB50+AA50+V50+T50)*#REF!,0)</f>
        <v>#REF!</v>
      </c>
      <c r="S50" s="87" t="e">
        <f>IF(AJ50&lt;&gt;"",T50*(LOOKUP(#REF!,Rates!$O$2:$O$9,Rates!$L$2:$L$9)/100),0)</f>
        <v>#REF!</v>
      </c>
      <c r="T50" s="87" t="e">
        <f>IF(AJ50&lt;&gt;"",IF(#REF!="بله",V50*Rates!$Z$7,0),0)</f>
        <v>#REF!</v>
      </c>
      <c r="U50" s="87" t="e">
        <f>IF(AJ50&lt;&gt;"",IF(#REF!="بله",V50*(LOOKUP(#REF!,Rates!$O$2:$O$9,Rates!$L$2:$L$9)/100),V50*(LOOKUP(#REF!,Rates!$O$2:$O$9,Rates!$L$2:$L$9)/100)),0)</f>
        <v>#REF!</v>
      </c>
      <c r="V50" s="88" t="e">
        <f>IF(AND(AJ50&lt;&gt;"",AJ50&lt;=Rates!$Z$8,#REF!="بله"),AH50*(LOOKUP(AJ50,Rates!$U$2:$U$108,Rates!#REF!)),IF(AND(AK50&lt;&gt;"",AK50&lt;=Rates!$Z$8,#REF!="خیر"),AH50*(LOOKUP(AK50,Rates!$U$2:$U$108,Rates!#REF!)),0)*(1-#REF!))</f>
        <v>#REF!</v>
      </c>
      <c r="W50" s="88" t="e">
        <f>IF(AJ50&lt;&gt;"",X50*LOOKUP(#REF!,Rates!$O$2:$O$9,Rates!$M$2:$M$9)/100,0)</f>
        <v>#REF!</v>
      </c>
      <c r="X50" s="88" t="e">
        <f>IF(AJ50&lt;=Rates!$Z$4,0.0008*AF50*#REF!,0)</f>
        <v>#REF!</v>
      </c>
      <c r="Y50" s="88" t="e">
        <f>IF(AJ50&lt;&gt;"",Z50*(LOOKUP(#REF!,Rates!$O$2:$O$9,Rates!$N$2:$N$9/100)),0)</f>
        <v>#REF!</v>
      </c>
      <c r="Z50" s="87" t="e">
        <f>IF(AND(AJ50&lt;=(Rates!$Z$3),AD50&lt;&gt;""),(1-#REF!)*0.0008*AF50*#REF!,0)</f>
        <v>#REF!</v>
      </c>
      <c r="AA50" s="87" t="e">
        <f>IF(AJ50&lt;=60,(LOOKUP(AJ50,Rates!$U$2:$U$108,Rates!#REF!))*AC50/1000000*(1-#REF!),0)</f>
        <v>#REF!</v>
      </c>
      <c r="AB50" s="84" t="e">
        <f>IF(AJ50&lt;&gt;"",(AF50*LOOKUP(AJ50,Rates!$U$2:$U$108,Rates!$T$2:$T$108))/SQRT(1+IF(AL50&lt;=10,Rates!$Z$5,Rates!$Z$6)),"")</f>
        <v>#REF!</v>
      </c>
      <c r="AC50" s="89" t="e">
        <f>IF(AND(AJ50&lt;&gt;"",AJ50&lt;=Rates!$Z$2),MIN(0.5*AF50,300000000,AC49*(1+#REF!)),"")</f>
        <v>#REF!</v>
      </c>
      <c r="AD50" s="89" t="e">
        <f>IF(AND(AJ50&lt;&gt;"",AJ50&lt;=60),AF50*#REF!,"")</f>
        <v>#REF!</v>
      </c>
      <c r="AE50" s="109" t="e">
        <f>IF(AND(AJ50&lt;&gt;"",AJ50&lt;=70),AF50*(1+#REF!),"")</f>
        <v>#REF!</v>
      </c>
      <c r="AF50" s="109" t="e">
        <f>IF(AJ50&lt;&gt;"",AF49*(1+#REF!),"")</f>
        <v>#REF!</v>
      </c>
      <c r="AG50" s="92" t="e">
        <f t="shared" si="6"/>
        <v>#REF!</v>
      </c>
      <c r="AH50" s="83" t="e">
        <f>IF(AJ50&lt;&gt;"",AI50*Rates!$Z$9,"")</f>
        <v>#REF!</v>
      </c>
      <c r="AI50" s="92" t="e">
        <f>IF(AJ50&lt;&gt;"",AI49*(1+#REF!),"")</f>
        <v>#REF!</v>
      </c>
      <c r="AJ50" s="98" t="e">
        <f>IF(AL50&lt;&gt;"",#REF!+AL50-1,"")</f>
        <v>#REF!</v>
      </c>
      <c r="AK50" s="107" t="e">
        <f>IF(AL50&lt;&gt;"",#REF!+AL50-1,"")</f>
        <v>#REF!</v>
      </c>
      <c r="AL50" s="110" t="e">
        <f>IF(AL49&lt;&gt;"",IF(AL49+1&lt;=#REF!,AL49+1,""),"")</f>
        <v>#REF!</v>
      </c>
    </row>
    <row r="51" spans="1:38" ht="17.25" x14ac:dyDescent="0.25">
      <c r="A51" s="84" t="e">
        <f>IF(AJ51&lt;&gt;"",D51+D51*(IF(AL51&gt;4,0.1,LOOKUP(#REF!,Rates!$D$2:$D$4,Rates!$C$2:$C$4))+0.85*(#REF!-(IF(AL51&gt;4,0.1,LOOKUP(#REF!,Rates!$D$2:$D$4,Rates!$C$2:$C$4)))))*LOOKUP(#REF!,Rates!$I$2:$I$7,Rates!$G$2:$G$7)+A50*(1+IF(AL51&gt;4,0.1,LOOKUP(#REF!,Rates!$D$2:$D$4,Rates!$C$2:$C$4))+0.85*(#REF!-IF(AL51&gt;4,0.1,LOOKUP(#REF!,Rates!$D$2:$D$4,Rates!$C$2:$C$4)))),"")</f>
        <v>#REF!</v>
      </c>
      <c r="B51" s="84" t="e">
        <f>IF(AJ51&lt;&gt;"",IF(AL51&gt;=8,C51,C51*LOOKUP(AL51,Rates!$AH$2:$AH$8,Rates!$AG$2:$AG$8)),"")</f>
        <v>#REF!</v>
      </c>
      <c r="C51" s="84" t="e">
        <f>IF(AJ51&lt;&gt;"",D51*(1+IF(AL51&gt;4,0.1,LOOKUP(#REF!,Rates!$D$2:$D$5,Rates!$B$2:$B$5))*LOOKUP(#REF!,Rates!$I$2:$I$7,Rates!$G$2:$G$7))+C50*(1+IF(AL51&gt;4,0.1,LOOKUP(#REF!,Rates!$D$2:$D$5,Rates!$B$2:$B$5))),"")</f>
        <v>#REF!</v>
      </c>
      <c r="D51" s="84" t="e">
        <f>IF(AJ51&lt;&gt;"",AI51-(H51+G51+F51+E51+P51+Q51)+IF(#REF!&gt;0,IF(AND(AL51&lt;=#REF!,AL51&gt;=#REF!),#REF!,0),0),"")</f>
        <v>#REF!</v>
      </c>
      <c r="E51" s="84" t="e">
        <f>IF(AJ51&lt;&gt;"",(LOOKUP(#REF!,Rates!$AE$2:$AE$4,Rates!$AD$2:$AD$4))*(H51+P51+Q51),"")</f>
        <v>#REF!</v>
      </c>
      <c r="F51" s="84" t="e">
        <f>IF(AJ51&lt;&gt;"",(LOOKUP(#REF!,Rates!$AE$2:$AE$4,Rates!$AB$2:$AB$4))*(H51+P51+Q51),"")</f>
        <v>#REF!</v>
      </c>
      <c r="G51" s="84" t="e">
        <f>IF(AJ51&lt;&gt;"",(LOOKUP(#REF!,Rates!$AE$2:$AE$4,Rates!$AC$2:$AC$4))*(H51+P51+Q51),"")</f>
        <v>#REF!</v>
      </c>
      <c r="H51" s="84" t="e">
        <f t="shared" si="0"/>
        <v>#REF!</v>
      </c>
      <c r="I51" s="84" t="e">
        <f>IF(AJ51&lt;&gt;"",LOOKUP(#REF!,Rates!$I$2:$I$7,Rates!$H$2:$H$7)*(J51+P51+Q51+AB51),"")</f>
        <v>#REF!</v>
      </c>
      <c r="J51" s="96" t="e">
        <f t="shared" si="9"/>
        <v>#REF!</v>
      </c>
      <c r="K51" s="96" t="e">
        <f t="shared" si="7"/>
        <v>#REF!</v>
      </c>
      <c r="L51" s="96" t="e">
        <f t="shared" si="8"/>
        <v>#REF!</v>
      </c>
      <c r="M51" s="96" t="e">
        <f>IF(#REF!&lt;&gt;"",(1-#REF!)*IF(MIN(30/1000*$AF$2,0.75*#REF!)=30/1000*AF50,30/1000*(AF51-AF50),0.75*(#REF!-#REF!)),"")</f>
        <v>#REF!</v>
      </c>
      <c r="N51" s="96">
        <v>0</v>
      </c>
      <c r="O51" s="96" t="e">
        <f>IF(AJ51&lt;&gt;"",0.07*AI51*(1-#REF!),0)</f>
        <v>#REF!</v>
      </c>
      <c r="P51" s="87" t="e">
        <f t="shared" si="2"/>
        <v>#REF!</v>
      </c>
      <c r="Q51" s="87" t="e">
        <f t="shared" si="3"/>
        <v>#REF!</v>
      </c>
      <c r="R51" s="87" t="e">
        <f>IF(AJ51&lt;&gt;"",(AB51+AA51+V51+T51)*#REF!,0)</f>
        <v>#REF!</v>
      </c>
      <c r="S51" s="87" t="e">
        <f>IF(AJ51&lt;&gt;"",T51*(LOOKUP(#REF!,Rates!$O$2:$O$9,Rates!$L$2:$L$9)/100),0)</f>
        <v>#REF!</v>
      </c>
      <c r="T51" s="87" t="e">
        <f>IF(AJ51&lt;&gt;"",IF(#REF!="بله",V51*Rates!$Z$7,0),0)</f>
        <v>#REF!</v>
      </c>
      <c r="U51" s="87" t="e">
        <f>IF(AJ51&lt;&gt;"",IF(#REF!="بله",V51*(LOOKUP(#REF!,Rates!$O$2:$O$9,Rates!$L$2:$L$9)/100),V51*(LOOKUP(#REF!,Rates!$O$2:$O$9,Rates!$L$2:$L$9)/100)),0)</f>
        <v>#REF!</v>
      </c>
      <c r="V51" s="88" t="e">
        <f>IF(AND(AJ51&lt;&gt;"",AJ51&lt;=Rates!$Z$8,#REF!="بله"),AH51*(LOOKUP(AJ51,Rates!$U$2:$U$108,Rates!#REF!)),IF(AND(AK51&lt;&gt;"",AK51&lt;=Rates!$Z$8,#REF!="خیر"),AH51*(LOOKUP(AK51,Rates!$U$2:$U$108,Rates!#REF!)),0)*(1-#REF!))</f>
        <v>#REF!</v>
      </c>
      <c r="W51" s="88" t="e">
        <f>IF(AJ51&lt;&gt;"",X51*LOOKUP(#REF!,Rates!$O$2:$O$9,Rates!$M$2:$M$9)/100,0)</f>
        <v>#REF!</v>
      </c>
      <c r="X51" s="88" t="e">
        <f>IF(AJ51&lt;=Rates!$Z$4,0.0008*AF51*#REF!,0)</f>
        <v>#REF!</v>
      </c>
      <c r="Y51" s="88" t="e">
        <f>IF(AJ51&lt;&gt;"",Z51*(LOOKUP(#REF!,Rates!$O$2:$O$9,Rates!$N$2:$N$9/100)),0)</f>
        <v>#REF!</v>
      </c>
      <c r="Z51" s="87" t="e">
        <f>IF(AND(AJ51&lt;=(Rates!$Z$3),AD51&lt;&gt;""),(1-#REF!)*0.0008*AF51*#REF!,0)</f>
        <v>#REF!</v>
      </c>
      <c r="AA51" s="87" t="e">
        <f>IF(AJ51&lt;=60,(LOOKUP(AJ51,Rates!$U$2:$U$108,Rates!#REF!))*AC51/1000000*(1-#REF!),0)</f>
        <v>#REF!</v>
      </c>
      <c r="AB51" s="84" t="e">
        <f>IF(AJ51&lt;&gt;"",(AF51*LOOKUP(AJ51,Rates!$U$2:$U$108,Rates!$T$2:$T$108))/SQRT(1+IF(AL51&lt;=10,Rates!$Z$5,Rates!$Z$6)),"")</f>
        <v>#REF!</v>
      </c>
      <c r="AC51" s="89" t="e">
        <f>IF(AND(AJ51&lt;&gt;"",AJ51&lt;=Rates!$Z$2),MIN(0.5*AF51,300000000,AC50*(1+#REF!)),"")</f>
        <v>#REF!</v>
      </c>
      <c r="AD51" s="89" t="e">
        <f>IF(AND(AJ51&lt;&gt;"",AJ51&lt;=60),AF51*#REF!,"")</f>
        <v>#REF!</v>
      </c>
      <c r="AE51" s="109" t="e">
        <f>IF(AND(AJ51&lt;&gt;"",AJ51&lt;=70),AF51*(1+#REF!),"")</f>
        <v>#REF!</v>
      </c>
      <c r="AF51" s="109" t="e">
        <f>IF(AJ51&lt;&gt;"",AF50*(1+#REF!),"")</f>
        <v>#REF!</v>
      </c>
      <c r="AG51" s="92" t="e">
        <f t="shared" si="6"/>
        <v>#REF!</v>
      </c>
      <c r="AH51" s="83" t="e">
        <f>IF(AJ51&lt;&gt;"",AI51*Rates!$Z$9,"")</f>
        <v>#REF!</v>
      </c>
      <c r="AI51" s="92" t="e">
        <f>IF(AJ51&lt;&gt;"",AI50*(1+#REF!),"")</f>
        <v>#REF!</v>
      </c>
      <c r="AJ51" s="98" t="e">
        <f>IF(AL51&lt;&gt;"",#REF!+AL51-1,"")</f>
        <v>#REF!</v>
      </c>
      <c r="AK51" s="107" t="e">
        <f>IF(AL51&lt;&gt;"",#REF!+AL51-1,"")</f>
        <v>#REF!</v>
      </c>
      <c r="AL51" s="110" t="e">
        <f>IF(AL50&lt;&gt;"",IF(AL50+1&lt;=#REF!,AL50+1,""),"")</f>
        <v>#REF!</v>
      </c>
    </row>
    <row r="52" spans="1:38" ht="17.25" x14ac:dyDescent="0.25">
      <c r="A52" s="84" t="e">
        <f>IF(AJ52&lt;&gt;"",D52+D52*(IF(AL52&gt;4,0.1,LOOKUP(#REF!,Rates!$D$2:$D$4,Rates!$C$2:$C$4))+0.85*(#REF!-(IF(AL52&gt;4,0.1,LOOKUP(#REF!,Rates!$D$2:$D$4,Rates!$C$2:$C$4)))))*LOOKUP(#REF!,Rates!$I$2:$I$7,Rates!$G$2:$G$7)+A51*(1+IF(AL52&gt;4,0.1,LOOKUP(#REF!,Rates!$D$2:$D$4,Rates!$C$2:$C$4))+0.85*(#REF!-IF(AL52&gt;4,0.1,LOOKUP(#REF!,Rates!$D$2:$D$4,Rates!$C$2:$C$4)))),"")</f>
        <v>#REF!</v>
      </c>
      <c r="B52" s="84" t="e">
        <f>IF(AJ52&lt;&gt;"",IF(AL52&gt;=8,C52,C52*LOOKUP(AL52,Rates!$AH$2:$AH$8,Rates!$AG$2:$AG$8)),"")</f>
        <v>#REF!</v>
      </c>
      <c r="C52" s="84" t="e">
        <f>IF(AJ52&lt;&gt;"",D52*(1+IF(AL52&gt;4,0.1,LOOKUP(#REF!,Rates!$D$2:$D$5,Rates!$B$2:$B$5))*LOOKUP(#REF!,Rates!$I$2:$I$7,Rates!$G$2:$G$7))+C51*(1+IF(AL52&gt;4,0.1,LOOKUP(#REF!,Rates!$D$2:$D$5,Rates!$B$2:$B$5))),"")</f>
        <v>#REF!</v>
      </c>
      <c r="D52" s="84" t="e">
        <f>IF(AJ52&lt;&gt;"",AI52-(H52+G52+F52+E52+P52+Q52)+IF(#REF!&gt;0,IF(AND(AL52&lt;=#REF!,AL52&gt;=#REF!),#REF!,0),0),"")</f>
        <v>#REF!</v>
      </c>
      <c r="E52" s="84" t="e">
        <f>IF(AJ52&lt;&gt;"",(LOOKUP(#REF!,Rates!$AE$2:$AE$4,Rates!$AD$2:$AD$4))*(H52+P52+Q52),"")</f>
        <v>#REF!</v>
      </c>
      <c r="F52" s="84" t="e">
        <f>IF(AJ52&lt;&gt;"",(LOOKUP(#REF!,Rates!$AE$2:$AE$4,Rates!$AB$2:$AB$4))*(H52+P52+Q52),"")</f>
        <v>#REF!</v>
      </c>
      <c r="G52" s="84" t="e">
        <f>IF(AJ52&lt;&gt;"",(LOOKUP(#REF!,Rates!$AE$2:$AE$4,Rates!$AC$2:$AC$4))*(H52+P52+Q52),"")</f>
        <v>#REF!</v>
      </c>
      <c r="H52" s="84" t="e">
        <f t="shared" si="0"/>
        <v>#REF!</v>
      </c>
      <c r="I52" s="84" t="e">
        <f>IF(AJ52&lt;&gt;"",LOOKUP(#REF!,Rates!$I$2:$I$7,Rates!$H$2:$H$7)*(J52+P52+Q52+AB52),"")</f>
        <v>#REF!</v>
      </c>
      <c r="J52" s="96" t="e">
        <f t="shared" si="9"/>
        <v>#REF!</v>
      </c>
      <c r="K52" s="96" t="e">
        <f t="shared" si="7"/>
        <v>#REF!</v>
      </c>
      <c r="L52" s="96" t="e">
        <f t="shared" si="8"/>
        <v>#REF!</v>
      </c>
      <c r="M52" s="96" t="e">
        <f>IF(#REF!&lt;&gt;"",(1-#REF!)*IF(MIN(30/1000*$AF$2,0.75*#REF!)=30/1000*AF51,30/1000*(AF52-AF51),0.75*(#REF!-#REF!)),"")</f>
        <v>#REF!</v>
      </c>
      <c r="N52" s="96">
        <v>0</v>
      </c>
      <c r="O52" s="96" t="e">
        <f>IF(AJ52&lt;&gt;"",0.07*AI52*(1-#REF!),0)</f>
        <v>#REF!</v>
      </c>
      <c r="P52" s="87" t="e">
        <f t="shared" si="2"/>
        <v>#REF!</v>
      </c>
      <c r="Q52" s="87" t="e">
        <f t="shared" si="3"/>
        <v>#REF!</v>
      </c>
      <c r="R52" s="87" t="e">
        <f>IF(AJ52&lt;&gt;"",(AB52+AA52+V52+T52)*#REF!,0)</f>
        <v>#REF!</v>
      </c>
      <c r="S52" s="87" t="e">
        <f>IF(AJ52&lt;&gt;"",T52*(LOOKUP(#REF!,Rates!$O$2:$O$9,Rates!$L$2:$L$9)/100),0)</f>
        <v>#REF!</v>
      </c>
      <c r="T52" s="87" t="e">
        <f>IF(AJ52&lt;&gt;"",IF(#REF!="بله",V52*Rates!$Z$7,0),0)</f>
        <v>#REF!</v>
      </c>
      <c r="U52" s="87" t="e">
        <f>IF(AJ52&lt;&gt;"",IF(#REF!="بله",V52*(LOOKUP(#REF!,Rates!$O$2:$O$9,Rates!$L$2:$L$9)/100),V52*(LOOKUP(#REF!,Rates!$O$2:$O$9,Rates!$L$2:$L$9)/100)),0)</f>
        <v>#REF!</v>
      </c>
      <c r="V52" s="88" t="e">
        <f>IF(AND(AJ52&lt;&gt;"",AJ52&lt;=Rates!$Z$8,#REF!="بله"),AH52*(LOOKUP(AJ52,Rates!$U$2:$U$108,Rates!#REF!)),IF(AND(AK52&lt;&gt;"",AK52&lt;=Rates!$Z$8,#REF!="خیر"),AH52*(LOOKUP(AK52,Rates!$U$2:$U$108,Rates!#REF!)),0)*(1-#REF!))</f>
        <v>#REF!</v>
      </c>
      <c r="W52" s="88" t="e">
        <f>IF(AJ52&lt;&gt;"",X52*LOOKUP(#REF!,Rates!$O$2:$O$9,Rates!$M$2:$M$9)/100,0)</f>
        <v>#REF!</v>
      </c>
      <c r="X52" s="88" t="e">
        <f>IF(AJ52&lt;=Rates!$Z$4,0.0008*AF52*#REF!,0)</f>
        <v>#REF!</v>
      </c>
      <c r="Y52" s="88" t="e">
        <f>IF(AJ52&lt;&gt;"",Z52*(LOOKUP(#REF!,Rates!$O$2:$O$9,Rates!$N$2:$N$9/100)),0)</f>
        <v>#REF!</v>
      </c>
      <c r="Z52" s="87" t="e">
        <f>IF(AND(AJ52&lt;=(Rates!$Z$3),AD52&lt;&gt;""),(1-#REF!)*0.0008*AF52*#REF!,0)</f>
        <v>#REF!</v>
      </c>
      <c r="AA52" s="87" t="e">
        <f>IF(AJ52&lt;=60,(LOOKUP(AJ52,Rates!$U$2:$U$108,Rates!#REF!))*AC52/1000000*(1-#REF!),0)</f>
        <v>#REF!</v>
      </c>
      <c r="AB52" s="84" t="e">
        <f>IF(AJ52&lt;&gt;"",(AF52*LOOKUP(AJ52,Rates!$U$2:$U$108,Rates!$T$2:$T$108))/SQRT(1+IF(AL52&lt;=10,Rates!$Z$5,Rates!$Z$6)),"")</f>
        <v>#REF!</v>
      </c>
      <c r="AC52" s="89" t="e">
        <f>IF(AND(AJ52&lt;&gt;"",AJ52&lt;=Rates!$Z$2),MIN(0.5*AF52,300000000,AC51*(1+#REF!)),"")</f>
        <v>#REF!</v>
      </c>
      <c r="AD52" s="89" t="e">
        <f>IF(AND(AJ52&lt;&gt;"",AJ52&lt;=60),AF52*#REF!,"")</f>
        <v>#REF!</v>
      </c>
      <c r="AE52" s="109" t="e">
        <f>IF(AND(AJ52&lt;&gt;"",AJ52&lt;=70),AF52*(1+#REF!),"")</f>
        <v>#REF!</v>
      </c>
      <c r="AF52" s="109" t="e">
        <f>IF(AJ52&lt;&gt;"",AF51*(1+#REF!),"")</f>
        <v>#REF!</v>
      </c>
      <c r="AG52" s="92" t="e">
        <f t="shared" si="6"/>
        <v>#REF!</v>
      </c>
      <c r="AH52" s="83" t="e">
        <f>IF(AJ52&lt;&gt;"",AI52*Rates!$Z$9,"")</f>
        <v>#REF!</v>
      </c>
      <c r="AI52" s="92" t="e">
        <f>IF(AJ52&lt;&gt;"",AI51*(1+#REF!),"")</f>
        <v>#REF!</v>
      </c>
      <c r="AJ52" s="98" t="e">
        <f>IF(AL52&lt;&gt;"",#REF!+AL52-1,"")</f>
        <v>#REF!</v>
      </c>
      <c r="AK52" s="107" t="e">
        <f>IF(AL52&lt;&gt;"",#REF!+AL52-1,"")</f>
        <v>#REF!</v>
      </c>
      <c r="AL52" s="110" t="e">
        <f>IF(AL51&lt;&gt;"",IF(AL51+1&lt;=#REF!,AL51+1,""),"")</f>
        <v>#REF!</v>
      </c>
    </row>
    <row r="53" spans="1:38" ht="17.25" x14ac:dyDescent="0.25">
      <c r="A53" s="84" t="e">
        <f>IF(AJ53&lt;&gt;"",D53+D53*(IF(AL53&gt;4,0.1,LOOKUP(#REF!,Rates!$D$2:$D$4,Rates!$C$2:$C$4))+0.85*(#REF!-(IF(AL53&gt;4,0.1,LOOKUP(#REF!,Rates!$D$2:$D$4,Rates!$C$2:$C$4)))))*LOOKUP(#REF!,Rates!$I$2:$I$7,Rates!$G$2:$G$7)+A52*(1+IF(AL53&gt;4,0.1,LOOKUP(#REF!,Rates!$D$2:$D$4,Rates!$C$2:$C$4))+0.85*(#REF!-IF(AL53&gt;4,0.1,LOOKUP(#REF!,Rates!$D$2:$D$4,Rates!$C$2:$C$4)))),"")</f>
        <v>#REF!</v>
      </c>
      <c r="B53" s="84" t="e">
        <f>IF(AJ53&lt;&gt;"",IF(AL53&gt;=8,C53,C53*LOOKUP(AL53,Rates!$AH$2:$AH$8,Rates!$AG$2:$AG$8)),"")</f>
        <v>#REF!</v>
      </c>
      <c r="C53" s="84" t="e">
        <f>IF(AJ53&lt;&gt;"",D53*(1+IF(AL53&gt;4,0.1,LOOKUP(#REF!,Rates!$D$2:$D$5,Rates!$B$2:$B$5))*LOOKUP(#REF!,Rates!$I$2:$I$7,Rates!$G$2:$G$7))+C52*(1+IF(AL53&gt;4,0.1,LOOKUP(#REF!,Rates!$D$2:$D$5,Rates!$B$2:$B$5))),"")</f>
        <v>#REF!</v>
      </c>
      <c r="D53" s="84" t="e">
        <f>IF(AJ53&lt;&gt;"",AI53-(H53+G53+F53+E53+P53+Q53)+IF(#REF!&gt;0,IF(AND(AL53&lt;=#REF!,AL53&gt;=#REF!),#REF!,0),0),"")</f>
        <v>#REF!</v>
      </c>
      <c r="E53" s="84" t="e">
        <f>IF(AJ53&lt;&gt;"",(LOOKUP(#REF!,Rates!$AE$2:$AE$4,Rates!$AD$2:$AD$4))*(H53+P53+Q53),"")</f>
        <v>#REF!</v>
      </c>
      <c r="F53" s="84" t="e">
        <f>IF(AJ53&lt;&gt;"",(LOOKUP(#REF!,Rates!$AE$2:$AE$4,Rates!$AB$2:$AB$4))*(H53+P53+Q53),"")</f>
        <v>#REF!</v>
      </c>
      <c r="G53" s="84" t="e">
        <f>IF(AJ53&lt;&gt;"",(LOOKUP(#REF!,Rates!$AE$2:$AE$4,Rates!$AC$2:$AC$4))*(H53+P53+Q53),"")</f>
        <v>#REF!</v>
      </c>
      <c r="H53" s="84" t="e">
        <f t="shared" si="0"/>
        <v>#REF!</v>
      </c>
      <c r="I53" s="84" t="e">
        <f>IF(AJ53&lt;&gt;"",LOOKUP(#REF!,Rates!$I$2:$I$7,Rates!$H$2:$H$7)*(J53+P53+Q53+AB53),"")</f>
        <v>#REF!</v>
      </c>
      <c r="J53" s="96" t="e">
        <f t="shared" si="9"/>
        <v>#REF!</v>
      </c>
      <c r="K53" s="96" t="e">
        <f t="shared" si="7"/>
        <v>#REF!</v>
      </c>
      <c r="L53" s="96" t="e">
        <f t="shared" si="8"/>
        <v>#REF!</v>
      </c>
      <c r="M53" s="96" t="e">
        <f>IF(#REF!&lt;&gt;"",(1-#REF!)*IF(MIN(30/1000*$AF$2,0.75*#REF!)=30/1000*AF52,30/1000*(AF53-AF52),0.75*(#REF!-#REF!)),"")</f>
        <v>#REF!</v>
      </c>
      <c r="N53" s="96">
        <v>0</v>
      </c>
      <c r="O53" s="96" t="e">
        <f>IF(AJ53&lt;&gt;"",0.07*AI53*(1-#REF!),0)</f>
        <v>#REF!</v>
      </c>
      <c r="P53" s="87" t="e">
        <f t="shared" si="2"/>
        <v>#REF!</v>
      </c>
      <c r="Q53" s="87" t="e">
        <f t="shared" si="3"/>
        <v>#REF!</v>
      </c>
      <c r="R53" s="87" t="e">
        <f>IF(AJ53&lt;&gt;"",(AB53+AA53+V53+T53)*#REF!,0)</f>
        <v>#REF!</v>
      </c>
      <c r="S53" s="87" t="e">
        <f>IF(AJ53&lt;&gt;"",T53*(LOOKUP(#REF!,Rates!$O$2:$O$9,Rates!$L$2:$L$9)/100),0)</f>
        <v>#REF!</v>
      </c>
      <c r="T53" s="87" t="e">
        <f>IF(AJ53&lt;&gt;"",IF(#REF!="بله",V53*Rates!$Z$7,0),0)</f>
        <v>#REF!</v>
      </c>
      <c r="U53" s="87" t="e">
        <f>IF(AJ53&lt;&gt;"",IF(#REF!="بله",V53*(LOOKUP(#REF!,Rates!$O$2:$O$9,Rates!$L$2:$L$9)/100),V53*(LOOKUP(#REF!,Rates!$O$2:$O$9,Rates!$L$2:$L$9)/100)),0)</f>
        <v>#REF!</v>
      </c>
      <c r="V53" s="88" t="e">
        <f>IF(AND(AJ53&lt;&gt;"",AJ53&lt;=Rates!$Z$8,#REF!="بله"),AH53*(LOOKUP(AJ53,Rates!$U$2:$U$108,Rates!#REF!)),IF(AND(AK53&lt;&gt;"",AK53&lt;=Rates!$Z$8,#REF!="خیر"),AH53*(LOOKUP(AK53,Rates!$U$2:$U$108,Rates!#REF!)),0)*(1-#REF!))</f>
        <v>#REF!</v>
      </c>
      <c r="W53" s="88" t="e">
        <f>IF(AJ53&lt;&gt;"",X53*LOOKUP(#REF!,Rates!$O$2:$O$9,Rates!$M$2:$M$9)/100,0)</f>
        <v>#REF!</v>
      </c>
      <c r="X53" s="88" t="e">
        <f>IF(AJ53&lt;=Rates!$Z$4,0.0008*AF53*#REF!,0)</f>
        <v>#REF!</v>
      </c>
      <c r="Y53" s="88" t="e">
        <f>IF(AJ53&lt;&gt;"",Z53*(LOOKUP(#REF!,Rates!$O$2:$O$9,Rates!$N$2:$N$9/100)),0)</f>
        <v>#REF!</v>
      </c>
      <c r="Z53" s="87" t="e">
        <f>IF(AND(AJ53&lt;=(Rates!$Z$3),AD53&lt;&gt;""),(1-#REF!)*0.0008*AF53*#REF!,0)</f>
        <v>#REF!</v>
      </c>
      <c r="AA53" s="87" t="e">
        <f>IF(AJ53&lt;=60,(LOOKUP(AJ53,Rates!$U$2:$U$108,Rates!#REF!))*AC53/1000000*(1-#REF!),0)</f>
        <v>#REF!</v>
      </c>
      <c r="AB53" s="84" t="e">
        <f>IF(AJ53&lt;&gt;"",(AF53*LOOKUP(AJ53,Rates!$U$2:$U$108,Rates!$T$2:$T$108))/SQRT(1+IF(AL53&lt;=10,Rates!$Z$5,Rates!$Z$6)),"")</f>
        <v>#REF!</v>
      </c>
      <c r="AC53" s="89" t="e">
        <f>IF(AND(AJ53&lt;&gt;"",AJ53&lt;=Rates!$Z$2),MIN(0.5*AF53,300000000,AC52*(1+#REF!)),"")</f>
        <v>#REF!</v>
      </c>
      <c r="AD53" s="89" t="e">
        <f>IF(AND(AJ53&lt;&gt;"",AJ53&lt;=60),AF53*#REF!,"")</f>
        <v>#REF!</v>
      </c>
      <c r="AE53" s="109" t="e">
        <f>IF(AND(AJ53&lt;&gt;"",AJ53&lt;=70),AF53*(1+#REF!),"")</f>
        <v>#REF!</v>
      </c>
      <c r="AF53" s="109" t="e">
        <f>IF(AJ53&lt;&gt;"",AF52*(1+#REF!),"")</f>
        <v>#REF!</v>
      </c>
      <c r="AG53" s="92" t="e">
        <f t="shared" si="6"/>
        <v>#REF!</v>
      </c>
      <c r="AH53" s="83" t="e">
        <f>IF(AJ53&lt;&gt;"",AI53*Rates!$Z$9,"")</f>
        <v>#REF!</v>
      </c>
      <c r="AI53" s="92" t="e">
        <f>IF(AJ53&lt;&gt;"",AI52*(1+#REF!),"")</f>
        <v>#REF!</v>
      </c>
      <c r="AJ53" s="98" t="e">
        <f>IF(AL53&lt;&gt;"",#REF!+AL53-1,"")</f>
        <v>#REF!</v>
      </c>
      <c r="AK53" s="107" t="e">
        <f>IF(AL53&lt;&gt;"",#REF!+AL53-1,"")</f>
        <v>#REF!</v>
      </c>
      <c r="AL53" s="110" t="e">
        <f>IF(AL52&lt;&gt;"",IF(AL52+1&lt;=#REF!,AL52+1,""),"")</f>
        <v>#REF!</v>
      </c>
    </row>
    <row r="54" spans="1:38" ht="17.25" x14ac:dyDescent="0.25">
      <c r="A54" s="84" t="e">
        <f>IF(AJ54&lt;&gt;"",D54+D54*(IF(AL54&gt;4,0.1,LOOKUP(#REF!,Rates!$D$2:$D$4,Rates!$C$2:$C$4))+0.85*(#REF!-(IF(AL54&gt;4,0.1,LOOKUP(#REF!,Rates!$D$2:$D$4,Rates!$C$2:$C$4)))))*LOOKUP(#REF!,Rates!$I$2:$I$7,Rates!$G$2:$G$7)+A53*(1+IF(AL54&gt;4,0.1,LOOKUP(#REF!,Rates!$D$2:$D$4,Rates!$C$2:$C$4))+0.85*(#REF!-IF(AL54&gt;4,0.1,LOOKUP(#REF!,Rates!$D$2:$D$4,Rates!$C$2:$C$4)))),"")</f>
        <v>#REF!</v>
      </c>
      <c r="B54" s="84" t="e">
        <f>IF(AJ54&lt;&gt;"",IF(AL54&gt;=8,C54,C54*LOOKUP(AL54,Rates!$AH$2:$AH$8,Rates!$AG$2:$AG$8)),"")</f>
        <v>#REF!</v>
      </c>
      <c r="C54" s="84" t="e">
        <f>IF(AJ54&lt;&gt;"",D54*(1+IF(AL54&gt;4,0.1,LOOKUP(#REF!,Rates!$D$2:$D$5,Rates!$B$2:$B$5))*LOOKUP(#REF!,Rates!$I$2:$I$7,Rates!$G$2:$G$7))+C53*(1+IF(AL54&gt;4,0.1,LOOKUP(#REF!,Rates!$D$2:$D$5,Rates!$B$2:$B$5))),"")</f>
        <v>#REF!</v>
      </c>
      <c r="D54" s="84" t="e">
        <f>IF(AJ54&lt;&gt;"",AI54-(H54+G54+F54+E54+P54+Q54)+IF(#REF!&gt;0,IF(AND(AL54&lt;=#REF!,AL54&gt;=#REF!),#REF!,0),0),"")</f>
        <v>#REF!</v>
      </c>
      <c r="E54" s="84" t="e">
        <f>IF(AJ54&lt;&gt;"",(LOOKUP(#REF!,Rates!$AE$2:$AE$4,Rates!$AD$2:$AD$4))*(H54+P54+Q54),"")</f>
        <v>#REF!</v>
      </c>
      <c r="F54" s="84" t="e">
        <f>IF(AJ54&lt;&gt;"",(LOOKUP(#REF!,Rates!$AE$2:$AE$4,Rates!$AB$2:$AB$4))*(H54+P54+Q54),"")</f>
        <v>#REF!</v>
      </c>
      <c r="G54" s="84" t="e">
        <f>IF(AJ54&lt;&gt;"",(LOOKUP(#REF!,Rates!$AE$2:$AE$4,Rates!$AC$2:$AC$4))*(H54+P54+Q54),"")</f>
        <v>#REF!</v>
      </c>
      <c r="H54" s="84" t="e">
        <f t="shared" si="0"/>
        <v>#REF!</v>
      </c>
      <c r="I54" s="84" t="e">
        <f>IF(AJ54&lt;&gt;"",LOOKUP(#REF!,Rates!$I$2:$I$7,Rates!$H$2:$H$7)*(J54+P54+Q54+AB54),"")</f>
        <v>#REF!</v>
      </c>
      <c r="J54" s="96" t="e">
        <f t="shared" si="9"/>
        <v>#REF!</v>
      </c>
      <c r="K54" s="96" t="e">
        <f t="shared" si="7"/>
        <v>#REF!</v>
      </c>
      <c r="L54" s="96" t="e">
        <f t="shared" si="8"/>
        <v>#REF!</v>
      </c>
      <c r="M54" s="96" t="e">
        <f>IF(#REF!&lt;&gt;"",(1-#REF!)*IF(MIN(30/1000*$AF$2,0.75*#REF!)=30/1000*AF53,30/1000*(AF54-AF53),0.75*(#REF!-#REF!)),"")</f>
        <v>#REF!</v>
      </c>
      <c r="N54" s="96">
        <v>0</v>
      </c>
      <c r="O54" s="96" t="e">
        <f>IF(AJ54&lt;&gt;"",0.07*AI54*(1-#REF!),0)</f>
        <v>#REF!</v>
      </c>
      <c r="P54" s="87" t="e">
        <f t="shared" si="2"/>
        <v>#REF!</v>
      </c>
      <c r="Q54" s="87" t="e">
        <f t="shared" si="3"/>
        <v>#REF!</v>
      </c>
      <c r="R54" s="87" t="e">
        <f>IF(AJ54&lt;&gt;"",(AB54+AA54+V54+T54)*#REF!,0)</f>
        <v>#REF!</v>
      </c>
      <c r="S54" s="87" t="e">
        <f>IF(AJ54&lt;&gt;"",T54*(LOOKUP(#REF!,Rates!$O$2:$O$9,Rates!$L$2:$L$9)/100),0)</f>
        <v>#REF!</v>
      </c>
      <c r="T54" s="87" t="e">
        <f>IF(AJ54&lt;&gt;"",IF(#REF!="بله",V54*Rates!$Z$7,0),0)</f>
        <v>#REF!</v>
      </c>
      <c r="U54" s="87" t="e">
        <f>IF(AJ54&lt;&gt;"",IF(#REF!="بله",V54*(LOOKUP(#REF!,Rates!$O$2:$O$9,Rates!$L$2:$L$9)/100),V54*(LOOKUP(#REF!,Rates!$O$2:$O$9,Rates!$L$2:$L$9)/100)),0)</f>
        <v>#REF!</v>
      </c>
      <c r="V54" s="88" t="e">
        <f>IF(AND(AJ54&lt;&gt;"",AJ54&lt;=Rates!$Z$8,#REF!="بله"),AH54*(LOOKUP(AJ54,Rates!$U$2:$U$108,Rates!#REF!)),IF(AND(AK54&lt;&gt;"",AK54&lt;=Rates!$Z$8,#REF!="خیر"),AH54*(LOOKUP(AK54,Rates!$U$2:$U$108,Rates!#REF!)),0)*(1-#REF!))</f>
        <v>#REF!</v>
      </c>
      <c r="W54" s="88" t="e">
        <f>IF(AJ54&lt;&gt;"",X54*LOOKUP(#REF!,Rates!$O$2:$O$9,Rates!$M$2:$M$9)/100,0)</f>
        <v>#REF!</v>
      </c>
      <c r="X54" s="88" t="e">
        <f>IF(AJ54&lt;=Rates!$Z$4,0.0008*AF54*#REF!,0)</f>
        <v>#REF!</v>
      </c>
      <c r="Y54" s="88" t="e">
        <f>IF(AJ54&lt;&gt;"",Z54*(LOOKUP(#REF!,Rates!$O$2:$O$9,Rates!$N$2:$N$9/100)),0)</f>
        <v>#REF!</v>
      </c>
      <c r="Z54" s="87" t="e">
        <f>IF(AND(AJ54&lt;=(Rates!$Z$3),AD54&lt;&gt;""),(1-#REF!)*0.0008*AF54*#REF!,0)</f>
        <v>#REF!</v>
      </c>
      <c r="AA54" s="87" t="e">
        <f>IF(AJ54&lt;=60,(LOOKUP(AJ54,Rates!$U$2:$U$108,Rates!#REF!))*AC54/1000000*(1-#REF!),0)</f>
        <v>#REF!</v>
      </c>
      <c r="AB54" s="84" t="e">
        <f>IF(AJ54&lt;&gt;"",(AF54*LOOKUP(AJ54,Rates!$U$2:$U$108,Rates!$T$2:$T$108))/SQRT(1+IF(AL54&lt;=10,Rates!$Z$5,Rates!$Z$6)),"")</f>
        <v>#REF!</v>
      </c>
      <c r="AC54" s="89" t="e">
        <f>IF(AND(AJ54&lt;&gt;"",AJ54&lt;=Rates!$Z$2),MIN(0.5*AF54,300000000,AC53*(1+#REF!)),"")</f>
        <v>#REF!</v>
      </c>
      <c r="AD54" s="89" t="e">
        <f>IF(AND(AJ54&lt;&gt;"",AJ54&lt;=60),AF54*#REF!,"")</f>
        <v>#REF!</v>
      </c>
      <c r="AE54" s="109" t="e">
        <f>IF(AND(AJ54&lt;&gt;"",AJ54&lt;=70),AF54*(1+#REF!),"")</f>
        <v>#REF!</v>
      </c>
      <c r="AF54" s="109" t="e">
        <f>IF(AJ54&lt;&gt;"",AF53*(1+#REF!),"")</f>
        <v>#REF!</v>
      </c>
      <c r="AG54" s="92" t="e">
        <f t="shared" si="6"/>
        <v>#REF!</v>
      </c>
      <c r="AH54" s="83" t="e">
        <f>IF(AJ54&lt;&gt;"",AI54*Rates!$Z$9,"")</f>
        <v>#REF!</v>
      </c>
      <c r="AI54" s="92" t="e">
        <f>IF(AJ54&lt;&gt;"",AI53*(1+#REF!),"")</f>
        <v>#REF!</v>
      </c>
      <c r="AJ54" s="98" t="e">
        <f>IF(AL54&lt;&gt;"",#REF!+AL54-1,"")</f>
        <v>#REF!</v>
      </c>
      <c r="AK54" s="107" t="e">
        <f>IF(AL54&lt;&gt;"",#REF!+AL54-1,"")</f>
        <v>#REF!</v>
      </c>
      <c r="AL54" s="110" t="e">
        <f>IF(AL53&lt;&gt;"",IF(AL53+1&lt;=#REF!,AL53+1,""),"")</f>
        <v>#REF!</v>
      </c>
    </row>
    <row r="55" spans="1:38" ht="17.25" x14ac:dyDescent="0.25">
      <c r="A55" s="84" t="e">
        <f>IF(AJ55&lt;&gt;"",D55+D55*(IF(AL55&gt;4,0.1,LOOKUP(#REF!,Rates!$D$2:$D$4,Rates!$C$2:$C$4))+0.85*(#REF!-(IF(AL55&gt;4,0.1,LOOKUP(#REF!,Rates!$D$2:$D$4,Rates!$C$2:$C$4)))))*LOOKUP(#REF!,Rates!$I$2:$I$7,Rates!$G$2:$G$7)+A54*(1+IF(AL55&gt;4,0.1,LOOKUP(#REF!,Rates!$D$2:$D$4,Rates!$C$2:$C$4))+0.85*(#REF!-IF(AL55&gt;4,0.1,LOOKUP(#REF!,Rates!$D$2:$D$4,Rates!$C$2:$C$4)))),"")</f>
        <v>#REF!</v>
      </c>
      <c r="B55" s="84" t="e">
        <f>IF(AJ55&lt;&gt;"",IF(AL55&gt;=8,C55,C55*LOOKUP(AL55,Rates!$AH$2:$AH$8,Rates!$AG$2:$AG$8)),"")</f>
        <v>#REF!</v>
      </c>
      <c r="C55" s="84" t="e">
        <f>IF(AJ55&lt;&gt;"",D55*(1+IF(AL55&gt;4,0.1,LOOKUP(#REF!,Rates!$D$2:$D$5,Rates!$B$2:$B$5))*LOOKUP(#REF!,Rates!$I$2:$I$7,Rates!$G$2:$G$7))+C54*(1+IF(AL55&gt;4,0.1,LOOKUP(#REF!,Rates!$D$2:$D$5,Rates!$B$2:$B$5))),"")</f>
        <v>#REF!</v>
      </c>
      <c r="D55" s="84" t="e">
        <f>IF(AJ55&lt;&gt;"",AI55-(H55+G55+F55+E55+P55+Q55)+IF(#REF!&gt;0,IF(AND(AL55&lt;=#REF!,AL55&gt;=#REF!),#REF!,0),0),"")</f>
        <v>#REF!</v>
      </c>
      <c r="E55" s="84" t="e">
        <f>IF(AJ55&lt;&gt;"",(LOOKUP(#REF!,Rates!$AE$2:$AE$4,Rates!$AD$2:$AD$4))*(H55+P55+Q55),"")</f>
        <v>#REF!</v>
      </c>
      <c r="F55" s="84" t="e">
        <f>IF(AJ55&lt;&gt;"",(LOOKUP(#REF!,Rates!$AE$2:$AE$4,Rates!$AB$2:$AB$4))*(H55+P55+Q55),"")</f>
        <v>#REF!</v>
      </c>
      <c r="G55" s="84" t="e">
        <f>IF(AJ55&lt;&gt;"",(LOOKUP(#REF!,Rates!$AE$2:$AE$4,Rates!$AC$2:$AC$4))*(H55+P55+Q55),"")</f>
        <v>#REF!</v>
      </c>
      <c r="H55" s="84" t="e">
        <f t="shared" si="0"/>
        <v>#REF!</v>
      </c>
      <c r="I55" s="84" t="e">
        <f>IF(AJ55&lt;&gt;"",LOOKUP(#REF!,Rates!$I$2:$I$7,Rates!$H$2:$H$7)*(J55+P55+Q55+AB55),"")</f>
        <v>#REF!</v>
      </c>
      <c r="J55" s="96" t="e">
        <f t="shared" si="9"/>
        <v>#REF!</v>
      </c>
      <c r="K55" s="96" t="e">
        <f t="shared" si="7"/>
        <v>#REF!</v>
      </c>
      <c r="L55" s="96" t="e">
        <f t="shared" si="8"/>
        <v>#REF!</v>
      </c>
      <c r="M55" s="96" t="e">
        <f>IF(#REF!&lt;&gt;"",(1-#REF!)*IF(MIN(30/1000*$AF$2,0.75*#REF!)=30/1000*AF54,30/1000*(AF55-AF54),0.75*(#REF!-#REF!)),"")</f>
        <v>#REF!</v>
      </c>
      <c r="N55" s="96">
        <v>0</v>
      </c>
      <c r="O55" s="96" t="e">
        <f>IF(AJ55&lt;&gt;"",0.07*AI55*(1-#REF!),0)</f>
        <v>#REF!</v>
      </c>
      <c r="P55" s="87" t="e">
        <f t="shared" si="2"/>
        <v>#REF!</v>
      </c>
      <c r="Q55" s="87" t="e">
        <f t="shared" si="3"/>
        <v>#REF!</v>
      </c>
      <c r="R55" s="87" t="e">
        <f>IF(AJ55&lt;&gt;"",(AB55+AA55+V55+T55)*#REF!,0)</f>
        <v>#REF!</v>
      </c>
      <c r="S55" s="87" t="e">
        <f>IF(AJ55&lt;&gt;"",T55*(LOOKUP(#REF!,Rates!$O$2:$O$9,Rates!$L$2:$L$9)/100),0)</f>
        <v>#REF!</v>
      </c>
      <c r="T55" s="87" t="e">
        <f>IF(AJ55&lt;&gt;"",IF(#REF!="بله",V55*Rates!$Z$7,0),0)</f>
        <v>#REF!</v>
      </c>
      <c r="U55" s="87" t="e">
        <f>IF(AJ55&lt;&gt;"",IF(#REF!="بله",V55*(LOOKUP(#REF!,Rates!$O$2:$O$9,Rates!$L$2:$L$9)/100),V55*(LOOKUP(#REF!,Rates!$O$2:$O$9,Rates!$L$2:$L$9)/100)),0)</f>
        <v>#REF!</v>
      </c>
      <c r="V55" s="88" t="e">
        <f>IF(AND(AJ55&lt;&gt;"",AJ55&lt;=Rates!$Z$8,#REF!="بله"),AH55*(LOOKUP(AJ55,Rates!$U$2:$U$108,Rates!#REF!)),IF(AND(AK55&lt;&gt;"",AK55&lt;=Rates!$Z$8,#REF!="خیر"),AH55*(LOOKUP(AK55,Rates!$U$2:$U$108,Rates!#REF!)),0)*(1-#REF!))</f>
        <v>#REF!</v>
      </c>
      <c r="W55" s="88" t="e">
        <f>IF(AJ55&lt;&gt;"",X55*LOOKUP(#REF!,Rates!$O$2:$O$9,Rates!$M$2:$M$9)/100,0)</f>
        <v>#REF!</v>
      </c>
      <c r="X55" s="88" t="e">
        <f>IF(AJ55&lt;=Rates!$Z$4,0.0008*AF55*#REF!,0)</f>
        <v>#REF!</v>
      </c>
      <c r="Y55" s="88" t="e">
        <f>IF(AJ55&lt;&gt;"",Z55*(LOOKUP(#REF!,Rates!$O$2:$O$9,Rates!$N$2:$N$9/100)),0)</f>
        <v>#REF!</v>
      </c>
      <c r="Z55" s="87" t="e">
        <f>IF(AND(AJ55&lt;=(Rates!$Z$3),AD55&lt;&gt;""),(1-#REF!)*0.0008*AF55*#REF!,0)</f>
        <v>#REF!</v>
      </c>
      <c r="AA55" s="87" t="e">
        <f>IF(AJ55&lt;=60,(LOOKUP(AJ55,Rates!$U$2:$U$108,Rates!#REF!))*AC55/1000000*(1-#REF!),0)</f>
        <v>#REF!</v>
      </c>
      <c r="AB55" s="84" t="e">
        <f>IF(AJ55&lt;&gt;"",(AF55*LOOKUP(AJ55,Rates!$U$2:$U$108,Rates!$T$2:$T$108))/SQRT(1+IF(AL55&lt;=10,Rates!$Z$5,Rates!$Z$6)),"")</f>
        <v>#REF!</v>
      </c>
      <c r="AC55" s="89" t="e">
        <f>IF(AND(AJ55&lt;&gt;"",AJ55&lt;=Rates!$Z$2),MIN(0.5*AF55,300000000,AC54*(1+#REF!)),"")</f>
        <v>#REF!</v>
      </c>
      <c r="AD55" s="89" t="e">
        <f>IF(AND(AJ55&lt;&gt;"",AJ55&lt;=60),AF55*#REF!,"")</f>
        <v>#REF!</v>
      </c>
      <c r="AE55" s="109" t="e">
        <f>IF(AND(AJ55&lt;&gt;"",AJ55&lt;=70),AF55*(1+#REF!),"")</f>
        <v>#REF!</v>
      </c>
      <c r="AF55" s="109" t="e">
        <f>IF(AJ55&lt;&gt;"",AF54*(1+#REF!),"")</f>
        <v>#REF!</v>
      </c>
      <c r="AG55" s="92" t="e">
        <f t="shared" si="6"/>
        <v>#REF!</v>
      </c>
      <c r="AH55" s="83" t="e">
        <f>IF(AJ55&lt;&gt;"",AI55*Rates!$Z$9,"")</f>
        <v>#REF!</v>
      </c>
      <c r="AI55" s="92" t="e">
        <f>IF(AJ55&lt;&gt;"",AI54*(1+#REF!),"")</f>
        <v>#REF!</v>
      </c>
      <c r="AJ55" s="98" t="e">
        <f>IF(AL55&lt;&gt;"",#REF!+AL55-1,"")</f>
        <v>#REF!</v>
      </c>
      <c r="AK55" s="107" t="e">
        <f>IF(AL55&lt;&gt;"",#REF!+AL55-1,"")</f>
        <v>#REF!</v>
      </c>
      <c r="AL55" s="110" t="e">
        <f>IF(AL54&lt;&gt;"",IF(AL54+1&lt;=#REF!,AL54+1,""),"")</f>
        <v>#REF!</v>
      </c>
    </row>
    <row r="56" spans="1:38" ht="17.25" x14ac:dyDescent="0.25">
      <c r="A56" s="84" t="e">
        <f>IF(AJ56&lt;&gt;"",D56+D56*(IF(AL56&gt;4,0.1,LOOKUP(#REF!,Rates!$D$2:$D$4,Rates!$C$2:$C$4))+0.85*(#REF!-(IF(AL56&gt;4,0.1,LOOKUP(#REF!,Rates!$D$2:$D$4,Rates!$C$2:$C$4)))))*LOOKUP(#REF!,Rates!$I$2:$I$7,Rates!$G$2:$G$7)+A55*(1+IF(AL56&gt;4,0.1,LOOKUP(#REF!,Rates!$D$2:$D$4,Rates!$C$2:$C$4))+0.85*(#REF!-IF(AL56&gt;4,0.1,LOOKUP(#REF!,Rates!$D$2:$D$4,Rates!$C$2:$C$4)))),"")</f>
        <v>#REF!</v>
      </c>
      <c r="B56" s="84" t="e">
        <f>IF(AJ56&lt;&gt;"",IF(AL56&gt;=8,C56,C56*LOOKUP(AL56,Rates!$AH$2:$AH$8,Rates!$AG$2:$AG$8)),"")</f>
        <v>#REF!</v>
      </c>
      <c r="C56" s="84" t="e">
        <f>IF(AJ56&lt;&gt;"",D56*(1+IF(AL56&gt;4,0.1,LOOKUP(#REF!,Rates!$D$2:$D$5,Rates!$B$2:$B$5))*LOOKUP(#REF!,Rates!$I$2:$I$7,Rates!$G$2:$G$7))+C55*(1+IF(AL56&gt;4,0.1,LOOKUP(#REF!,Rates!$D$2:$D$5,Rates!$B$2:$B$5))),"")</f>
        <v>#REF!</v>
      </c>
      <c r="D56" s="84" t="e">
        <f>IF(AJ56&lt;&gt;"",AI56-(H56+G56+F56+E56+P56+Q56)+IF(#REF!&gt;0,IF(AND(AL56&lt;=#REF!,AL56&gt;=#REF!),#REF!,0),0),"")</f>
        <v>#REF!</v>
      </c>
      <c r="E56" s="84" t="e">
        <f>IF(AJ56&lt;&gt;"",(LOOKUP(#REF!,Rates!$AE$2:$AE$4,Rates!$AD$2:$AD$4))*(H56+P56+Q56),"")</f>
        <v>#REF!</v>
      </c>
      <c r="F56" s="84" t="e">
        <f>IF(AJ56&lt;&gt;"",(LOOKUP(#REF!,Rates!$AE$2:$AE$4,Rates!$AB$2:$AB$4))*(H56+P56+Q56),"")</f>
        <v>#REF!</v>
      </c>
      <c r="G56" s="84" t="e">
        <f>IF(AJ56&lt;&gt;"",(LOOKUP(#REF!,Rates!$AE$2:$AE$4,Rates!$AC$2:$AC$4))*(H56+P56+Q56),"")</f>
        <v>#REF!</v>
      </c>
      <c r="H56" s="84" t="e">
        <f t="shared" si="0"/>
        <v>#REF!</v>
      </c>
      <c r="I56" s="84" t="e">
        <f>IF(AJ56&lt;&gt;"",LOOKUP(#REF!,Rates!$I$2:$I$7,Rates!$H$2:$H$7)*(J56+P56+Q56+AB56),"")</f>
        <v>#REF!</v>
      </c>
      <c r="J56" s="96" t="e">
        <f t="shared" si="9"/>
        <v>#REF!</v>
      </c>
      <c r="K56" s="96" t="e">
        <f t="shared" si="7"/>
        <v>#REF!</v>
      </c>
      <c r="L56" s="96" t="e">
        <f t="shared" si="8"/>
        <v>#REF!</v>
      </c>
      <c r="M56" s="96" t="e">
        <f>IF(#REF!&lt;&gt;"",(1-#REF!)*IF(MIN(30/1000*$AF$2,0.75*#REF!)=30/1000*AF55,30/1000*(AF56-AF55),0.75*(#REF!-#REF!)),"")</f>
        <v>#REF!</v>
      </c>
      <c r="N56" s="96">
        <v>0</v>
      </c>
      <c r="O56" s="96" t="e">
        <f>IF(AJ56&lt;&gt;"",0.07*AI56*(1-#REF!),0)</f>
        <v>#REF!</v>
      </c>
      <c r="P56" s="87" t="e">
        <f t="shared" si="2"/>
        <v>#REF!</v>
      </c>
      <c r="Q56" s="87" t="e">
        <f t="shared" si="3"/>
        <v>#REF!</v>
      </c>
      <c r="R56" s="87" t="e">
        <f>IF(AJ56&lt;&gt;"",(AB56+AA56+V56+T56)*#REF!,0)</f>
        <v>#REF!</v>
      </c>
      <c r="S56" s="87" t="e">
        <f>IF(AJ56&lt;&gt;"",T56*(LOOKUP(#REF!,Rates!$O$2:$O$9,Rates!$L$2:$L$9)/100),0)</f>
        <v>#REF!</v>
      </c>
      <c r="T56" s="87" t="e">
        <f>IF(AJ56&lt;&gt;"",IF(#REF!="بله",V56*Rates!$Z$7,0),0)</f>
        <v>#REF!</v>
      </c>
      <c r="U56" s="87" t="e">
        <f>IF(AJ56&lt;&gt;"",IF(#REF!="بله",V56*(LOOKUP(#REF!,Rates!$O$2:$O$9,Rates!$L$2:$L$9)/100),V56*(LOOKUP(#REF!,Rates!$O$2:$O$9,Rates!$L$2:$L$9)/100)),0)</f>
        <v>#REF!</v>
      </c>
      <c r="V56" s="88" t="e">
        <f>IF(AND(AJ56&lt;&gt;"",AJ56&lt;=Rates!$Z$8,#REF!="بله"),AH56*(LOOKUP(AJ56,Rates!$U$2:$U$108,Rates!#REF!)),IF(AND(AK56&lt;&gt;"",AK56&lt;=Rates!$Z$8,#REF!="خیر"),AH56*(LOOKUP(AK56,Rates!$U$2:$U$108,Rates!#REF!)),0)*(1-#REF!))</f>
        <v>#REF!</v>
      </c>
      <c r="W56" s="88" t="e">
        <f>IF(AJ56&lt;&gt;"",X56*LOOKUP(#REF!,Rates!$O$2:$O$9,Rates!$M$2:$M$9)/100,0)</f>
        <v>#REF!</v>
      </c>
      <c r="X56" s="88" t="e">
        <f>IF(AJ56&lt;=Rates!$Z$4,0.0008*AF56*#REF!,0)</f>
        <v>#REF!</v>
      </c>
      <c r="Y56" s="88" t="e">
        <f>IF(AJ56&lt;&gt;"",Z56*(LOOKUP(#REF!,Rates!$O$2:$O$9,Rates!$N$2:$N$9/100)),0)</f>
        <v>#REF!</v>
      </c>
      <c r="Z56" s="87" t="e">
        <f>IF(AND(AJ56&lt;=(Rates!$Z$3),AD56&lt;&gt;""),(1-#REF!)*0.0008*AF56*#REF!,0)</f>
        <v>#REF!</v>
      </c>
      <c r="AA56" s="87" t="e">
        <f>IF(AJ56&lt;=60,(LOOKUP(AJ56,Rates!$U$2:$U$108,Rates!#REF!))*AC56/1000000*(1-#REF!),0)</f>
        <v>#REF!</v>
      </c>
      <c r="AB56" s="84" t="e">
        <f>IF(AJ56&lt;&gt;"",(AF56*LOOKUP(AJ56,Rates!$U$2:$U$108,Rates!$T$2:$T$108))/SQRT(1+IF(AL56&lt;=10,Rates!$Z$5,Rates!$Z$6)),"")</f>
        <v>#REF!</v>
      </c>
      <c r="AC56" s="89" t="e">
        <f>IF(AND(AJ56&lt;&gt;"",AJ56&lt;=Rates!$Z$2),MIN(0.5*AF56,300000000,AC55*(1+#REF!)),"")</f>
        <v>#REF!</v>
      </c>
      <c r="AD56" s="89" t="e">
        <f>IF(AND(AJ56&lt;&gt;"",AJ56&lt;=60),AF56*#REF!,"")</f>
        <v>#REF!</v>
      </c>
      <c r="AE56" s="109" t="e">
        <f>IF(AND(AJ56&lt;&gt;"",AJ56&lt;=70),AF56*(1+#REF!),"")</f>
        <v>#REF!</v>
      </c>
      <c r="AF56" s="109" t="e">
        <f>IF(AJ56&lt;&gt;"",AF55*(1+#REF!),"")</f>
        <v>#REF!</v>
      </c>
      <c r="AG56" s="92" t="e">
        <f t="shared" si="6"/>
        <v>#REF!</v>
      </c>
      <c r="AH56" s="83" t="e">
        <f>IF(AJ56&lt;&gt;"",AI56*Rates!$Z$9,"")</f>
        <v>#REF!</v>
      </c>
      <c r="AI56" s="92" t="e">
        <f>IF(AJ56&lt;&gt;"",AI55*(1+#REF!),"")</f>
        <v>#REF!</v>
      </c>
      <c r="AJ56" s="98" t="e">
        <f>IF(AL56&lt;&gt;"",#REF!+AL56-1,"")</f>
        <v>#REF!</v>
      </c>
      <c r="AK56" s="107" t="e">
        <f>IF(AL56&lt;&gt;"",#REF!+AL56-1,"")</f>
        <v>#REF!</v>
      </c>
      <c r="AL56" s="110" t="e">
        <f>IF(AL55&lt;&gt;"",IF(AL55+1&lt;=#REF!,AL55+1,""),"")</f>
        <v>#REF!</v>
      </c>
    </row>
    <row r="57" spans="1:38" ht="17.25" x14ac:dyDescent="0.25">
      <c r="A57" s="84" t="e">
        <f>IF(AJ57&lt;&gt;"",D57+D57*(IF(AL57&gt;4,0.1,LOOKUP(#REF!,Rates!$D$2:$D$4,Rates!$C$2:$C$4))+0.85*(#REF!-(IF(AL57&gt;4,0.1,LOOKUP(#REF!,Rates!$D$2:$D$4,Rates!$C$2:$C$4)))))*LOOKUP(#REF!,Rates!$I$2:$I$7,Rates!$G$2:$G$7)+A56*(1+IF(AL57&gt;4,0.1,LOOKUP(#REF!,Rates!$D$2:$D$4,Rates!$C$2:$C$4))+0.85*(#REF!-IF(AL57&gt;4,0.1,LOOKUP(#REF!,Rates!$D$2:$D$4,Rates!$C$2:$C$4)))),"")</f>
        <v>#REF!</v>
      </c>
      <c r="B57" s="84" t="e">
        <f>IF(AJ57&lt;&gt;"",IF(AL57&gt;=8,C57,C57*LOOKUP(AL57,Rates!$AH$2:$AH$8,Rates!$AG$2:$AG$8)),"")</f>
        <v>#REF!</v>
      </c>
      <c r="C57" s="84" t="e">
        <f>IF(AJ57&lt;&gt;"",D57*(1+IF(AL57&gt;4,0.1,LOOKUP(#REF!,Rates!$D$2:$D$5,Rates!$B$2:$B$5))*LOOKUP(#REF!,Rates!$I$2:$I$7,Rates!$G$2:$G$7))+C56*(1+IF(AL57&gt;4,0.1,LOOKUP(#REF!,Rates!$D$2:$D$5,Rates!$B$2:$B$5))),"")</f>
        <v>#REF!</v>
      </c>
      <c r="D57" s="84" t="e">
        <f>IF(AJ57&lt;&gt;"",AI57-(H57+G57+F57+E57+P57+Q57)+IF(#REF!&gt;0,IF(AND(AL57&lt;=#REF!,AL57&gt;=#REF!),#REF!,0),0),"")</f>
        <v>#REF!</v>
      </c>
      <c r="E57" s="84" t="e">
        <f>IF(AJ57&lt;&gt;"",(LOOKUP(#REF!,Rates!$AE$2:$AE$4,Rates!$AD$2:$AD$4))*(H57+P57+Q57),"")</f>
        <v>#REF!</v>
      </c>
      <c r="F57" s="84" t="e">
        <f>IF(AJ57&lt;&gt;"",(LOOKUP(#REF!,Rates!$AE$2:$AE$4,Rates!$AB$2:$AB$4))*(H57+P57+Q57),"")</f>
        <v>#REF!</v>
      </c>
      <c r="G57" s="84" t="e">
        <f>IF(AJ57&lt;&gt;"",(LOOKUP(#REF!,Rates!$AE$2:$AE$4,Rates!$AC$2:$AC$4))*(H57+P57+Q57),"")</f>
        <v>#REF!</v>
      </c>
      <c r="H57" s="84" t="e">
        <f t="shared" si="0"/>
        <v>#REF!</v>
      </c>
      <c r="I57" s="84" t="e">
        <f>IF(AJ57&lt;&gt;"",LOOKUP(#REF!,Rates!$I$2:$I$7,Rates!$H$2:$H$7)*(J57+P57+Q57+AB57),"")</f>
        <v>#REF!</v>
      </c>
      <c r="J57" s="96" t="e">
        <f t="shared" si="9"/>
        <v>#REF!</v>
      </c>
      <c r="K57" s="96" t="e">
        <f t="shared" si="7"/>
        <v>#REF!</v>
      </c>
      <c r="L57" s="96" t="e">
        <f t="shared" si="8"/>
        <v>#REF!</v>
      </c>
      <c r="M57" s="96" t="e">
        <f>IF(#REF!&lt;&gt;"",(1-#REF!)*IF(MIN(30/1000*$AF$2,0.75*#REF!)=30/1000*AF56,30/1000*(AF57-AF56),0.75*(#REF!-#REF!)),"")</f>
        <v>#REF!</v>
      </c>
      <c r="N57" s="96">
        <v>0</v>
      </c>
      <c r="O57" s="96" t="e">
        <f>IF(AJ57&lt;&gt;"",0.07*AI57*(1-#REF!),0)</f>
        <v>#REF!</v>
      </c>
      <c r="P57" s="87" t="e">
        <f t="shared" si="2"/>
        <v>#REF!</v>
      </c>
      <c r="Q57" s="87" t="e">
        <f t="shared" si="3"/>
        <v>#REF!</v>
      </c>
      <c r="R57" s="87" t="e">
        <f>IF(AJ57&lt;&gt;"",(AB57+AA57+V57+T57)*#REF!,0)</f>
        <v>#REF!</v>
      </c>
      <c r="S57" s="87" t="e">
        <f>IF(AJ57&lt;&gt;"",T57*(LOOKUP(#REF!,Rates!$O$2:$O$9,Rates!$L$2:$L$9)/100),0)</f>
        <v>#REF!</v>
      </c>
      <c r="T57" s="87" t="e">
        <f>IF(AJ57&lt;&gt;"",IF(#REF!="بله",V57*Rates!$Z$7,0),0)</f>
        <v>#REF!</v>
      </c>
      <c r="U57" s="87" t="e">
        <f>IF(AJ57&lt;&gt;"",IF(#REF!="بله",V57*(LOOKUP(#REF!,Rates!$O$2:$O$9,Rates!$L$2:$L$9)/100),V57*(LOOKUP(#REF!,Rates!$O$2:$O$9,Rates!$L$2:$L$9)/100)),0)</f>
        <v>#REF!</v>
      </c>
      <c r="V57" s="88" t="e">
        <f>IF(AND(AJ57&lt;&gt;"",AJ57&lt;=Rates!$Z$8,#REF!="بله"),AH57*(LOOKUP(AJ57,Rates!$U$2:$U$108,Rates!#REF!)),IF(AND(AK57&lt;&gt;"",AK57&lt;=Rates!$Z$8,#REF!="خیر"),AH57*(LOOKUP(AK57,Rates!$U$2:$U$108,Rates!#REF!)),0)*(1-#REF!))</f>
        <v>#REF!</v>
      </c>
      <c r="W57" s="88" t="e">
        <f>IF(AJ57&lt;&gt;"",X57*LOOKUP(#REF!,Rates!$O$2:$O$9,Rates!$M$2:$M$9)/100,0)</f>
        <v>#REF!</v>
      </c>
      <c r="X57" s="88" t="e">
        <f>IF(AJ57&lt;=Rates!$Z$4,0.0008*AF57*#REF!,0)</f>
        <v>#REF!</v>
      </c>
      <c r="Y57" s="88" t="e">
        <f>IF(AJ57&lt;&gt;"",Z57*(LOOKUP(#REF!,Rates!$O$2:$O$9,Rates!$N$2:$N$9/100)),0)</f>
        <v>#REF!</v>
      </c>
      <c r="Z57" s="87" t="e">
        <f>IF(AND(AJ57&lt;=(Rates!$Z$3),AD57&lt;&gt;""),(1-#REF!)*0.0008*AF57*#REF!,0)</f>
        <v>#REF!</v>
      </c>
      <c r="AA57" s="87" t="e">
        <f>IF(AJ57&lt;=60,(LOOKUP(AJ57,Rates!$U$2:$U$108,Rates!#REF!))*AC57/1000000*(1-#REF!),0)</f>
        <v>#REF!</v>
      </c>
      <c r="AB57" s="84" t="e">
        <f>IF(AJ57&lt;&gt;"",(AF57*LOOKUP(AJ57,Rates!$U$2:$U$108,Rates!$T$2:$T$108))/SQRT(1+IF(AL57&lt;=10,Rates!$Z$5,Rates!$Z$6)),"")</f>
        <v>#REF!</v>
      </c>
      <c r="AC57" s="89" t="e">
        <f>IF(AND(AJ57&lt;&gt;"",AJ57&lt;=Rates!$Z$2),MIN(0.5*AF57,300000000,AC56*(1+#REF!)),"")</f>
        <v>#REF!</v>
      </c>
      <c r="AD57" s="89" t="e">
        <f>IF(AND(AJ57&lt;&gt;"",AJ57&lt;=60),AF57*#REF!,"")</f>
        <v>#REF!</v>
      </c>
      <c r="AE57" s="109" t="e">
        <f>IF(AND(AJ57&lt;&gt;"",AJ57&lt;=70),AF57*(1+#REF!),"")</f>
        <v>#REF!</v>
      </c>
      <c r="AF57" s="109" t="e">
        <f>IF(AJ57&lt;&gt;"",AF56*(1+#REF!),"")</f>
        <v>#REF!</v>
      </c>
      <c r="AG57" s="92" t="e">
        <f t="shared" si="6"/>
        <v>#REF!</v>
      </c>
      <c r="AH57" s="83" t="e">
        <f>IF(AJ57&lt;&gt;"",AI57*Rates!$Z$9,"")</f>
        <v>#REF!</v>
      </c>
      <c r="AI57" s="92" t="e">
        <f>IF(AJ57&lt;&gt;"",AI56*(1+#REF!),"")</f>
        <v>#REF!</v>
      </c>
      <c r="AJ57" s="98" t="e">
        <f>IF(AL57&lt;&gt;"",#REF!+AL57-1,"")</f>
        <v>#REF!</v>
      </c>
      <c r="AK57" s="107" t="e">
        <f>IF(AL57&lt;&gt;"",#REF!+AL57-1,"")</f>
        <v>#REF!</v>
      </c>
      <c r="AL57" s="110" t="e">
        <f>IF(AL56&lt;&gt;"",IF(AL56+1&lt;=#REF!,AL56+1,""),"")</f>
        <v>#REF!</v>
      </c>
    </row>
    <row r="58" spans="1:38" ht="17.25" x14ac:dyDescent="0.25">
      <c r="A58" s="84" t="e">
        <f>IF(AJ58&lt;&gt;"",D58+D58*(IF(AL58&gt;4,0.1,LOOKUP(#REF!,Rates!$D$2:$D$4,Rates!$C$2:$C$4))+0.85*(#REF!-(IF(AL58&gt;4,0.1,LOOKUP(#REF!,Rates!$D$2:$D$4,Rates!$C$2:$C$4)))))*LOOKUP(#REF!,Rates!$I$2:$I$7,Rates!$G$2:$G$7)+A57*(1+IF(AL58&gt;4,0.1,LOOKUP(#REF!,Rates!$D$2:$D$4,Rates!$C$2:$C$4))+0.85*(#REF!-IF(AL58&gt;4,0.1,LOOKUP(#REF!,Rates!$D$2:$D$4,Rates!$C$2:$C$4)))),"")</f>
        <v>#REF!</v>
      </c>
      <c r="B58" s="84" t="e">
        <f>IF(AJ58&lt;&gt;"",IF(AL58&gt;=8,C58,C58*LOOKUP(AL58,Rates!$AH$2:$AH$8,Rates!$AG$2:$AG$8)),"")</f>
        <v>#REF!</v>
      </c>
      <c r="C58" s="84" t="e">
        <f>IF(AJ58&lt;&gt;"",D58*(1+IF(AL58&gt;4,0.1,LOOKUP(#REF!,Rates!$D$2:$D$5,Rates!$B$2:$B$5))*LOOKUP(#REF!,Rates!$I$2:$I$7,Rates!$G$2:$G$7))+C57*(1+IF(AL58&gt;4,0.1,LOOKUP(#REF!,Rates!$D$2:$D$5,Rates!$B$2:$B$5))),"")</f>
        <v>#REF!</v>
      </c>
      <c r="D58" s="84" t="e">
        <f>IF(AJ58&lt;&gt;"",AI58-(H58+G58+F58+E58+P58+Q58)+IF(#REF!&gt;0,IF(AND(AL58&lt;=#REF!,AL58&gt;=#REF!),#REF!,0),0),"")</f>
        <v>#REF!</v>
      </c>
      <c r="E58" s="84" t="e">
        <f>IF(AJ58&lt;&gt;"",(LOOKUP(#REF!,Rates!$AE$2:$AE$4,Rates!$AD$2:$AD$4))*(H58+P58+Q58),"")</f>
        <v>#REF!</v>
      </c>
      <c r="F58" s="84" t="e">
        <f>IF(AJ58&lt;&gt;"",(LOOKUP(#REF!,Rates!$AE$2:$AE$4,Rates!$AB$2:$AB$4))*(H58+P58+Q58),"")</f>
        <v>#REF!</v>
      </c>
      <c r="G58" s="84" t="e">
        <f>IF(AJ58&lt;&gt;"",(LOOKUP(#REF!,Rates!$AE$2:$AE$4,Rates!$AC$2:$AC$4))*(H58+P58+Q58),"")</f>
        <v>#REF!</v>
      </c>
      <c r="H58" s="84" t="e">
        <f t="shared" si="0"/>
        <v>#REF!</v>
      </c>
      <c r="I58" s="84" t="e">
        <f>IF(AJ58&lt;&gt;"",LOOKUP(#REF!,Rates!$I$2:$I$7,Rates!$H$2:$H$7)*(J58+P58+Q58+AB58),"")</f>
        <v>#REF!</v>
      </c>
      <c r="J58" s="96" t="e">
        <f t="shared" si="9"/>
        <v>#REF!</v>
      </c>
      <c r="K58" s="96" t="e">
        <f t="shared" si="7"/>
        <v>#REF!</v>
      </c>
      <c r="L58" s="96" t="e">
        <f t="shared" si="8"/>
        <v>#REF!</v>
      </c>
      <c r="M58" s="96" t="e">
        <f>IF(#REF!&lt;&gt;"",(1-#REF!)*IF(MIN(30/1000*$AF$2,0.75*#REF!)=30/1000*AF57,30/1000*(AF58-AF57),0.75*(#REF!-#REF!)),"")</f>
        <v>#REF!</v>
      </c>
      <c r="N58" s="96">
        <v>0</v>
      </c>
      <c r="O58" s="96" t="e">
        <f>IF(AJ58&lt;&gt;"",0.07*AI58*(1-#REF!),0)</f>
        <v>#REF!</v>
      </c>
      <c r="P58" s="87" t="e">
        <f t="shared" si="2"/>
        <v>#REF!</v>
      </c>
      <c r="Q58" s="87" t="e">
        <f t="shared" si="3"/>
        <v>#REF!</v>
      </c>
      <c r="R58" s="87" t="e">
        <f>IF(AJ58&lt;&gt;"",(AB58+AA58+V58+T58)*#REF!,0)</f>
        <v>#REF!</v>
      </c>
      <c r="S58" s="87" t="e">
        <f>IF(AJ58&lt;&gt;"",T58*(LOOKUP(#REF!,Rates!$O$2:$O$9,Rates!$L$2:$L$9)/100),0)</f>
        <v>#REF!</v>
      </c>
      <c r="T58" s="87" t="e">
        <f>IF(AJ58&lt;&gt;"",IF(#REF!="بله",V58*Rates!$Z$7,0),0)</f>
        <v>#REF!</v>
      </c>
      <c r="U58" s="87" t="e">
        <f>IF(AJ58&lt;&gt;"",IF(#REF!="بله",V58*(LOOKUP(#REF!,Rates!$O$2:$O$9,Rates!$L$2:$L$9)/100),V58*(LOOKUP(#REF!,Rates!$O$2:$O$9,Rates!$L$2:$L$9)/100)),0)</f>
        <v>#REF!</v>
      </c>
      <c r="V58" s="88" t="e">
        <f>IF(AND(AJ58&lt;&gt;"",AJ58&lt;=Rates!$Z$8,#REF!="بله"),AH58*(LOOKUP(AJ58,Rates!$U$2:$U$108,Rates!#REF!)),IF(AND(AK58&lt;&gt;"",AK58&lt;=Rates!$Z$8,#REF!="خیر"),AH58*(LOOKUP(AK58,Rates!$U$2:$U$108,Rates!#REF!)),0)*(1-#REF!))</f>
        <v>#REF!</v>
      </c>
      <c r="W58" s="88" t="e">
        <f>IF(AJ58&lt;&gt;"",X58*LOOKUP(#REF!,Rates!$O$2:$O$9,Rates!$M$2:$M$9)/100,0)</f>
        <v>#REF!</v>
      </c>
      <c r="X58" s="88" t="e">
        <f>IF(AJ58&lt;=Rates!$Z$4,0.0008*AF58*#REF!,0)</f>
        <v>#REF!</v>
      </c>
      <c r="Y58" s="88" t="e">
        <f>IF(AJ58&lt;&gt;"",Z58*(LOOKUP(#REF!,Rates!$O$2:$O$9,Rates!$N$2:$N$9/100)),0)</f>
        <v>#REF!</v>
      </c>
      <c r="Z58" s="87" t="e">
        <f>IF(AND(AJ58&lt;=(Rates!$Z$3),AD58&lt;&gt;""),(1-#REF!)*0.0008*AF58*#REF!,0)</f>
        <v>#REF!</v>
      </c>
      <c r="AA58" s="87" t="e">
        <f>IF(AJ58&lt;=60,(LOOKUP(AJ58,Rates!$U$2:$U$108,Rates!#REF!))*AC58/1000000*(1-#REF!),0)</f>
        <v>#REF!</v>
      </c>
      <c r="AB58" s="84" t="e">
        <f>IF(AJ58&lt;&gt;"",(AF58*LOOKUP(AJ58,Rates!$U$2:$U$108,Rates!$T$2:$T$108))/SQRT(1+IF(AL58&lt;=10,Rates!$Z$5,Rates!$Z$6)),"")</f>
        <v>#REF!</v>
      </c>
      <c r="AC58" s="89" t="e">
        <f>IF(AND(AJ58&lt;&gt;"",AJ58&lt;=Rates!$Z$2),MIN(0.5*AF58,300000000,AC57*(1+#REF!)),"")</f>
        <v>#REF!</v>
      </c>
      <c r="AD58" s="89" t="e">
        <f>IF(AND(AJ58&lt;&gt;"",AJ58&lt;=60),AF58*#REF!,"")</f>
        <v>#REF!</v>
      </c>
      <c r="AE58" s="109" t="e">
        <f>IF(AND(AJ58&lt;&gt;"",AJ58&lt;=70),AF58*(1+#REF!),"")</f>
        <v>#REF!</v>
      </c>
      <c r="AF58" s="109" t="e">
        <f>IF(AJ58&lt;&gt;"",AF57*(1+#REF!),"")</f>
        <v>#REF!</v>
      </c>
      <c r="AG58" s="92" t="e">
        <f t="shared" si="6"/>
        <v>#REF!</v>
      </c>
      <c r="AH58" s="83" t="e">
        <f>IF(AJ58&lt;&gt;"",AI58*Rates!$Z$9,"")</f>
        <v>#REF!</v>
      </c>
      <c r="AI58" s="92" t="e">
        <f>IF(AJ58&lt;&gt;"",AI57*(1+#REF!),"")</f>
        <v>#REF!</v>
      </c>
      <c r="AJ58" s="98" t="e">
        <f>IF(AL58&lt;&gt;"",#REF!+AL58-1,"")</f>
        <v>#REF!</v>
      </c>
      <c r="AK58" s="107" t="e">
        <f>IF(AL58&lt;&gt;"",#REF!+AL58-1,"")</f>
        <v>#REF!</v>
      </c>
      <c r="AL58" s="110" t="e">
        <f>IF(AL57&lt;&gt;"",IF(AL57+1&lt;=#REF!,AL57+1,""),"")</f>
        <v>#REF!</v>
      </c>
    </row>
    <row r="59" spans="1:38" ht="17.25" x14ac:dyDescent="0.25">
      <c r="A59" s="84" t="e">
        <f>IF(AJ59&lt;&gt;"",D59+D59*(IF(AL59&gt;4,0.1,LOOKUP(#REF!,Rates!$D$2:$D$4,Rates!$C$2:$C$4))+0.85*(#REF!-(IF(AL59&gt;4,0.1,LOOKUP(#REF!,Rates!$D$2:$D$4,Rates!$C$2:$C$4)))))*LOOKUP(#REF!,Rates!$I$2:$I$7,Rates!$G$2:$G$7)+A58*(1+IF(AL59&gt;4,0.1,LOOKUP(#REF!,Rates!$D$2:$D$4,Rates!$C$2:$C$4))+0.85*(#REF!-IF(AL59&gt;4,0.1,LOOKUP(#REF!,Rates!$D$2:$D$4,Rates!$C$2:$C$4)))),"")</f>
        <v>#REF!</v>
      </c>
      <c r="B59" s="84" t="e">
        <f>IF(AJ59&lt;&gt;"",IF(AL59&gt;=8,C59,C59*LOOKUP(AL59,Rates!$AH$2:$AH$8,Rates!$AG$2:$AG$8)),"")</f>
        <v>#REF!</v>
      </c>
      <c r="C59" s="84" t="e">
        <f>IF(AJ59&lt;&gt;"",D59*(1+IF(AL59&gt;4,0.1,LOOKUP(#REF!,Rates!$D$2:$D$5,Rates!$B$2:$B$5))*LOOKUP(#REF!,Rates!$I$2:$I$7,Rates!$G$2:$G$7))+C58*(1+IF(AL59&gt;4,0.1,LOOKUP(#REF!,Rates!$D$2:$D$5,Rates!$B$2:$B$5))),"")</f>
        <v>#REF!</v>
      </c>
      <c r="D59" s="84" t="e">
        <f>IF(AJ59&lt;&gt;"",AI59-(H59+G59+F59+E59+P59+Q59)+IF(#REF!&gt;0,IF(AND(AL59&lt;=#REF!,AL59&gt;=#REF!),#REF!,0),0),"")</f>
        <v>#REF!</v>
      </c>
      <c r="E59" s="84" t="e">
        <f>IF(AJ59&lt;&gt;"",(LOOKUP(#REF!,Rates!$AE$2:$AE$4,Rates!$AD$2:$AD$4))*(H59+P59+Q59),"")</f>
        <v>#REF!</v>
      </c>
      <c r="F59" s="84" t="e">
        <f>IF(AJ59&lt;&gt;"",(LOOKUP(#REF!,Rates!$AE$2:$AE$4,Rates!$AB$2:$AB$4))*(H59+P59+Q59),"")</f>
        <v>#REF!</v>
      </c>
      <c r="G59" s="84" t="e">
        <f>IF(AJ59&lt;&gt;"",(LOOKUP(#REF!,Rates!$AE$2:$AE$4,Rates!$AC$2:$AC$4))*(H59+P59+Q59),"")</f>
        <v>#REF!</v>
      </c>
      <c r="H59" s="84" t="e">
        <f t="shared" si="0"/>
        <v>#REF!</v>
      </c>
      <c r="I59" s="84" t="e">
        <f>IF(AJ59&lt;&gt;"",LOOKUP(#REF!,Rates!$I$2:$I$7,Rates!$H$2:$H$7)*(J59+P59+Q59+AB59),"")</f>
        <v>#REF!</v>
      </c>
      <c r="J59" s="96" t="e">
        <f t="shared" si="9"/>
        <v>#REF!</v>
      </c>
      <c r="K59" s="96" t="e">
        <f t="shared" si="7"/>
        <v>#REF!</v>
      </c>
      <c r="L59" s="96" t="e">
        <f t="shared" si="8"/>
        <v>#REF!</v>
      </c>
      <c r="M59" s="96" t="e">
        <f>IF(#REF!&lt;&gt;"",(1-#REF!)*IF(MIN(30/1000*$AF$2,0.75*#REF!)=30/1000*AF58,30/1000*(AF59-AF58),0.75*(#REF!-#REF!)),"")</f>
        <v>#REF!</v>
      </c>
      <c r="N59" s="96">
        <v>0</v>
      </c>
      <c r="O59" s="96" t="e">
        <f>IF(AJ59&lt;&gt;"",0.07*AI59*(1-#REF!),0)</f>
        <v>#REF!</v>
      </c>
      <c r="P59" s="87" t="e">
        <f t="shared" si="2"/>
        <v>#REF!</v>
      </c>
      <c r="Q59" s="87" t="e">
        <f t="shared" si="3"/>
        <v>#REF!</v>
      </c>
      <c r="R59" s="87" t="e">
        <f>IF(AJ59&lt;&gt;"",(AB59+AA59+V59+T59)*#REF!,0)</f>
        <v>#REF!</v>
      </c>
      <c r="S59" s="87" t="e">
        <f>IF(AJ59&lt;&gt;"",T59*(LOOKUP(#REF!,Rates!$O$2:$O$9,Rates!$L$2:$L$9)/100),0)</f>
        <v>#REF!</v>
      </c>
      <c r="T59" s="87" t="e">
        <f>IF(AJ59&lt;&gt;"",IF(#REF!="بله",V59*Rates!$Z$7,0),0)</f>
        <v>#REF!</v>
      </c>
      <c r="U59" s="87" t="e">
        <f>IF(AJ59&lt;&gt;"",IF(#REF!="بله",V59*(LOOKUP(#REF!,Rates!$O$2:$O$9,Rates!$L$2:$L$9)/100),V59*(LOOKUP(#REF!,Rates!$O$2:$O$9,Rates!$L$2:$L$9)/100)),0)</f>
        <v>#REF!</v>
      </c>
      <c r="V59" s="88" t="e">
        <f>IF(AND(AJ59&lt;&gt;"",AJ59&lt;=Rates!$Z$8,#REF!="بله"),AH59*(LOOKUP(AJ59,Rates!$U$2:$U$108,Rates!#REF!)),IF(AND(AK59&lt;&gt;"",AK59&lt;=Rates!$Z$8,#REF!="خیر"),AH59*(LOOKUP(AK59,Rates!$U$2:$U$108,Rates!#REF!)),0)*(1-#REF!))</f>
        <v>#REF!</v>
      </c>
      <c r="W59" s="88" t="e">
        <f>IF(AJ59&lt;&gt;"",X59*LOOKUP(#REF!,Rates!$O$2:$O$9,Rates!$M$2:$M$9)/100,0)</f>
        <v>#REF!</v>
      </c>
      <c r="X59" s="88" t="e">
        <f>IF(AJ59&lt;=Rates!$Z$4,0.0008*AF59*#REF!,0)</f>
        <v>#REF!</v>
      </c>
      <c r="Y59" s="88" t="e">
        <f>IF(AJ59&lt;&gt;"",Z59*(LOOKUP(#REF!,Rates!$O$2:$O$9,Rates!$N$2:$N$9/100)),0)</f>
        <v>#REF!</v>
      </c>
      <c r="Z59" s="87" t="e">
        <f>IF(AND(AJ59&lt;=(Rates!$Z$3),AD59&lt;&gt;""),(1-#REF!)*0.0008*AF59*#REF!,0)</f>
        <v>#REF!</v>
      </c>
      <c r="AA59" s="87" t="e">
        <f>IF(AJ59&lt;=60,(LOOKUP(AJ59,Rates!$U$2:$U$108,Rates!#REF!))*AC59/1000000*(1-#REF!),0)</f>
        <v>#REF!</v>
      </c>
      <c r="AB59" s="84" t="e">
        <f>IF(AJ59&lt;&gt;"",(AF59*LOOKUP(AJ59,Rates!$U$2:$U$108,Rates!$T$2:$T$108))/SQRT(1+IF(AL59&lt;=10,Rates!$Z$5,Rates!$Z$6)),"")</f>
        <v>#REF!</v>
      </c>
      <c r="AC59" s="89" t="e">
        <f>IF(AND(AJ59&lt;&gt;"",AJ59&lt;=Rates!$Z$2),MIN(0.5*AF59,300000000,AC58*(1+#REF!)),"")</f>
        <v>#REF!</v>
      </c>
      <c r="AD59" s="89" t="e">
        <f>IF(AND(AJ59&lt;&gt;"",AJ59&lt;=60),AF59*#REF!,"")</f>
        <v>#REF!</v>
      </c>
      <c r="AE59" s="109" t="e">
        <f>IF(AND(AJ59&lt;&gt;"",AJ59&lt;=70),AF59*(1+#REF!),"")</f>
        <v>#REF!</v>
      </c>
      <c r="AF59" s="109" t="e">
        <f>IF(AJ59&lt;&gt;"",AF58*(1+#REF!),"")</f>
        <v>#REF!</v>
      </c>
      <c r="AG59" s="92" t="e">
        <f t="shared" si="6"/>
        <v>#REF!</v>
      </c>
      <c r="AH59" s="83" t="e">
        <f>IF(AJ59&lt;&gt;"",AI59*Rates!$Z$9,"")</f>
        <v>#REF!</v>
      </c>
      <c r="AI59" s="92" t="e">
        <f>IF(AJ59&lt;&gt;"",AI58*(1+#REF!),"")</f>
        <v>#REF!</v>
      </c>
      <c r="AJ59" s="98" t="e">
        <f>IF(AL59&lt;&gt;"",#REF!+AL59-1,"")</f>
        <v>#REF!</v>
      </c>
      <c r="AK59" s="107" t="e">
        <f>IF(AL59&lt;&gt;"",#REF!+AL59-1,"")</f>
        <v>#REF!</v>
      </c>
      <c r="AL59" s="110" t="e">
        <f>IF(AL58&lt;&gt;"",IF(AL58+1&lt;=#REF!,AL58+1,""),"")</f>
        <v>#REF!</v>
      </c>
    </row>
    <row r="60" spans="1:38" ht="17.25" x14ac:dyDescent="0.25">
      <c r="A60" s="84" t="e">
        <f>IF(AJ60&lt;&gt;"",D60+D60*(IF(AL60&gt;4,0.1,LOOKUP(#REF!,Rates!$D$2:$D$4,Rates!$C$2:$C$4))+0.85*(#REF!-(IF(AL60&gt;4,0.1,LOOKUP(#REF!,Rates!$D$2:$D$4,Rates!$C$2:$C$4)))))*LOOKUP(#REF!,Rates!$I$2:$I$7,Rates!$G$2:$G$7)+A59*(1+IF(AL60&gt;4,0.1,LOOKUP(#REF!,Rates!$D$2:$D$4,Rates!$C$2:$C$4))+0.85*(#REF!-IF(AL60&gt;4,0.1,LOOKUP(#REF!,Rates!$D$2:$D$4,Rates!$C$2:$C$4)))),"")</f>
        <v>#REF!</v>
      </c>
      <c r="B60" s="84" t="e">
        <f>IF(AJ60&lt;&gt;"",IF(AL60&gt;=8,C60,C60*LOOKUP(AL60,Rates!$AH$2:$AH$8,Rates!$AG$2:$AG$8)),"")</f>
        <v>#REF!</v>
      </c>
      <c r="C60" s="84" t="e">
        <f>IF(AJ60&lt;&gt;"",D60*(1+IF(AL60&gt;4,0.1,LOOKUP(#REF!,Rates!$D$2:$D$5,Rates!$B$2:$B$5))*LOOKUP(#REF!,Rates!$I$2:$I$7,Rates!$G$2:$G$7))+C59*(1+IF(AL60&gt;4,0.1,LOOKUP(#REF!,Rates!$D$2:$D$5,Rates!$B$2:$B$5))),"")</f>
        <v>#REF!</v>
      </c>
      <c r="D60" s="84" t="e">
        <f>IF(AJ60&lt;&gt;"",AI60-(H60+G60+F60+E60+P60+Q60)+IF(#REF!&gt;0,IF(AND(AL60&lt;=#REF!,AL60&gt;=#REF!),#REF!,0),0),"")</f>
        <v>#REF!</v>
      </c>
      <c r="E60" s="84" t="e">
        <f>IF(AJ60&lt;&gt;"",(LOOKUP(#REF!,Rates!$AE$2:$AE$4,Rates!$AD$2:$AD$4))*(H60+P60+Q60),"")</f>
        <v>#REF!</v>
      </c>
      <c r="F60" s="84" t="e">
        <f>IF(AJ60&lt;&gt;"",(LOOKUP(#REF!,Rates!$AE$2:$AE$4,Rates!$AB$2:$AB$4))*(H60+P60+Q60),"")</f>
        <v>#REF!</v>
      </c>
      <c r="G60" s="84" t="e">
        <f>IF(AJ60&lt;&gt;"",(LOOKUP(#REF!,Rates!$AE$2:$AE$4,Rates!$AC$2:$AC$4))*(H60+P60+Q60),"")</f>
        <v>#REF!</v>
      </c>
      <c r="H60" s="84" t="e">
        <f t="shared" si="0"/>
        <v>#REF!</v>
      </c>
      <c r="I60" s="84" t="e">
        <f>IF(AJ60&lt;&gt;"",LOOKUP(#REF!,Rates!$I$2:$I$7,Rates!$H$2:$H$7)*(J60+P60+Q60+AB60),"")</f>
        <v>#REF!</v>
      </c>
      <c r="J60" s="96" t="e">
        <f t="shared" si="9"/>
        <v>#REF!</v>
      </c>
      <c r="K60" s="96" t="e">
        <f t="shared" si="7"/>
        <v>#REF!</v>
      </c>
      <c r="L60" s="96" t="e">
        <f t="shared" si="8"/>
        <v>#REF!</v>
      </c>
      <c r="M60" s="96" t="e">
        <f>IF(#REF!&lt;&gt;"",(1-#REF!)*IF(MIN(30/1000*$AF$2,0.75*#REF!)=30/1000*AF59,30/1000*(AF60-AF59),0.75*(#REF!-#REF!)),"")</f>
        <v>#REF!</v>
      </c>
      <c r="N60" s="96">
        <v>0</v>
      </c>
      <c r="O60" s="96" t="e">
        <f>IF(AJ60&lt;&gt;"",0.07*AI60*(1-#REF!),0)</f>
        <v>#REF!</v>
      </c>
      <c r="P60" s="87" t="e">
        <f t="shared" si="2"/>
        <v>#REF!</v>
      </c>
      <c r="Q60" s="87" t="e">
        <f t="shared" si="3"/>
        <v>#REF!</v>
      </c>
      <c r="R60" s="87" t="e">
        <f>IF(AJ60&lt;&gt;"",(AB60+AA60+V60+T60)*#REF!,0)</f>
        <v>#REF!</v>
      </c>
      <c r="S60" s="87" t="e">
        <f>IF(AJ60&lt;&gt;"",T60*(LOOKUP(#REF!,Rates!$O$2:$O$9,Rates!$L$2:$L$9)/100),0)</f>
        <v>#REF!</v>
      </c>
      <c r="T60" s="87" t="e">
        <f>IF(AJ60&lt;&gt;"",IF(#REF!="بله",V60*Rates!$Z$7,0),0)</f>
        <v>#REF!</v>
      </c>
      <c r="U60" s="87" t="e">
        <f>IF(AJ60&lt;&gt;"",IF(#REF!="بله",V60*(LOOKUP(#REF!,Rates!$O$2:$O$9,Rates!$L$2:$L$9)/100),V60*(LOOKUP(#REF!,Rates!$O$2:$O$9,Rates!$L$2:$L$9)/100)),0)</f>
        <v>#REF!</v>
      </c>
      <c r="V60" s="88" t="e">
        <f>IF(AND(AJ60&lt;&gt;"",AJ60&lt;=Rates!$Z$8,#REF!="بله"),AH60*(LOOKUP(AJ60,Rates!$U$2:$U$108,Rates!#REF!)),IF(AND(AK60&lt;&gt;"",AK60&lt;=Rates!$Z$8,#REF!="خیر"),AH60*(LOOKUP(AK60,Rates!$U$2:$U$108,Rates!#REF!)),0)*(1-#REF!))</f>
        <v>#REF!</v>
      </c>
      <c r="W60" s="88" t="e">
        <f>IF(AJ60&lt;&gt;"",X60*LOOKUP(#REF!,Rates!$O$2:$O$9,Rates!$M$2:$M$9)/100,0)</f>
        <v>#REF!</v>
      </c>
      <c r="X60" s="88" t="e">
        <f>IF(AJ60&lt;=Rates!$Z$4,0.0008*AF60*#REF!,0)</f>
        <v>#REF!</v>
      </c>
      <c r="Y60" s="88" t="e">
        <f>IF(AJ60&lt;&gt;"",Z60*(LOOKUP(#REF!,Rates!$O$2:$O$9,Rates!$N$2:$N$9/100)),0)</f>
        <v>#REF!</v>
      </c>
      <c r="Z60" s="87" t="e">
        <f>IF(AND(AJ60&lt;=(Rates!$Z$3),AD60&lt;&gt;""),(1-#REF!)*0.0008*AF60*#REF!,0)</f>
        <v>#REF!</v>
      </c>
      <c r="AA60" s="87" t="e">
        <f>IF(AJ60&lt;=60,(LOOKUP(AJ60,Rates!$U$2:$U$108,Rates!#REF!))*AC60/1000000*(1-#REF!),0)</f>
        <v>#REF!</v>
      </c>
      <c r="AB60" s="84" t="e">
        <f>IF(AJ60&lt;&gt;"",(AF60*LOOKUP(AJ60,Rates!$U$2:$U$108,Rates!$T$2:$T$108))/SQRT(1+IF(AL60&lt;=10,Rates!$Z$5,Rates!$Z$6)),"")</f>
        <v>#REF!</v>
      </c>
      <c r="AC60" s="89" t="e">
        <f>IF(AND(AJ60&lt;&gt;"",AJ60&lt;=Rates!$Z$2),MIN(0.5*AF60,300000000,AC59*(1+#REF!)),"")</f>
        <v>#REF!</v>
      </c>
      <c r="AD60" s="89" t="e">
        <f>IF(AND(AJ60&lt;&gt;"",AJ60&lt;=60),AF60*#REF!,"")</f>
        <v>#REF!</v>
      </c>
      <c r="AE60" s="109" t="e">
        <f>IF(AND(AJ60&lt;&gt;"",AJ60&lt;=70),AF60*(1+#REF!),"")</f>
        <v>#REF!</v>
      </c>
      <c r="AF60" s="109" t="e">
        <f>IF(AJ60&lt;&gt;"",AF59*(1+#REF!),"")</f>
        <v>#REF!</v>
      </c>
      <c r="AG60" s="92" t="e">
        <f t="shared" si="6"/>
        <v>#REF!</v>
      </c>
      <c r="AH60" s="83" t="e">
        <f>IF(AJ60&lt;&gt;"",AI60*Rates!$Z$9,"")</f>
        <v>#REF!</v>
      </c>
      <c r="AI60" s="92" t="e">
        <f>IF(AJ60&lt;&gt;"",AI59*(1+#REF!),"")</f>
        <v>#REF!</v>
      </c>
      <c r="AJ60" s="98" t="e">
        <f>IF(AL60&lt;&gt;"",#REF!+AL60-1,"")</f>
        <v>#REF!</v>
      </c>
      <c r="AK60" s="107" t="e">
        <f>IF(AL60&lt;&gt;"",#REF!+AL60-1,"")</f>
        <v>#REF!</v>
      </c>
      <c r="AL60" s="110" t="e">
        <f>IF(AL59&lt;&gt;"",IF(AL59+1&lt;=#REF!,AL59+1,""),"")</f>
        <v>#REF!</v>
      </c>
    </row>
    <row r="61" spans="1:38" ht="17.25" x14ac:dyDescent="0.25">
      <c r="A61" s="84" t="e">
        <f>IF(AJ61&lt;&gt;"",D61+D61*(IF(AL61&gt;4,0.1,LOOKUP(#REF!,Rates!$D$2:$D$4,Rates!$C$2:$C$4))+0.85*(#REF!-(IF(AL61&gt;4,0.1,LOOKUP(#REF!,Rates!$D$2:$D$4,Rates!$C$2:$C$4)))))*LOOKUP(#REF!,Rates!$I$2:$I$7,Rates!$G$2:$G$7)+A60*(1+IF(AL61&gt;4,0.1,LOOKUP(#REF!,Rates!$D$2:$D$4,Rates!$C$2:$C$4))+0.85*(#REF!-IF(AL61&gt;4,0.1,LOOKUP(#REF!,Rates!$D$2:$D$4,Rates!$C$2:$C$4)))),"")</f>
        <v>#REF!</v>
      </c>
      <c r="B61" s="84" t="e">
        <f>IF(AJ61&lt;&gt;"",IF(AL61&gt;=8,C61,C61*LOOKUP(AL61,Rates!$AH$2:$AH$8,Rates!$AG$2:$AG$8)),"")</f>
        <v>#REF!</v>
      </c>
      <c r="C61" s="84" t="e">
        <f>IF(AJ61&lt;&gt;"",D61*(1+IF(AL61&gt;4,0.1,LOOKUP(#REF!,Rates!$D$2:$D$5,Rates!$B$2:$B$5))*LOOKUP(#REF!,Rates!$I$2:$I$7,Rates!$G$2:$G$7))+C60*(1+IF(AL61&gt;4,0.1,LOOKUP(#REF!,Rates!$D$2:$D$5,Rates!$B$2:$B$5))),"")</f>
        <v>#REF!</v>
      </c>
      <c r="D61" s="84" t="e">
        <f>IF(AJ61&lt;&gt;"",AI61-(H61+G61+F61+E61+P61+Q61)+IF(#REF!&gt;0,IF(AND(AL61&lt;=#REF!,AL61&gt;=#REF!),#REF!,0),0),"")</f>
        <v>#REF!</v>
      </c>
      <c r="E61" s="84" t="e">
        <f>IF(AJ61&lt;&gt;"",(LOOKUP(#REF!,Rates!$AE$2:$AE$4,Rates!$AD$2:$AD$4))*(H61+P61+Q61),"")</f>
        <v>#REF!</v>
      </c>
      <c r="F61" s="84" t="e">
        <f>IF(AJ61&lt;&gt;"",(LOOKUP(#REF!,Rates!$AE$2:$AE$4,Rates!$AB$2:$AB$4))*(H61+P61+Q61),"")</f>
        <v>#REF!</v>
      </c>
      <c r="G61" s="84" t="e">
        <f>IF(AJ61&lt;&gt;"",(LOOKUP(#REF!,Rates!$AE$2:$AE$4,Rates!$AC$2:$AC$4))*(H61+P61+Q61),"")</f>
        <v>#REF!</v>
      </c>
      <c r="H61" s="84" t="e">
        <f t="shared" si="0"/>
        <v>#REF!</v>
      </c>
      <c r="I61" s="84" t="e">
        <f>IF(AJ61&lt;&gt;"",LOOKUP(#REF!,Rates!$I$2:$I$7,Rates!$H$2:$H$7)*(J61+P61+Q61+AB61),"")</f>
        <v>#REF!</v>
      </c>
      <c r="J61" s="96" t="e">
        <f t="shared" si="9"/>
        <v>#REF!</v>
      </c>
      <c r="K61" s="96" t="e">
        <f t="shared" si="7"/>
        <v>#REF!</v>
      </c>
      <c r="L61" s="96" t="e">
        <f t="shared" si="8"/>
        <v>#REF!</v>
      </c>
      <c r="M61" s="96" t="e">
        <f>IF(#REF!&lt;&gt;"",(1-#REF!)*IF(MIN(30/1000*$AF$2,0.75*#REF!)=30/1000*AF60,30/1000*(AF61-AF60),0.75*(#REF!-#REF!)),"")</f>
        <v>#REF!</v>
      </c>
      <c r="N61" s="96">
        <v>0</v>
      </c>
      <c r="O61" s="96" t="e">
        <f>IF(AJ61&lt;&gt;"",0.07*AI61*(1-#REF!),0)</f>
        <v>#REF!</v>
      </c>
      <c r="P61" s="87" t="e">
        <f t="shared" si="2"/>
        <v>#REF!</v>
      </c>
      <c r="Q61" s="87" t="e">
        <f t="shared" si="3"/>
        <v>#REF!</v>
      </c>
      <c r="R61" s="87" t="e">
        <f>IF(AJ61&lt;&gt;"",(AB61+AA61+V61+T61)*#REF!,0)</f>
        <v>#REF!</v>
      </c>
      <c r="S61" s="87" t="e">
        <f>IF(AJ61&lt;&gt;"",T61*(LOOKUP(#REF!,Rates!$O$2:$O$9,Rates!$L$2:$L$9)/100),0)</f>
        <v>#REF!</v>
      </c>
      <c r="T61" s="87" t="e">
        <f>IF(AJ61&lt;&gt;"",IF(#REF!="بله",V61*Rates!$Z$7,0),0)</f>
        <v>#REF!</v>
      </c>
      <c r="U61" s="87" t="e">
        <f>IF(AJ61&lt;&gt;"",IF(#REF!="بله",V61*(LOOKUP(#REF!,Rates!$O$2:$O$9,Rates!$L$2:$L$9)/100),V61*(LOOKUP(#REF!,Rates!$O$2:$O$9,Rates!$L$2:$L$9)/100)),0)</f>
        <v>#REF!</v>
      </c>
      <c r="V61" s="88" t="e">
        <f>IF(AND(AJ61&lt;&gt;"",AJ61&lt;=Rates!$Z$8,#REF!="بله"),AH61*(LOOKUP(AJ61,Rates!$U$2:$U$108,Rates!#REF!)),IF(AND(AK61&lt;&gt;"",AK61&lt;=Rates!$Z$8,#REF!="خیر"),AH61*(LOOKUP(AK61,Rates!$U$2:$U$108,Rates!#REF!)),0)*(1-#REF!))</f>
        <v>#REF!</v>
      </c>
      <c r="W61" s="88" t="e">
        <f>IF(AJ61&lt;&gt;"",X61*LOOKUP(#REF!,Rates!$O$2:$O$9,Rates!$M$2:$M$9)/100,0)</f>
        <v>#REF!</v>
      </c>
      <c r="X61" s="88" t="e">
        <f>IF(AJ61&lt;=Rates!$Z$4,0.0008*AF61*#REF!,0)</f>
        <v>#REF!</v>
      </c>
      <c r="Y61" s="88" t="e">
        <f>IF(AJ61&lt;&gt;"",Z61*(LOOKUP(#REF!,Rates!$O$2:$O$9,Rates!$N$2:$N$9/100)),0)</f>
        <v>#REF!</v>
      </c>
      <c r="Z61" s="87" t="e">
        <f>IF(AND(AJ61&lt;=(Rates!$Z$3),AD61&lt;&gt;""),(1-#REF!)*0.0008*AF61*#REF!,0)</f>
        <v>#REF!</v>
      </c>
      <c r="AA61" s="87" t="e">
        <f>IF(AJ61&lt;=60,(LOOKUP(AJ61,Rates!$U$2:$U$108,Rates!#REF!))*AC61/1000000*(1-#REF!),0)</f>
        <v>#REF!</v>
      </c>
      <c r="AB61" s="84" t="e">
        <f>IF(AJ61&lt;&gt;"",(AF61*LOOKUP(AJ61,Rates!$U$2:$U$108,Rates!$T$2:$T$108))/SQRT(1+IF(AL61&lt;=10,Rates!$Z$5,Rates!$Z$6)),"")</f>
        <v>#REF!</v>
      </c>
      <c r="AC61" s="89" t="e">
        <f>IF(AND(AJ61&lt;&gt;"",AJ61&lt;=Rates!$Z$2),MIN(0.5*AF61,300000000,AC60*(1+#REF!)),"")</f>
        <v>#REF!</v>
      </c>
      <c r="AD61" s="89" t="e">
        <f>IF(AND(AJ61&lt;&gt;"",AJ61&lt;=60),AF61*#REF!,"")</f>
        <v>#REF!</v>
      </c>
      <c r="AE61" s="109" t="e">
        <f>IF(AND(AJ61&lt;&gt;"",AJ61&lt;=70),AF61*(1+#REF!),"")</f>
        <v>#REF!</v>
      </c>
      <c r="AF61" s="109" t="e">
        <f>IF(AJ61&lt;&gt;"",AF60*(1+#REF!),"")</f>
        <v>#REF!</v>
      </c>
      <c r="AG61" s="92" t="e">
        <f t="shared" si="6"/>
        <v>#REF!</v>
      </c>
      <c r="AH61" s="83" t="e">
        <f>IF(AJ61&lt;&gt;"",AI61*Rates!$Z$9,"")</f>
        <v>#REF!</v>
      </c>
      <c r="AI61" s="92" t="e">
        <f>IF(AJ61&lt;&gt;"",AI60*(1+#REF!),"")</f>
        <v>#REF!</v>
      </c>
      <c r="AJ61" s="98" t="e">
        <f>IF(AL61&lt;&gt;"",#REF!+AL61-1,"")</f>
        <v>#REF!</v>
      </c>
      <c r="AK61" s="107" t="e">
        <f>IF(AL61&lt;&gt;"",#REF!+AL61-1,"")</f>
        <v>#REF!</v>
      </c>
      <c r="AL61" s="110" t="e">
        <f>IF(AL60&lt;&gt;"",IF(AL60+1&lt;=#REF!,AL60+1,""),"")</f>
        <v>#REF!</v>
      </c>
    </row>
    <row r="62" spans="1:38" ht="17.25" x14ac:dyDescent="0.25">
      <c r="A62" s="84" t="e">
        <f>IF(AJ62&lt;&gt;"",D62+D62*(IF(AL62&gt;4,0.1,LOOKUP(#REF!,Rates!$D$2:$D$4,Rates!$C$2:$C$4))+0.85*(#REF!-(IF(AL62&gt;4,0.1,LOOKUP(#REF!,Rates!$D$2:$D$4,Rates!$C$2:$C$4)))))*LOOKUP(#REF!,Rates!$I$2:$I$7,Rates!$G$2:$G$7)+A61*(1+IF(AL62&gt;4,0.1,LOOKUP(#REF!,Rates!$D$2:$D$4,Rates!$C$2:$C$4))+0.85*(#REF!-IF(AL62&gt;4,0.1,LOOKUP(#REF!,Rates!$D$2:$D$4,Rates!$C$2:$C$4)))),"")</f>
        <v>#REF!</v>
      </c>
      <c r="B62" s="84" t="e">
        <f>IF(AJ62&lt;&gt;"",IF(AL62&gt;=8,C62,C62*LOOKUP(AL62,Rates!$AH$2:$AH$8,Rates!$AG$2:$AG$8)),"")</f>
        <v>#REF!</v>
      </c>
      <c r="C62" s="84" t="e">
        <f>IF(AJ62&lt;&gt;"",D62*(1+IF(AL62&gt;4,0.1,LOOKUP(#REF!,Rates!$D$2:$D$5,Rates!$B$2:$B$5))*LOOKUP(#REF!,Rates!$I$2:$I$7,Rates!$G$2:$G$7))+C61*(1+IF(AL62&gt;4,0.1,LOOKUP(#REF!,Rates!$D$2:$D$5,Rates!$B$2:$B$5))),"")</f>
        <v>#REF!</v>
      </c>
      <c r="D62" s="84" t="e">
        <f>IF(AJ62&lt;&gt;"",AI62-(H62+G62+F62+E62+P62+Q62)+IF(#REF!&gt;0,IF(AND(AL62&lt;=#REF!,AL62&gt;=#REF!),#REF!,0),0),"")</f>
        <v>#REF!</v>
      </c>
      <c r="E62" s="84" t="e">
        <f>IF(AJ62&lt;&gt;"",(LOOKUP(#REF!,Rates!$AE$2:$AE$4,Rates!$AD$2:$AD$4))*(H62+P62+Q62),"")</f>
        <v>#REF!</v>
      </c>
      <c r="F62" s="84" t="e">
        <f>IF(AJ62&lt;&gt;"",(LOOKUP(#REF!,Rates!$AE$2:$AE$4,Rates!$AB$2:$AB$4))*(H62+P62+Q62),"")</f>
        <v>#REF!</v>
      </c>
      <c r="G62" s="84" t="e">
        <f>IF(AJ62&lt;&gt;"",(LOOKUP(#REF!,Rates!$AE$2:$AE$4,Rates!$AC$2:$AC$4))*(H62+P62+Q62),"")</f>
        <v>#REF!</v>
      </c>
      <c r="H62" s="84" t="e">
        <f t="shared" si="0"/>
        <v>#REF!</v>
      </c>
      <c r="I62" s="84" t="e">
        <f>IF(AJ62&lt;&gt;"",LOOKUP(#REF!,Rates!$I$2:$I$7,Rates!$H$2:$H$7)*(J62+P62+Q62+AB62),"")</f>
        <v>#REF!</v>
      </c>
      <c r="J62" s="96" t="e">
        <f t="shared" si="9"/>
        <v>#REF!</v>
      </c>
      <c r="K62" s="96" t="e">
        <f t="shared" si="7"/>
        <v>#REF!</v>
      </c>
      <c r="L62" s="96" t="e">
        <f t="shared" si="8"/>
        <v>#REF!</v>
      </c>
      <c r="M62" s="96" t="e">
        <f>IF(#REF!&lt;&gt;"",(1-#REF!)*IF(MIN(30/1000*$AF$2,0.75*#REF!)=30/1000*AF61,30/1000*(AF62-AF61),0.75*(#REF!-#REF!)),"")</f>
        <v>#REF!</v>
      </c>
      <c r="N62" s="96">
        <v>0</v>
      </c>
      <c r="O62" s="96" t="e">
        <f>IF(AJ62&lt;&gt;"",0.07*AI62*(1-#REF!),0)</f>
        <v>#REF!</v>
      </c>
      <c r="P62" s="87" t="e">
        <f t="shared" si="2"/>
        <v>#REF!</v>
      </c>
      <c r="Q62" s="87" t="e">
        <f t="shared" si="3"/>
        <v>#REF!</v>
      </c>
      <c r="R62" s="87" t="e">
        <f>IF(AJ62&lt;&gt;"",(AB62+AA62+V62+T62)*#REF!,0)</f>
        <v>#REF!</v>
      </c>
      <c r="S62" s="87" t="e">
        <f>IF(AJ62&lt;&gt;"",T62*(LOOKUP(#REF!,Rates!$O$2:$O$9,Rates!$L$2:$L$9)/100),0)</f>
        <v>#REF!</v>
      </c>
      <c r="T62" s="87" t="e">
        <f>IF(AJ62&lt;&gt;"",IF(#REF!="بله",V62*Rates!$Z$7,0),0)</f>
        <v>#REF!</v>
      </c>
      <c r="U62" s="87" t="e">
        <f>IF(AJ62&lt;&gt;"",IF(#REF!="بله",V62*(LOOKUP(#REF!,Rates!$O$2:$O$9,Rates!$L$2:$L$9)/100),V62*(LOOKUP(#REF!,Rates!$O$2:$O$9,Rates!$L$2:$L$9)/100)),0)</f>
        <v>#REF!</v>
      </c>
      <c r="V62" s="88" t="e">
        <f>IF(AND(AJ62&lt;&gt;"",AJ62&lt;=Rates!$Z$8,#REF!="بله"),AH62*(LOOKUP(AJ62,Rates!$U$2:$U$108,Rates!#REF!)),IF(AND(AK62&lt;&gt;"",AK62&lt;=Rates!$Z$8,#REF!="خیر"),AH62*(LOOKUP(AK62,Rates!$U$2:$U$108,Rates!#REF!)),0)*(1-#REF!))</f>
        <v>#REF!</v>
      </c>
      <c r="W62" s="88" t="e">
        <f>IF(AJ62&lt;&gt;"",X62*LOOKUP(#REF!,Rates!$O$2:$O$9,Rates!$M$2:$M$9)/100,0)</f>
        <v>#REF!</v>
      </c>
      <c r="X62" s="88" t="e">
        <f>IF(AJ62&lt;=Rates!$Z$4,0.0008*AF62*#REF!,0)</f>
        <v>#REF!</v>
      </c>
      <c r="Y62" s="88" t="e">
        <f>IF(AJ62&lt;&gt;"",Z62*(LOOKUP(#REF!,Rates!$O$2:$O$9,Rates!$N$2:$N$9/100)),0)</f>
        <v>#REF!</v>
      </c>
      <c r="Z62" s="87" t="e">
        <f>IF(AND(AJ62&lt;=(Rates!$Z$3),AD62&lt;&gt;""),(1-#REF!)*0.0008*AF62*#REF!,0)</f>
        <v>#REF!</v>
      </c>
      <c r="AA62" s="87" t="e">
        <f>IF(AJ62&lt;=60,(LOOKUP(AJ62,Rates!$U$2:$U$108,Rates!#REF!))*AC62/1000000*(1-#REF!),0)</f>
        <v>#REF!</v>
      </c>
      <c r="AB62" s="84" t="e">
        <f>IF(AJ62&lt;&gt;"",(AF62*LOOKUP(AJ62,Rates!$U$2:$U$108,Rates!$T$2:$T$108))/SQRT(1+IF(AL62&lt;=10,Rates!$Z$5,Rates!$Z$6)),"")</f>
        <v>#REF!</v>
      </c>
      <c r="AC62" s="89" t="e">
        <f>IF(AND(AJ62&lt;&gt;"",AJ62&lt;=Rates!$Z$2),MIN(0.5*AF62,300000000,AC61*(1+#REF!)),"")</f>
        <v>#REF!</v>
      </c>
      <c r="AD62" s="89" t="e">
        <f>IF(AND(AJ62&lt;&gt;"",AJ62&lt;=60),AF62*#REF!,"")</f>
        <v>#REF!</v>
      </c>
      <c r="AE62" s="109" t="e">
        <f>IF(AND(AJ62&lt;&gt;"",AJ62&lt;=70),AF62*(1+#REF!),"")</f>
        <v>#REF!</v>
      </c>
      <c r="AF62" s="109" t="e">
        <f>IF(AJ62&lt;&gt;"",AF61*(1+#REF!),"")</f>
        <v>#REF!</v>
      </c>
      <c r="AG62" s="92" t="e">
        <f t="shared" si="6"/>
        <v>#REF!</v>
      </c>
      <c r="AH62" s="83" t="e">
        <f>IF(AJ62&lt;&gt;"",AI62*Rates!$Z$9,"")</f>
        <v>#REF!</v>
      </c>
      <c r="AI62" s="92" t="e">
        <f>IF(AJ62&lt;&gt;"",AI61*(1+#REF!),"")</f>
        <v>#REF!</v>
      </c>
      <c r="AJ62" s="98" t="e">
        <f>IF(AL62&lt;&gt;"",#REF!+AL62-1,"")</f>
        <v>#REF!</v>
      </c>
      <c r="AK62" s="107" t="e">
        <f>IF(AL62&lt;&gt;"",#REF!+AL62-1,"")</f>
        <v>#REF!</v>
      </c>
      <c r="AL62" s="110" t="e">
        <f>IF(AL61&lt;&gt;"",IF(AL61+1&lt;=#REF!,AL61+1,""),"")</f>
        <v>#REF!</v>
      </c>
    </row>
    <row r="63" spans="1:38" ht="17.25" x14ac:dyDescent="0.25">
      <c r="A63" s="84" t="e">
        <f>IF(AJ63&lt;&gt;"",D63+D63*(IF(AL63&gt;4,0.1,LOOKUP(#REF!,Rates!$D$2:$D$4,Rates!$C$2:$C$4))+0.85*(#REF!-(IF(AL63&gt;4,0.1,LOOKUP(#REF!,Rates!$D$2:$D$4,Rates!$C$2:$C$4)))))*LOOKUP(#REF!,Rates!$I$2:$I$7,Rates!$G$2:$G$7)+A62*(1+IF(AL63&gt;4,0.1,LOOKUP(#REF!,Rates!$D$2:$D$4,Rates!$C$2:$C$4))+0.85*(#REF!-IF(AL63&gt;4,0.1,LOOKUP(#REF!,Rates!$D$2:$D$4,Rates!$C$2:$C$4)))),"")</f>
        <v>#REF!</v>
      </c>
      <c r="B63" s="84" t="e">
        <f>IF(AJ63&lt;&gt;"",IF(AL63&gt;=8,C63,C63*LOOKUP(AL63,Rates!$AH$2:$AH$8,Rates!$AG$2:$AG$8)),"")</f>
        <v>#REF!</v>
      </c>
      <c r="C63" s="84" t="e">
        <f>IF(AJ63&lt;&gt;"",D63*(1+IF(AL63&gt;4,0.1,LOOKUP(#REF!,Rates!$D$2:$D$5,Rates!$B$2:$B$5))*LOOKUP(#REF!,Rates!$I$2:$I$7,Rates!$G$2:$G$7))+C62*(1+IF(AL63&gt;4,0.1,LOOKUP(#REF!,Rates!$D$2:$D$5,Rates!$B$2:$B$5))),"")</f>
        <v>#REF!</v>
      </c>
      <c r="D63" s="84" t="e">
        <f>IF(AJ63&lt;&gt;"",AI63-(H63+G63+F63+E63+P63+Q63)+IF(#REF!&gt;0,IF(AND(AL63&lt;=#REF!,AL63&gt;=#REF!),#REF!,0),0),"")</f>
        <v>#REF!</v>
      </c>
      <c r="E63" s="84" t="e">
        <f>IF(AJ63&lt;&gt;"",(LOOKUP(#REF!,Rates!$AE$2:$AE$4,Rates!$AD$2:$AD$4))*(H63+P63+Q63),"")</f>
        <v>#REF!</v>
      </c>
      <c r="F63" s="84" t="e">
        <f>IF(AJ63&lt;&gt;"",(LOOKUP(#REF!,Rates!$AE$2:$AE$4,Rates!$AB$2:$AB$4))*(H63+P63+Q63),"")</f>
        <v>#REF!</v>
      </c>
      <c r="G63" s="84" t="e">
        <f>IF(AJ63&lt;&gt;"",(LOOKUP(#REF!,Rates!$AE$2:$AE$4,Rates!$AC$2:$AC$4))*(H63+P63+Q63),"")</f>
        <v>#REF!</v>
      </c>
      <c r="H63" s="84" t="e">
        <f t="shared" si="0"/>
        <v>#REF!</v>
      </c>
      <c r="I63" s="84" t="e">
        <f>IF(AJ63&lt;&gt;"",LOOKUP(#REF!,Rates!$I$2:$I$7,Rates!$H$2:$H$7)*(J63+P63+Q63+AB63),"")</f>
        <v>#REF!</v>
      </c>
      <c r="J63" s="96" t="e">
        <f t="shared" si="9"/>
        <v>#REF!</v>
      </c>
      <c r="K63" s="96" t="e">
        <f t="shared" si="7"/>
        <v>#REF!</v>
      </c>
      <c r="L63" s="96" t="e">
        <f t="shared" si="8"/>
        <v>#REF!</v>
      </c>
      <c r="M63" s="96" t="e">
        <f>IF(#REF!&lt;&gt;"",(1-#REF!)*IF(MIN(30/1000*$AF$2,0.75*#REF!)=30/1000*AF62,30/1000*(AF63-AF62),0.75*(#REF!-#REF!)),"")</f>
        <v>#REF!</v>
      </c>
      <c r="N63" s="96">
        <v>0</v>
      </c>
      <c r="O63" s="96" t="e">
        <f>IF(AJ63&lt;&gt;"",0.07*AI63*(1-#REF!),0)</f>
        <v>#REF!</v>
      </c>
      <c r="P63" s="87" t="e">
        <f t="shared" si="2"/>
        <v>#REF!</v>
      </c>
      <c r="Q63" s="87" t="e">
        <f t="shared" si="3"/>
        <v>#REF!</v>
      </c>
      <c r="R63" s="87" t="e">
        <f>IF(AJ63&lt;&gt;"",(AB63+AA63+V63+T63)*#REF!,0)</f>
        <v>#REF!</v>
      </c>
      <c r="S63" s="87" t="e">
        <f>IF(AJ63&lt;&gt;"",T63*(LOOKUP(#REF!,Rates!$O$2:$O$9,Rates!$L$2:$L$9)/100),0)</f>
        <v>#REF!</v>
      </c>
      <c r="T63" s="87" t="e">
        <f>IF(AJ63&lt;&gt;"",IF(#REF!="بله",V63*Rates!$Z$7,0),0)</f>
        <v>#REF!</v>
      </c>
      <c r="U63" s="87" t="e">
        <f>IF(AJ63&lt;&gt;"",IF(#REF!="بله",V63*(LOOKUP(#REF!,Rates!$O$2:$O$9,Rates!$L$2:$L$9)/100),V63*(LOOKUP(#REF!,Rates!$O$2:$O$9,Rates!$L$2:$L$9)/100)),0)</f>
        <v>#REF!</v>
      </c>
      <c r="V63" s="88" t="e">
        <f>IF(AND(AJ63&lt;&gt;"",AJ63&lt;=Rates!$Z$8,#REF!="بله"),AH63*(LOOKUP(AJ63,Rates!$U$2:$U$108,Rates!#REF!)),IF(AND(AK63&lt;&gt;"",AK63&lt;=Rates!$Z$8,#REF!="خیر"),AH63*(LOOKUP(AK63,Rates!$U$2:$U$108,Rates!#REF!)),0)*(1-#REF!))</f>
        <v>#REF!</v>
      </c>
      <c r="W63" s="88" t="e">
        <f>IF(AJ63&lt;&gt;"",X63*LOOKUP(#REF!,Rates!$O$2:$O$9,Rates!$M$2:$M$9)/100,0)</f>
        <v>#REF!</v>
      </c>
      <c r="X63" s="88" t="e">
        <f>IF(AJ63&lt;=Rates!$Z$4,0.0008*AF63*#REF!,0)</f>
        <v>#REF!</v>
      </c>
      <c r="Y63" s="88" t="e">
        <f>IF(AJ63&lt;&gt;"",Z63*(LOOKUP(#REF!,Rates!$O$2:$O$9,Rates!$N$2:$N$9/100)),0)</f>
        <v>#REF!</v>
      </c>
      <c r="Z63" s="87" t="e">
        <f>IF(AND(AJ63&lt;=(Rates!$Z$3),AD63&lt;&gt;""),(1-#REF!)*0.0008*AF63*#REF!,0)</f>
        <v>#REF!</v>
      </c>
      <c r="AA63" s="87" t="e">
        <f>IF(AJ63&lt;=60,(LOOKUP(AJ63,Rates!$U$2:$U$108,Rates!#REF!))*AC63/1000000*(1-#REF!),0)</f>
        <v>#REF!</v>
      </c>
      <c r="AB63" s="84" t="e">
        <f>IF(AJ63&lt;&gt;"",(AF63*LOOKUP(AJ63,Rates!$U$2:$U$108,Rates!$T$2:$T$108))/SQRT(1+IF(AL63&lt;=10,Rates!$Z$5,Rates!$Z$6)),"")</f>
        <v>#REF!</v>
      </c>
      <c r="AC63" s="89" t="e">
        <f>IF(AND(AJ63&lt;&gt;"",AJ63&lt;=Rates!$Z$2),MIN(0.5*AF63,300000000,AC62*(1+#REF!)),"")</f>
        <v>#REF!</v>
      </c>
      <c r="AD63" s="89" t="e">
        <f>IF(AND(AJ63&lt;&gt;"",AJ63&lt;=60),AF63*#REF!,"")</f>
        <v>#REF!</v>
      </c>
      <c r="AE63" s="109" t="e">
        <f>IF(AND(AJ63&lt;&gt;"",AJ63&lt;=70),AF63*(1+#REF!),"")</f>
        <v>#REF!</v>
      </c>
      <c r="AF63" s="109" t="e">
        <f>IF(AJ63&lt;&gt;"",AF62*(1+#REF!),"")</f>
        <v>#REF!</v>
      </c>
      <c r="AG63" s="92" t="e">
        <f t="shared" si="6"/>
        <v>#REF!</v>
      </c>
      <c r="AH63" s="83" t="e">
        <f>IF(AJ63&lt;&gt;"",AI63*Rates!$Z$9,"")</f>
        <v>#REF!</v>
      </c>
      <c r="AI63" s="92" t="e">
        <f>IF(AJ63&lt;&gt;"",AI62*(1+#REF!),"")</f>
        <v>#REF!</v>
      </c>
      <c r="AJ63" s="98" t="e">
        <f>IF(AL63&lt;&gt;"",#REF!+AL63-1,"")</f>
        <v>#REF!</v>
      </c>
      <c r="AK63" s="107" t="e">
        <f>IF(AL63&lt;&gt;"",#REF!+AL63-1,"")</f>
        <v>#REF!</v>
      </c>
      <c r="AL63" s="110" t="e">
        <f>IF(AL62&lt;&gt;"",IF(AL62+1&lt;=#REF!,AL62+1,""),"")</f>
        <v>#REF!</v>
      </c>
    </row>
    <row r="64" spans="1:38" ht="17.25" x14ac:dyDescent="0.25">
      <c r="A64" s="84" t="e">
        <f>IF(AJ64&lt;&gt;"",D64+D64*(IF(AL64&gt;4,0.1,LOOKUP(#REF!,Rates!$D$2:$D$4,Rates!$C$2:$C$4))+0.85*(#REF!-(IF(AL64&gt;4,0.1,LOOKUP(#REF!,Rates!$D$2:$D$4,Rates!$C$2:$C$4)))))*LOOKUP(#REF!,Rates!$I$2:$I$7,Rates!$G$2:$G$7)+A63*(1+IF(AL64&gt;4,0.1,LOOKUP(#REF!,Rates!$D$2:$D$4,Rates!$C$2:$C$4))+0.85*(#REF!-IF(AL64&gt;4,0.1,LOOKUP(#REF!,Rates!$D$2:$D$4,Rates!$C$2:$C$4)))),"")</f>
        <v>#REF!</v>
      </c>
      <c r="B64" s="84" t="e">
        <f>IF(AJ64&lt;&gt;"",IF(AL64&gt;=8,C64,C64*LOOKUP(AL64,Rates!$AH$2:$AH$8,Rates!$AG$2:$AG$8)),"")</f>
        <v>#REF!</v>
      </c>
      <c r="C64" s="84" t="e">
        <f>IF(AJ64&lt;&gt;"",D64*(1+IF(AL64&gt;4,0.1,LOOKUP(#REF!,Rates!$D$2:$D$5,Rates!$B$2:$B$5))*LOOKUP(#REF!,Rates!$I$2:$I$7,Rates!$G$2:$G$7))+C63*(1+IF(AL64&gt;4,0.1,LOOKUP(#REF!,Rates!$D$2:$D$5,Rates!$B$2:$B$5))),"")</f>
        <v>#REF!</v>
      </c>
      <c r="D64" s="84" t="e">
        <f>IF(AJ64&lt;&gt;"",AI64-(H64+G64+F64+E64+P64+Q64)+IF(#REF!&gt;0,IF(AND(AL64&lt;=#REF!,AL64&gt;=#REF!),#REF!,0),0),"")</f>
        <v>#REF!</v>
      </c>
      <c r="E64" s="84" t="e">
        <f>IF(AJ64&lt;&gt;"",(LOOKUP(#REF!,Rates!$AE$2:$AE$4,Rates!$AD$2:$AD$4))*(H64+P64+Q64),"")</f>
        <v>#REF!</v>
      </c>
      <c r="F64" s="84" t="e">
        <f>IF(AJ64&lt;&gt;"",(LOOKUP(#REF!,Rates!$AE$2:$AE$4,Rates!$AB$2:$AB$4))*(H64+P64+Q64),"")</f>
        <v>#REF!</v>
      </c>
      <c r="G64" s="84" t="e">
        <f>IF(AJ64&lt;&gt;"",(LOOKUP(#REF!,Rates!$AE$2:$AE$4,Rates!$AC$2:$AC$4))*(H64+P64+Q64),"")</f>
        <v>#REF!</v>
      </c>
      <c r="H64" s="84" t="e">
        <f t="shared" si="0"/>
        <v>#REF!</v>
      </c>
      <c r="I64" s="84" t="e">
        <f>IF(AJ64&lt;&gt;"",LOOKUP(#REF!,Rates!$I$2:$I$7,Rates!$H$2:$H$7)*(J64+P64+Q64+AB64),"")</f>
        <v>#REF!</v>
      </c>
      <c r="J64" s="96" t="e">
        <f t="shared" si="9"/>
        <v>#REF!</v>
      </c>
      <c r="K64" s="96" t="e">
        <f t="shared" si="7"/>
        <v>#REF!</v>
      </c>
      <c r="L64" s="96" t="e">
        <f t="shared" si="8"/>
        <v>#REF!</v>
      </c>
      <c r="M64" s="96" t="e">
        <f>IF(#REF!&lt;&gt;"",(1-#REF!)*IF(MIN(30/1000*$AF$2,0.75*#REF!)=30/1000*AF63,30/1000*(AF64-AF63),0.75*(#REF!-#REF!)),"")</f>
        <v>#REF!</v>
      </c>
      <c r="N64" s="96">
        <v>0</v>
      </c>
      <c r="O64" s="96" t="e">
        <f>IF(AJ64&lt;&gt;"",0.07*AI64*(1-#REF!),0)</f>
        <v>#REF!</v>
      </c>
      <c r="P64" s="87" t="e">
        <f t="shared" si="2"/>
        <v>#REF!</v>
      </c>
      <c r="Q64" s="87" t="e">
        <f t="shared" si="3"/>
        <v>#REF!</v>
      </c>
      <c r="R64" s="87" t="e">
        <f>IF(AJ64&lt;&gt;"",(AB64+AA64+V64+T64)*#REF!,0)</f>
        <v>#REF!</v>
      </c>
      <c r="S64" s="87" t="e">
        <f>IF(AJ64&lt;&gt;"",T64*(LOOKUP(#REF!,Rates!$O$2:$O$9,Rates!$L$2:$L$9)/100),0)</f>
        <v>#REF!</v>
      </c>
      <c r="T64" s="87" t="e">
        <f>IF(AJ64&lt;&gt;"",IF(#REF!="بله",V64*Rates!$Z$7,0),0)</f>
        <v>#REF!</v>
      </c>
      <c r="U64" s="87" t="e">
        <f>IF(AJ64&lt;&gt;"",IF(#REF!="بله",V64*(LOOKUP(#REF!,Rates!$O$2:$O$9,Rates!$L$2:$L$9)/100),V64*(LOOKUP(#REF!,Rates!$O$2:$O$9,Rates!$L$2:$L$9)/100)),0)</f>
        <v>#REF!</v>
      </c>
      <c r="V64" s="88" t="e">
        <f>IF(AND(AJ64&lt;&gt;"",AJ64&lt;=Rates!$Z$8,#REF!="بله"),AH64*(LOOKUP(AJ64,Rates!$U$2:$U$108,Rates!#REF!)),IF(AND(AK64&lt;&gt;"",AK64&lt;=Rates!$Z$8,#REF!="خیر"),AH64*(LOOKUP(AK64,Rates!$U$2:$U$108,Rates!#REF!)),0)*(1-#REF!))</f>
        <v>#REF!</v>
      </c>
      <c r="W64" s="88" t="e">
        <f>IF(AJ64&lt;&gt;"",X64*LOOKUP(#REF!,Rates!$O$2:$O$9,Rates!$M$2:$M$9)/100,0)</f>
        <v>#REF!</v>
      </c>
      <c r="X64" s="88" t="e">
        <f>IF(AJ64&lt;=Rates!$Z$4,0.0008*AF64*#REF!,0)</f>
        <v>#REF!</v>
      </c>
      <c r="Y64" s="88" t="e">
        <f>IF(AJ64&lt;&gt;"",Z64*(LOOKUP(#REF!,Rates!$O$2:$O$9,Rates!$N$2:$N$9/100)),0)</f>
        <v>#REF!</v>
      </c>
      <c r="Z64" s="87" t="e">
        <f>IF(AND(AJ64&lt;=(Rates!$Z$3),AD64&lt;&gt;""),(1-#REF!)*0.0008*AF64*#REF!,0)</f>
        <v>#REF!</v>
      </c>
      <c r="AA64" s="87" t="e">
        <f>IF(AJ64&lt;=60,(LOOKUP(AJ64,Rates!$U$2:$U$108,Rates!#REF!))*AC64/1000000*(1-#REF!),0)</f>
        <v>#REF!</v>
      </c>
      <c r="AB64" s="84" t="e">
        <f>IF(AJ64&lt;&gt;"",(AF64*LOOKUP(AJ64,Rates!$U$2:$U$108,Rates!$T$2:$T$108))/SQRT(1+IF(AL64&lt;=10,Rates!$Z$5,Rates!$Z$6)),"")</f>
        <v>#REF!</v>
      </c>
      <c r="AC64" s="89" t="e">
        <f>IF(AND(AJ64&lt;&gt;"",AJ64&lt;=Rates!$Z$2),MIN(0.5*AF64,300000000,AC63*(1+#REF!)),"")</f>
        <v>#REF!</v>
      </c>
      <c r="AD64" s="89" t="e">
        <f>IF(AND(AJ64&lt;&gt;"",AJ64&lt;=60),AF64*#REF!,"")</f>
        <v>#REF!</v>
      </c>
      <c r="AE64" s="109" t="e">
        <f>IF(AND(AJ64&lt;&gt;"",AJ64&lt;=70),AF64*(1+#REF!),"")</f>
        <v>#REF!</v>
      </c>
      <c r="AF64" s="109" t="e">
        <f>IF(AJ64&lt;&gt;"",AF63*(1+#REF!),"")</f>
        <v>#REF!</v>
      </c>
      <c r="AG64" s="92" t="e">
        <f t="shared" si="6"/>
        <v>#REF!</v>
      </c>
      <c r="AH64" s="83" t="e">
        <f>IF(AJ64&lt;&gt;"",AI64*Rates!$Z$9,"")</f>
        <v>#REF!</v>
      </c>
      <c r="AI64" s="92" t="e">
        <f>IF(AJ64&lt;&gt;"",AI63*(1+#REF!),"")</f>
        <v>#REF!</v>
      </c>
      <c r="AJ64" s="98" t="e">
        <f>IF(AL64&lt;&gt;"",#REF!+AL64-1,"")</f>
        <v>#REF!</v>
      </c>
      <c r="AK64" s="107" t="e">
        <f>IF(AL64&lt;&gt;"",#REF!+AL64-1,"")</f>
        <v>#REF!</v>
      </c>
      <c r="AL64" s="110" t="e">
        <f>IF(AL63&lt;&gt;"",IF(AL63+1&lt;=#REF!,AL63+1,""),"")</f>
        <v>#REF!</v>
      </c>
    </row>
    <row r="65" spans="1:38" ht="17.25" x14ac:dyDescent="0.25">
      <c r="A65" s="84" t="e">
        <f>IF(AJ65&lt;&gt;"",D65+D65*(IF(AL65&gt;4,0.1,LOOKUP(#REF!,Rates!$D$2:$D$4,Rates!$C$2:$C$4))+0.85*(#REF!-(IF(AL65&gt;4,0.1,LOOKUP(#REF!,Rates!$D$2:$D$4,Rates!$C$2:$C$4)))))*LOOKUP(#REF!,Rates!$I$2:$I$7,Rates!$G$2:$G$7)+A64*(1+IF(AL65&gt;4,0.1,LOOKUP(#REF!,Rates!$D$2:$D$4,Rates!$C$2:$C$4))+0.85*(#REF!-IF(AL65&gt;4,0.1,LOOKUP(#REF!,Rates!$D$2:$D$4,Rates!$C$2:$C$4)))),"")</f>
        <v>#REF!</v>
      </c>
      <c r="B65" s="84" t="e">
        <f>IF(AJ65&lt;&gt;"",IF(AL65&gt;=8,C65,C65*LOOKUP(AL65,Rates!$AH$2:$AH$8,Rates!$AG$2:$AG$8)),"")</f>
        <v>#REF!</v>
      </c>
      <c r="C65" s="84" t="e">
        <f>IF(AJ65&lt;&gt;"",D65*(1+IF(AL65&gt;4,0.1,LOOKUP(#REF!,Rates!$D$2:$D$5,Rates!$B$2:$B$5))*LOOKUP(#REF!,Rates!$I$2:$I$7,Rates!$G$2:$G$7))+C64*(1+IF(AL65&gt;4,0.1,LOOKUP(#REF!,Rates!$D$2:$D$5,Rates!$B$2:$B$5))),"")</f>
        <v>#REF!</v>
      </c>
      <c r="D65" s="84" t="e">
        <f>IF(AJ65&lt;&gt;"",AI65-(H65+G65+F65+E65+P65+Q65)+IF(#REF!&gt;0,IF(AND(AL65&lt;=#REF!,AL65&gt;=#REF!),#REF!,0),0),"")</f>
        <v>#REF!</v>
      </c>
      <c r="E65" s="84" t="e">
        <f>IF(AJ65&lt;&gt;"",(LOOKUP(#REF!,Rates!$AE$2:$AE$4,Rates!$AD$2:$AD$4))*(H65+P65+Q65),"")</f>
        <v>#REF!</v>
      </c>
      <c r="F65" s="84" t="e">
        <f>IF(AJ65&lt;&gt;"",(LOOKUP(#REF!,Rates!$AE$2:$AE$4,Rates!$AB$2:$AB$4))*(H65+P65+Q65),"")</f>
        <v>#REF!</v>
      </c>
      <c r="G65" s="84" t="e">
        <f>IF(AJ65&lt;&gt;"",(LOOKUP(#REF!,Rates!$AE$2:$AE$4,Rates!$AC$2:$AC$4))*(H65+P65+Q65),"")</f>
        <v>#REF!</v>
      </c>
      <c r="H65" s="84" t="e">
        <f t="shared" si="0"/>
        <v>#REF!</v>
      </c>
      <c r="I65" s="84" t="e">
        <f>IF(AJ65&lt;&gt;"",LOOKUP(#REF!,Rates!$I$2:$I$7,Rates!$H$2:$H$7)*(J65+P65+Q65+AB65),"")</f>
        <v>#REF!</v>
      </c>
      <c r="J65" s="96" t="e">
        <f t="shared" si="9"/>
        <v>#REF!</v>
      </c>
      <c r="K65" s="96" t="e">
        <f t="shared" si="7"/>
        <v>#REF!</v>
      </c>
      <c r="L65" s="96" t="e">
        <f t="shared" si="8"/>
        <v>#REF!</v>
      </c>
      <c r="M65" s="96" t="e">
        <f>IF(#REF!&lt;&gt;"",(1-#REF!)*IF(MIN(30/1000*$AF$2,0.75*#REF!)=30/1000*AF64,30/1000*(AF65-AF64),0.75*(#REF!-#REF!)),"")</f>
        <v>#REF!</v>
      </c>
      <c r="N65" s="96">
        <v>0</v>
      </c>
      <c r="O65" s="96" t="e">
        <f>IF(AJ65&lt;&gt;"",0.07*AI65*(1-#REF!),0)</f>
        <v>#REF!</v>
      </c>
      <c r="P65" s="87" t="e">
        <f t="shared" si="2"/>
        <v>#REF!</v>
      </c>
      <c r="Q65" s="87" t="e">
        <f t="shared" si="3"/>
        <v>#REF!</v>
      </c>
      <c r="R65" s="87" t="e">
        <f>IF(AJ65&lt;&gt;"",(AB65+AA65+V65+T65)*#REF!,0)</f>
        <v>#REF!</v>
      </c>
      <c r="S65" s="87" t="e">
        <f>IF(AJ65&lt;&gt;"",T65*(LOOKUP(#REF!,Rates!$O$2:$O$9,Rates!$L$2:$L$9)/100),0)</f>
        <v>#REF!</v>
      </c>
      <c r="T65" s="87" t="e">
        <f>IF(AJ65&lt;&gt;"",IF(#REF!="بله",V65*Rates!$Z$7,0),0)</f>
        <v>#REF!</v>
      </c>
      <c r="U65" s="87" t="e">
        <f>IF(AJ65&lt;&gt;"",IF(#REF!="بله",V65*(LOOKUP(#REF!,Rates!$O$2:$O$9,Rates!$L$2:$L$9)/100),V65*(LOOKUP(#REF!,Rates!$O$2:$O$9,Rates!$L$2:$L$9)/100)),0)</f>
        <v>#REF!</v>
      </c>
      <c r="V65" s="88" t="e">
        <f>IF(AND(AJ65&lt;&gt;"",AJ65&lt;=Rates!$Z$8,#REF!="بله"),AH65*(LOOKUP(AJ65,Rates!$U$2:$U$108,Rates!#REF!)),IF(AND(AK65&lt;&gt;"",AK65&lt;=Rates!$Z$8,#REF!="خیر"),AH65*(LOOKUP(AK65,Rates!$U$2:$U$108,Rates!#REF!)),0)*(1-#REF!))</f>
        <v>#REF!</v>
      </c>
      <c r="W65" s="88" t="e">
        <f>IF(AJ65&lt;&gt;"",X65*LOOKUP(#REF!,Rates!$O$2:$O$9,Rates!$M$2:$M$9)/100,0)</f>
        <v>#REF!</v>
      </c>
      <c r="X65" s="88" t="e">
        <f>IF(AJ65&lt;=Rates!$Z$4,0.0008*AF65*#REF!,0)</f>
        <v>#REF!</v>
      </c>
      <c r="Y65" s="88" t="e">
        <f>IF(AJ65&lt;&gt;"",Z65*(LOOKUP(#REF!,Rates!$O$2:$O$9,Rates!$N$2:$N$9/100)),0)</f>
        <v>#REF!</v>
      </c>
      <c r="Z65" s="87" t="e">
        <f>IF(AND(AJ65&lt;=(Rates!$Z$3),AD65&lt;&gt;""),(1-#REF!)*0.0008*AF65*#REF!,0)</f>
        <v>#REF!</v>
      </c>
      <c r="AA65" s="87" t="e">
        <f>IF(AJ65&lt;=60,(LOOKUP(AJ65,Rates!$U$2:$U$108,Rates!#REF!))*AC65/1000000*(1-#REF!),0)</f>
        <v>#REF!</v>
      </c>
      <c r="AB65" s="84" t="e">
        <f>IF(AJ65&lt;&gt;"",(AF65*LOOKUP(AJ65,Rates!$U$2:$U$108,Rates!$T$2:$T$108))/SQRT(1+IF(AL65&lt;=10,Rates!$Z$5,Rates!$Z$6)),"")</f>
        <v>#REF!</v>
      </c>
      <c r="AC65" s="89" t="e">
        <f>IF(AND(AJ65&lt;&gt;"",AJ65&lt;=Rates!$Z$2),MIN(0.5*AF65,300000000,AC64*(1+#REF!)),"")</f>
        <v>#REF!</v>
      </c>
      <c r="AD65" s="89" t="e">
        <f>IF(AND(AJ65&lt;&gt;"",AJ65&lt;=60),AF65*#REF!,"")</f>
        <v>#REF!</v>
      </c>
      <c r="AE65" s="109" t="e">
        <f>IF(AND(AJ65&lt;&gt;"",AJ65&lt;=70),AF65*(1+#REF!),"")</f>
        <v>#REF!</v>
      </c>
      <c r="AF65" s="109" t="e">
        <f>IF(AJ65&lt;&gt;"",AF64*(1+#REF!),"")</f>
        <v>#REF!</v>
      </c>
      <c r="AG65" s="92" t="e">
        <f t="shared" si="6"/>
        <v>#REF!</v>
      </c>
      <c r="AH65" s="83" t="e">
        <f>IF(AJ65&lt;&gt;"",AI65*Rates!$Z$9,"")</f>
        <v>#REF!</v>
      </c>
      <c r="AI65" s="92" t="e">
        <f>IF(AJ65&lt;&gt;"",AI64*(1+#REF!),"")</f>
        <v>#REF!</v>
      </c>
      <c r="AJ65" s="98" t="e">
        <f>IF(AL65&lt;&gt;"",#REF!+AL65-1,"")</f>
        <v>#REF!</v>
      </c>
      <c r="AK65" s="107" t="e">
        <f>IF(AL65&lt;&gt;"",#REF!+AL65-1,"")</f>
        <v>#REF!</v>
      </c>
      <c r="AL65" s="110" t="e">
        <f>IF(AL64&lt;&gt;"",IF(AL64+1&lt;=#REF!,AL64+1,""),"")</f>
        <v>#REF!</v>
      </c>
    </row>
    <row r="66" spans="1:38" ht="17.25" x14ac:dyDescent="0.25">
      <c r="A66" s="84" t="e">
        <f>IF(AJ66&lt;&gt;"",D66+D66*(IF(AL66&gt;4,0.1,LOOKUP(#REF!,Rates!$D$2:$D$4,Rates!$C$2:$C$4))+0.85*(#REF!-(IF(AL66&gt;4,0.1,LOOKUP(#REF!,Rates!$D$2:$D$4,Rates!$C$2:$C$4)))))*LOOKUP(#REF!,Rates!$I$2:$I$7,Rates!$G$2:$G$7)+A65*(1+IF(AL66&gt;4,0.1,LOOKUP(#REF!,Rates!$D$2:$D$4,Rates!$C$2:$C$4))+0.85*(#REF!-IF(AL66&gt;4,0.1,LOOKUP(#REF!,Rates!$D$2:$D$4,Rates!$C$2:$C$4)))),"")</f>
        <v>#REF!</v>
      </c>
      <c r="B66" s="84" t="e">
        <f>IF(AJ66&lt;&gt;"",IF(AL66&gt;=8,C66,C66*LOOKUP(AL66,Rates!$AH$2:$AH$8,Rates!$AG$2:$AG$8)),"")</f>
        <v>#REF!</v>
      </c>
      <c r="C66" s="84" t="e">
        <f>IF(AJ66&lt;&gt;"",D66*(1+IF(AL66&gt;4,0.1,LOOKUP(#REF!,Rates!$D$2:$D$5,Rates!$B$2:$B$5))*LOOKUP(#REF!,Rates!$I$2:$I$7,Rates!$G$2:$G$7))+C65*(1+IF(AL66&gt;4,0.1,LOOKUP(#REF!,Rates!$D$2:$D$5,Rates!$B$2:$B$5))),"")</f>
        <v>#REF!</v>
      </c>
      <c r="D66" s="84" t="e">
        <f>IF(AJ66&lt;&gt;"",AI66-(H66+G66+F66+E66+P66+Q66)+IF(#REF!&gt;0,IF(AND(AL66&lt;=#REF!,AL66&gt;=#REF!),#REF!,0),0),"")</f>
        <v>#REF!</v>
      </c>
      <c r="E66" s="84" t="e">
        <f>IF(AJ66&lt;&gt;"",(LOOKUP(#REF!,Rates!$AE$2:$AE$4,Rates!$AD$2:$AD$4))*(H66+P66+Q66),"")</f>
        <v>#REF!</v>
      </c>
      <c r="F66" s="84" t="e">
        <f>IF(AJ66&lt;&gt;"",(LOOKUP(#REF!,Rates!$AE$2:$AE$4,Rates!$AB$2:$AB$4))*(H66+P66+Q66),"")</f>
        <v>#REF!</v>
      </c>
      <c r="G66" s="84" t="e">
        <f>IF(AJ66&lt;&gt;"",(LOOKUP(#REF!,Rates!$AE$2:$AE$4,Rates!$AC$2:$AC$4))*(H66+P66+Q66),"")</f>
        <v>#REF!</v>
      </c>
      <c r="H66" s="84" t="e">
        <f t="shared" si="0"/>
        <v>#REF!</v>
      </c>
      <c r="I66" s="84" t="e">
        <f>IF(AJ66&lt;&gt;"",LOOKUP(#REF!,Rates!$I$2:$I$7,Rates!$H$2:$H$7)*(J66+P66+Q66+AB66),"")</f>
        <v>#REF!</v>
      </c>
      <c r="J66" s="96" t="e">
        <f t="shared" si="9"/>
        <v>#REF!</v>
      </c>
      <c r="K66" s="96" t="e">
        <f t="shared" si="7"/>
        <v>#REF!</v>
      </c>
      <c r="L66" s="96" t="e">
        <f t="shared" si="8"/>
        <v>#REF!</v>
      </c>
      <c r="M66" s="96" t="e">
        <f>IF(#REF!&lt;&gt;"",(1-#REF!)*IF(MIN(30/1000*$AF$2,0.75*#REF!)=30/1000*AF65,30/1000*(AF66-AF65),0.75*(#REF!-#REF!)),"")</f>
        <v>#REF!</v>
      </c>
      <c r="N66" s="96">
        <v>0</v>
      </c>
      <c r="O66" s="96" t="e">
        <f>IF(AJ66&lt;&gt;"",0.07*AI66*(1-#REF!),0)</f>
        <v>#REF!</v>
      </c>
      <c r="P66" s="87" t="e">
        <f t="shared" si="2"/>
        <v>#REF!</v>
      </c>
      <c r="Q66" s="87" t="e">
        <f t="shared" si="3"/>
        <v>#REF!</v>
      </c>
      <c r="R66" s="87" t="e">
        <f>IF(AJ66&lt;&gt;"",(AB66+AA66+V66+T66)*#REF!,0)</f>
        <v>#REF!</v>
      </c>
      <c r="S66" s="87" t="e">
        <f>IF(AJ66&lt;&gt;"",T66*(LOOKUP(#REF!,Rates!$O$2:$O$9,Rates!$L$2:$L$9)/100),0)</f>
        <v>#REF!</v>
      </c>
      <c r="T66" s="87" t="e">
        <f>IF(AJ66&lt;&gt;"",IF(#REF!="بله",V66*Rates!$Z$7,0),0)</f>
        <v>#REF!</v>
      </c>
      <c r="U66" s="87" t="e">
        <f>IF(AJ66&lt;&gt;"",IF(#REF!="بله",V66*(LOOKUP(#REF!,Rates!$O$2:$O$9,Rates!$L$2:$L$9)/100),V66*(LOOKUP(#REF!,Rates!$O$2:$O$9,Rates!$L$2:$L$9)/100)),0)</f>
        <v>#REF!</v>
      </c>
      <c r="V66" s="88" t="e">
        <f>IF(AND(AJ66&lt;&gt;"",AJ66&lt;=Rates!$Z$8,#REF!="بله"),AH66*(LOOKUP(AJ66,Rates!$U$2:$U$108,Rates!#REF!)),IF(AND(AK66&lt;&gt;"",AK66&lt;=Rates!$Z$8,#REF!="خیر"),AH66*(LOOKUP(AK66,Rates!$U$2:$U$108,Rates!#REF!)),0)*(1-#REF!))</f>
        <v>#REF!</v>
      </c>
      <c r="W66" s="88" t="e">
        <f>IF(AJ66&lt;&gt;"",X66*LOOKUP(#REF!,Rates!$O$2:$O$9,Rates!$M$2:$M$9)/100,0)</f>
        <v>#REF!</v>
      </c>
      <c r="X66" s="88" t="e">
        <f>IF(AJ66&lt;=Rates!$Z$4,0.0008*AF66*#REF!,0)</f>
        <v>#REF!</v>
      </c>
      <c r="Y66" s="88" t="e">
        <f>IF(AJ66&lt;&gt;"",Z66*(LOOKUP(#REF!,Rates!$O$2:$O$9,Rates!$N$2:$N$9/100)),0)</f>
        <v>#REF!</v>
      </c>
      <c r="Z66" s="87" t="e">
        <f>IF(AND(AJ66&lt;=(Rates!$Z$3),AD66&lt;&gt;""),(1-#REF!)*0.0008*AF66*#REF!,0)</f>
        <v>#REF!</v>
      </c>
      <c r="AA66" s="87" t="e">
        <f>IF(AJ66&lt;=60,(LOOKUP(AJ66,Rates!$U$2:$U$108,Rates!#REF!))*AC66/1000000*(1-#REF!),0)</f>
        <v>#REF!</v>
      </c>
      <c r="AB66" s="84" t="e">
        <f>IF(AJ66&lt;&gt;"",(AF66*LOOKUP(AJ66,Rates!$U$2:$U$108,Rates!$T$2:$T$108))/SQRT(1+IF(AL66&lt;=10,Rates!$Z$5,Rates!$Z$6)),"")</f>
        <v>#REF!</v>
      </c>
      <c r="AC66" s="89" t="e">
        <f>IF(AND(AJ66&lt;&gt;"",AJ66&lt;=Rates!$Z$2),MIN(0.5*AF66,300000000,AC65*(1+#REF!)),"")</f>
        <v>#REF!</v>
      </c>
      <c r="AD66" s="89" t="e">
        <f>IF(AND(AJ66&lt;&gt;"",AJ66&lt;=60),AF66*#REF!,"")</f>
        <v>#REF!</v>
      </c>
      <c r="AE66" s="109" t="e">
        <f>IF(AND(AJ66&lt;&gt;"",AJ66&lt;=70),AF66*(1+#REF!),"")</f>
        <v>#REF!</v>
      </c>
      <c r="AF66" s="109" t="e">
        <f>IF(AJ66&lt;&gt;"",AF65*(1+#REF!),"")</f>
        <v>#REF!</v>
      </c>
      <c r="AG66" s="92" t="e">
        <f t="shared" si="6"/>
        <v>#REF!</v>
      </c>
      <c r="AH66" s="83" t="e">
        <f>IF(AJ66&lt;&gt;"",AI66*Rates!$Z$9,"")</f>
        <v>#REF!</v>
      </c>
      <c r="AI66" s="92" t="e">
        <f>IF(AJ66&lt;&gt;"",AI65*(1+#REF!),"")</f>
        <v>#REF!</v>
      </c>
      <c r="AJ66" s="98" t="e">
        <f>IF(AL66&lt;&gt;"",#REF!+AL66-1,"")</f>
        <v>#REF!</v>
      </c>
      <c r="AK66" s="107" t="e">
        <f>IF(AL66&lt;&gt;"",#REF!+AL66-1,"")</f>
        <v>#REF!</v>
      </c>
      <c r="AL66" s="110" t="e">
        <f>IF(AL65&lt;&gt;"",IF(AL65+1&lt;=#REF!,AL65+1,""),"")</f>
        <v>#REF!</v>
      </c>
    </row>
    <row r="67" spans="1:38" ht="17.25" x14ac:dyDescent="0.25">
      <c r="A67" s="84" t="e">
        <f>IF(AJ67&lt;&gt;"",D67+D67*(IF(AL67&gt;4,0.1,LOOKUP(#REF!,Rates!$D$2:$D$4,Rates!$C$2:$C$4))+0.85*(#REF!-(IF(AL67&gt;4,0.1,LOOKUP(#REF!,Rates!$D$2:$D$4,Rates!$C$2:$C$4)))))*LOOKUP(#REF!,Rates!$I$2:$I$7,Rates!$G$2:$G$7)+A66*(1+IF(AL67&gt;4,0.1,LOOKUP(#REF!,Rates!$D$2:$D$4,Rates!$C$2:$C$4))+0.85*(#REF!-IF(AL67&gt;4,0.1,LOOKUP(#REF!,Rates!$D$2:$D$4,Rates!$C$2:$C$4)))),"")</f>
        <v>#REF!</v>
      </c>
      <c r="B67" s="84" t="e">
        <f>IF(AJ67&lt;&gt;"",IF(AL67&gt;=8,C67,C67*LOOKUP(AL67,Rates!$AH$2:$AH$8,Rates!$AG$2:$AG$8)),"")</f>
        <v>#REF!</v>
      </c>
      <c r="C67" s="84" t="e">
        <f>IF(AJ67&lt;&gt;"",D67*(1+IF(AL67&gt;4,0.1,LOOKUP(#REF!,Rates!$D$2:$D$5,Rates!$B$2:$B$5))*LOOKUP(#REF!,Rates!$I$2:$I$7,Rates!$G$2:$G$7))+C66*(1+IF(AL67&gt;4,0.1,LOOKUP(#REF!,Rates!$D$2:$D$5,Rates!$B$2:$B$5))),"")</f>
        <v>#REF!</v>
      </c>
      <c r="D67" s="84" t="e">
        <f>IF(AJ67&lt;&gt;"",AI67-(H67+G67+F67+E67+P67+Q67)+IF(#REF!&gt;0,IF(AND(AL67&lt;=#REF!,AL67&gt;=#REF!),#REF!,0),0),"")</f>
        <v>#REF!</v>
      </c>
      <c r="E67" s="84" t="e">
        <f>IF(AJ67&lt;&gt;"",(LOOKUP(#REF!,Rates!$AE$2:$AE$4,Rates!$AD$2:$AD$4))*(H67+P67+Q67),"")</f>
        <v>#REF!</v>
      </c>
      <c r="F67" s="84" t="e">
        <f>IF(AJ67&lt;&gt;"",(LOOKUP(#REF!,Rates!$AE$2:$AE$4,Rates!$AB$2:$AB$4))*(H67+P67+Q67),"")</f>
        <v>#REF!</v>
      </c>
      <c r="G67" s="84" t="e">
        <f>IF(AJ67&lt;&gt;"",(LOOKUP(#REF!,Rates!$AE$2:$AE$4,Rates!$AC$2:$AC$4))*(H67+P67+Q67),"")</f>
        <v>#REF!</v>
      </c>
      <c r="H67" s="84" t="e">
        <f t="shared" ref="H67:H71" si="10">IF(AJ67&lt;&gt;"",I67+J67+AB67,"")</f>
        <v>#REF!</v>
      </c>
      <c r="I67" s="84" t="e">
        <f>IF(AJ67&lt;&gt;"",LOOKUP(#REF!,Rates!$I$2:$I$7,Rates!$H$2:$H$7)*(J67+P67+Q67+AB67),"")</f>
        <v>#REF!</v>
      </c>
      <c r="J67" s="96" t="e">
        <f t="shared" si="9"/>
        <v>#REF!</v>
      </c>
      <c r="K67" s="96" t="e">
        <f t="shared" si="7"/>
        <v>#REF!</v>
      </c>
      <c r="L67" s="96" t="e">
        <f t="shared" si="8"/>
        <v>#REF!</v>
      </c>
      <c r="M67" s="96" t="e">
        <f>IF(#REF!&lt;&gt;"",(1-#REF!)*IF(MIN(30/1000*$AF$2,0.75*#REF!)=30/1000*AF66,30/1000*(AF67-AF66),0.75*(#REF!-#REF!)),"")</f>
        <v>#REF!</v>
      </c>
      <c r="N67" s="96">
        <v>0</v>
      </c>
      <c r="O67" s="96" t="e">
        <f>IF(AJ67&lt;&gt;"",0.07*AI67*(1-#REF!),0)</f>
        <v>#REF!</v>
      </c>
      <c r="P67" s="87" t="e">
        <f t="shared" si="2"/>
        <v>#REF!</v>
      </c>
      <c r="Q67" s="87" t="e">
        <f t="shared" si="3"/>
        <v>#REF!</v>
      </c>
      <c r="R67" s="87" t="e">
        <f>IF(AJ67&lt;&gt;"",(AB67+AA67+V67+T67)*#REF!,0)</f>
        <v>#REF!</v>
      </c>
      <c r="S67" s="87" t="e">
        <f>IF(AJ67&lt;&gt;"",T67*(LOOKUP(#REF!,Rates!$O$2:$O$9,Rates!$L$2:$L$9)/100),0)</f>
        <v>#REF!</v>
      </c>
      <c r="T67" s="87" t="e">
        <f>IF(AJ67&lt;&gt;"",IF(#REF!="بله",V67*Rates!$Z$7,0),0)</f>
        <v>#REF!</v>
      </c>
      <c r="U67" s="87" t="e">
        <f>IF(AJ67&lt;&gt;"",IF(#REF!="بله",V67*(LOOKUP(#REF!,Rates!$O$2:$O$9,Rates!$L$2:$L$9)/100),V67*(LOOKUP(#REF!,Rates!$O$2:$O$9,Rates!$L$2:$L$9)/100)),0)</f>
        <v>#REF!</v>
      </c>
      <c r="V67" s="88" t="e">
        <f>IF(AND(AJ67&lt;&gt;"",AJ67&lt;=Rates!$Z$8,#REF!="بله"),AH67*(LOOKUP(AJ67,Rates!$U$2:$U$108,Rates!#REF!)),IF(AND(AK67&lt;&gt;"",AK67&lt;=Rates!$Z$8,#REF!="خیر"),AH67*(LOOKUP(AK67,Rates!$U$2:$U$108,Rates!#REF!)),0)*(1-#REF!))</f>
        <v>#REF!</v>
      </c>
      <c r="W67" s="88" t="e">
        <f>IF(AJ67&lt;&gt;"",X67*LOOKUP(#REF!,Rates!$O$2:$O$9,Rates!$M$2:$M$9)/100,0)</f>
        <v>#REF!</v>
      </c>
      <c r="X67" s="88" t="e">
        <f>IF(AJ67&lt;=Rates!$Z$4,0.0008*AF67*#REF!,0)</f>
        <v>#REF!</v>
      </c>
      <c r="Y67" s="88" t="e">
        <f>IF(AJ67&lt;&gt;"",Z67*(LOOKUP(#REF!,Rates!$O$2:$O$9,Rates!$N$2:$N$9/100)),0)</f>
        <v>#REF!</v>
      </c>
      <c r="Z67" s="87" t="e">
        <f>IF(AND(AJ67&lt;=(Rates!$Z$3),AD67&lt;&gt;""),(1-#REF!)*0.0008*AF67*#REF!,0)</f>
        <v>#REF!</v>
      </c>
      <c r="AA67" s="87" t="e">
        <f>IF(AJ67&lt;=60,(LOOKUP(AJ67,Rates!$U$2:$U$108,Rates!#REF!))*AC67/1000000*(1-#REF!),0)</f>
        <v>#REF!</v>
      </c>
      <c r="AB67" s="84" t="e">
        <f>IF(AJ67&lt;&gt;"",(AF67*LOOKUP(AJ67,Rates!$U$2:$U$108,Rates!$T$2:$T$108))/SQRT(1+IF(AL67&lt;=10,Rates!$Z$5,Rates!$Z$6)),"")</f>
        <v>#REF!</v>
      </c>
      <c r="AC67" s="89" t="e">
        <f>IF(AND(AJ67&lt;&gt;"",AJ67&lt;=Rates!$Z$2),MIN(0.5*AF67,300000000,AC66*(1+#REF!)),"")</f>
        <v>#REF!</v>
      </c>
      <c r="AD67" s="89" t="e">
        <f>IF(AND(AJ67&lt;&gt;"",AJ67&lt;=60),AF67*#REF!,"")</f>
        <v>#REF!</v>
      </c>
      <c r="AE67" s="109" t="e">
        <f>IF(AND(AJ67&lt;&gt;"",AJ67&lt;=70),AF67*(1+#REF!),"")</f>
        <v>#REF!</v>
      </c>
      <c r="AF67" s="109" t="e">
        <f>IF(AJ67&lt;&gt;"",AF66*(1+#REF!),"")</f>
        <v>#REF!</v>
      </c>
      <c r="AG67" s="92" t="e">
        <f t="shared" si="6"/>
        <v>#REF!</v>
      </c>
      <c r="AH67" s="83" t="e">
        <f>IF(AJ67&lt;&gt;"",AI67*Rates!$Z$9,"")</f>
        <v>#REF!</v>
      </c>
      <c r="AI67" s="92" t="e">
        <f>IF(AJ67&lt;&gt;"",AI66*(1+#REF!),"")</f>
        <v>#REF!</v>
      </c>
      <c r="AJ67" s="98" t="e">
        <f>IF(AL67&lt;&gt;"",#REF!+AL67-1,"")</f>
        <v>#REF!</v>
      </c>
      <c r="AK67" s="107" t="e">
        <f>IF(AL67&lt;&gt;"",#REF!+AL67-1,"")</f>
        <v>#REF!</v>
      </c>
      <c r="AL67" s="110" t="e">
        <f>IF(AL66&lt;&gt;"",IF(AL66+1&lt;=#REF!,AL66+1,""),"")</f>
        <v>#REF!</v>
      </c>
    </row>
    <row r="68" spans="1:38" ht="17.25" x14ac:dyDescent="0.25">
      <c r="A68" s="84" t="e">
        <f>IF(AJ68&lt;&gt;"",D68+D68*(IF(AL68&gt;4,0.1,LOOKUP(#REF!,Rates!$D$2:$D$4,Rates!$C$2:$C$4))+0.85*(#REF!-(IF(AL68&gt;4,0.1,LOOKUP(#REF!,Rates!$D$2:$D$4,Rates!$C$2:$C$4)))))*LOOKUP(#REF!,Rates!$I$2:$I$7,Rates!$G$2:$G$7)+A67*(1+IF(AL68&gt;4,0.1,LOOKUP(#REF!,Rates!$D$2:$D$4,Rates!$C$2:$C$4))+0.85*(#REF!-IF(AL68&gt;4,0.1,LOOKUP(#REF!,Rates!$D$2:$D$4,Rates!$C$2:$C$4)))),"")</f>
        <v>#REF!</v>
      </c>
      <c r="B68" s="84" t="e">
        <f>IF(AJ68&lt;&gt;"",IF(AL68&gt;=8,C68,C68*LOOKUP(AL68,Rates!$AH$2:$AH$8,Rates!$AG$2:$AG$8)),"")</f>
        <v>#REF!</v>
      </c>
      <c r="C68" s="84" t="e">
        <f>IF(AJ68&lt;&gt;"",D68*(1+IF(AL68&gt;4,0.1,LOOKUP(#REF!,Rates!$D$2:$D$5,Rates!$B$2:$B$5))*LOOKUP(#REF!,Rates!$I$2:$I$7,Rates!$G$2:$G$7))+C67*(1+IF(AL68&gt;4,0.1,LOOKUP(#REF!,Rates!$D$2:$D$5,Rates!$B$2:$B$5))),"")</f>
        <v>#REF!</v>
      </c>
      <c r="D68" s="84" t="e">
        <f>IF(AJ68&lt;&gt;"",AI68-(H68+G68+F68+E68+P68+Q68)+IF(#REF!&gt;0,IF(AND(AL68&lt;=#REF!,AL68&gt;=#REF!),#REF!,0),0),"")</f>
        <v>#REF!</v>
      </c>
      <c r="E68" s="84" t="e">
        <f>IF(AJ68&lt;&gt;"",(LOOKUP(#REF!,Rates!$AE$2:$AE$4,Rates!$AD$2:$AD$4))*(H68+P68+Q68),"")</f>
        <v>#REF!</v>
      </c>
      <c r="F68" s="84" t="e">
        <f>IF(AJ68&lt;&gt;"",(LOOKUP(#REF!,Rates!$AE$2:$AE$4,Rates!$AB$2:$AB$4))*(H68+P68+Q68),"")</f>
        <v>#REF!</v>
      </c>
      <c r="G68" s="84" t="e">
        <f>IF(AJ68&lt;&gt;"",(LOOKUP(#REF!,Rates!$AE$2:$AE$4,Rates!$AC$2:$AC$4))*(H68+P68+Q68),"")</f>
        <v>#REF!</v>
      </c>
      <c r="H68" s="84" t="e">
        <f t="shared" si="10"/>
        <v>#REF!</v>
      </c>
      <c r="I68" s="84" t="e">
        <f>IF(AJ68&lt;&gt;"",LOOKUP(#REF!,Rates!$I$2:$I$7,Rates!$H$2:$H$7)*(J68+P68+Q68+AB68),"")</f>
        <v>#REF!</v>
      </c>
      <c r="J68" s="96" t="e">
        <f t="shared" si="9"/>
        <v>#REF!</v>
      </c>
      <c r="K68" s="96" t="e">
        <f t="shared" si="7"/>
        <v>#REF!</v>
      </c>
      <c r="L68" s="96" t="e">
        <f t="shared" si="8"/>
        <v>#REF!</v>
      </c>
      <c r="M68" s="96" t="e">
        <f>IF(#REF!&lt;&gt;"",(1-#REF!)*IF(MIN(30/1000*$AF$2,0.75*#REF!)=30/1000*AF67,30/1000*(AF68-AF67),0.75*(#REF!-#REF!)),"")</f>
        <v>#REF!</v>
      </c>
      <c r="N68" s="96">
        <v>0</v>
      </c>
      <c r="O68" s="96" t="e">
        <f>IF(AJ68&lt;&gt;"",0.07*AI68*(1-#REF!),0)</f>
        <v>#REF!</v>
      </c>
      <c r="P68" s="87" t="e">
        <f t="shared" ref="P68:P71" si="11">IF(AJ68&lt;&gt;"",Y68+W68+U68+S68+R68,0)</f>
        <v>#REF!</v>
      </c>
      <c r="Q68" s="87" t="e">
        <f t="shared" ref="Q68:Q71" si="12">IF(AJ68&lt;&gt;"",AA68+Z68+X68+V68+T68,0)</f>
        <v>#REF!</v>
      </c>
      <c r="R68" s="87" t="e">
        <f>IF(AJ68&lt;&gt;"",(AB68+AA68+V68+T68)*#REF!,0)</f>
        <v>#REF!</v>
      </c>
      <c r="S68" s="87" t="e">
        <f>IF(AJ68&lt;&gt;"",T68*(LOOKUP(#REF!,Rates!$O$2:$O$9,Rates!$L$2:$L$9)/100),0)</f>
        <v>#REF!</v>
      </c>
      <c r="T68" s="87" t="e">
        <f>IF(AJ68&lt;&gt;"",IF(#REF!="بله",V68*Rates!$Z$7,0),0)</f>
        <v>#REF!</v>
      </c>
      <c r="U68" s="87" t="e">
        <f>IF(AJ68&lt;&gt;"",IF(#REF!="بله",V68*(LOOKUP(#REF!,Rates!$O$2:$O$9,Rates!$L$2:$L$9)/100),V68*(LOOKUP(#REF!,Rates!$O$2:$O$9,Rates!$L$2:$L$9)/100)),0)</f>
        <v>#REF!</v>
      </c>
      <c r="V68" s="88" t="e">
        <f>IF(AND(AJ68&lt;&gt;"",AJ68&lt;=Rates!$Z$8,#REF!="بله"),AH68*(LOOKUP(AJ68,Rates!$U$2:$U$108,Rates!#REF!)),IF(AND(AK68&lt;&gt;"",AK68&lt;=Rates!$Z$8,#REF!="خیر"),AH68*(LOOKUP(AK68,Rates!$U$2:$U$108,Rates!#REF!)),0)*(1-#REF!))</f>
        <v>#REF!</v>
      </c>
      <c r="W68" s="88" t="e">
        <f>IF(AJ68&lt;&gt;"",X68*LOOKUP(#REF!,Rates!$O$2:$O$9,Rates!$M$2:$M$9)/100,0)</f>
        <v>#REF!</v>
      </c>
      <c r="X68" s="88" t="e">
        <f>IF(AJ68&lt;=Rates!$Z$4,0.0008*AF68*#REF!,0)</f>
        <v>#REF!</v>
      </c>
      <c r="Y68" s="88" t="e">
        <f>IF(AJ68&lt;&gt;"",Z68*(LOOKUP(#REF!,Rates!$O$2:$O$9,Rates!$N$2:$N$9/100)),0)</f>
        <v>#REF!</v>
      </c>
      <c r="Z68" s="87" t="e">
        <f>IF(AND(AJ68&lt;=(Rates!$Z$3),AD68&lt;&gt;""),(1-#REF!)*0.0008*AF68*#REF!,0)</f>
        <v>#REF!</v>
      </c>
      <c r="AA68" s="87" t="e">
        <f>IF(AJ68&lt;=60,(LOOKUP(AJ68,Rates!$U$2:$U$108,Rates!#REF!))*AC68/1000000*(1-#REF!),0)</f>
        <v>#REF!</v>
      </c>
      <c r="AB68" s="84" t="e">
        <f>IF(AJ68&lt;&gt;"",(AF68*LOOKUP(AJ68,Rates!$U$2:$U$108,Rates!$T$2:$T$108))/SQRT(1+IF(AL68&lt;=10,Rates!$Z$5,Rates!$Z$6)),"")</f>
        <v>#REF!</v>
      </c>
      <c r="AC68" s="89" t="e">
        <f>IF(AND(AJ68&lt;&gt;"",AJ68&lt;=Rates!$Z$2),MIN(0.5*AF68,300000000,AC67*(1+#REF!)),"")</f>
        <v>#REF!</v>
      </c>
      <c r="AD68" s="89" t="e">
        <f>IF(AND(AJ68&lt;&gt;"",AJ68&lt;=60),AF68*#REF!,"")</f>
        <v>#REF!</v>
      </c>
      <c r="AE68" s="109" t="e">
        <f>IF(AND(AJ68&lt;&gt;"",AJ68&lt;=70),AF68*(1+#REF!),"")</f>
        <v>#REF!</v>
      </c>
      <c r="AF68" s="109" t="e">
        <f>IF(AJ68&lt;&gt;"",AF67*(1+#REF!),"")</f>
        <v>#REF!</v>
      </c>
      <c r="AG68" s="92" t="e">
        <f t="shared" si="6"/>
        <v>#REF!</v>
      </c>
      <c r="AH68" s="83" t="e">
        <f>IF(AJ68&lt;&gt;"",AI68*Rates!$Z$9,"")</f>
        <v>#REF!</v>
      </c>
      <c r="AI68" s="92" t="e">
        <f>IF(AJ68&lt;&gt;"",AI67*(1+#REF!),"")</f>
        <v>#REF!</v>
      </c>
      <c r="AJ68" s="98" t="e">
        <f>IF(AL68&lt;&gt;"",#REF!+AL68-1,"")</f>
        <v>#REF!</v>
      </c>
      <c r="AK68" s="107" t="e">
        <f>IF(AL68&lt;&gt;"",#REF!+AL68-1,"")</f>
        <v>#REF!</v>
      </c>
      <c r="AL68" s="110" t="e">
        <f>IF(AL67&lt;&gt;"",IF(AL67+1&lt;=#REF!,AL67+1,""),"")</f>
        <v>#REF!</v>
      </c>
    </row>
    <row r="69" spans="1:38" ht="17.25" x14ac:dyDescent="0.25">
      <c r="A69" s="84" t="e">
        <f>IF(AJ69&lt;&gt;"",D69+D69*(IF(AL69&gt;4,0.1,LOOKUP(#REF!,Rates!$D$2:$D$4,Rates!$C$2:$C$4))+0.85*(#REF!-(IF(AL69&gt;4,0.1,LOOKUP(#REF!,Rates!$D$2:$D$4,Rates!$C$2:$C$4)))))*LOOKUP(#REF!,Rates!$I$2:$I$7,Rates!$G$2:$G$7)+A68*(1+IF(AL69&gt;4,0.1,LOOKUP(#REF!,Rates!$D$2:$D$4,Rates!$C$2:$C$4))+0.85*(#REF!-IF(AL69&gt;4,0.1,LOOKUP(#REF!,Rates!$D$2:$D$4,Rates!$C$2:$C$4)))),"")</f>
        <v>#REF!</v>
      </c>
      <c r="B69" s="84" t="e">
        <f>IF(AJ69&lt;&gt;"",IF(AL69&gt;=8,C69,C69*LOOKUP(AL69,Rates!$AH$2:$AH$8,Rates!$AG$2:$AG$8)),"")</f>
        <v>#REF!</v>
      </c>
      <c r="C69" s="84" t="e">
        <f>IF(AJ69&lt;&gt;"",D69*(1+IF(AL69&gt;4,0.1,LOOKUP(#REF!,Rates!$D$2:$D$5,Rates!$B$2:$B$5))*LOOKUP(#REF!,Rates!$I$2:$I$7,Rates!$G$2:$G$7))+C68*(1+IF(AL69&gt;4,0.1,LOOKUP(#REF!,Rates!$D$2:$D$5,Rates!$B$2:$B$5))),"")</f>
        <v>#REF!</v>
      </c>
      <c r="D69" s="84" t="e">
        <f>IF(AJ69&lt;&gt;"",AI69-(H69+G69+F69+E69+P69+Q69)+IF(#REF!&gt;0,IF(AND(AL69&lt;=#REF!,AL69&gt;=#REF!),#REF!,0),0),"")</f>
        <v>#REF!</v>
      </c>
      <c r="E69" s="84" t="e">
        <f>IF(AJ69&lt;&gt;"",(LOOKUP(#REF!,Rates!$AE$2:$AE$4,Rates!$AD$2:$AD$4))*(H69+P69+Q69),"")</f>
        <v>#REF!</v>
      </c>
      <c r="F69" s="84" t="e">
        <f>IF(AJ69&lt;&gt;"",(LOOKUP(#REF!,Rates!$AE$2:$AE$4,Rates!$AB$2:$AB$4))*(H69+P69+Q69),"")</f>
        <v>#REF!</v>
      </c>
      <c r="G69" s="84" t="e">
        <f>IF(AJ69&lt;&gt;"",(LOOKUP(#REF!,Rates!$AE$2:$AE$4,Rates!$AC$2:$AC$4))*(H69+P69+Q69),"")</f>
        <v>#REF!</v>
      </c>
      <c r="H69" s="84" t="e">
        <f t="shared" si="10"/>
        <v>#REF!</v>
      </c>
      <c r="I69" s="84" t="e">
        <f>IF(AJ69&lt;&gt;"",LOOKUP(#REF!,Rates!$I$2:$I$7,Rates!$H$2:$H$7)*(J69+P69+Q69+AB69),"")</f>
        <v>#REF!</v>
      </c>
      <c r="J69" s="96" t="e">
        <f t="shared" si="9"/>
        <v>#REF!</v>
      </c>
      <c r="K69" s="96" t="e">
        <f t="shared" si="7"/>
        <v>#REF!</v>
      </c>
      <c r="L69" s="96" t="e">
        <f t="shared" si="8"/>
        <v>#REF!</v>
      </c>
      <c r="M69" s="96" t="e">
        <f>IF(#REF!&lt;&gt;"",(1-#REF!)*IF(MIN(30/1000*$AF$2,0.75*#REF!)=30/1000*AF68,30/1000*(AF69-AF68),0.75*(#REF!-#REF!)),"")</f>
        <v>#REF!</v>
      </c>
      <c r="N69" s="96">
        <v>0</v>
      </c>
      <c r="O69" s="96" t="e">
        <f>IF(AJ69&lt;&gt;"",0.07*AI69*(1-#REF!),0)</f>
        <v>#REF!</v>
      </c>
      <c r="P69" s="87" t="e">
        <f t="shared" si="11"/>
        <v>#REF!</v>
      </c>
      <c r="Q69" s="87" t="e">
        <f t="shared" si="12"/>
        <v>#REF!</v>
      </c>
      <c r="R69" s="87" t="e">
        <f>IF(AJ69&lt;&gt;"",(AB69+AA69+V69+T69)*#REF!,0)</f>
        <v>#REF!</v>
      </c>
      <c r="S69" s="87" t="e">
        <f>IF(AJ69&lt;&gt;"",T69*(LOOKUP(#REF!,Rates!$O$2:$O$9,Rates!$L$2:$L$9)/100),0)</f>
        <v>#REF!</v>
      </c>
      <c r="T69" s="87" t="e">
        <f>IF(AJ69&lt;&gt;"",IF(#REF!="بله",V69*Rates!$Z$7,0),0)</f>
        <v>#REF!</v>
      </c>
      <c r="U69" s="87" t="e">
        <f>IF(AJ69&lt;&gt;"",IF(#REF!="بله",V69*(LOOKUP(#REF!,Rates!$O$2:$O$9,Rates!$L$2:$L$9)/100),V69*(LOOKUP(#REF!,Rates!$O$2:$O$9,Rates!$L$2:$L$9)/100)),0)</f>
        <v>#REF!</v>
      </c>
      <c r="V69" s="88" t="e">
        <f>IF(AND(AJ69&lt;&gt;"",AJ69&lt;=Rates!$Z$8,#REF!="بله"),AH69*(LOOKUP(AJ69,Rates!$U$2:$U$108,Rates!#REF!)),IF(AND(AK69&lt;&gt;"",AK69&lt;=Rates!$Z$8,#REF!="خیر"),AH69*(LOOKUP(AK69,Rates!$U$2:$U$108,Rates!#REF!)),0)*(1-#REF!))</f>
        <v>#REF!</v>
      </c>
      <c r="W69" s="88" t="e">
        <f>IF(AJ69&lt;&gt;"",X69*LOOKUP(#REF!,Rates!$O$2:$O$9,Rates!$M$2:$M$9)/100,0)</f>
        <v>#REF!</v>
      </c>
      <c r="X69" s="88" t="e">
        <f>IF(AJ69&lt;=Rates!$Z$4,0.0008*AF69*#REF!,0)</f>
        <v>#REF!</v>
      </c>
      <c r="Y69" s="88" t="e">
        <f>IF(AJ69&lt;&gt;"",Z69*(LOOKUP(#REF!,Rates!$O$2:$O$9,Rates!$N$2:$N$9/100)),0)</f>
        <v>#REF!</v>
      </c>
      <c r="Z69" s="87" t="e">
        <f>IF(AND(AJ69&lt;=(Rates!$Z$3),AD69&lt;&gt;""),(1-#REF!)*0.0008*AF69*#REF!,0)</f>
        <v>#REF!</v>
      </c>
      <c r="AA69" s="87" t="e">
        <f>IF(AJ69&lt;=60,(LOOKUP(AJ69,Rates!$U$2:$U$108,Rates!#REF!))*AC69/1000000*(1-#REF!),0)</f>
        <v>#REF!</v>
      </c>
      <c r="AB69" s="84" t="e">
        <f>IF(AJ69&lt;&gt;"",(AF69*LOOKUP(AJ69,Rates!$U$2:$U$108,Rates!$T$2:$T$108))/SQRT(1+IF(AL69&lt;=10,Rates!$Z$5,Rates!$Z$6)),"")</f>
        <v>#REF!</v>
      </c>
      <c r="AC69" s="89" t="e">
        <f>IF(AND(AJ69&lt;&gt;"",AJ69&lt;=Rates!$Z$2),MIN(0.5*AF69,300000000,AC68*(1+#REF!)),"")</f>
        <v>#REF!</v>
      </c>
      <c r="AD69" s="89" t="e">
        <f>IF(AND(AJ69&lt;&gt;"",AJ69&lt;=60),AF69*#REF!,"")</f>
        <v>#REF!</v>
      </c>
      <c r="AE69" s="109" t="e">
        <f>IF(AND(AJ69&lt;&gt;"",AJ69&lt;=70),AF69*(1+#REF!),"")</f>
        <v>#REF!</v>
      </c>
      <c r="AF69" s="109" t="e">
        <f>IF(AJ69&lt;&gt;"",AF68*(1+#REF!),"")</f>
        <v>#REF!</v>
      </c>
      <c r="AG69" s="92" t="e">
        <f t="shared" si="6"/>
        <v>#REF!</v>
      </c>
      <c r="AH69" s="83" t="e">
        <f>IF(AJ69&lt;&gt;"",AI69*Rates!$Z$9,"")</f>
        <v>#REF!</v>
      </c>
      <c r="AI69" s="92" t="e">
        <f>IF(AJ69&lt;&gt;"",AI68*(1+#REF!),"")</f>
        <v>#REF!</v>
      </c>
      <c r="AJ69" s="98" t="e">
        <f>IF(AL69&lt;&gt;"",#REF!+AL69-1,"")</f>
        <v>#REF!</v>
      </c>
      <c r="AK69" s="107" t="e">
        <f>IF(AL69&lt;&gt;"",#REF!+AL69-1,"")</f>
        <v>#REF!</v>
      </c>
      <c r="AL69" s="110" t="e">
        <f>IF(AL68&lt;&gt;"",IF(AL68+1&lt;=#REF!,AL68+1,""),"")</f>
        <v>#REF!</v>
      </c>
    </row>
    <row r="70" spans="1:38" ht="17.25" x14ac:dyDescent="0.25">
      <c r="A70" s="84" t="e">
        <f>IF(AJ70&lt;&gt;"",D70+D70*(IF(AL70&gt;4,0.1,LOOKUP(#REF!,Rates!$D$2:$D$4,Rates!$C$2:$C$4))+0.85*(#REF!-(IF(AL70&gt;4,0.1,LOOKUP(#REF!,Rates!$D$2:$D$4,Rates!$C$2:$C$4)))))*LOOKUP(#REF!,Rates!$I$2:$I$7,Rates!$G$2:$G$7)+A69*(1+IF(AL70&gt;4,0.1,LOOKUP(#REF!,Rates!$D$2:$D$4,Rates!$C$2:$C$4))+0.85*(#REF!-IF(AL70&gt;4,0.1,LOOKUP(#REF!,Rates!$D$2:$D$4,Rates!$C$2:$C$4)))),"")</f>
        <v>#REF!</v>
      </c>
      <c r="B70" s="84" t="e">
        <f>IF(AJ70&lt;&gt;"",IF(AL70&gt;=8,C70,C70*LOOKUP(AL70,Rates!$AH$2:$AH$8,Rates!$AG$2:$AG$8)),"")</f>
        <v>#REF!</v>
      </c>
      <c r="C70" s="84" t="e">
        <f>IF(AJ70&lt;&gt;"",D70*(1+IF(AL70&gt;4,0.1,LOOKUP(#REF!,Rates!$D$2:$D$5,Rates!$B$2:$B$5))*LOOKUP(#REF!,Rates!$I$2:$I$7,Rates!$G$2:$G$7))+C69*(1+IF(AL70&gt;4,0.1,LOOKUP(#REF!,Rates!$D$2:$D$5,Rates!$B$2:$B$5))),"")</f>
        <v>#REF!</v>
      </c>
      <c r="D70" s="84" t="e">
        <f>IF(AJ70&lt;&gt;"",AI70-(H70+G70+F70+E70+P70+Q70)+IF(#REF!&gt;0,IF(AND(AL70&lt;=#REF!,AL70&gt;=#REF!),#REF!,0),0),"")</f>
        <v>#REF!</v>
      </c>
      <c r="E70" s="84" t="e">
        <f>IF(AJ70&lt;&gt;"",(LOOKUP(#REF!,Rates!$AE$2:$AE$4,Rates!$AD$2:$AD$4))*(H70+P70+Q70),"")</f>
        <v>#REF!</v>
      </c>
      <c r="F70" s="84" t="e">
        <f>IF(AJ70&lt;&gt;"",(LOOKUP(#REF!,Rates!$AE$2:$AE$4,Rates!$AB$2:$AB$4))*(H70+P70+Q70),"")</f>
        <v>#REF!</v>
      </c>
      <c r="G70" s="84" t="e">
        <f>IF(AJ70&lt;&gt;"",(LOOKUP(#REF!,Rates!$AE$2:$AE$4,Rates!$AC$2:$AC$4))*(H70+P70+Q70),"")</f>
        <v>#REF!</v>
      </c>
      <c r="H70" s="84" t="e">
        <f t="shared" si="10"/>
        <v>#REF!</v>
      </c>
      <c r="I70" s="84" t="e">
        <f>IF(AJ70&lt;&gt;"",LOOKUP(#REF!,Rates!$I$2:$I$7,Rates!$H$2:$H$7)*(J70+P70+Q70+AB70),"")</f>
        <v>#REF!</v>
      </c>
      <c r="J70" s="96" t="e">
        <f t="shared" si="9"/>
        <v>#REF!</v>
      </c>
      <c r="K70" s="96" t="e">
        <f t="shared" si="7"/>
        <v>#REF!</v>
      </c>
      <c r="L70" s="96" t="e">
        <f t="shared" si="8"/>
        <v>#REF!</v>
      </c>
      <c r="M70" s="96" t="e">
        <f>IF(#REF!&lt;&gt;"",(1-#REF!)*IF(MIN(30/1000*$AF$2,0.75*#REF!)=30/1000*AF69,30/1000*(AF70-AF69),0.75*(#REF!-#REF!)),"")</f>
        <v>#REF!</v>
      </c>
      <c r="N70" s="96">
        <v>0</v>
      </c>
      <c r="O70" s="96" t="e">
        <f>IF(AJ70&lt;&gt;"",0.07*AI70*(1-#REF!),0)</f>
        <v>#REF!</v>
      </c>
      <c r="P70" s="87" t="e">
        <f t="shared" si="11"/>
        <v>#REF!</v>
      </c>
      <c r="Q70" s="87" t="e">
        <f t="shared" si="12"/>
        <v>#REF!</v>
      </c>
      <c r="R70" s="87" t="e">
        <f>IF(AJ70&lt;&gt;"",(AB70+AA70+V70+T70)*#REF!,0)</f>
        <v>#REF!</v>
      </c>
      <c r="S70" s="87" t="e">
        <f>IF(AJ70&lt;&gt;"",T70*(LOOKUP(#REF!,Rates!$O$2:$O$9,Rates!$L$2:$L$9)/100),0)</f>
        <v>#REF!</v>
      </c>
      <c r="T70" s="87" t="e">
        <f>IF(AJ70&lt;&gt;"",IF(#REF!="بله",V70*Rates!$Z$7,0),0)</f>
        <v>#REF!</v>
      </c>
      <c r="U70" s="87" t="e">
        <f>IF(AJ70&lt;&gt;"",IF(#REF!="بله",V70*(LOOKUP(#REF!,Rates!$O$2:$O$9,Rates!$L$2:$L$9)/100),V70*(LOOKUP(#REF!,Rates!$O$2:$O$9,Rates!$L$2:$L$9)/100)),0)</f>
        <v>#REF!</v>
      </c>
      <c r="V70" s="88" t="e">
        <f>IF(AND(AJ70&lt;&gt;"",AJ70&lt;=Rates!$Z$8,#REF!="بله"),AH70*(LOOKUP(AJ70,Rates!$U$2:$U$108,Rates!#REF!)),IF(AND(AK70&lt;&gt;"",AK70&lt;=Rates!$Z$8,#REF!="خیر"),AH70*(LOOKUP(AK70,Rates!$U$2:$U$108,Rates!#REF!)),0)*(1-#REF!))</f>
        <v>#REF!</v>
      </c>
      <c r="W70" s="88" t="e">
        <f>IF(AJ70&lt;&gt;"",X70*LOOKUP(#REF!,Rates!$O$2:$O$9,Rates!$M$2:$M$9)/100,0)</f>
        <v>#REF!</v>
      </c>
      <c r="X70" s="88" t="e">
        <f>IF(AJ70&lt;=Rates!$Z$4,0.0008*AF70*#REF!,0)</f>
        <v>#REF!</v>
      </c>
      <c r="Y70" s="88" t="e">
        <f>IF(AJ70&lt;&gt;"",Z70*(LOOKUP(#REF!,Rates!$O$2:$O$9,Rates!$N$2:$N$9/100)),0)</f>
        <v>#REF!</v>
      </c>
      <c r="Z70" s="87" t="e">
        <f>IF(AND(AJ70&lt;=(Rates!$Z$3),AD70&lt;&gt;""),(1-#REF!)*0.0008*AF70*#REF!,0)</f>
        <v>#REF!</v>
      </c>
      <c r="AA70" s="87" t="e">
        <f>IF(AJ70&lt;=60,(LOOKUP(AJ70,Rates!$U$2:$U$108,Rates!#REF!))*AC70/1000000*(1-#REF!),0)</f>
        <v>#REF!</v>
      </c>
      <c r="AB70" s="84" t="e">
        <f>IF(AJ70&lt;&gt;"",(AF70*LOOKUP(AJ70,Rates!$U$2:$U$108,Rates!$T$2:$T$108))/SQRT(1+IF(AL70&lt;=10,Rates!$Z$5,Rates!$Z$6)),"")</f>
        <v>#REF!</v>
      </c>
      <c r="AC70" s="89" t="e">
        <f>IF(AND(AJ70&lt;&gt;"",AJ70&lt;=Rates!$Z$2),MIN(0.5*AF70,300000000,AC69*(1+#REF!)),"")</f>
        <v>#REF!</v>
      </c>
      <c r="AD70" s="89" t="e">
        <f>IF(AND(AJ70&lt;&gt;"",AJ70&lt;=60),AF70*#REF!,"")</f>
        <v>#REF!</v>
      </c>
      <c r="AE70" s="109" t="e">
        <f>IF(AND(AJ70&lt;&gt;"",AJ70&lt;=70),AF70*(1+#REF!),"")</f>
        <v>#REF!</v>
      </c>
      <c r="AF70" s="109" t="e">
        <f>IF(AJ70&lt;&gt;"",AF69*(1+#REF!),"")</f>
        <v>#REF!</v>
      </c>
      <c r="AG70" s="92" t="e">
        <f t="shared" si="6"/>
        <v>#REF!</v>
      </c>
      <c r="AH70" s="83" t="e">
        <f>IF(AJ70&lt;&gt;"",AI70*Rates!$Z$9,"")</f>
        <v>#REF!</v>
      </c>
      <c r="AI70" s="92" t="e">
        <f>IF(AJ70&lt;&gt;"",AI69*(1+#REF!),"")</f>
        <v>#REF!</v>
      </c>
      <c r="AJ70" s="98" t="e">
        <f>IF(AL70&lt;&gt;"",#REF!+AL70-1,"")</f>
        <v>#REF!</v>
      </c>
      <c r="AK70" s="107" t="e">
        <f>IF(AL70&lt;&gt;"",#REF!+AL70-1,"")</f>
        <v>#REF!</v>
      </c>
      <c r="AL70" s="110" t="e">
        <f>IF(AL69&lt;&gt;"",IF(AL69+1&lt;=#REF!,AL69+1,""),"")</f>
        <v>#REF!</v>
      </c>
    </row>
    <row r="71" spans="1:38" ht="18" thickBot="1" x14ac:dyDescent="0.3">
      <c r="A71" s="84" t="e">
        <f>IF(AJ71&lt;&gt;"",D71+D71*(IF(AL71&gt;4,0.1,LOOKUP(#REF!,Rates!$D$2:$D$4,Rates!$C$2:$C$4))+0.85*(#REF!-(IF(AL71&gt;4,0.1,LOOKUP(#REF!,Rates!$D$2:$D$4,Rates!$C$2:$C$4)))))*LOOKUP(#REF!,Rates!$I$2:$I$7,Rates!$G$2:$G$7)+A70*(1+IF(AL71&gt;4,0.1,LOOKUP(#REF!,Rates!$D$2:$D$4,Rates!$C$2:$C$4))+0.85*(#REF!-IF(AL71&gt;4,0.1,LOOKUP(#REF!,Rates!$D$2:$D$4,Rates!$C$2:$C$4)))),"")</f>
        <v>#REF!</v>
      </c>
      <c r="B71" s="84" t="e">
        <f>IF(AJ71&lt;&gt;"",IF(AL71&gt;=8,C71,C71*LOOKUP(AL71,Rates!$AH$2:$AH$8,Rates!$AG$2:$AG$8)),"")</f>
        <v>#REF!</v>
      </c>
      <c r="C71" s="84" t="e">
        <f>IF(AJ71&lt;&gt;"",D71*(1+IF(AL71&gt;4,0.1,LOOKUP(#REF!,Rates!$D$2:$D$5,Rates!$B$2:$B$5))*LOOKUP(#REF!,Rates!$I$2:$I$7,Rates!$G$2:$G$7))+C70*(1+IF(AL71&gt;4,0.1,LOOKUP(#REF!,Rates!$D$2:$D$5,Rates!$B$2:$B$5))),"")</f>
        <v>#REF!</v>
      </c>
      <c r="D71" s="84" t="e">
        <f>IF(AJ71&lt;&gt;"",AI71-(H71+G71+F71+E71+P71+Q71)+IF(#REF!&gt;0,IF(AND(AL71&lt;=#REF!,AL71&gt;=#REF!),#REF!,0),0),"")</f>
        <v>#REF!</v>
      </c>
      <c r="E71" s="84" t="e">
        <f>IF(AJ71&lt;&gt;"",(LOOKUP(#REF!,Rates!$AE$2:$AE$4,Rates!$AD$2:$AD$4))*(H71+P71+Q71),"")</f>
        <v>#REF!</v>
      </c>
      <c r="F71" s="84" t="e">
        <f>IF(AJ71&lt;&gt;"",(LOOKUP(#REF!,Rates!$AE$2:$AE$4,Rates!$AB$2:$AB$4))*(H71+P71+Q71),"")</f>
        <v>#REF!</v>
      </c>
      <c r="G71" s="84" t="e">
        <f>IF(AJ71&lt;&gt;"",(LOOKUP(#REF!,Rates!$AE$2:$AE$4,Rates!$AC$2:$AC$4))*(H71+P71+Q71),"")</f>
        <v>#REF!</v>
      </c>
      <c r="H71" s="84" t="e">
        <f t="shared" si="10"/>
        <v>#REF!</v>
      </c>
      <c r="I71" s="84" t="e">
        <f>IF(AJ71&lt;&gt;"",LOOKUP(#REF!,Rates!$I$2:$I$7,Rates!$H$2:$H$7)*(J71+P71+Q71+AB71),"")</f>
        <v>#REF!</v>
      </c>
      <c r="J71" s="96" t="e">
        <f t="shared" si="9"/>
        <v>#REF!</v>
      </c>
      <c r="K71" s="96" t="e">
        <f t="shared" si="7"/>
        <v>#REF!</v>
      </c>
      <c r="L71" s="96" t="e">
        <f t="shared" si="8"/>
        <v>#REF!</v>
      </c>
      <c r="M71" s="101" t="e">
        <f>IF(#REF!&lt;&gt;"",(1-#REF!)*IF(MIN(30/1000*$AF$2,0.75*#REF!)=30/1000*AF70,30/1000*(AF71-AF70),0.75*(#REF!-#REF!)),"")</f>
        <v>#REF!</v>
      </c>
      <c r="N71" s="96">
        <v>0</v>
      </c>
      <c r="O71" s="96" t="e">
        <f>IF(AJ71&lt;&gt;"",0.07*AI71*(1-#REF!),0)</f>
        <v>#REF!</v>
      </c>
      <c r="P71" s="87" t="e">
        <f t="shared" si="11"/>
        <v>#REF!</v>
      </c>
      <c r="Q71" s="87" t="e">
        <f t="shared" si="12"/>
        <v>#REF!</v>
      </c>
      <c r="R71" s="87" t="e">
        <f>IF(AJ71&lt;&gt;"",(AB71+AA71+V71+T71)*#REF!,0)</f>
        <v>#REF!</v>
      </c>
      <c r="S71" s="87" t="e">
        <f>IF(AJ71&lt;&gt;"",T71*(LOOKUP(#REF!,Rates!$O$2:$O$9,Rates!$L$2:$L$9)/100),0)</f>
        <v>#REF!</v>
      </c>
      <c r="T71" s="87" t="e">
        <f>IF(AJ71&lt;&gt;"",IF(#REF!="بله",V71*Rates!$Z$7,0),0)</f>
        <v>#REF!</v>
      </c>
      <c r="U71" s="87" t="e">
        <f>IF(AJ71&lt;&gt;"",IF(#REF!="بله",V71*(LOOKUP(#REF!,Rates!$O$2:$O$9,Rates!$L$2:$L$9)/100),V71*(LOOKUP(#REF!,Rates!$O$2:$O$9,Rates!$L$2:$L$9)/100)),0)</f>
        <v>#REF!</v>
      </c>
      <c r="V71" s="88" t="e">
        <f>IF(AND(AJ71&lt;&gt;"",AJ71&lt;=Rates!$Z$8,#REF!="بله"),AH71*(LOOKUP(AJ71,Rates!$U$2:$U$108,Rates!#REF!)),IF(AND(AK71&lt;&gt;"",AK71&lt;=Rates!$Z$8,#REF!="خیر"),AH71*(LOOKUP(AK71,Rates!$U$2:$U$108,Rates!#REF!)),0)*(1-#REF!))</f>
        <v>#REF!</v>
      </c>
      <c r="W71" s="88" t="e">
        <f>IF(AJ71&lt;&gt;"",X71*LOOKUP(#REF!,Rates!$O$2:$O$9,Rates!$M$2:$M$9)/100,0)</f>
        <v>#REF!</v>
      </c>
      <c r="X71" s="88" t="e">
        <f>IF(AJ71&lt;=Rates!$Z$4,0.0008*AF71*#REF!,0)</f>
        <v>#REF!</v>
      </c>
      <c r="Y71" s="88" t="e">
        <f>IF(AJ71&lt;&gt;"",Z71*(LOOKUP(#REF!,Rates!$O$2:$O$9,Rates!$N$2:$N$9/100)),0)</f>
        <v>#REF!</v>
      </c>
      <c r="Z71" s="87" t="e">
        <f>IF(AND(AJ71&lt;=(Rates!$Z$3),AD71&lt;&gt;""),(1-#REF!)*0.0008*AF71*#REF!,0)</f>
        <v>#REF!</v>
      </c>
      <c r="AA71" s="87" t="e">
        <f>IF(AJ71&lt;=60,(LOOKUP(AJ71,Rates!$U$2:$U$108,Rates!#REF!))*AC71/1000000*(1-#REF!),0)</f>
        <v>#REF!</v>
      </c>
      <c r="AB71" s="84" t="e">
        <f>IF(AJ71&lt;&gt;"",(AF71*LOOKUP(AJ71,Rates!$U$2:$U$108,Rates!$T$2:$T$108))/SQRT(1+IF(AL71&lt;=10,Rates!$Z$5,Rates!$Z$6)),"")</f>
        <v>#REF!</v>
      </c>
      <c r="AC71" s="89" t="e">
        <f>IF(AND(AJ71&lt;&gt;"",AJ71&lt;=Rates!$Z$2),MIN(0.5*AF71,300000000,AC70*(1+#REF!)),"")</f>
        <v>#REF!</v>
      </c>
      <c r="AD71" s="89" t="e">
        <f>IF(AND(AJ71&lt;&gt;"",AJ71&lt;=60),AF71*#REF!,"")</f>
        <v>#REF!</v>
      </c>
      <c r="AE71" s="109" t="e">
        <f>IF(AND(AJ71&lt;&gt;"",AJ71&lt;=70),AF71*(1+#REF!),"")</f>
        <v>#REF!</v>
      </c>
      <c r="AF71" s="109" t="e">
        <f>IF(AJ71&lt;&gt;"",AF70*(1+#REF!),"")</f>
        <v>#REF!</v>
      </c>
      <c r="AG71" s="92" t="e">
        <f t="shared" si="6"/>
        <v>#REF!</v>
      </c>
      <c r="AH71" s="83" t="e">
        <f>IF(AJ71&lt;&gt;"",AI71*Rates!$Z$9,"")</f>
        <v>#REF!</v>
      </c>
      <c r="AI71" s="92" t="e">
        <f>IF(AJ71&lt;&gt;"",AI70*(1+#REF!),"")</f>
        <v>#REF!</v>
      </c>
      <c r="AJ71" s="98" t="e">
        <f>IF(AL71&lt;&gt;"",#REF!+AL71-1,"")</f>
        <v>#REF!</v>
      </c>
      <c r="AK71" s="107" t="e">
        <f>IF(AL71&lt;&gt;"",#REF!+AL71-1,"")</f>
        <v>#REF!</v>
      </c>
      <c r="AL71" s="110" t="e">
        <f>IF(AL70&lt;&gt;"",IF(AL70+1&lt;=#REF!,AL70+1,""),"")</f>
        <v>#REF!</v>
      </c>
    </row>
    <row r="78" spans="1:38" x14ac:dyDescent="0.25">
      <c r="A78" s="111"/>
      <c r="B78" s="111"/>
    </row>
    <row r="79" spans="1:38" x14ac:dyDescent="0.25">
      <c r="A79" s="111"/>
      <c r="B79" s="111"/>
    </row>
    <row r="80" spans="1:38" x14ac:dyDescent="0.25">
      <c r="A80" s="111"/>
      <c r="B80" s="111"/>
    </row>
    <row r="81" spans="1:2" x14ac:dyDescent="0.25">
      <c r="A81" s="111"/>
      <c r="B81" s="111"/>
    </row>
    <row r="82" spans="1:2" x14ac:dyDescent="0.25">
      <c r="A82" s="111"/>
      <c r="B82" s="111"/>
    </row>
    <row r="83" spans="1:2" x14ac:dyDescent="0.25">
      <c r="A83" s="111"/>
      <c r="B83" s="111"/>
    </row>
    <row r="84" spans="1:2" x14ac:dyDescent="0.25">
      <c r="A84" s="111"/>
      <c r="B84" s="111"/>
    </row>
    <row r="85" spans="1:2" x14ac:dyDescent="0.25">
      <c r="A85" s="111"/>
      <c r="B85" s="111"/>
    </row>
    <row r="86" spans="1:2" x14ac:dyDescent="0.25">
      <c r="A86" s="111"/>
      <c r="B86" s="111"/>
    </row>
    <row r="87" spans="1:2" x14ac:dyDescent="0.25">
      <c r="A87" s="111"/>
      <c r="B87" s="111"/>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108"/>
  <sheetViews>
    <sheetView topLeftCell="C1" zoomScale="130" zoomScaleNormal="130" workbookViewId="0">
      <selection activeCell="L13" sqref="L13"/>
    </sheetView>
  </sheetViews>
  <sheetFormatPr defaultColWidth="9.28515625" defaultRowHeight="15" x14ac:dyDescent="0.25"/>
  <cols>
    <col min="1" max="1" width="15.42578125" style="30" customWidth="1"/>
    <col min="2" max="2" width="12" style="112" customWidth="1"/>
    <col min="3" max="3" width="12.140625" style="112" customWidth="1"/>
    <col min="4" max="4" width="16.7109375" style="112" customWidth="1"/>
    <col min="5" max="5" width="15.85546875" style="112" customWidth="1"/>
    <col min="6" max="6" width="14.42578125" style="112" customWidth="1"/>
    <col min="7" max="8" width="10.7109375" style="112" customWidth="1"/>
    <col min="9" max="9" width="10.5703125" style="112" customWidth="1"/>
    <col min="10" max="10" width="12.7109375" style="112" customWidth="1"/>
    <col min="11" max="11" width="9.28515625" style="112" customWidth="1"/>
    <col min="12" max="12" width="10.7109375" style="112" customWidth="1"/>
    <col min="13" max="13" width="15.7109375" style="112" customWidth="1"/>
    <col min="14" max="14" width="13.28515625" style="112" customWidth="1"/>
    <col min="15" max="15" width="17.42578125" style="112" customWidth="1"/>
    <col min="16" max="17" width="7.140625" style="112" customWidth="1"/>
    <col min="18" max="19" width="36.85546875" style="112" customWidth="1"/>
    <col min="20" max="20" width="12" style="112" customWidth="1"/>
    <col min="21" max="21" width="4" style="112" customWidth="1"/>
    <col min="22" max="22" width="19.42578125" style="112" customWidth="1"/>
    <col min="23" max="23" width="17.5703125" style="112" customWidth="1"/>
    <col min="24" max="24" width="18.5703125" style="112" customWidth="1"/>
    <col min="25" max="25" width="13.42578125" style="112" customWidth="1"/>
    <col min="26" max="26" width="8.5703125" style="30" customWidth="1"/>
    <col min="27" max="27" width="38.140625" style="30" customWidth="1"/>
    <col min="28" max="28" width="18.140625" style="30" customWidth="1"/>
    <col min="29" max="29" width="18" style="30" customWidth="1"/>
    <col min="30" max="30" width="9.5703125" style="30" customWidth="1"/>
    <col min="31" max="31" width="13.140625" style="30" customWidth="1"/>
    <col min="32" max="33" width="9.28515625" style="30" customWidth="1"/>
    <col min="34" max="34" width="3.5703125" style="30" customWidth="1"/>
    <col min="35" max="35" width="9.28515625" style="30" customWidth="1"/>
    <col min="36" max="16384" width="9.28515625" style="30"/>
  </cols>
  <sheetData>
    <row r="1" spans="1:34" s="135" customFormat="1" ht="39.75" customHeight="1" x14ac:dyDescent="0.25">
      <c r="A1" s="141" t="s">
        <v>102</v>
      </c>
      <c r="B1" s="141" t="s">
        <v>103</v>
      </c>
      <c r="C1" s="141" t="s">
        <v>104</v>
      </c>
      <c r="D1" s="130" t="s">
        <v>21</v>
      </c>
      <c r="E1" s="130" t="s">
        <v>105</v>
      </c>
      <c r="F1" s="130" t="s">
        <v>74</v>
      </c>
      <c r="G1" s="130" t="s">
        <v>198</v>
      </c>
      <c r="H1" s="130" t="s">
        <v>159</v>
      </c>
      <c r="I1" s="130" t="s">
        <v>199</v>
      </c>
      <c r="J1" s="130" t="s">
        <v>200</v>
      </c>
      <c r="K1" s="131"/>
      <c r="L1" s="130" t="s">
        <v>201</v>
      </c>
      <c r="M1" s="130" t="s">
        <v>202</v>
      </c>
      <c r="N1" s="130" t="s">
        <v>106</v>
      </c>
      <c r="O1" s="130" t="s">
        <v>107</v>
      </c>
      <c r="P1" s="130" t="s">
        <v>108</v>
      </c>
      <c r="Q1" s="130" t="s">
        <v>203</v>
      </c>
      <c r="R1" s="132" t="s">
        <v>204</v>
      </c>
      <c r="S1" s="132" t="s">
        <v>109</v>
      </c>
      <c r="T1" s="133" t="s">
        <v>110</v>
      </c>
      <c r="U1" s="132" t="s">
        <v>111</v>
      </c>
      <c r="V1" s="137" t="s">
        <v>205</v>
      </c>
      <c r="W1" s="137" t="s">
        <v>206</v>
      </c>
      <c r="X1" s="137" t="s">
        <v>207</v>
      </c>
      <c r="Y1" s="132" t="s">
        <v>208</v>
      </c>
      <c r="Z1" s="134" t="s">
        <v>112</v>
      </c>
      <c r="AA1" s="134" t="s">
        <v>113</v>
      </c>
      <c r="AB1" s="134" t="s">
        <v>209</v>
      </c>
      <c r="AC1" s="134" t="s">
        <v>210</v>
      </c>
      <c r="AD1" s="134" t="s">
        <v>183</v>
      </c>
      <c r="AE1" s="138" t="s">
        <v>211</v>
      </c>
      <c r="AG1" s="134" t="s">
        <v>212</v>
      </c>
      <c r="AH1" s="134" t="s">
        <v>211</v>
      </c>
    </row>
    <row r="2" spans="1:34" ht="17.25" x14ac:dyDescent="0.25">
      <c r="A2" s="142">
        <v>0</v>
      </c>
      <c r="B2" s="142">
        <v>0</v>
      </c>
      <c r="C2" s="142">
        <v>0</v>
      </c>
      <c r="D2" s="115"/>
      <c r="E2" s="114"/>
      <c r="F2" s="114">
        <v>3</v>
      </c>
      <c r="G2" s="114">
        <v>0.66</v>
      </c>
      <c r="H2" s="114">
        <v>0.04</v>
      </c>
      <c r="I2" s="115" t="s">
        <v>213</v>
      </c>
      <c r="J2" s="115">
        <v>1</v>
      </c>
      <c r="L2" s="114">
        <v>200</v>
      </c>
      <c r="M2" s="114">
        <v>200</v>
      </c>
      <c r="N2" s="114">
        <v>200</v>
      </c>
      <c r="O2" s="115" t="s">
        <v>115</v>
      </c>
      <c r="P2" s="116">
        <v>7</v>
      </c>
      <c r="Q2" s="116" t="s">
        <v>11</v>
      </c>
      <c r="R2" s="117">
        <v>1.5</v>
      </c>
      <c r="S2" s="117">
        <v>100000</v>
      </c>
      <c r="T2" s="118">
        <v>1.7340000000000022E-2</v>
      </c>
      <c r="U2" s="113">
        <v>0</v>
      </c>
      <c r="V2" s="117">
        <v>296.14029670288971</v>
      </c>
      <c r="W2" s="117">
        <v>350.42169039538442</v>
      </c>
      <c r="X2" s="117">
        <v>424.69409760618174</v>
      </c>
      <c r="Y2" s="117">
        <v>450</v>
      </c>
      <c r="Z2" s="119">
        <v>60</v>
      </c>
      <c r="AA2" s="120" t="s">
        <v>214</v>
      </c>
      <c r="AB2" s="119">
        <v>0.03</v>
      </c>
      <c r="AC2" s="119">
        <v>0.05</v>
      </c>
      <c r="AD2" s="119">
        <v>0.01</v>
      </c>
      <c r="AE2" s="120">
        <v>1394</v>
      </c>
      <c r="AG2" s="119">
        <v>0.9</v>
      </c>
      <c r="AH2" s="120">
        <v>1</v>
      </c>
    </row>
    <row r="3" spans="1:34" ht="18" x14ac:dyDescent="0.25">
      <c r="A3" s="142">
        <v>0.1</v>
      </c>
      <c r="B3" s="142">
        <v>0.12</v>
      </c>
      <c r="C3" s="142">
        <v>0.12</v>
      </c>
      <c r="D3" s="139" t="s">
        <v>6</v>
      </c>
      <c r="E3" s="129">
        <f>IFERROR(GEOMEAN(F15:J15),0)</f>
        <v>0.2082333223333854</v>
      </c>
      <c r="F3" s="114">
        <v>6</v>
      </c>
      <c r="G3" s="114">
        <v>0.57999999999999996</v>
      </c>
      <c r="H3" s="114">
        <v>0.06</v>
      </c>
      <c r="I3" s="115" t="s">
        <v>133</v>
      </c>
      <c r="J3" s="115">
        <v>2</v>
      </c>
      <c r="L3" s="114">
        <v>150</v>
      </c>
      <c r="M3" s="114">
        <v>150</v>
      </c>
      <c r="N3" s="114">
        <v>150</v>
      </c>
      <c r="O3" s="115" t="s">
        <v>116</v>
      </c>
      <c r="P3" s="116">
        <v>6</v>
      </c>
      <c r="Q3" s="116" t="s">
        <v>14</v>
      </c>
      <c r="R3" s="117">
        <v>1.5</v>
      </c>
      <c r="S3" s="117">
        <v>98266</v>
      </c>
      <c r="T3" s="118">
        <v>1.2415280972055687E-3</v>
      </c>
      <c r="U3" s="113">
        <v>1</v>
      </c>
      <c r="V3" s="117">
        <v>296.14029670288971</v>
      </c>
      <c r="W3" s="117">
        <v>350.42169039538442</v>
      </c>
      <c r="X3" s="117">
        <v>424.69409760618174</v>
      </c>
      <c r="Y3" s="117">
        <v>450</v>
      </c>
      <c r="Z3" s="119">
        <v>70</v>
      </c>
      <c r="AA3" s="120" t="s">
        <v>117</v>
      </c>
      <c r="AB3" s="119">
        <v>0.03</v>
      </c>
      <c r="AC3" s="119">
        <v>0.05</v>
      </c>
      <c r="AD3" s="119">
        <v>0.01</v>
      </c>
      <c r="AE3" s="120">
        <v>1395</v>
      </c>
      <c r="AG3" s="119">
        <v>0.91</v>
      </c>
      <c r="AH3" s="120">
        <v>2</v>
      </c>
    </row>
    <row r="4" spans="1:34" ht="18" x14ac:dyDescent="0.25">
      <c r="A4" s="142">
        <v>8.5000000000000006E-2</v>
      </c>
      <c r="B4" s="142">
        <v>8.5000000000000006E-2</v>
      </c>
      <c r="C4" s="142">
        <v>8.5000000000000006E-2</v>
      </c>
      <c r="D4" s="139" t="s">
        <v>7</v>
      </c>
      <c r="E4" s="160">
        <f>IFERROR(GEOMEAN(F16:J16),0)</f>
        <v>0.32146460106265118</v>
      </c>
      <c r="F4" s="114">
        <v>1</v>
      </c>
      <c r="G4" s="114">
        <v>1</v>
      </c>
      <c r="H4" s="114">
        <v>0</v>
      </c>
      <c r="I4" s="115" t="s">
        <v>17</v>
      </c>
      <c r="J4" s="115">
        <v>3</v>
      </c>
      <c r="L4" s="114">
        <v>50</v>
      </c>
      <c r="M4" s="114">
        <v>50</v>
      </c>
      <c r="N4" s="114">
        <v>0</v>
      </c>
      <c r="O4" s="115" t="s">
        <v>118</v>
      </c>
      <c r="P4" s="116">
        <v>2</v>
      </c>
      <c r="Q4" s="116" t="s">
        <v>215</v>
      </c>
      <c r="R4" s="117">
        <v>1.5</v>
      </c>
      <c r="S4" s="117">
        <v>98144</v>
      </c>
      <c r="T4" s="118">
        <v>9.3739810890125508E-4</v>
      </c>
      <c r="U4" s="113">
        <v>2</v>
      </c>
      <c r="V4" s="117">
        <v>296.14029670288971</v>
      </c>
      <c r="W4" s="117">
        <v>350.42169039538442</v>
      </c>
      <c r="X4" s="117">
        <v>424.69409760618174</v>
      </c>
      <c r="Y4" s="117">
        <v>450</v>
      </c>
      <c r="Z4" s="119">
        <v>65</v>
      </c>
      <c r="AA4" s="120" t="s">
        <v>216</v>
      </c>
      <c r="AB4" s="119">
        <v>0.03</v>
      </c>
      <c r="AC4" s="119">
        <v>0.05</v>
      </c>
      <c r="AD4" s="119">
        <v>0.01</v>
      </c>
      <c r="AE4" s="120">
        <v>1396</v>
      </c>
      <c r="AG4" s="119">
        <v>0.92</v>
      </c>
      <c r="AH4" s="120">
        <v>3</v>
      </c>
    </row>
    <row r="5" spans="1:34" ht="18" x14ac:dyDescent="0.25">
      <c r="A5" s="142">
        <v>0.1</v>
      </c>
      <c r="B5" s="142">
        <v>0.1</v>
      </c>
      <c r="C5" s="142">
        <v>0.1</v>
      </c>
      <c r="D5" s="139" t="s">
        <v>8</v>
      </c>
      <c r="E5" s="129">
        <f t="shared" ref="E5:E7" si="0">IFERROR(GEOMEAN(F17:J17),0)</f>
        <v>0.23075439719413574</v>
      </c>
      <c r="F5" s="114">
        <v>4</v>
      </c>
      <c r="G5" s="114">
        <v>0.625</v>
      </c>
      <c r="H5" s="114">
        <v>0.05</v>
      </c>
      <c r="I5" s="115" t="s">
        <v>134</v>
      </c>
      <c r="J5" s="115">
        <v>4</v>
      </c>
      <c r="L5" s="114">
        <v>50</v>
      </c>
      <c r="M5" s="114">
        <v>50</v>
      </c>
      <c r="N5" s="114">
        <v>50</v>
      </c>
      <c r="O5" s="115" t="s">
        <v>119</v>
      </c>
      <c r="P5" s="116">
        <v>3</v>
      </c>
      <c r="Q5" s="116" t="s">
        <v>16</v>
      </c>
      <c r="R5" s="117">
        <v>1.5</v>
      </c>
      <c r="S5" s="117">
        <v>98052</v>
      </c>
      <c r="T5" s="118">
        <v>7.9549626728669942E-4</v>
      </c>
      <c r="U5" s="113">
        <v>3</v>
      </c>
      <c r="V5" s="117">
        <v>275.67362139068598</v>
      </c>
      <c r="W5" s="117">
        <v>331.07050456488128</v>
      </c>
      <c r="X5" s="117">
        <v>400.51505082644854</v>
      </c>
      <c r="Y5" s="117">
        <v>450</v>
      </c>
      <c r="Z5" s="121">
        <v>0.1</v>
      </c>
      <c r="AA5" s="122" t="s">
        <v>120</v>
      </c>
      <c r="AB5" s="119">
        <v>0.03</v>
      </c>
      <c r="AC5" s="119">
        <v>0.05</v>
      </c>
      <c r="AD5" s="119">
        <v>0.01</v>
      </c>
      <c r="AE5" s="120">
        <v>1397</v>
      </c>
      <c r="AG5" s="119">
        <v>0.93</v>
      </c>
      <c r="AH5" s="120">
        <v>4</v>
      </c>
    </row>
    <row r="6" spans="1:34" ht="18" x14ac:dyDescent="0.25">
      <c r="A6" s="142">
        <v>0.1</v>
      </c>
      <c r="B6" s="142">
        <v>0.13</v>
      </c>
      <c r="C6" s="142">
        <v>0.15</v>
      </c>
      <c r="D6" s="139" t="s">
        <v>9</v>
      </c>
      <c r="E6" s="129">
        <f t="shared" si="0"/>
        <v>0.16605504145521208</v>
      </c>
      <c r="F6" s="114">
        <v>2</v>
      </c>
      <c r="G6" s="114">
        <v>0.75</v>
      </c>
      <c r="H6" s="114">
        <v>0.03</v>
      </c>
      <c r="I6" s="115" t="s">
        <v>141</v>
      </c>
      <c r="J6" s="115">
        <v>5</v>
      </c>
      <c r="L6" s="114">
        <v>100</v>
      </c>
      <c r="M6" s="114">
        <v>100</v>
      </c>
      <c r="N6" s="114">
        <v>0</v>
      </c>
      <c r="O6" s="115" t="s">
        <v>121</v>
      </c>
      <c r="P6" s="116">
        <v>4</v>
      </c>
      <c r="Q6" s="116"/>
      <c r="R6" s="117">
        <v>1.5</v>
      </c>
      <c r="S6" s="117">
        <v>97974</v>
      </c>
      <c r="T6" s="118">
        <v>7.2468205850528822E-4</v>
      </c>
      <c r="U6" s="113">
        <v>4</v>
      </c>
      <c r="V6" s="117">
        <v>256.76506240750598</v>
      </c>
      <c r="W6" s="117">
        <v>313.24003182115689</v>
      </c>
      <c r="X6" s="117">
        <v>377.2133084158022</v>
      </c>
      <c r="Y6" s="117">
        <v>450</v>
      </c>
      <c r="Z6" s="114">
        <v>0.15</v>
      </c>
      <c r="AA6" s="122" t="s">
        <v>122</v>
      </c>
      <c r="AB6" s="119">
        <v>0.03</v>
      </c>
      <c r="AC6" s="119">
        <v>0.05</v>
      </c>
      <c r="AD6" s="119">
        <v>0.01</v>
      </c>
      <c r="AE6" s="120">
        <v>1398</v>
      </c>
      <c r="AG6" s="119">
        <v>0.94</v>
      </c>
      <c r="AH6" s="120">
        <v>5</v>
      </c>
    </row>
    <row r="7" spans="1:34" ht="18" x14ac:dyDescent="0.25">
      <c r="A7" s="142">
        <v>0.1</v>
      </c>
      <c r="B7" s="142">
        <v>0.13</v>
      </c>
      <c r="C7" s="142">
        <v>0.14000000000000001</v>
      </c>
      <c r="D7" s="139" t="s">
        <v>10</v>
      </c>
      <c r="E7" s="129">
        <f t="shared" si="0"/>
        <v>0.17358357437424302</v>
      </c>
      <c r="F7" s="114">
        <v>12</v>
      </c>
      <c r="G7" s="114">
        <v>0.54100000000000004</v>
      </c>
      <c r="H7" s="114">
        <v>7.0000000000000007E-2</v>
      </c>
      <c r="I7" s="115" t="s">
        <v>132</v>
      </c>
      <c r="J7" s="115">
        <v>6</v>
      </c>
      <c r="L7" s="114">
        <v>100</v>
      </c>
      <c r="M7" s="114">
        <v>100</v>
      </c>
      <c r="N7" s="114">
        <v>100</v>
      </c>
      <c r="O7" s="115" t="s">
        <v>123</v>
      </c>
      <c r="P7" s="116">
        <v>5</v>
      </c>
      <c r="Q7" s="116"/>
      <c r="R7" s="117">
        <v>1.5</v>
      </c>
      <c r="S7" s="117">
        <v>97903</v>
      </c>
      <c r="T7" s="118">
        <v>6.5370826225963352E-4</v>
      </c>
      <c r="U7" s="113">
        <v>5</v>
      </c>
      <c r="V7" s="117">
        <v>239.92545010305986</v>
      </c>
      <c r="W7" s="117">
        <v>297.44217403513733</v>
      </c>
      <c r="X7" s="117">
        <v>357.46000586010518</v>
      </c>
      <c r="Y7" s="117">
        <v>450</v>
      </c>
      <c r="Z7" s="123">
        <v>2.2999999999999998</v>
      </c>
      <c r="AA7" s="124" t="s">
        <v>217</v>
      </c>
      <c r="AB7" s="119">
        <v>0.03</v>
      </c>
      <c r="AC7" s="119">
        <v>0.05</v>
      </c>
      <c r="AD7" s="119">
        <v>0.01</v>
      </c>
      <c r="AE7" s="120">
        <v>1399</v>
      </c>
      <c r="AG7" s="119">
        <v>0.95</v>
      </c>
      <c r="AH7" s="120">
        <v>6</v>
      </c>
    </row>
    <row r="8" spans="1:34" ht="17.25" x14ac:dyDescent="0.25">
      <c r="F8" s="114">
        <v>1</v>
      </c>
      <c r="G8" s="114">
        <v>1</v>
      </c>
      <c r="H8" s="114">
        <v>0</v>
      </c>
      <c r="I8" s="115" t="s">
        <v>218</v>
      </c>
      <c r="J8" s="115">
        <v>7</v>
      </c>
      <c r="L8" s="114">
        <v>0</v>
      </c>
      <c r="M8" s="114">
        <v>0</v>
      </c>
      <c r="N8" s="114">
        <v>0</v>
      </c>
      <c r="O8" s="115" t="s">
        <v>124</v>
      </c>
      <c r="P8" s="116">
        <v>8</v>
      </c>
      <c r="Q8" s="116"/>
      <c r="R8" s="117">
        <v>1.5</v>
      </c>
      <c r="S8" s="117">
        <v>97839</v>
      </c>
      <c r="T8" s="118">
        <v>6.0303151095164598E-4</v>
      </c>
      <c r="U8" s="113">
        <v>6</v>
      </c>
      <c r="V8" s="117">
        <v>225.80900309882239</v>
      </c>
      <c r="W8" s="117">
        <v>284.35634781508895</v>
      </c>
      <c r="X8" s="117">
        <v>341.86700064695583</v>
      </c>
      <c r="Y8" s="117">
        <v>450</v>
      </c>
      <c r="Z8" s="121">
        <v>60</v>
      </c>
      <c r="AA8" s="122" t="s">
        <v>219</v>
      </c>
      <c r="AB8" s="119">
        <v>0.03</v>
      </c>
      <c r="AC8" s="119">
        <v>0.05</v>
      </c>
      <c r="AD8" s="119">
        <v>0.01</v>
      </c>
      <c r="AE8" s="120" t="s">
        <v>220</v>
      </c>
      <c r="AG8" s="119">
        <v>0.96</v>
      </c>
      <c r="AH8" s="120">
        <v>7</v>
      </c>
    </row>
    <row r="9" spans="1:34" ht="17.25" x14ac:dyDescent="0.25">
      <c r="L9" s="114">
        <v>0</v>
      </c>
      <c r="M9" s="114">
        <v>0</v>
      </c>
      <c r="N9" s="114">
        <v>0</v>
      </c>
      <c r="O9" s="115" t="s">
        <v>38</v>
      </c>
      <c r="P9" s="116">
        <v>1</v>
      </c>
      <c r="Q9" s="116"/>
      <c r="R9" s="117">
        <v>1.5</v>
      </c>
      <c r="S9" s="117">
        <v>97780</v>
      </c>
      <c r="T9" s="118">
        <v>5.8294129678870821E-4</v>
      </c>
      <c r="U9" s="113">
        <v>7</v>
      </c>
      <c r="V9" s="117">
        <v>214.95714123264995</v>
      </c>
      <c r="W9" s="117">
        <v>274.60806476880271</v>
      </c>
      <c r="X9" s="117">
        <v>331.06894667874508</v>
      </c>
      <c r="Y9" s="117">
        <v>450</v>
      </c>
      <c r="Z9" s="125">
        <f>-PV(Z5,10,1,,1)</f>
        <v>6.7590238162751541</v>
      </c>
      <c r="AA9" s="126" t="s">
        <v>125</v>
      </c>
      <c r="AB9" s="119">
        <v>0</v>
      </c>
      <c r="AC9" s="119">
        <v>0</v>
      </c>
      <c r="AD9" s="119">
        <v>0</v>
      </c>
      <c r="AE9" s="120" t="s">
        <v>221</v>
      </c>
    </row>
    <row r="10" spans="1:34" ht="17.25" x14ac:dyDescent="0.25">
      <c r="R10" s="117">
        <v>1.5</v>
      </c>
      <c r="S10" s="117">
        <v>97723</v>
      </c>
      <c r="T10" s="118">
        <v>5.4234929341101523E-4</v>
      </c>
      <c r="U10" s="113">
        <v>8</v>
      </c>
      <c r="V10" s="117">
        <v>207.61499900933967</v>
      </c>
      <c r="W10" s="117">
        <v>268.59315204801601</v>
      </c>
      <c r="X10" s="117">
        <v>325.55886348416908</v>
      </c>
      <c r="Y10" s="117">
        <v>450</v>
      </c>
      <c r="Z10" s="119">
        <v>65</v>
      </c>
      <c r="AA10" s="120" t="s">
        <v>126</v>
      </c>
      <c r="AB10" s="119">
        <v>0.03</v>
      </c>
      <c r="AC10" s="119">
        <v>0.05</v>
      </c>
      <c r="AD10" s="119">
        <v>0.01</v>
      </c>
      <c r="AE10" s="120" t="s">
        <v>222</v>
      </c>
    </row>
    <row r="11" spans="1:34" ht="17.25" x14ac:dyDescent="0.25">
      <c r="R11" s="117">
        <v>1.5</v>
      </c>
      <c r="S11" s="117">
        <v>97670</v>
      </c>
      <c r="T11" s="118">
        <v>5.3240503737073119E-4</v>
      </c>
      <c r="U11" s="113">
        <v>9</v>
      </c>
      <c r="V11" s="117">
        <v>203.60483394938666</v>
      </c>
      <c r="W11" s="117">
        <v>266.33604445508007</v>
      </c>
      <c r="X11" s="117">
        <v>325.53095469188349</v>
      </c>
      <c r="Y11" s="117">
        <v>450</v>
      </c>
      <c r="Z11" s="119">
        <v>80</v>
      </c>
      <c r="AA11" s="120" t="s">
        <v>127</v>
      </c>
      <c r="AB11" s="119">
        <v>0</v>
      </c>
      <c r="AC11" s="119">
        <v>0</v>
      </c>
      <c r="AD11" s="119">
        <v>0</v>
      </c>
      <c r="AE11" s="120" t="s">
        <v>223</v>
      </c>
    </row>
    <row r="12" spans="1:34" x14ac:dyDescent="0.25">
      <c r="R12" s="117">
        <v>1.5</v>
      </c>
      <c r="S12" s="117">
        <v>97618</v>
      </c>
      <c r="T12" s="118">
        <v>5.3268864348787748E-4</v>
      </c>
      <c r="U12" s="113">
        <v>10</v>
      </c>
      <c r="V12" s="117">
        <v>202.7330961443617</v>
      </c>
      <c r="W12" s="117">
        <v>267.86345764588401</v>
      </c>
      <c r="X12" s="117">
        <v>331.20674251333634</v>
      </c>
      <c r="Y12" s="117">
        <v>450</v>
      </c>
    </row>
    <row r="13" spans="1:34" ht="32.25" customHeight="1" x14ac:dyDescent="0.25">
      <c r="A13" s="140" t="s">
        <v>128</v>
      </c>
      <c r="B13" s="143" t="s">
        <v>104</v>
      </c>
      <c r="C13" s="143" t="s">
        <v>103</v>
      </c>
      <c r="D13" s="143" t="s">
        <v>102</v>
      </c>
      <c r="E13" s="114">
        <v>1395</v>
      </c>
      <c r="F13" s="114">
        <v>1396</v>
      </c>
      <c r="G13" s="114">
        <v>1397</v>
      </c>
      <c r="H13" s="114">
        <v>1398</v>
      </c>
      <c r="I13" s="114">
        <v>1399</v>
      </c>
      <c r="J13" s="114">
        <v>1400</v>
      </c>
      <c r="L13" s="168" t="s">
        <v>224</v>
      </c>
      <c r="M13" s="169">
        <v>0.02</v>
      </c>
      <c r="R13" s="117">
        <v>1.5</v>
      </c>
      <c r="S13" s="117">
        <v>97566</v>
      </c>
      <c r="T13" s="118">
        <v>5.3297255191353532E-4</v>
      </c>
      <c r="U13" s="113">
        <v>11</v>
      </c>
      <c r="V13" s="117">
        <v>205.02955185048</v>
      </c>
      <c r="W13" s="117">
        <v>273.39728407519516</v>
      </c>
      <c r="X13" s="117">
        <v>342.9509233676888</v>
      </c>
      <c r="Y13" s="117">
        <v>450</v>
      </c>
    </row>
    <row r="14" spans="1:34" ht="17.25" x14ac:dyDescent="0.25">
      <c r="A14" s="115"/>
      <c r="B14" s="144"/>
      <c r="C14" s="144"/>
      <c r="D14" s="144"/>
      <c r="E14" s="114"/>
      <c r="F14" s="114"/>
      <c r="G14" s="114"/>
      <c r="H14" s="114"/>
      <c r="I14" s="127"/>
      <c r="J14" s="114"/>
      <c r="R14" s="117">
        <v>1.5</v>
      </c>
      <c r="S14" s="117">
        <v>97514</v>
      </c>
      <c r="T14" s="118">
        <v>5.3325676313142889E-4</v>
      </c>
      <c r="U14" s="113">
        <v>12</v>
      </c>
      <c r="V14" s="117">
        <v>209.73586377034135</v>
      </c>
      <c r="W14" s="117">
        <v>282.29127061203133</v>
      </c>
      <c r="X14" s="117">
        <v>360.11274936807729</v>
      </c>
      <c r="Y14" s="117">
        <v>450</v>
      </c>
      <c r="AA14" s="134" t="s">
        <v>129</v>
      </c>
      <c r="AB14" s="134" t="s">
        <v>130</v>
      </c>
    </row>
    <row r="15" spans="1:34" ht="18" x14ac:dyDescent="0.25">
      <c r="A15" s="115" t="s">
        <v>6</v>
      </c>
      <c r="B15" s="144">
        <v>0.12</v>
      </c>
      <c r="C15" s="144">
        <v>0.12</v>
      </c>
      <c r="D15" s="144">
        <v>0.1</v>
      </c>
      <c r="E15" s="156">
        <f t="shared" ref="E15:J19" si="1">$B24+0.85*(E24-$B24)</f>
        <v>0.20074999999999998</v>
      </c>
      <c r="F15" s="156">
        <f t="shared" si="1"/>
        <v>0.19224999999999998</v>
      </c>
      <c r="G15" s="156">
        <f t="shared" si="1"/>
        <v>0.20500000000000002</v>
      </c>
      <c r="H15" s="156">
        <f t="shared" si="1"/>
        <v>0.21350000000000002</v>
      </c>
      <c r="I15" s="156">
        <f t="shared" si="1"/>
        <v>0.2475</v>
      </c>
      <c r="J15" s="156">
        <f>$B24+0.85*(J24-$B24)</f>
        <v>0.188</v>
      </c>
      <c r="R15" s="117">
        <v>1.5</v>
      </c>
      <c r="S15" s="117">
        <v>97462</v>
      </c>
      <c r="T15" s="118">
        <v>5.7458291436662812E-4</v>
      </c>
      <c r="U15" s="113">
        <v>13</v>
      </c>
      <c r="V15" s="117">
        <v>216.72277221737477</v>
      </c>
      <c r="W15" s="117">
        <v>294.40034979129126</v>
      </c>
      <c r="X15" s="117">
        <v>382.2986325655022</v>
      </c>
      <c r="Y15" s="117">
        <v>450</v>
      </c>
      <c r="AA15" s="166" t="s">
        <v>132</v>
      </c>
      <c r="AB15" s="166">
        <v>12</v>
      </c>
    </row>
    <row r="16" spans="1:34" ht="18" x14ac:dyDescent="0.25">
      <c r="A16" s="115" t="s">
        <v>7</v>
      </c>
      <c r="B16" s="144">
        <v>8.5000000000000006E-2</v>
      </c>
      <c r="C16" s="144">
        <v>8.5000000000000006E-2</v>
      </c>
      <c r="D16" s="144">
        <v>8.5000000000000006E-2</v>
      </c>
      <c r="E16" s="156" t="s">
        <v>225</v>
      </c>
      <c r="F16" s="156">
        <f t="shared" si="1"/>
        <v>0.22525000000000001</v>
      </c>
      <c r="G16" s="156">
        <f t="shared" si="1"/>
        <v>0.26774999999999999</v>
      </c>
      <c r="H16" s="156">
        <f t="shared" si="1"/>
        <v>0.39524999999999999</v>
      </c>
      <c r="I16" s="156">
        <f t="shared" si="1"/>
        <v>0.50574999999999992</v>
      </c>
      <c r="J16" s="156">
        <f t="shared" si="1"/>
        <v>0.28475</v>
      </c>
      <c r="K16" s="158"/>
      <c r="R16" s="117">
        <v>1.5</v>
      </c>
      <c r="S16" s="117">
        <v>97406</v>
      </c>
      <c r="T16" s="118">
        <v>5.9544586575777103E-4</v>
      </c>
      <c r="U16" s="113">
        <v>14</v>
      </c>
      <c r="V16" s="117">
        <v>226.05497023776653</v>
      </c>
      <c r="W16" s="117">
        <v>309.61475083767147</v>
      </c>
      <c r="X16" s="117">
        <v>408.83943218752898</v>
      </c>
      <c r="Y16" s="117">
        <v>450</v>
      </c>
      <c r="AA16" s="166" t="s">
        <v>133</v>
      </c>
      <c r="AB16" s="166">
        <v>6</v>
      </c>
    </row>
    <row r="17" spans="1:28" ht="18" x14ac:dyDescent="0.25">
      <c r="A17" s="115" t="s">
        <v>8</v>
      </c>
      <c r="B17" s="144">
        <v>0.1</v>
      </c>
      <c r="C17" s="144">
        <v>0.1</v>
      </c>
      <c r="D17" s="144">
        <v>0.1</v>
      </c>
      <c r="E17" s="156">
        <f>$B26+0.85*(E26-$B26)</f>
        <v>0.21475</v>
      </c>
      <c r="F17" s="156">
        <f t="shared" si="1"/>
        <v>0.21050000000000002</v>
      </c>
      <c r="G17" s="156">
        <f t="shared" si="1"/>
        <v>0.22750000000000001</v>
      </c>
      <c r="H17" s="156">
        <f t="shared" si="1"/>
        <v>0.26149999999999995</v>
      </c>
      <c r="I17" s="156">
        <f t="shared" si="1"/>
        <v>0.27</v>
      </c>
      <c r="J17" s="156">
        <f t="shared" si="1"/>
        <v>0.19350000000000001</v>
      </c>
      <c r="R17" s="117">
        <v>1.5</v>
      </c>
      <c r="S17" s="117">
        <v>97348</v>
      </c>
      <c r="T17" s="118">
        <v>6.5743518100014331E-4</v>
      </c>
      <c r="U17" s="113">
        <v>15</v>
      </c>
      <c r="V17" s="117">
        <v>238.23494066022647</v>
      </c>
      <c r="W17" s="117">
        <v>327.45613357861487</v>
      </c>
      <c r="X17" s="117">
        <v>438.39139278314553</v>
      </c>
      <c r="Y17" s="117">
        <v>450</v>
      </c>
      <c r="AA17" s="166" t="s">
        <v>134</v>
      </c>
      <c r="AB17" s="166">
        <v>4</v>
      </c>
    </row>
    <row r="18" spans="1:28" ht="18" x14ac:dyDescent="0.25">
      <c r="A18" s="115" t="s">
        <v>9</v>
      </c>
      <c r="B18" s="144">
        <v>0.15</v>
      </c>
      <c r="C18" s="144">
        <v>0.13</v>
      </c>
      <c r="D18" s="144">
        <v>0.1</v>
      </c>
      <c r="E18" s="156">
        <f>$B27+0.85*(E27-$B27)</f>
        <v>0.16700000000000001</v>
      </c>
      <c r="F18" s="156">
        <f t="shared" si="1"/>
        <v>0.16275000000000001</v>
      </c>
      <c r="G18" s="156">
        <f t="shared" si="1"/>
        <v>0.16700000000000001</v>
      </c>
      <c r="H18" s="156">
        <f t="shared" si="1"/>
        <v>0.16700000000000001</v>
      </c>
      <c r="I18" s="156">
        <f t="shared" si="1"/>
        <v>0.17549999999999999</v>
      </c>
      <c r="J18" s="156">
        <f t="shared" si="1"/>
        <v>0.1585</v>
      </c>
      <c r="R18" s="117">
        <v>1.5</v>
      </c>
      <c r="S18" s="117">
        <v>97284</v>
      </c>
      <c r="T18" s="118">
        <v>6.9898441675919631E-4</v>
      </c>
      <c r="U18" s="113">
        <v>16</v>
      </c>
      <c r="V18" s="117">
        <v>253.11471797998757</v>
      </c>
      <c r="W18" s="117">
        <v>347.74942252921505</v>
      </c>
      <c r="X18" s="117">
        <v>469.73527304155635</v>
      </c>
      <c r="Y18" s="117">
        <v>450</v>
      </c>
      <c r="AA18" s="166" t="s">
        <v>139</v>
      </c>
      <c r="AB18" s="166">
        <v>3</v>
      </c>
    </row>
    <row r="19" spans="1:28" ht="18" x14ac:dyDescent="0.25">
      <c r="A19" s="115" t="s">
        <v>10</v>
      </c>
      <c r="B19" s="144">
        <v>0.14000000000000001</v>
      </c>
      <c r="C19" s="144">
        <v>0.13</v>
      </c>
      <c r="D19" s="144">
        <v>0.1</v>
      </c>
      <c r="E19" s="156">
        <f>$B28+0.85*(E28-$B28)</f>
        <v>0.17399999999999999</v>
      </c>
      <c r="F19" s="156">
        <f t="shared" si="1"/>
        <v>0.16550000000000001</v>
      </c>
      <c r="G19" s="156">
        <f t="shared" si="1"/>
        <v>0.17399999999999999</v>
      </c>
      <c r="H19" s="156">
        <f t="shared" si="1"/>
        <v>0.1825</v>
      </c>
      <c r="I19" s="156">
        <f t="shared" si="1"/>
        <v>0.191</v>
      </c>
      <c r="J19" s="156">
        <f t="shared" si="1"/>
        <v>0.157</v>
      </c>
      <c r="R19" s="117">
        <v>1.5</v>
      </c>
      <c r="S19" s="117">
        <v>97216</v>
      </c>
      <c r="T19" s="118">
        <v>7.6119157340359678E-4</v>
      </c>
      <c r="U19" s="113">
        <v>17</v>
      </c>
      <c r="V19" s="117">
        <v>271.24016620489363</v>
      </c>
      <c r="W19" s="117">
        <v>370.66542684727949</v>
      </c>
      <c r="X19" s="117">
        <v>502.12592693997823</v>
      </c>
      <c r="Y19" s="117">
        <v>450</v>
      </c>
      <c r="AA19" s="166" t="s">
        <v>141</v>
      </c>
      <c r="AB19" s="166">
        <v>2</v>
      </c>
    </row>
    <row r="20" spans="1:28" ht="18" x14ac:dyDescent="0.25">
      <c r="B20" s="128"/>
      <c r="C20" s="128"/>
      <c r="D20" s="128"/>
      <c r="E20" s="128"/>
      <c r="F20" s="128"/>
      <c r="G20" s="128"/>
      <c r="R20" s="117">
        <v>1.5</v>
      </c>
      <c r="S20" s="117">
        <v>97142</v>
      </c>
      <c r="T20" s="118">
        <v>8.1324246978653481E-4</v>
      </c>
      <c r="U20" s="113">
        <v>18</v>
      </c>
      <c r="V20" s="117">
        <v>452.74526381601692</v>
      </c>
      <c r="W20" s="117">
        <v>601.85381143364987</v>
      </c>
      <c r="X20" s="117">
        <v>869.48961871590166</v>
      </c>
      <c r="Y20" s="117">
        <v>450</v>
      </c>
      <c r="AA20" s="166" t="s">
        <v>17</v>
      </c>
      <c r="AB20" s="167">
        <v>1</v>
      </c>
    </row>
    <row r="21" spans="1:28" x14ac:dyDescent="0.25">
      <c r="R21" s="117">
        <v>1.5</v>
      </c>
      <c r="S21" s="117">
        <v>97063</v>
      </c>
      <c r="T21" s="118">
        <v>8.7571989326518107E-4</v>
      </c>
      <c r="U21" s="113">
        <v>19</v>
      </c>
      <c r="V21" s="117">
        <v>489.63903865696591</v>
      </c>
      <c r="W21" s="117">
        <v>643.96906700532656</v>
      </c>
      <c r="X21" s="117">
        <v>917.62984400271387</v>
      </c>
      <c r="Y21" s="117">
        <v>450</v>
      </c>
    </row>
    <row r="22" spans="1:28" x14ac:dyDescent="0.25">
      <c r="A22" s="289" t="s">
        <v>226</v>
      </c>
      <c r="B22" s="290" t="s">
        <v>227</v>
      </c>
      <c r="D22" s="136" t="s">
        <v>228</v>
      </c>
      <c r="E22" s="136"/>
      <c r="F22" s="136"/>
      <c r="G22" s="136"/>
      <c r="H22" s="136"/>
      <c r="I22" s="136"/>
      <c r="J22" s="136"/>
      <c r="R22" s="117">
        <v>1.5</v>
      </c>
      <c r="S22" s="117">
        <v>96978</v>
      </c>
      <c r="T22" s="118">
        <v>9.2804553610092988E-4</v>
      </c>
      <c r="U22" s="113">
        <v>20</v>
      </c>
      <c r="V22" s="117">
        <v>528.73865985090163</v>
      </c>
      <c r="W22" s="117">
        <v>687.21781374857915</v>
      </c>
      <c r="X22" s="117">
        <v>962.21773355567768</v>
      </c>
      <c r="Y22" s="117">
        <v>450</v>
      </c>
    </row>
    <row r="23" spans="1:28" x14ac:dyDescent="0.25">
      <c r="A23" s="289"/>
      <c r="B23" s="290"/>
      <c r="D23" s="114">
        <v>1394</v>
      </c>
      <c r="E23" s="114">
        <v>1395</v>
      </c>
      <c r="F23" s="114">
        <v>1396</v>
      </c>
      <c r="G23" s="114">
        <v>1397</v>
      </c>
      <c r="H23" s="114">
        <v>1398</v>
      </c>
      <c r="I23" s="114">
        <v>1399</v>
      </c>
      <c r="J23" s="114">
        <v>1400</v>
      </c>
      <c r="R23" s="117">
        <v>1.5</v>
      </c>
      <c r="S23" s="117">
        <v>96888</v>
      </c>
      <c r="T23" s="118">
        <v>9.9083477830075317E-4</v>
      </c>
      <c r="U23" s="113">
        <v>21</v>
      </c>
      <c r="V23" s="117">
        <v>581.71750020035972</v>
      </c>
      <c r="W23" s="117">
        <v>743.11521526232093</v>
      </c>
      <c r="X23" s="117">
        <v>1017.765831221544</v>
      </c>
      <c r="Y23" s="117">
        <v>450</v>
      </c>
    </row>
    <row r="24" spans="1:28" ht="17.25" x14ac:dyDescent="0.25">
      <c r="A24" s="115" t="s">
        <v>6</v>
      </c>
      <c r="B24" s="156">
        <v>0.12</v>
      </c>
      <c r="D24" s="156">
        <v>0.23</v>
      </c>
      <c r="E24" s="156">
        <v>0.215</v>
      </c>
      <c r="F24" s="156">
        <v>0.20499999999999999</v>
      </c>
      <c r="G24" s="156">
        <v>0.22</v>
      </c>
      <c r="H24" s="156">
        <v>0.23</v>
      </c>
      <c r="I24" s="156">
        <v>0.27</v>
      </c>
      <c r="J24" s="156">
        <v>0.2</v>
      </c>
      <c r="R24" s="117">
        <v>1.5</v>
      </c>
      <c r="S24" s="117">
        <v>96792</v>
      </c>
      <c r="T24" s="118">
        <v>1.0434746673279038E-3</v>
      </c>
      <c r="U24" s="113">
        <v>22</v>
      </c>
      <c r="V24" s="117">
        <v>637.06817271330885</v>
      </c>
      <c r="W24" s="117">
        <v>800.13199082364338</v>
      </c>
      <c r="X24" s="117">
        <v>1073.89093535854</v>
      </c>
      <c r="Y24" s="117">
        <v>450</v>
      </c>
    </row>
    <row r="25" spans="1:28" ht="17.25" x14ac:dyDescent="0.25">
      <c r="A25" s="115" t="s">
        <v>7</v>
      </c>
      <c r="B25" s="156">
        <v>8.5000000000000006E-2</v>
      </c>
      <c r="D25" s="156"/>
      <c r="E25" s="156"/>
      <c r="F25" s="156">
        <v>0.25</v>
      </c>
      <c r="G25" s="156">
        <v>0.3</v>
      </c>
      <c r="H25" s="156">
        <v>0.45</v>
      </c>
      <c r="I25" s="156">
        <v>0.57999999999999996</v>
      </c>
      <c r="J25" s="156">
        <v>0.32</v>
      </c>
      <c r="R25" s="117">
        <v>1.5</v>
      </c>
      <c r="S25" s="117">
        <v>96691</v>
      </c>
      <c r="T25" s="118">
        <v>1.0859335408672788E-3</v>
      </c>
      <c r="U25" s="113">
        <v>23</v>
      </c>
      <c r="V25" s="117">
        <v>703.51810973034685</v>
      </c>
      <c r="W25" s="117">
        <v>867.04451661739597</v>
      </c>
      <c r="X25" s="117">
        <v>1135.7231163409447</v>
      </c>
      <c r="Y25" s="117">
        <v>450</v>
      </c>
    </row>
    <row r="26" spans="1:28" ht="17.25" x14ac:dyDescent="0.25">
      <c r="A26" s="115" t="s">
        <v>8</v>
      </c>
      <c r="B26" s="156">
        <v>0.1</v>
      </c>
      <c r="D26" s="156">
        <v>0.23499999999999999</v>
      </c>
      <c r="E26" s="156">
        <v>0.23499999999999999</v>
      </c>
      <c r="F26" s="156">
        <v>0.23</v>
      </c>
      <c r="G26" s="156">
        <v>0.25</v>
      </c>
      <c r="H26" s="156">
        <v>0.28999999999999998</v>
      </c>
      <c r="I26" s="156">
        <v>0.3</v>
      </c>
      <c r="J26" s="156">
        <v>0.21</v>
      </c>
      <c r="R26" s="117">
        <v>1.5</v>
      </c>
      <c r="S26" s="117">
        <v>96586</v>
      </c>
      <c r="T26" s="118">
        <v>1.1285279440084173E-3</v>
      </c>
      <c r="U26" s="113">
        <v>24</v>
      </c>
      <c r="V26" s="117">
        <v>775.46666665346129</v>
      </c>
      <c r="W26" s="117">
        <v>938.32406325724708</v>
      </c>
      <c r="X26" s="117">
        <v>1202.3848127401973</v>
      </c>
      <c r="Y26" s="117">
        <v>450</v>
      </c>
    </row>
    <row r="27" spans="1:28" ht="17.25" x14ac:dyDescent="0.25">
      <c r="A27" s="115" t="s">
        <v>9</v>
      </c>
      <c r="B27" s="156">
        <v>0.15</v>
      </c>
      <c r="D27" s="156">
        <v>0.17</v>
      </c>
      <c r="E27" s="156">
        <v>0.17</v>
      </c>
      <c r="F27" s="156">
        <v>0.16500000000000001</v>
      </c>
      <c r="G27" s="156">
        <v>0.17</v>
      </c>
      <c r="H27" s="156">
        <v>0.17</v>
      </c>
      <c r="I27" s="156">
        <v>0.18</v>
      </c>
      <c r="J27" s="156">
        <v>0.16</v>
      </c>
      <c r="R27" s="117">
        <v>1.5</v>
      </c>
      <c r="S27" s="117">
        <v>96477</v>
      </c>
      <c r="T27" s="118">
        <v>1.1816287819894633E-3</v>
      </c>
      <c r="U27" s="113">
        <v>25</v>
      </c>
      <c r="V27" s="117">
        <v>850.70533929131841</v>
      </c>
      <c r="W27" s="117">
        <v>1011.8461227979911</v>
      </c>
      <c r="X27" s="117">
        <v>1270.4486272299625</v>
      </c>
      <c r="Y27" s="117">
        <v>450</v>
      </c>
    </row>
    <row r="28" spans="1:28" ht="17.25" x14ac:dyDescent="0.25">
      <c r="A28" s="115" t="s">
        <v>10</v>
      </c>
      <c r="B28" s="156">
        <v>0.14000000000000001</v>
      </c>
      <c r="D28" s="156">
        <v>0.18</v>
      </c>
      <c r="E28" s="156">
        <v>0.18</v>
      </c>
      <c r="F28" s="156">
        <v>0.17</v>
      </c>
      <c r="G28" s="156">
        <v>0.18</v>
      </c>
      <c r="H28" s="156">
        <v>0.19</v>
      </c>
      <c r="I28" s="156">
        <v>0.2</v>
      </c>
      <c r="J28" s="156">
        <v>0.16</v>
      </c>
      <c r="R28" s="117">
        <v>1.5</v>
      </c>
      <c r="S28" s="117">
        <v>96363</v>
      </c>
      <c r="T28" s="118">
        <v>1.1934041073856649E-3</v>
      </c>
      <c r="U28" s="113">
        <v>26</v>
      </c>
      <c r="V28" s="117">
        <v>926.50935366276133</v>
      </c>
      <c r="W28" s="117">
        <v>1084.9886431998352</v>
      </c>
      <c r="X28" s="117">
        <v>1340.2144158948486</v>
      </c>
      <c r="Y28" s="117">
        <v>570</v>
      </c>
    </row>
    <row r="29" spans="1:28" x14ac:dyDescent="0.25">
      <c r="A29" s="30" t="s">
        <v>229</v>
      </c>
      <c r="R29" s="117">
        <v>1.5</v>
      </c>
      <c r="S29" s="117">
        <v>96248</v>
      </c>
      <c r="T29" s="118">
        <v>1.2259995012883218E-3</v>
      </c>
      <c r="U29" s="113">
        <v>27</v>
      </c>
      <c r="V29" s="117">
        <v>1007.0318020420412</v>
      </c>
      <c r="W29" s="117">
        <v>1164.9513501437295</v>
      </c>
      <c r="X29" s="117">
        <v>1419.4660775046057</v>
      </c>
      <c r="Y29" s="117">
        <v>570</v>
      </c>
    </row>
    <row r="30" spans="1:28" x14ac:dyDescent="0.25">
      <c r="R30" s="117">
        <v>1.5</v>
      </c>
      <c r="S30" s="117">
        <v>96130</v>
      </c>
      <c r="T30" s="118">
        <v>1.2691147404556569E-3</v>
      </c>
      <c r="U30" s="113">
        <v>28</v>
      </c>
      <c r="V30" s="117">
        <v>1089.8887209729949</v>
      </c>
      <c r="W30" s="117">
        <v>1247.6036431062992</v>
      </c>
      <c r="X30" s="117">
        <v>1503.3799361576159</v>
      </c>
      <c r="Y30" s="117">
        <v>570</v>
      </c>
    </row>
    <row r="31" spans="1:28" x14ac:dyDescent="0.25">
      <c r="R31" s="117">
        <v>1.5</v>
      </c>
      <c r="S31" s="117">
        <v>96008</v>
      </c>
      <c r="T31" s="118">
        <v>1.2915590367469365E-3</v>
      </c>
      <c r="U31" s="113">
        <v>29</v>
      </c>
      <c r="V31" s="117">
        <v>1181.3541825039079</v>
      </c>
      <c r="W31" s="117">
        <v>1338.5138649395826</v>
      </c>
      <c r="X31" s="117">
        <v>1596.6776982062736</v>
      </c>
      <c r="Y31" s="117">
        <v>570</v>
      </c>
    </row>
    <row r="32" spans="1:28" x14ac:dyDescent="0.25">
      <c r="R32" s="117">
        <v>1.5</v>
      </c>
      <c r="S32" s="117">
        <v>95884</v>
      </c>
      <c r="T32" s="118">
        <v>1.314087856159496E-3</v>
      </c>
      <c r="U32" s="113">
        <v>30</v>
      </c>
      <c r="V32" s="117">
        <v>1274.9643786819086</v>
      </c>
      <c r="W32" s="117">
        <v>1431.5440065596852</v>
      </c>
      <c r="X32" s="117">
        <v>1697.1809197725081</v>
      </c>
      <c r="Y32" s="117">
        <v>570</v>
      </c>
    </row>
    <row r="33" spans="18:25" x14ac:dyDescent="0.25">
      <c r="R33" s="117">
        <v>2</v>
      </c>
      <c r="S33" s="117">
        <v>95758</v>
      </c>
      <c r="T33" s="118">
        <v>1.3367029386578411E-3</v>
      </c>
      <c r="U33" s="113">
        <v>31</v>
      </c>
      <c r="V33" s="117">
        <v>1384.5580847673309</v>
      </c>
      <c r="W33" s="117">
        <v>1540.880865591545</v>
      </c>
      <c r="X33" s="117">
        <v>1819.0289516049861</v>
      </c>
      <c r="Y33" s="117">
        <v>750</v>
      </c>
    </row>
    <row r="34" spans="18:25" x14ac:dyDescent="0.25">
      <c r="R34" s="117">
        <v>2</v>
      </c>
      <c r="S34" s="117">
        <v>95630</v>
      </c>
      <c r="T34" s="118">
        <v>1.3803199832688184E-3</v>
      </c>
      <c r="U34" s="113">
        <v>32</v>
      </c>
      <c r="V34" s="117">
        <v>1508.487286082848</v>
      </c>
      <c r="W34" s="117">
        <v>1665.161190822304</v>
      </c>
      <c r="X34" s="117">
        <v>1959.3931271935239</v>
      </c>
      <c r="Y34" s="117">
        <v>750</v>
      </c>
    </row>
    <row r="35" spans="18:25" x14ac:dyDescent="0.25">
      <c r="R35" s="117">
        <v>2</v>
      </c>
      <c r="S35" s="117">
        <v>95498</v>
      </c>
      <c r="T35" s="118">
        <v>1.4031707470313348E-3</v>
      </c>
      <c r="U35" s="113">
        <v>33</v>
      </c>
      <c r="V35" s="117">
        <v>1650.9540934360305</v>
      </c>
      <c r="W35" s="117">
        <v>1808.7684249210718</v>
      </c>
      <c r="X35" s="117">
        <v>2124.2181974791406</v>
      </c>
      <c r="Y35" s="117">
        <v>750</v>
      </c>
    </row>
    <row r="36" spans="18:25" x14ac:dyDescent="0.25">
      <c r="R36" s="117">
        <v>2</v>
      </c>
      <c r="S36" s="117">
        <v>95364</v>
      </c>
      <c r="T36" s="118">
        <v>1.4261146763977495E-3</v>
      </c>
      <c r="U36" s="113">
        <v>34</v>
      </c>
      <c r="V36" s="117">
        <v>1815.3648240560885</v>
      </c>
      <c r="W36" s="117">
        <v>1975.1796576208051</v>
      </c>
      <c r="X36" s="117">
        <v>2314.5650771591459</v>
      </c>
      <c r="Y36" s="117">
        <v>750</v>
      </c>
    </row>
    <row r="37" spans="18:25" x14ac:dyDescent="0.25">
      <c r="R37" s="117">
        <v>2</v>
      </c>
      <c r="S37" s="117">
        <v>95228</v>
      </c>
      <c r="T37" s="118">
        <v>1.4911580627546828E-3</v>
      </c>
      <c r="U37" s="113">
        <v>35</v>
      </c>
      <c r="V37" s="117">
        <v>2008.2345978158221</v>
      </c>
      <c r="W37" s="117">
        <v>2170.8901409040623</v>
      </c>
      <c r="X37" s="117">
        <v>2542.2269935438849</v>
      </c>
      <c r="Y37" s="117">
        <v>750</v>
      </c>
    </row>
    <row r="38" spans="18:25" x14ac:dyDescent="0.25">
      <c r="R38" s="117">
        <v>2</v>
      </c>
      <c r="S38" s="117">
        <v>95086</v>
      </c>
      <c r="T38" s="118">
        <v>1.5249353217087203E-3</v>
      </c>
      <c r="U38" s="113">
        <v>36</v>
      </c>
      <c r="V38" s="117">
        <v>2223.5652272699563</v>
      </c>
      <c r="W38" s="117">
        <v>2390.0060210028264</v>
      </c>
      <c r="X38" s="117">
        <v>2787.9219529737793</v>
      </c>
      <c r="Y38" s="117">
        <v>1500</v>
      </c>
    </row>
    <row r="39" spans="18:25" x14ac:dyDescent="0.25">
      <c r="R39" s="117">
        <v>2</v>
      </c>
      <c r="S39" s="117">
        <v>94941</v>
      </c>
      <c r="T39" s="118">
        <v>1.5904614444760545E-3</v>
      </c>
      <c r="U39" s="113">
        <v>37</v>
      </c>
      <c r="V39" s="117">
        <v>2472.5318104059074</v>
      </c>
      <c r="W39" s="117">
        <v>2650.4710924720098</v>
      </c>
      <c r="X39" s="117">
        <v>3070.6889240081509</v>
      </c>
      <c r="Y39" s="117">
        <v>1500</v>
      </c>
    </row>
    <row r="40" spans="18:25" x14ac:dyDescent="0.25">
      <c r="R40" s="117">
        <v>2</v>
      </c>
      <c r="S40" s="117">
        <v>94790</v>
      </c>
      <c r="T40" s="118">
        <v>1.6457432218588419E-3</v>
      </c>
      <c r="U40" s="113">
        <v>38</v>
      </c>
      <c r="V40" s="117">
        <v>2751.8053055592359</v>
      </c>
      <c r="W40" s="117">
        <v>2944.9158569742995</v>
      </c>
      <c r="X40" s="117">
        <v>3387.5597716405186</v>
      </c>
      <c r="Y40" s="117">
        <v>1500</v>
      </c>
    </row>
    <row r="41" spans="18:25" x14ac:dyDescent="0.25">
      <c r="R41" s="117">
        <v>2</v>
      </c>
      <c r="S41" s="117">
        <v>94634</v>
      </c>
      <c r="T41" s="118">
        <v>1.7435593972567887E-3</v>
      </c>
      <c r="U41" s="113">
        <v>39</v>
      </c>
      <c r="V41" s="117">
        <v>3076.130012791215</v>
      </c>
      <c r="W41" s="117">
        <v>3287.3550195525791</v>
      </c>
      <c r="X41" s="117">
        <v>3745.813311083461</v>
      </c>
      <c r="Y41" s="117">
        <v>1500</v>
      </c>
    </row>
    <row r="42" spans="18:25" x14ac:dyDescent="0.25">
      <c r="R42" s="117">
        <v>2.5</v>
      </c>
      <c r="S42" s="117">
        <v>94469</v>
      </c>
      <c r="T42" s="118">
        <v>1.8207030877853692E-3</v>
      </c>
      <c r="U42" s="113">
        <v>40</v>
      </c>
      <c r="V42" s="117">
        <v>3421.2840364484332</v>
      </c>
      <c r="W42" s="117">
        <v>3688.4430430599168</v>
      </c>
      <c r="X42" s="117">
        <v>4164.2540484181982</v>
      </c>
      <c r="Y42" s="117">
        <v>1500</v>
      </c>
    </row>
    <row r="43" spans="18:25" x14ac:dyDescent="0.25">
      <c r="R43" s="117">
        <v>2.5</v>
      </c>
      <c r="S43" s="117">
        <v>94297</v>
      </c>
      <c r="T43" s="118">
        <v>1.9300720065325017E-3</v>
      </c>
      <c r="U43" s="113">
        <v>41</v>
      </c>
      <c r="V43" s="117">
        <v>3838.0945878173757</v>
      </c>
      <c r="W43" s="117">
        <v>4136.9980989575824</v>
      </c>
      <c r="X43" s="117">
        <v>4625.5900876146561</v>
      </c>
      <c r="Y43" s="117">
        <v>2800</v>
      </c>
    </row>
    <row r="44" spans="18:25" x14ac:dyDescent="0.25">
      <c r="R44" s="117">
        <v>2.5</v>
      </c>
      <c r="S44" s="117">
        <v>94115</v>
      </c>
      <c r="T44" s="118">
        <v>2.0506826754502772E-3</v>
      </c>
      <c r="U44" s="113">
        <v>42</v>
      </c>
      <c r="V44" s="117">
        <v>4300.0820681521018</v>
      </c>
      <c r="W44" s="117">
        <v>4636.9176679695738</v>
      </c>
      <c r="X44" s="117">
        <v>5140.6476960097225</v>
      </c>
      <c r="Y44" s="117">
        <v>2800</v>
      </c>
    </row>
    <row r="45" spans="18:25" x14ac:dyDescent="0.25">
      <c r="R45" s="117">
        <v>2.5</v>
      </c>
      <c r="S45" s="117">
        <v>93922</v>
      </c>
      <c r="T45" s="118">
        <v>2.172015076339906E-3</v>
      </c>
      <c r="U45" s="113">
        <v>43</v>
      </c>
      <c r="V45" s="117">
        <v>4816.2682555563715</v>
      </c>
      <c r="W45" s="117">
        <v>5193.7583012912919</v>
      </c>
      <c r="X45" s="117">
        <v>5710.0445330265584</v>
      </c>
      <c r="Y45" s="117">
        <v>2800</v>
      </c>
    </row>
    <row r="46" spans="18:25" x14ac:dyDescent="0.25">
      <c r="R46" s="117">
        <v>2.5</v>
      </c>
      <c r="S46" s="117">
        <v>93718</v>
      </c>
      <c r="T46" s="118">
        <v>2.3367976269232926E-3</v>
      </c>
      <c r="U46" s="113">
        <v>44</v>
      </c>
      <c r="V46" s="117">
        <v>5382.456092151614</v>
      </c>
      <c r="W46" s="117">
        <v>5801.052643917752</v>
      </c>
      <c r="X46" s="117">
        <v>6326.7567970788259</v>
      </c>
      <c r="Y46" s="117">
        <v>2800</v>
      </c>
    </row>
    <row r="47" spans="18:25" x14ac:dyDescent="0.25">
      <c r="R47" s="117">
        <v>3.2</v>
      </c>
      <c r="S47" s="117">
        <v>93499</v>
      </c>
      <c r="T47" s="118">
        <v>2.5240911667504529E-3</v>
      </c>
      <c r="U47" s="113">
        <v>45</v>
      </c>
      <c r="V47" s="117">
        <v>6013.7266402290525</v>
      </c>
      <c r="W47" s="117">
        <v>6472.2459603726975</v>
      </c>
      <c r="X47" s="117">
        <v>7012.8871998096411</v>
      </c>
      <c r="Y47" s="117">
        <v>2800</v>
      </c>
    </row>
    <row r="48" spans="18:25" x14ac:dyDescent="0.25">
      <c r="R48" s="117">
        <v>3.2</v>
      </c>
      <c r="S48" s="117">
        <v>93263</v>
      </c>
      <c r="T48" s="118">
        <v>2.7127585430449797E-3</v>
      </c>
      <c r="U48" s="113">
        <v>46</v>
      </c>
      <c r="V48" s="117">
        <v>6640.8764456539247</v>
      </c>
      <c r="W48" s="117">
        <v>7138.447818552836</v>
      </c>
      <c r="X48" s="117">
        <v>7691.8282249240065</v>
      </c>
      <c r="Y48" s="117">
        <v>4600</v>
      </c>
    </row>
    <row r="49" spans="18:25" x14ac:dyDescent="0.25">
      <c r="R49" s="117">
        <v>3.2</v>
      </c>
      <c r="S49" s="117">
        <v>93010</v>
      </c>
      <c r="T49" s="118">
        <v>2.9351682614772168E-3</v>
      </c>
      <c r="U49" s="113">
        <v>47</v>
      </c>
      <c r="V49" s="117">
        <v>7280.819566359557</v>
      </c>
      <c r="W49" s="117">
        <v>7814.1093694295423</v>
      </c>
      <c r="X49" s="117">
        <v>8382.1859906751288</v>
      </c>
      <c r="Y49" s="117">
        <v>4600</v>
      </c>
    </row>
    <row r="50" spans="18:25" x14ac:dyDescent="0.25">
      <c r="R50" s="117">
        <v>3.2</v>
      </c>
      <c r="S50" s="117">
        <v>92737</v>
      </c>
      <c r="T50" s="118">
        <v>3.1918220343551962E-3</v>
      </c>
      <c r="U50" s="113">
        <v>48</v>
      </c>
      <c r="V50" s="117">
        <v>7929.2219617308883</v>
      </c>
      <c r="W50" s="117">
        <v>8497.6104336114186</v>
      </c>
      <c r="X50" s="117">
        <v>9084.3606356706969</v>
      </c>
      <c r="Y50" s="117">
        <v>4600</v>
      </c>
    </row>
    <row r="51" spans="18:25" x14ac:dyDescent="0.25">
      <c r="R51" s="117">
        <v>3.2</v>
      </c>
      <c r="S51" s="117">
        <v>92441</v>
      </c>
      <c r="T51" s="118">
        <v>3.4724851526919398E-3</v>
      </c>
      <c r="U51" s="113">
        <v>49</v>
      </c>
      <c r="V51" s="117">
        <v>8581.3045986101461</v>
      </c>
      <c r="W51" s="117">
        <v>9187.6223365282258</v>
      </c>
      <c r="X51" s="117">
        <v>9793.6476577037629</v>
      </c>
      <c r="Y51" s="117">
        <v>4600</v>
      </c>
    </row>
    <row r="52" spans="18:25" x14ac:dyDescent="0.25">
      <c r="R52" s="117">
        <v>4</v>
      </c>
      <c r="S52" s="117">
        <v>92120</v>
      </c>
      <c r="T52" s="118">
        <v>3.7885366912722152E-3</v>
      </c>
      <c r="U52" s="113">
        <v>50</v>
      </c>
      <c r="V52" s="117">
        <v>9146.7453285125721</v>
      </c>
      <c r="W52" s="117">
        <v>9795.5226654747858</v>
      </c>
      <c r="X52" s="117">
        <v>10428.895696552856</v>
      </c>
      <c r="Y52" s="117">
        <v>4600</v>
      </c>
    </row>
    <row r="53" spans="18:25" x14ac:dyDescent="0.25">
      <c r="R53" s="117">
        <v>4</v>
      </c>
      <c r="S53" s="117">
        <v>91771</v>
      </c>
      <c r="T53" s="118">
        <v>4.1625350056118116E-3</v>
      </c>
      <c r="U53" s="113">
        <v>51</v>
      </c>
      <c r="V53" s="117">
        <v>9807.7938996143585</v>
      </c>
      <c r="W53" s="117">
        <v>10505.03222048838</v>
      </c>
      <c r="X53" s="117">
        <v>11168.372984987955</v>
      </c>
      <c r="Y53" s="117">
        <v>5600</v>
      </c>
    </row>
    <row r="54" spans="18:25" x14ac:dyDescent="0.25">
      <c r="R54" s="117">
        <v>4</v>
      </c>
      <c r="S54" s="117">
        <v>91389</v>
      </c>
      <c r="T54" s="118">
        <v>4.5300856777074072E-3</v>
      </c>
      <c r="U54" s="113">
        <v>52</v>
      </c>
      <c r="V54" s="117">
        <v>10479.053514801722</v>
      </c>
      <c r="W54" s="117">
        <v>11236.037680651318</v>
      </c>
      <c r="X54" s="117">
        <v>11942.881769973368</v>
      </c>
      <c r="Y54" s="117">
        <v>5600</v>
      </c>
    </row>
    <row r="55" spans="18:25" x14ac:dyDescent="0.25">
      <c r="R55" s="117">
        <v>4</v>
      </c>
      <c r="S55" s="117">
        <v>90975</v>
      </c>
      <c r="T55" s="118">
        <v>4.9793899422918564E-3</v>
      </c>
      <c r="U55" s="113">
        <v>53</v>
      </c>
      <c r="V55" s="117">
        <v>11180.686262235127</v>
      </c>
      <c r="W55" s="117">
        <v>12005.158074524415</v>
      </c>
      <c r="X55" s="117">
        <v>12763.386688180653</v>
      </c>
      <c r="Y55" s="117">
        <v>5600</v>
      </c>
    </row>
    <row r="56" spans="18:25" x14ac:dyDescent="0.25">
      <c r="R56" s="117">
        <v>4</v>
      </c>
      <c r="S56" s="117">
        <v>90522</v>
      </c>
      <c r="T56" s="118">
        <v>5.4903780296502447E-3</v>
      </c>
      <c r="U56" s="113">
        <v>54</v>
      </c>
      <c r="V56" s="117">
        <v>11920.99433418546</v>
      </c>
      <c r="W56" s="117">
        <v>12818.95631991968</v>
      </c>
      <c r="X56" s="117">
        <v>13638.002227128436</v>
      </c>
      <c r="Y56" s="117">
        <v>5600</v>
      </c>
    </row>
    <row r="57" spans="18:25" x14ac:dyDescent="0.25">
      <c r="R57" s="117">
        <v>4</v>
      </c>
      <c r="S57" s="117">
        <v>90025</v>
      </c>
      <c r="T57" s="118">
        <v>6.0205498472646335E-3</v>
      </c>
      <c r="U57" s="113">
        <v>55</v>
      </c>
      <c r="V57" s="117">
        <v>12726.218511594103</v>
      </c>
      <c r="W57" s="117">
        <v>13701.036725402604</v>
      </c>
      <c r="X57" s="117">
        <v>14593.930192120622</v>
      </c>
      <c r="Y57" s="117">
        <v>5600</v>
      </c>
    </row>
    <row r="58" spans="18:25" x14ac:dyDescent="0.25">
      <c r="R58" s="117">
        <v>5</v>
      </c>
      <c r="S58" s="117">
        <v>89483</v>
      </c>
      <c r="T58" s="118">
        <v>6.6269570756456453E-3</v>
      </c>
      <c r="U58" s="113">
        <v>56</v>
      </c>
      <c r="V58" s="117">
        <v>13538.998722670112</v>
      </c>
      <c r="W58" s="117">
        <v>14588.672346598967</v>
      </c>
      <c r="X58" s="117">
        <v>15563.558728512555</v>
      </c>
      <c r="Y58" s="117">
        <v>5800</v>
      </c>
    </row>
    <row r="59" spans="18:25" x14ac:dyDescent="0.25">
      <c r="R59" s="117">
        <v>5</v>
      </c>
      <c r="S59" s="117">
        <v>88890</v>
      </c>
      <c r="T59" s="118">
        <v>7.3236584542692995E-3</v>
      </c>
      <c r="U59" s="113">
        <v>57</v>
      </c>
      <c r="V59" s="117">
        <v>14396.102015866858</v>
      </c>
      <c r="W59" s="117">
        <v>15515.401502457169</v>
      </c>
      <c r="X59" s="117">
        <v>16585.344516446126</v>
      </c>
      <c r="Y59" s="117">
        <v>5800</v>
      </c>
    </row>
    <row r="60" spans="18:25" x14ac:dyDescent="0.25">
      <c r="R60" s="117">
        <v>5</v>
      </c>
      <c r="S60" s="117">
        <v>88239</v>
      </c>
      <c r="T60" s="118">
        <v>8.0463287208604184E-3</v>
      </c>
      <c r="U60" s="113">
        <v>58</v>
      </c>
      <c r="V60" s="117">
        <v>15323.690712698663</v>
      </c>
      <c r="W60" s="117">
        <v>16505.6360706657</v>
      </c>
      <c r="X60" s="117">
        <v>17681.563114939639</v>
      </c>
      <c r="Y60" s="117">
        <v>5800</v>
      </c>
    </row>
    <row r="61" spans="18:25" x14ac:dyDescent="0.25">
      <c r="R61" s="117">
        <v>5</v>
      </c>
      <c r="S61" s="117">
        <v>87529</v>
      </c>
      <c r="T61" s="118">
        <v>8.9113322441705112E-3</v>
      </c>
      <c r="U61" s="113">
        <v>59</v>
      </c>
      <c r="V61" s="117">
        <v>16348.755811564324</v>
      </c>
      <c r="W61" s="117">
        <v>17587.35949495259</v>
      </c>
      <c r="X61" s="117">
        <v>18886.088005478814</v>
      </c>
      <c r="Y61" s="117">
        <v>5800</v>
      </c>
    </row>
    <row r="62" spans="18:25" x14ac:dyDescent="0.25">
      <c r="R62" s="117">
        <v>5</v>
      </c>
      <c r="S62" s="117">
        <v>86749</v>
      </c>
      <c r="T62" s="118">
        <v>9.809911353445E-3</v>
      </c>
      <c r="U62" s="113">
        <v>60</v>
      </c>
      <c r="V62" s="117">
        <v>17437.29</v>
      </c>
      <c r="W62" s="117">
        <v>18767.29</v>
      </c>
      <c r="X62" s="117">
        <v>20167.98</v>
      </c>
      <c r="Y62" s="117">
        <v>5800</v>
      </c>
    </row>
    <row r="63" spans="18:25" x14ac:dyDescent="0.25">
      <c r="R63" s="117">
        <v>5</v>
      </c>
      <c r="S63" s="117">
        <v>85898</v>
      </c>
      <c r="T63" s="118">
        <v>1.0850077999487784E-2</v>
      </c>
      <c r="U63" s="113">
        <v>61</v>
      </c>
      <c r="V63" s="117"/>
      <c r="W63" s="117"/>
      <c r="X63" s="117"/>
      <c r="Y63" s="117"/>
    </row>
    <row r="64" spans="18:25" x14ac:dyDescent="0.25">
      <c r="R64" s="117">
        <v>5</v>
      </c>
      <c r="S64" s="117">
        <v>84966</v>
      </c>
      <c r="T64" s="118">
        <v>1.1981263093472694E-2</v>
      </c>
      <c r="U64" s="113">
        <v>62</v>
      </c>
      <c r="V64" s="117"/>
      <c r="W64" s="117"/>
      <c r="X64" s="117"/>
      <c r="Y64" s="117"/>
    </row>
    <row r="65" spans="18:25" x14ac:dyDescent="0.25">
      <c r="R65" s="117">
        <v>5</v>
      </c>
      <c r="S65" s="117">
        <v>83948</v>
      </c>
      <c r="T65" s="118">
        <v>1.3234383189593579E-2</v>
      </c>
      <c r="U65" s="113">
        <v>63</v>
      </c>
      <c r="V65" s="117"/>
      <c r="W65" s="117"/>
      <c r="X65" s="117"/>
      <c r="Y65" s="117"/>
    </row>
    <row r="66" spans="18:25" x14ac:dyDescent="0.25">
      <c r="R66" s="117">
        <v>5</v>
      </c>
      <c r="S66" s="117">
        <v>82837</v>
      </c>
      <c r="T66" s="118">
        <v>1.464321498847132E-2</v>
      </c>
      <c r="U66" s="113">
        <v>64</v>
      </c>
      <c r="V66" s="117"/>
      <c r="W66" s="117"/>
      <c r="X66" s="117"/>
      <c r="Y66" s="117"/>
    </row>
    <row r="67" spans="18:25" x14ac:dyDescent="0.25">
      <c r="R67" s="117">
        <v>5</v>
      </c>
      <c r="S67" s="117">
        <v>81624</v>
      </c>
      <c r="T67" s="118">
        <v>1.6183965500343067E-2</v>
      </c>
      <c r="U67" s="113">
        <v>65</v>
      </c>
      <c r="V67" s="117"/>
      <c r="W67" s="117"/>
      <c r="X67" s="117"/>
      <c r="Y67" s="117"/>
    </row>
    <row r="68" spans="18:25" x14ac:dyDescent="0.25">
      <c r="R68" s="117">
        <v>5</v>
      </c>
      <c r="S68" s="117">
        <v>80303</v>
      </c>
      <c r="T68" s="118">
        <v>1.7882270898970098E-2</v>
      </c>
      <c r="U68" s="113">
        <v>66</v>
      </c>
      <c r="V68" s="117"/>
      <c r="W68" s="117"/>
      <c r="X68" s="117"/>
      <c r="Y68" s="117"/>
    </row>
    <row r="69" spans="18:25" x14ac:dyDescent="0.25">
      <c r="R69" s="117">
        <v>5</v>
      </c>
      <c r="S69" s="117">
        <v>78867</v>
      </c>
      <c r="T69" s="118">
        <v>1.9767456604156353E-2</v>
      </c>
      <c r="U69" s="113">
        <v>67</v>
      </c>
      <c r="V69" s="117"/>
      <c r="W69" s="117"/>
      <c r="X69" s="117"/>
      <c r="Y69" s="117"/>
    </row>
    <row r="70" spans="18:25" x14ac:dyDescent="0.25">
      <c r="R70" s="117">
        <v>5</v>
      </c>
      <c r="S70" s="117">
        <v>77308</v>
      </c>
      <c r="T70" s="118">
        <v>2.1860609510011897E-2</v>
      </c>
      <c r="U70" s="113">
        <v>68</v>
      </c>
      <c r="V70" s="117"/>
      <c r="W70" s="117"/>
      <c r="X70" s="117"/>
      <c r="Y70" s="117"/>
    </row>
    <row r="71" spans="18:25" x14ac:dyDescent="0.25">
      <c r="R71" s="117">
        <v>5</v>
      </c>
      <c r="S71" s="117">
        <v>75618</v>
      </c>
      <c r="T71" s="118">
        <v>2.4160914068079076E-2</v>
      </c>
      <c r="U71" s="113">
        <v>69</v>
      </c>
      <c r="V71" s="117"/>
      <c r="W71" s="117"/>
      <c r="X71" s="117"/>
      <c r="Y71" s="117"/>
    </row>
    <row r="72" spans="18:25" x14ac:dyDescent="0.25">
      <c r="R72" s="117">
        <v>5</v>
      </c>
      <c r="S72" s="117">
        <v>73791</v>
      </c>
      <c r="T72" s="118">
        <v>2.6710574460300007E-2</v>
      </c>
      <c r="U72" s="113">
        <v>70</v>
      </c>
      <c r="V72" s="117"/>
      <c r="W72" s="117"/>
      <c r="X72" s="117"/>
      <c r="Y72" s="117"/>
    </row>
    <row r="73" spans="18:25" x14ac:dyDescent="0.25">
      <c r="R73" s="117">
        <v>5</v>
      </c>
      <c r="S73" s="117">
        <v>71820</v>
      </c>
      <c r="T73" s="118">
        <v>2.9518240044555832E-2</v>
      </c>
      <c r="U73" s="113">
        <v>71</v>
      </c>
      <c r="V73" s="117"/>
      <c r="W73" s="117"/>
      <c r="X73" s="117"/>
      <c r="Y73" s="117"/>
    </row>
    <row r="74" spans="18:25" x14ac:dyDescent="0.25">
      <c r="R74" s="117">
        <v>5</v>
      </c>
      <c r="S74" s="117">
        <v>69700</v>
      </c>
      <c r="T74" s="118">
        <v>3.2611190817790514E-2</v>
      </c>
      <c r="U74" s="113">
        <v>72</v>
      </c>
      <c r="V74" s="117"/>
      <c r="W74" s="117"/>
      <c r="X74" s="117"/>
      <c r="Y74" s="117"/>
    </row>
    <row r="75" spans="18:25" x14ac:dyDescent="0.25">
      <c r="R75" s="117">
        <v>5</v>
      </c>
      <c r="S75" s="117">
        <v>67427</v>
      </c>
      <c r="T75" s="118">
        <v>3.6024144630489308E-2</v>
      </c>
      <c r="U75" s="113">
        <v>73</v>
      </c>
      <c r="V75" s="117"/>
      <c r="W75" s="117"/>
      <c r="X75" s="117"/>
      <c r="Y75" s="117"/>
    </row>
    <row r="76" spans="18:25" x14ac:dyDescent="0.25">
      <c r="R76" s="117">
        <v>5</v>
      </c>
      <c r="S76" s="117">
        <v>64998</v>
      </c>
      <c r="T76" s="118">
        <v>3.9785839564294267E-2</v>
      </c>
      <c r="U76" s="113">
        <v>74</v>
      </c>
      <c r="V76" s="117"/>
      <c r="W76" s="117"/>
      <c r="X76" s="117"/>
      <c r="Y76" s="117"/>
    </row>
    <row r="77" spans="18:25" x14ac:dyDescent="0.25">
      <c r="R77" s="117">
        <v>5</v>
      </c>
      <c r="S77" s="117">
        <v>62412</v>
      </c>
      <c r="T77" s="118">
        <v>4.3917836313529413E-2</v>
      </c>
      <c r="U77" s="113">
        <v>75</v>
      </c>
      <c r="V77" s="117"/>
      <c r="W77" s="117"/>
      <c r="X77" s="117"/>
      <c r="Y77" s="117"/>
    </row>
    <row r="78" spans="18:25" x14ac:dyDescent="0.25">
      <c r="R78" s="117">
        <v>5</v>
      </c>
      <c r="S78" s="117">
        <v>59671</v>
      </c>
      <c r="T78" s="118">
        <v>4.8465753883796148E-2</v>
      </c>
      <c r="U78" s="113">
        <v>76</v>
      </c>
      <c r="V78" s="117"/>
      <c r="W78" s="117"/>
      <c r="X78" s="117"/>
      <c r="Y78" s="117"/>
    </row>
    <row r="79" spans="18:25" x14ac:dyDescent="0.25">
      <c r="R79" s="117">
        <v>5</v>
      </c>
      <c r="S79" s="117">
        <v>56779</v>
      </c>
      <c r="T79" s="118">
        <v>5.3452861093009729E-2</v>
      </c>
      <c r="U79" s="113">
        <v>77</v>
      </c>
      <c r="V79" s="117"/>
      <c r="W79" s="117"/>
      <c r="X79" s="117"/>
      <c r="Y79" s="117"/>
    </row>
    <row r="80" spans="18:25" x14ac:dyDescent="0.25">
      <c r="R80" s="117">
        <v>5</v>
      </c>
      <c r="S80" s="117">
        <v>53744</v>
      </c>
      <c r="T80" s="118">
        <v>5.8927508186960353E-2</v>
      </c>
      <c r="U80" s="113">
        <v>78</v>
      </c>
      <c r="V80" s="117"/>
      <c r="W80" s="117"/>
      <c r="X80" s="117"/>
      <c r="Y80" s="117"/>
    </row>
    <row r="81" spans="18:25" x14ac:dyDescent="0.25">
      <c r="R81" s="117">
        <v>5</v>
      </c>
      <c r="S81" s="117">
        <v>50577</v>
      </c>
      <c r="T81" s="118">
        <v>6.4930699725171515E-2</v>
      </c>
      <c r="U81" s="113">
        <v>79</v>
      </c>
      <c r="V81" s="117"/>
      <c r="W81" s="117"/>
      <c r="X81" s="117"/>
      <c r="Y81" s="117"/>
    </row>
    <row r="82" spans="18:25" x14ac:dyDescent="0.25">
      <c r="R82" s="117">
        <v>5</v>
      </c>
      <c r="S82" s="117">
        <v>47293</v>
      </c>
      <c r="T82" s="118">
        <v>7.1490495422155464E-2</v>
      </c>
      <c r="U82" s="113">
        <v>80</v>
      </c>
      <c r="V82" s="117"/>
      <c r="W82" s="117"/>
      <c r="X82" s="117"/>
      <c r="Y82" s="117"/>
    </row>
    <row r="83" spans="18:25" x14ac:dyDescent="0.25">
      <c r="R83" s="117">
        <v>5</v>
      </c>
      <c r="S83" s="117">
        <v>43912</v>
      </c>
      <c r="T83" s="118">
        <v>7.8702860265986496E-2</v>
      </c>
      <c r="U83" s="113">
        <v>81</v>
      </c>
      <c r="V83" s="117"/>
      <c r="W83" s="117"/>
      <c r="X83" s="117"/>
      <c r="Y83" s="117"/>
    </row>
    <row r="84" spans="18:25" x14ac:dyDescent="0.25">
      <c r="R84" s="117">
        <v>5</v>
      </c>
      <c r="S84" s="117">
        <v>40456</v>
      </c>
      <c r="T84" s="118">
        <v>8.6513743326082637E-2</v>
      </c>
      <c r="U84" s="113">
        <v>82</v>
      </c>
      <c r="V84" s="117"/>
      <c r="W84" s="117"/>
      <c r="X84" s="117"/>
      <c r="Y84" s="117"/>
    </row>
    <row r="85" spans="18:25" x14ac:dyDescent="0.25">
      <c r="R85" s="117">
        <v>5</v>
      </c>
      <c r="S85" s="117">
        <v>36956</v>
      </c>
      <c r="T85" s="118">
        <v>9.5058989068080968E-2</v>
      </c>
      <c r="U85" s="113">
        <v>83</v>
      </c>
      <c r="V85" s="117"/>
      <c r="W85" s="117"/>
      <c r="X85" s="117"/>
      <c r="Y85" s="117"/>
    </row>
    <row r="86" spans="18:25" x14ac:dyDescent="0.25">
      <c r="R86" s="117">
        <v>5</v>
      </c>
      <c r="S86" s="117">
        <v>33443</v>
      </c>
      <c r="T86" s="118">
        <v>0.10438656819065273</v>
      </c>
      <c r="U86" s="113">
        <v>84</v>
      </c>
      <c r="V86" s="117"/>
      <c r="W86" s="117"/>
      <c r="X86" s="117"/>
      <c r="Y86" s="117"/>
    </row>
    <row r="87" spans="18:25" x14ac:dyDescent="0.25">
      <c r="R87" s="117">
        <v>5</v>
      </c>
      <c r="S87" s="117">
        <v>29952</v>
      </c>
      <c r="T87" s="118">
        <v>0.1144163995726496</v>
      </c>
      <c r="U87" s="113">
        <v>85</v>
      </c>
      <c r="V87" s="117"/>
      <c r="W87" s="117"/>
      <c r="X87" s="117"/>
      <c r="Y87" s="117"/>
    </row>
    <row r="88" spans="18:25" x14ac:dyDescent="0.25">
      <c r="R88" s="117">
        <v>5</v>
      </c>
      <c r="S88" s="117">
        <v>26525</v>
      </c>
      <c r="T88" s="118">
        <v>0.12535344015080108</v>
      </c>
      <c r="U88" s="113">
        <v>86</v>
      </c>
      <c r="V88" s="117"/>
      <c r="W88" s="117"/>
      <c r="X88" s="117"/>
      <c r="Y88" s="117"/>
    </row>
    <row r="89" spans="18:25" x14ac:dyDescent="0.25">
      <c r="R89" s="117">
        <v>5</v>
      </c>
      <c r="S89" s="117">
        <v>23200</v>
      </c>
      <c r="T89" s="118">
        <v>0.13715517241379316</v>
      </c>
      <c r="U89" s="113">
        <v>87</v>
      </c>
      <c r="V89" s="117"/>
      <c r="W89" s="117"/>
      <c r="X89" s="117"/>
      <c r="Y89" s="117"/>
    </row>
    <row r="90" spans="18:25" x14ac:dyDescent="0.25">
      <c r="R90" s="117">
        <v>5</v>
      </c>
      <c r="S90" s="117">
        <v>20018</v>
      </c>
      <c r="T90" s="118">
        <v>0.14986512139074837</v>
      </c>
      <c r="U90" s="113">
        <v>88</v>
      </c>
      <c r="V90" s="117"/>
      <c r="W90" s="117"/>
      <c r="X90" s="117"/>
      <c r="Y90" s="117"/>
    </row>
    <row r="91" spans="18:25" x14ac:dyDescent="0.25">
      <c r="R91" s="117">
        <v>5</v>
      </c>
      <c r="S91" s="117">
        <v>17018</v>
      </c>
      <c r="T91" s="118">
        <v>0.16365025267363964</v>
      </c>
      <c r="U91" s="113">
        <v>89</v>
      </c>
      <c r="V91" s="117"/>
      <c r="W91" s="117"/>
      <c r="X91" s="117"/>
      <c r="Y91" s="117"/>
    </row>
    <row r="92" spans="18:25" x14ac:dyDescent="0.25">
      <c r="R92" s="117">
        <v>5</v>
      </c>
      <c r="S92" s="117">
        <v>14233</v>
      </c>
      <c r="T92" s="118">
        <v>0.17817747488231572</v>
      </c>
      <c r="U92" s="113">
        <v>90</v>
      </c>
      <c r="V92" s="117"/>
      <c r="W92" s="117"/>
      <c r="X92" s="117"/>
      <c r="Y92" s="117"/>
    </row>
    <row r="93" spans="18:25" x14ac:dyDescent="0.25">
      <c r="R93" s="117">
        <v>5</v>
      </c>
      <c r="S93" s="117">
        <v>11697</v>
      </c>
      <c r="T93" s="118">
        <v>0.1939813627425836</v>
      </c>
      <c r="U93" s="113">
        <v>91</v>
      </c>
      <c r="V93" s="117"/>
      <c r="W93" s="117"/>
      <c r="X93" s="117"/>
      <c r="Y93" s="117"/>
    </row>
    <row r="94" spans="18:25" x14ac:dyDescent="0.25">
      <c r="R94" s="117">
        <v>5</v>
      </c>
      <c r="S94" s="117">
        <v>9428</v>
      </c>
      <c r="T94" s="118">
        <v>0.21064913025031817</v>
      </c>
      <c r="U94" s="113">
        <v>92</v>
      </c>
      <c r="V94" s="117"/>
      <c r="W94" s="117"/>
      <c r="X94" s="117"/>
      <c r="Y94" s="117"/>
    </row>
    <row r="95" spans="18:25" x14ac:dyDescent="0.25">
      <c r="R95" s="117">
        <v>5</v>
      </c>
      <c r="S95" s="117">
        <v>7442</v>
      </c>
      <c r="T95" s="118">
        <v>0.22843321687718354</v>
      </c>
      <c r="U95" s="113">
        <v>93</v>
      </c>
      <c r="V95" s="117"/>
      <c r="W95" s="117"/>
      <c r="X95" s="117"/>
      <c r="Y95" s="117"/>
    </row>
    <row r="96" spans="18:25" x14ac:dyDescent="0.25">
      <c r="R96" s="117">
        <v>5</v>
      </c>
      <c r="S96" s="117">
        <v>5742</v>
      </c>
      <c r="T96" s="118">
        <v>0.24712643678160917</v>
      </c>
      <c r="U96" s="113">
        <v>94</v>
      </c>
      <c r="V96" s="117"/>
      <c r="W96" s="117"/>
      <c r="X96" s="117"/>
      <c r="Y96" s="117"/>
    </row>
    <row r="97" spans="18:25" x14ac:dyDescent="0.25">
      <c r="R97" s="117">
        <v>5</v>
      </c>
      <c r="S97" s="117">
        <v>4323</v>
      </c>
      <c r="T97" s="118">
        <v>0.26694425167707614</v>
      </c>
      <c r="U97" s="113">
        <v>95</v>
      </c>
      <c r="V97" s="117"/>
      <c r="W97" s="117"/>
      <c r="X97" s="117"/>
      <c r="Y97" s="117"/>
    </row>
    <row r="98" spans="18:25" x14ac:dyDescent="0.25">
      <c r="R98" s="117">
        <v>5</v>
      </c>
      <c r="S98" s="117">
        <v>3169</v>
      </c>
      <c r="T98" s="118">
        <v>0.28778794572420319</v>
      </c>
      <c r="U98" s="113">
        <v>96</v>
      </c>
      <c r="V98" s="117"/>
      <c r="W98" s="117"/>
      <c r="X98" s="117"/>
      <c r="Y98" s="117"/>
    </row>
    <row r="99" spans="18:25" x14ac:dyDescent="0.25">
      <c r="R99" s="117">
        <v>5</v>
      </c>
      <c r="S99" s="117">
        <v>2257</v>
      </c>
      <c r="T99" s="118">
        <v>0.30926007975188308</v>
      </c>
      <c r="U99" s="113">
        <v>97</v>
      </c>
      <c r="V99" s="117"/>
      <c r="W99" s="117"/>
      <c r="X99" s="117"/>
      <c r="Y99" s="117"/>
    </row>
    <row r="100" spans="18:25" x14ac:dyDescent="0.25">
      <c r="R100" s="117">
        <v>5</v>
      </c>
      <c r="S100" s="117">
        <v>1559</v>
      </c>
      <c r="T100" s="118">
        <v>0.33226427196921104</v>
      </c>
      <c r="U100" s="113">
        <v>98</v>
      </c>
      <c r="V100" s="117"/>
      <c r="W100" s="117"/>
      <c r="X100" s="117"/>
      <c r="Y100" s="117"/>
    </row>
    <row r="101" spans="18:25" x14ac:dyDescent="0.25">
      <c r="R101" s="117">
        <v>5</v>
      </c>
      <c r="S101" s="117">
        <v>1041</v>
      </c>
      <c r="T101" s="118">
        <v>0.35542747358309323</v>
      </c>
      <c r="U101" s="113">
        <v>99</v>
      </c>
      <c r="V101" s="117"/>
      <c r="W101" s="117"/>
      <c r="X101" s="117"/>
      <c r="Y101" s="117"/>
    </row>
    <row r="102" spans="18:25" x14ac:dyDescent="0.25">
      <c r="R102" s="117">
        <v>5</v>
      </c>
      <c r="S102" s="117">
        <v>671</v>
      </c>
      <c r="T102" s="118">
        <v>0.44869999999999999</v>
      </c>
      <c r="U102" s="113">
        <v>100</v>
      </c>
      <c r="V102" s="117"/>
      <c r="W102" s="117"/>
      <c r="X102" s="117"/>
      <c r="Y102" s="117"/>
    </row>
    <row r="103" spans="18:25" x14ac:dyDescent="0.25">
      <c r="R103" s="117">
        <v>5</v>
      </c>
      <c r="S103" s="117">
        <v>416</v>
      </c>
      <c r="T103" s="118">
        <v>0.47589999999999999</v>
      </c>
      <c r="U103" s="113">
        <v>101</v>
      </c>
      <c r="V103" s="117"/>
      <c r="W103" s="117"/>
      <c r="X103" s="117"/>
      <c r="Y103" s="117"/>
    </row>
    <row r="104" spans="18:25" x14ac:dyDescent="0.25">
      <c r="R104" s="117">
        <v>5</v>
      </c>
      <c r="S104" s="117">
        <v>250</v>
      </c>
      <c r="T104" s="118">
        <v>0.51319999999999999</v>
      </c>
      <c r="U104" s="113">
        <v>102</v>
      </c>
      <c r="V104" s="117"/>
      <c r="W104" s="117"/>
      <c r="X104" s="117"/>
      <c r="Y104" s="117"/>
    </row>
    <row r="105" spans="18:25" x14ac:dyDescent="0.25">
      <c r="R105" s="117">
        <v>5</v>
      </c>
      <c r="S105" s="117">
        <v>145</v>
      </c>
      <c r="T105" s="118">
        <v>0.54049999999999998</v>
      </c>
      <c r="U105" s="113">
        <v>103</v>
      </c>
      <c r="V105" s="117"/>
      <c r="W105" s="117"/>
      <c r="X105" s="117"/>
      <c r="Y105" s="117"/>
    </row>
    <row r="106" spans="18:25" x14ac:dyDescent="0.25">
      <c r="R106" s="117">
        <v>5</v>
      </c>
      <c r="S106" s="117">
        <v>81</v>
      </c>
      <c r="T106" s="118">
        <v>0.58819999999999995</v>
      </c>
      <c r="U106" s="113">
        <v>104</v>
      </c>
      <c r="V106" s="117"/>
      <c r="W106" s="117"/>
      <c r="X106" s="117"/>
      <c r="Y106" s="117"/>
    </row>
    <row r="107" spans="18:25" x14ac:dyDescent="0.25">
      <c r="R107" s="117">
        <v>5</v>
      </c>
      <c r="S107" s="117">
        <v>43</v>
      </c>
      <c r="T107" s="118">
        <v>0.71430000000000005</v>
      </c>
      <c r="U107" s="113">
        <v>105</v>
      </c>
      <c r="V107" s="117"/>
      <c r="W107" s="117"/>
      <c r="X107" s="117"/>
      <c r="Y107" s="117"/>
    </row>
    <row r="108" spans="18:25" x14ac:dyDescent="0.25">
      <c r="R108" s="117">
        <v>5</v>
      </c>
      <c r="S108" s="117">
        <v>22</v>
      </c>
      <c r="T108" s="118">
        <v>1</v>
      </c>
      <c r="U108" s="113">
        <v>106</v>
      </c>
      <c r="V108" s="117"/>
      <c r="W108" s="117"/>
      <c r="X108" s="117"/>
      <c r="Y108" s="117"/>
    </row>
  </sheetData>
  <mergeCells count="2">
    <mergeCell ref="A22:A23"/>
    <mergeCell ref="B22:B2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صفحه امضا</vt:lpstr>
      <vt:lpstr>راهنما</vt:lpstr>
      <vt:lpstr>Info</vt:lpstr>
      <vt:lpstr>جدول نمونه</vt:lpstr>
      <vt:lpstr>Rates2</vt:lpstr>
      <vt:lpstr>جدول نمونه2</vt:lpstr>
      <vt:lpstr>یکجا</vt:lpstr>
      <vt:lpstr>MIDAS</vt:lpstr>
      <vt:lpstr>Rates</vt:lpstr>
      <vt:lpstr>Info!Print_Area</vt:lpstr>
      <vt:lpstr>'جدول نمونه'!Print_Area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جدول آفلاین</dc:title>
  <dc:subject/>
  <dc:creator/>
  <cp:keywords/>
  <dc:description/>
  <cp:lastModifiedBy/>
  <cp:revision/>
  <dcterms:created xsi:type="dcterms:W3CDTF">2006-09-16T00:00:00Z</dcterms:created>
  <dcterms:modified xsi:type="dcterms:W3CDTF">2025-07-31T10:10:42Z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number">
    <vt:lpwstr>1</vt:lpwstr>
  </property>
</Properties>
</file>